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464711e9dc8cfa85/Desktop/Maryville/"/>
    </mc:Choice>
  </mc:AlternateContent>
  <xr:revisionPtr revIDLastSave="58" documentId="8_{7A44E3EC-C219-4918-8BFA-C5D9D08B2B56}" xr6:coauthVersionLast="47" xr6:coauthVersionMax="47" xr10:uidLastSave="{59C2A53E-70B5-4860-89CC-7A999D4AAC18}"/>
  <bookViews>
    <workbookView xWindow="11424" yWindow="0" windowWidth="11712" windowHeight="12336" tabRatio="536" firstSheet="1" activeTab="1" xr2:uid="{CEBF006A-A518-4AB7-9A76-15366DBD2099}"/>
  </bookViews>
  <sheets>
    <sheet name="Glossary" sheetId="14" r:id="rId1"/>
    <sheet name="Control" sheetId="18" r:id="rId2"/>
    <sheet name="Test Cases" sheetId="19" r:id="rId3"/>
    <sheet name="Calculation" sheetId="13" r:id="rId4"/>
    <sheet name="WdTables" sheetId="21" r:id="rId5"/>
    <sheet name="Example Doc" sheetId="17" r:id="rId6"/>
    <sheet name="How It Works" sheetId="15" r:id="rId7"/>
    <sheet name="Orders of Operation" sheetId="16" r:id="rId8"/>
    <sheet name="Qx" sheetId="22" r:id="rId9"/>
    <sheet name="TestCaseExplinations" sheetId="23" r:id="rId10"/>
    <sheet name="Documentation" sheetId="24" r:id="rId11"/>
    <sheet name="VixFeeParameters" sheetId="25" r:id="rId12"/>
    <sheet name="^Vix" sheetId="26" r:id="rId13"/>
  </sheets>
  <externalReferences>
    <externalReference r:id="rId14"/>
    <externalReference r:id="rId15"/>
    <externalReference r:id="rId16"/>
    <externalReference r:id="rId17"/>
  </externalReferences>
  <definedNames>
    <definedName name="_xlpm.Anniversery_Value" hidden="1">#NAME?</definedName>
    <definedName name="AccountValue">Control!$C$18</definedName>
    <definedName name="ACT">Control!$C$47</definedName>
    <definedName name="Activation_Time">'[1]Calculation D'!$C$2</definedName>
    <definedName name="ActivationDate" localSheetId="8">[2]Control!$C$12</definedName>
    <definedName name="ActivationDate" localSheetId="9">[2]Control!$C$12</definedName>
    <definedName name="ActivationDate">[3]Control!$C$12</definedName>
    <definedName name="ActivationPeriod" localSheetId="8">[2]Control!$C$27</definedName>
    <definedName name="ActivationPeriod" localSheetId="9">[2]Control!$C$27</definedName>
    <definedName name="ActivationPeriod">[3]Control!$C$27</definedName>
    <definedName name="Actual">[1]Controls!$S$37:$S$54</definedName>
    <definedName name="AdditionalPremium">[3]Control!$C$11</definedName>
    <definedName name="Age">Qx!$A$8:$A$128</definedName>
    <definedName name="AnnCount">Control!$C$40</definedName>
    <definedName name="Anniversery_Value">'[1]Calculation D'!$I$9:$I$30</definedName>
    <definedName name="AnnuitantCount" localSheetId="8">[2]Control!$C$20</definedName>
    <definedName name="AnnuitantCount" localSheetId="9">[2]Control!$C$20</definedName>
    <definedName name="AnnuitantCount">[3]Control!$C$20</definedName>
    <definedName name="AnnuityIncomeOption" localSheetId="8">[2]Control!$C$13</definedName>
    <definedName name="AnnuityIncomeOption" localSheetId="9">[2]Control!$C$13</definedName>
    <definedName name="AnnuityIncomeOption">[3]Control!$C$13</definedName>
    <definedName name="Assumed_Contract_Value">'[1]Calculation D'!$G$8:$G$29</definedName>
    <definedName name="Assumed_Contract_Value2">'[1]Calculation D'!$G$8:$G$180</definedName>
    <definedName name="Benefit_Effective_Date">[1]!TestCases[[Benefit Effective Date ]]</definedName>
    <definedName name="Birthdate1" localSheetId="8">[2]Control!$C$6</definedName>
    <definedName name="Birthdate1" localSheetId="9">[2]Control!$C$6</definedName>
    <definedName name="Birthdate1">[3]Control!$C$6</definedName>
    <definedName name="Birthdate2" localSheetId="8">[2]Control!$C$8</definedName>
    <definedName name="Birthdate2" localSheetId="9">[2]Control!$C$8</definedName>
    <definedName name="Birthdate2">[3]Control!$C$8</definedName>
    <definedName name="Bob">Control!$O$4</definedName>
    <definedName name="ContractFee" localSheetId="8">#REF!</definedName>
    <definedName name="ContractFee" localSheetId="9">#REF!</definedName>
    <definedName name="ContractFee">#REF!</definedName>
    <definedName name="ContractFeePercent" localSheetId="8">#REF!</definedName>
    <definedName name="ContractFeePercent" localSheetId="9">#REF!</definedName>
    <definedName name="ContractFeePercent">#REF!</definedName>
    <definedName name="Current_Contract">[1]Controls!$R$34</definedName>
    <definedName name="Current_IBC">[1]Controls!$P$34</definedName>
    <definedName name="Current_Income_Base">[1]Controls!$O$34</definedName>
    <definedName name="CurrentContractValue">[3]Control!$C$18</definedName>
    <definedName name="CurrentIncomeBase" localSheetId="8">[2]Control!$C$15</definedName>
    <definedName name="CurrentIncomeBase" localSheetId="9">[2]Control!$C$15</definedName>
    <definedName name="CurrentIncomeBase">[3]Control!$C$15</definedName>
    <definedName name="CurrentIncomeCreditBase" localSheetId="8">[2]Control!$C$16</definedName>
    <definedName name="CurrentIncomeCreditBase" localSheetId="9">[2]Control!$C$16</definedName>
    <definedName name="CurrentIncomeCreditBase">[3]Control!$C$16</definedName>
    <definedName name="CurrentPeriod" localSheetId="8">[2]Control!$C$19</definedName>
    <definedName name="CurrentPeriod" localSheetId="9">[2]Control!$C$19</definedName>
    <definedName name="CurrentPeriod">[3]Control!$C$19</definedName>
    <definedName name="CurrPer">Control!$C$39</definedName>
    <definedName name="DailyFlexChargeY1" localSheetId="8">#REF!</definedName>
    <definedName name="DailyFlexChargeY1" localSheetId="9">#REF!</definedName>
    <definedName name="DailyFlexChargeY1">#REF!</definedName>
    <definedName name="DailyFlexChargeY2plus" localSheetId="8">#REF!</definedName>
    <definedName name="DailyFlexChargeY2plus" localSheetId="9">#REF!</definedName>
    <definedName name="DailyFlexChargeY2plus">#REF!</definedName>
    <definedName name="Expected">[1]Controls!$U$37:$U$54</definedName>
    <definedName name="FIx" localSheetId="9">[1]Qx!$B$8:$B$128</definedName>
    <definedName name="FIx">Qx!$B$8:$B$128</definedName>
    <definedName name="FundExpense" localSheetId="8">#REF!</definedName>
    <definedName name="FundExpense" localSheetId="9">#REF!</definedName>
    <definedName name="FundExpense">#REF!</definedName>
    <definedName name="GivenPrimaryPx" localSheetId="8">[2]Calculation!#REF!</definedName>
    <definedName name="GivenPrimaryPx" localSheetId="9">[2]Calculation!#REF!</definedName>
    <definedName name="GivenPrimaryPx">[3]Calculation!#REF!</definedName>
    <definedName name="GivenSecondaryPx" localSheetId="8">[2]Calculation!#REF!</definedName>
    <definedName name="GivenSecondaryPx" localSheetId="9">[2]Calculation!#REF!</definedName>
    <definedName name="GivenSecondaryPx">[3]Calculation!#REF!</definedName>
    <definedName name="ICP" localSheetId="8">'[1]Calculation D'!$C$3</definedName>
    <definedName name="ICP" localSheetId="9">'[1]Calculation D'!$C$3</definedName>
    <definedName name="ICP">Control!$C$14</definedName>
    <definedName name="IncCredRate" localSheetId="8">[2]Control!$C$14</definedName>
    <definedName name="IncCredRate" localSheetId="9">[2]Control!$C$14</definedName>
    <definedName name="IncCredRate">[3]Control!$C$14</definedName>
    <definedName name="Income_Base">'[1]Calculation D'!#REF!</definedName>
    <definedName name="IncomeOption">Control!$C$13</definedName>
    <definedName name="Initial_Purchase_Payment">'[1]Calculation D'!$F$1</definedName>
    <definedName name="InitialAnnFeeRate1">VixFeeParameters!$B$2</definedName>
    <definedName name="InitialAnnFeeRate2">VixFeeParameters!$B$3</definedName>
    <definedName name="InitialPurchasePayment" localSheetId="8">[4]Homework!$B$2</definedName>
    <definedName name="InitialPurchasePayment" localSheetId="9">[4]Homework!$B$2</definedName>
    <definedName name="InitialPurchasePayment">Control!$C$11</definedName>
    <definedName name="InterestRate">[1]Controls!$F$2</definedName>
    <definedName name="invest1">[4]Homework!$B$21</definedName>
    <definedName name="invest2">[4]Homework!$B$22</definedName>
    <definedName name="Is_Anniversery">'[1]Calculation D'!$H$8:$H$180</definedName>
    <definedName name="Is_Issued">Control!$C$49</definedName>
    <definedName name="Is_Joint">Control!$C$41</definedName>
    <definedName name="IsIssued">[3]Control!$C$29</definedName>
    <definedName name="IsJoint" localSheetId="8">[2]Control!$C$21</definedName>
    <definedName name="IsJoint" localSheetId="9">[2]Control!$C$21</definedName>
    <definedName name="IsJoint">[3]Control!$C$21</definedName>
    <definedName name="Issue_Date">Control!$C$10</definedName>
    <definedName name="IssueAge" localSheetId="8">[2]Control!$C$22</definedName>
    <definedName name="IssueAge" localSheetId="9">[2]Control!$C$22</definedName>
    <definedName name="IssueAge">[3]Control!$C$22</definedName>
    <definedName name="IssueAge2" localSheetId="8">[2]Control!$C$23</definedName>
    <definedName name="IssueAge2" localSheetId="9">[2]Control!$C$23</definedName>
    <definedName name="IssueAge2">[3]Control!$C$23</definedName>
    <definedName name="IssueDate" localSheetId="8">[2]Control!$C$10</definedName>
    <definedName name="IssueDate" localSheetId="9">[2]Control!$C$10</definedName>
    <definedName name="IssueDate">[3]Control!$C$10</definedName>
    <definedName name="LB_Age1">[1]WdAges!$B$11:$B$14</definedName>
    <definedName name="LbWdAgesPrimaryPer">WdTables!$B$11:$B$14</definedName>
    <definedName name="LifetimeChangeFee1">VixFeeParameters!$F$2</definedName>
    <definedName name="LifetimeChangeFee2">VixFeeParameters!$F$3</definedName>
    <definedName name="MAW">[1]Controls!$A$85</definedName>
    <definedName name="MAWA">Control!$C$45</definedName>
    <definedName name="MawRate" localSheetId="8">[2]Control!$C$25</definedName>
    <definedName name="MawRate" localSheetId="9">[2]Control!$C$25</definedName>
    <definedName name="MawRate">[3]Control!$C$25</definedName>
    <definedName name="Max_Withdrawal">[1]!Table17[Maximum Annual Withdrawal Amount upon Activation]</definedName>
    <definedName name="MaxAge" localSheetId="8">Qx!$B$1</definedName>
    <definedName name="MaxAge" localSheetId="9">#REF!</definedName>
    <definedName name="MaxAge">#REF!</definedName>
    <definedName name="MaxAgeLb" localSheetId="8">#REF!</definedName>
    <definedName name="MaxAgeLb" localSheetId="9">#REF!</definedName>
    <definedName name="MaxAgeLb">#REF!</definedName>
    <definedName name="MaxAgeLbDb" localSheetId="8">#REF!</definedName>
    <definedName name="MaxAgeLbDb" localSheetId="9">#REF!</definedName>
    <definedName name="MaxAgeLbDb">#REF!</definedName>
    <definedName name="MaxAgeNoRider" localSheetId="8">#REF!</definedName>
    <definedName name="MaxAgeNoRider" localSheetId="9">#REF!</definedName>
    <definedName name="MaxAgeNoRider">#REF!</definedName>
    <definedName name="MaxAnnFeeRate1">VixFeeParameters!$C$2</definedName>
    <definedName name="MaxAnnFeeRate2">VixFeeParameters!$C$3</definedName>
    <definedName name="Maximum_Withdrawal_Amount">[1]!Table17[Maximum Annual Withdrawal Amount upon Activation]</definedName>
    <definedName name="MaxParRate" localSheetId="8">#REF!</definedName>
    <definedName name="MaxParRate" localSheetId="9">#REF!</definedName>
    <definedName name="MaxParRate">#REF!</definedName>
    <definedName name="MaxParTenor" localSheetId="8">#REF!</definedName>
    <definedName name="MaxParTenor" localSheetId="9">#REF!</definedName>
    <definedName name="MaxParTenor">#REF!</definedName>
    <definedName name="MaxRateChange1">VixFeeParameters!$E$2</definedName>
    <definedName name="MaxRateChange2">VixFeeParameters!$E$3</definedName>
    <definedName name="MidWdAge">Control!$C$44</definedName>
    <definedName name="MinAnnFeeRate1">VixFeeParameters!$D$2</definedName>
    <definedName name="MinAnnFeeRate2">VixFeeParameters!$D$3</definedName>
    <definedName name="Minimum_Withdrawal_Age">[1]Controls!$F$38:$F$54</definedName>
    <definedName name="MinWdAge" localSheetId="8">[2]Control!$C$24</definedName>
    <definedName name="MinWdAge" localSheetId="9">[2]Control!$C$24</definedName>
    <definedName name="MinWdAge">[3]Control!$C$24</definedName>
    <definedName name="MIx">Qx!$C$8:$C$128</definedName>
    <definedName name="Number_Of_Annuitants">[1]Controls!$B$38:$B$54</definedName>
    <definedName name="P_I_P">VaBenefits[Protected Income Payment]</definedName>
    <definedName name="ParRates" localSheetId="8">#REF!</definedName>
    <definedName name="ParRates" localSheetId="9">#REF!</definedName>
    <definedName name="ParRates">#REF!</definedName>
    <definedName name="ParTenors" localSheetId="8">#REF!</definedName>
    <definedName name="ParTenors" localSheetId="9">#REF!</definedName>
    <definedName name="ParTenors">#REF!</definedName>
    <definedName name="PIP" localSheetId="8">'[1]Calculation D'!$C$6</definedName>
    <definedName name="PIP" localSheetId="9">'[1]Calculation D'!$C$6</definedName>
    <definedName name="PIP">Control!$C$46</definedName>
    <definedName name="PIP_2">[1]Controls!$A$86</definedName>
    <definedName name="pipRate" localSheetId="8">[2]Control!$C$26</definedName>
    <definedName name="pipRate" localSheetId="9">[2]Control!$C$26</definedName>
    <definedName name="pipRate">[3]Control!$C$26</definedName>
    <definedName name="PrimaryBirthdate">Control!$C$6</definedName>
    <definedName name="PrimaryGender">Control!$C$7</definedName>
    <definedName name="PrimaryIssueAge">Control!$C$42</definedName>
    <definedName name="Protected_Income_Payment2">[1]!Table17[Protected Income Payment]</definedName>
    <definedName name="px" localSheetId="8">#REF!</definedName>
    <definedName name="px" localSheetId="9">#REF!</definedName>
    <definedName name="px">#REF!</definedName>
    <definedName name="Reserves">VaBenefits[Reserve]</definedName>
    <definedName name="ROI" localSheetId="8">#REF!</definedName>
    <definedName name="ROI" localSheetId="9">#REF!</definedName>
    <definedName name="ROI">#REF!</definedName>
    <definedName name="SaExp" localSheetId="8">#REF!</definedName>
    <definedName name="SaExp" localSheetId="9">#REF!</definedName>
    <definedName name="SaExp">#REF!</definedName>
    <definedName name="SecondaryBirthdate">Control!$C$8</definedName>
    <definedName name="SecondaryGender">Control!$C$9</definedName>
    <definedName name="SecondaryIssueAge">Control!$C$43</definedName>
    <definedName name="SniffTest" localSheetId="8">[2]Calculation!$U$6</definedName>
    <definedName name="SniffTest" localSheetId="9">[2]Calculation!$U$6</definedName>
    <definedName name="SniffTest">[3]Calculation!$T$6</definedName>
    <definedName name="SpotRates" localSheetId="8">#REF!</definedName>
    <definedName name="SpotRates" localSheetId="9">#REF!</definedName>
    <definedName name="SpotRates">#REF!</definedName>
    <definedName name="StartingIncomeBase">Control!$C$15</definedName>
    <definedName name="StartingIncomeCreditBase">Control!$C$16</definedName>
    <definedName name="SurrenderCharge" localSheetId="8">#REF!</definedName>
    <definedName name="SurrenderCharge" localSheetId="9">#REF!</definedName>
    <definedName name="SurrenderCharge">#REF!</definedName>
    <definedName name="Timing">Control!$C$20</definedName>
    <definedName name="TotalReserve" localSheetId="8">[2]Calculation!#REF!</definedName>
    <definedName name="TotalReserve" localSheetId="9">[2]Calculation!#REF!</definedName>
    <definedName name="TotalReserve">[3]Calculation!#REF!</definedName>
    <definedName name="Turn_On_Fees">Control!$C$19</definedName>
    <definedName name="UB_AGE1">[1]WdAges!$C$11:$C$14</definedName>
    <definedName name="UB_Ages2">[1]WdAges!$C$15:$C$18</definedName>
    <definedName name="Use_Base_Case">Control!$C$4</definedName>
    <definedName name="UseBaseCase">[3]Control!$C$4</definedName>
    <definedName name="Valuation_Date" localSheetId="8">[1]!TestCases[Valuation Date]</definedName>
    <definedName name="Valuation_Date" localSheetId="9">[1]!TestCases[Valuation Date]</definedName>
    <definedName name="Valuation_Date">Control!$C$5</definedName>
    <definedName name="ValuationDate" localSheetId="8">[2]Control!$C$5</definedName>
    <definedName name="ValuationDate" localSheetId="9">[2]Control!$C$5</definedName>
    <definedName name="ValuationDate">[3]Control!$C$5</definedName>
    <definedName name="WdBeforeActivation">[2]Calculation!$Z$15</definedName>
    <definedName name="WithAmt">Control!$C$17</definedName>
    <definedName name="Withdrawal_Activation_Date">[1]!TestCases[Withdrawal Activation Date]</definedName>
    <definedName name="WithdrawalAmount" localSheetId="8">[2]Control!$C$17</definedName>
    <definedName name="WithdrawalAmount" localSheetId="9">[2]Control!$C$17</definedName>
    <definedName name="WithdrawalAmount">[3]Control!$C$17</definedName>
    <definedName name="WithdrawalDate">Control!$C$12</definedName>
    <definedName name="WithdrawalPercentages" localSheetId="8">[2]WdTables!$B$11:$I$14</definedName>
    <definedName name="WithdrawalPercentages" localSheetId="9">[2]WdTables!$B$11:$I$14</definedName>
    <definedName name="WithdrawalPercentages">WdTables!$D$11:$E$14</definedName>
    <definedName name="YearsLeft">Control!$C$48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18" l="1"/>
  <c r="C60" i="18"/>
  <c r="C59" i="18"/>
  <c r="C58" i="18"/>
  <c r="AF54" i="13" l="1"/>
  <c r="AF55" i="13"/>
  <c r="AF56" i="13"/>
  <c r="AF57" i="13"/>
  <c r="AF58" i="13"/>
  <c r="AF59" i="13"/>
  <c r="AF60" i="13"/>
  <c r="AF61" i="13"/>
  <c r="AF62" i="13"/>
  <c r="AF63" i="13"/>
  <c r="AF64" i="13"/>
  <c r="AF65" i="13"/>
  <c r="AF66" i="13"/>
  <c r="AF67" i="13"/>
  <c r="AF68" i="13"/>
  <c r="AF69" i="13"/>
  <c r="AF70" i="13"/>
  <c r="AF71" i="13"/>
  <c r="AF72" i="13"/>
  <c r="AF73" i="13"/>
  <c r="AF74" i="13"/>
  <c r="AF75" i="13"/>
  <c r="AF76" i="13"/>
  <c r="AF77" i="13"/>
  <c r="AF78" i="13"/>
  <c r="AF79" i="13"/>
  <c r="AF80" i="13"/>
  <c r="AF81" i="13"/>
  <c r="AF82" i="13"/>
  <c r="AF83" i="13"/>
  <c r="AF84" i="13"/>
  <c r="AF85" i="13"/>
  <c r="AF86" i="13"/>
  <c r="AF87" i="13"/>
  <c r="AF88" i="13"/>
  <c r="AF89" i="13"/>
  <c r="AF90" i="13"/>
  <c r="AF91" i="13"/>
  <c r="AF92" i="13"/>
  <c r="AF93" i="13"/>
  <c r="AF94" i="13"/>
  <c r="AF95" i="13"/>
  <c r="AF96" i="13"/>
  <c r="AF97" i="13"/>
  <c r="AF98" i="13"/>
  <c r="AF99" i="13"/>
  <c r="AF100" i="13"/>
  <c r="AF101" i="13"/>
  <c r="AF102" i="13"/>
  <c r="AF103" i="13"/>
  <c r="AF104" i="13"/>
  <c r="AF105" i="13"/>
  <c r="AF106" i="13"/>
  <c r="AF107" i="13"/>
  <c r="AF108" i="13"/>
  <c r="AF109" i="13"/>
  <c r="AF110" i="13"/>
  <c r="AF111" i="13"/>
  <c r="AF112" i="13"/>
  <c r="AF113" i="13"/>
  <c r="AF114" i="13"/>
  <c r="AF115" i="13"/>
  <c r="AF116" i="13"/>
  <c r="AF117" i="13"/>
  <c r="AF118" i="13"/>
  <c r="AF119" i="13"/>
  <c r="AF120" i="13"/>
  <c r="AF121" i="13"/>
  <c r="AF122" i="13"/>
  <c r="AF123" i="13"/>
  <c r="AF124" i="13"/>
  <c r="AF125" i="13"/>
  <c r="AF126" i="13"/>
  <c r="AF127" i="13"/>
  <c r="AF128" i="13"/>
  <c r="AF129" i="13"/>
  <c r="AF130" i="13"/>
  <c r="AF131" i="13"/>
  <c r="AF132" i="13"/>
  <c r="AF133" i="13"/>
  <c r="AH133" i="13" s="1"/>
  <c r="AF134" i="13"/>
  <c r="AF135" i="13"/>
  <c r="AF136" i="13"/>
  <c r="AF137" i="13"/>
  <c r="AF138" i="13"/>
  <c r="AF139" i="13"/>
  <c r="AF140" i="13"/>
  <c r="AF141" i="13"/>
  <c r="AF142" i="13"/>
  <c r="AF143" i="13"/>
  <c r="AF144" i="13"/>
  <c r="AF145" i="13"/>
  <c r="AF146" i="13"/>
  <c r="AF147" i="13"/>
  <c r="AF148" i="13"/>
  <c r="AF149" i="13"/>
  <c r="AF150" i="13"/>
  <c r="AF151" i="13"/>
  <c r="AH151" i="13" s="1"/>
  <c r="AF152" i="13"/>
  <c r="AF153" i="13"/>
  <c r="AF154" i="13"/>
  <c r="AF155" i="13"/>
  <c r="AF156" i="13"/>
  <c r="AF157" i="13"/>
  <c r="AH157" i="13" s="1"/>
  <c r="AF158" i="13"/>
  <c r="AF159" i="13"/>
  <c r="AF160" i="13"/>
  <c r="AF161" i="13"/>
  <c r="AF162" i="13"/>
  <c r="AF163" i="13"/>
  <c r="AF164" i="13"/>
  <c r="AF165" i="13"/>
  <c r="AF166" i="13"/>
  <c r="AF167" i="13"/>
  <c r="AF168" i="13"/>
  <c r="AF169" i="13"/>
  <c r="AH169" i="13" s="1"/>
  <c r="AF170" i="13"/>
  <c r="AF171" i="13"/>
  <c r="AF172" i="13"/>
  <c r="AF173" i="13"/>
  <c r="AF174" i="13"/>
  <c r="AF175" i="13"/>
  <c r="AH175" i="13" s="1"/>
  <c r="AF176" i="13"/>
  <c r="AF177" i="13"/>
  <c r="AF178" i="13"/>
  <c r="AF179" i="13"/>
  <c r="AF180" i="13"/>
  <c r="AF181" i="13"/>
  <c r="AF182" i="13"/>
  <c r="AF183" i="13"/>
  <c r="AF184" i="13"/>
  <c r="AF185" i="13"/>
  <c r="AF186" i="13"/>
  <c r="AF187" i="13"/>
  <c r="AH187" i="13" s="1"/>
  <c r="AF188" i="13"/>
  <c r="AF189" i="13"/>
  <c r="AF190" i="13"/>
  <c r="AF191" i="13"/>
  <c r="AF192" i="13"/>
  <c r="AF193" i="13"/>
  <c r="AH193" i="13" s="1"/>
  <c r="AF194" i="13"/>
  <c r="AF195" i="13"/>
  <c r="AF196" i="13"/>
  <c r="AF197" i="13"/>
  <c r="AF198" i="13"/>
  <c r="AF199" i="13"/>
  <c r="AF200" i="13"/>
  <c r="AF201" i="13"/>
  <c r="AF202" i="13"/>
  <c r="AF203" i="13"/>
  <c r="AF204" i="13"/>
  <c r="AF205" i="13"/>
  <c r="AF206" i="13"/>
  <c r="AF207" i="13"/>
  <c r="AF208" i="13"/>
  <c r="AF209" i="13"/>
  <c r="AF210" i="13"/>
  <c r="AF211" i="13"/>
  <c r="AH211" i="13" s="1"/>
  <c r="AF212" i="13"/>
  <c r="AF213" i="13"/>
  <c r="AF214" i="13"/>
  <c r="AF215" i="13"/>
  <c r="AF216" i="13"/>
  <c r="AF217" i="13"/>
  <c r="AF218" i="13"/>
  <c r="AF219" i="13"/>
  <c r="AF220" i="13"/>
  <c r="AF221" i="13"/>
  <c r="AF222" i="13"/>
  <c r="AF223" i="13"/>
  <c r="AH223" i="13" s="1"/>
  <c r="AF224" i="13"/>
  <c r="AF225" i="13"/>
  <c r="AF226" i="13"/>
  <c r="AF227" i="13"/>
  <c r="AF228" i="13"/>
  <c r="AF229" i="13"/>
  <c r="AH229" i="13" s="1"/>
  <c r="AF230" i="13"/>
  <c r="AF231" i="13"/>
  <c r="AF232" i="13"/>
  <c r="AF233" i="13"/>
  <c r="AF234" i="13"/>
  <c r="AF235" i="13"/>
  <c r="AF236" i="13"/>
  <c r="AF237" i="13"/>
  <c r="AF238" i="13"/>
  <c r="AF239" i="13"/>
  <c r="AF240" i="13"/>
  <c r="AF241" i="13"/>
  <c r="AH241" i="13" s="1"/>
  <c r="AF242" i="13"/>
  <c r="AF243" i="13"/>
  <c r="AF244" i="13"/>
  <c r="AF245" i="13"/>
  <c r="AF246" i="13"/>
  <c r="AF247" i="13"/>
  <c r="AH247" i="13" s="1"/>
  <c r="AF248" i="13"/>
  <c r="AF249" i="13"/>
  <c r="AF250" i="13"/>
  <c r="AF251" i="13"/>
  <c r="AF252" i="13"/>
  <c r="AF253" i="13"/>
  <c r="AF254" i="13"/>
  <c r="AF255" i="13"/>
  <c r="AF256" i="13"/>
  <c r="AF257" i="13"/>
  <c r="AF258" i="13"/>
  <c r="AF259" i="13"/>
  <c r="AH259" i="13" s="1"/>
  <c r="AF260" i="13"/>
  <c r="AF261" i="13"/>
  <c r="AF262" i="13"/>
  <c r="AF263" i="13"/>
  <c r="AF264" i="13"/>
  <c r="AF265" i="13"/>
  <c r="AH265" i="13" s="1"/>
  <c r="AF266" i="13"/>
  <c r="AF267" i="13"/>
  <c r="AF268" i="13"/>
  <c r="AF269" i="13"/>
  <c r="AF270" i="13"/>
  <c r="AF271" i="13"/>
  <c r="AF272" i="13"/>
  <c r="AF273" i="13"/>
  <c r="AF274" i="13"/>
  <c r="AF275" i="13"/>
  <c r="AF276" i="13"/>
  <c r="AF277" i="13"/>
  <c r="AF278" i="13"/>
  <c r="AF279" i="13"/>
  <c r="AF280" i="13"/>
  <c r="AF281" i="13"/>
  <c r="AF282" i="13"/>
  <c r="AF283" i="13"/>
  <c r="AH283" i="13" s="1"/>
  <c r="AF284" i="13"/>
  <c r="AF285" i="13"/>
  <c r="AF286" i="13"/>
  <c r="AF287" i="13"/>
  <c r="AF288" i="13"/>
  <c r="AF289" i="13"/>
  <c r="AF290" i="13"/>
  <c r="AF291" i="13"/>
  <c r="AF292" i="13"/>
  <c r="AF293" i="13"/>
  <c r="AF294" i="13"/>
  <c r="AF295" i="13"/>
  <c r="AH295" i="13" s="1"/>
  <c r="AF296" i="13"/>
  <c r="AF297" i="13"/>
  <c r="AF298" i="13"/>
  <c r="AF299" i="13"/>
  <c r="AF300" i="13"/>
  <c r="AF301" i="13"/>
  <c r="AH301" i="13" s="1"/>
  <c r="AF302" i="13"/>
  <c r="AF303" i="13"/>
  <c r="AF304" i="13"/>
  <c r="AF305" i="13"/>
  <c r="AF306" i="13"/>
  <c r="AF307" i="13"/>
  <c r="AF308" i="13"/>
  <c r="AF309" i="13"/>
  <c r="AF310" i="13"/>
  <c r="AH139" i="13"/>
  <c r="AH205" i="13"/>
  <c r="AH277" i="13"/>
  <c r="AE54" i="13"/>
  <c r="AE55" i="13"/>
  <c r="AE56" i="13"/>
  <c r="AE57" i="13"/>
  <c r="AE58" i="13"/>
  <c r="AE59" i="13"/>
  <c r="AE60" i="13"/>
  <c r="AE61" i="13"/>
  <c r="AE62" i="13"/>
  <c r="AE63" i="13"/>
  <c r="AE64" i="13"/>
  <c r="AE65" i="13"/>
  <c r="AE66" i="13"/>
  <c r="AE67" i="13"/>
  <c r="AE68" i="13"/>
  <c r="AE69" i="13"/>
  <c r="AE70" i="13"/>
  <c r="AE71" i="13"/>
  <c r="AE72" i="13"/>
  <c r="AE73" i="13"/>
  <c r="AE74" i="13"/>
  <c r="AE75" i="13"/>
  <c r="AE76" i="13"/>
  <c r="AE77" i="13"/>
  <c r="AE78" i="13"/>
  <c r="AE79" i="13"/>
  <c r="AE80" i="13"/>
  <c r="AE81" i="13"/>
  <c r="AE82" i="13"/>
  <c r="AE83" i="13"/>
  <c r="AE84" i="13"/>
  <c r="AE85" i="13"/>
  <c r="AE86" i="13"/>
  <c r="AE87" i="13"/>
  <c r="AE88" i="13"/>
  <c r="AE89" i="13"/>
  <c r="AE90" i="13"/>
  <c r="AE91" i="13"/>
  <c r="AE92" i="13"/>
  <c r="AE93" i="13"/>
  <c r="AE94" i="13"/>
  <c r="AE95" i="13"/>
  <c r="AE96" i="13"/>
  <c r="AE97" i="13"/>
  <c r="AE98" i="13"/>
  <c r="AE99" i="13"/>
  <c r="AE100" i="13"/>
  <c r="AE101" i="13"/>
  <c r="AE102" i="13"/>
  <c r="AE103" i="13"/>
  <c r="AE104" i="13"/>
  <c r="AE105" i="13"/>
  <c r="AE106" i="13"/>
  <c r="AE107" i="13"/>
  <c r="AE108" i="13"/>
  <c r="AE109" i="13"/>
  <c r="AE110" i="13"/>
  <c r="AE111" i="13"/>
  <c r="AE112" i="13"/>
  <c r="AE113" i="13"/>
  <c r="AE114" i="13"/>
  <c r="AE115" i="13"/>
  <c r="AE116" i="13"/>
  <c r="AE117" i="13"/>
  <c r="AE118" i="13"/>
  <c r="AE119" i="13"/>
  <c r="AE120" i="13"/>
  <c r="AE121" i="13"/>
  <c r="AE122" i="13"/>
  <c r="AE123" i="13"/>
  <c r="AE124" i="13"/>
  <c r="AE125" i="13"/>
  <c r="AE126" i="13"/>
  <c r="AE127" i="13"/>
  <c r="AE128" i="13"/>
  <c r="AE129" i="13"/>
  <c r="AE130" i="13"/>
  <c r="AE131" i="13"/>
  <c r="AE132" i="13"/>
  <c r="AE133" i="13"/>
  <c r="AE134" i="13"/>
  <c r="AE135" i="13"/>
  <c r="AE136" i="13"/>
  <c r="AE137" i="13"/>
  <c r="AE138" i="13"/>
  <c r="AE139" i="13"/>
  <c r="AE140" i="13"/>
  <c r="AE141" i="13"/>
  <c r="AE142" i="13"/>
  <c r="AE143" i="13"/>
  <c r="AE144" i="13"/>
  <c r="AE145" i="13"/>
  <c r="AE146" i="13"/>
  <c r="AE147" i="13"/>
  <c r="AE148" i="13"/>
  <c r="AE149" i="13"/>
  <c r="AE150" i="13"/>
  <c r="AE151" i="13"/>
  <c r="AE152" i="13"/>
  <c r="AE153" i="13"/>
  <c r="AE154" i="13"/>
  <c r="AE155" i="13"/>
  <c r="AE156" i="13"/>
  <c r="AE157" i="13"/>
  <c r="AE158" i="13"/>
  <c r="AE159" i="13"/>
  <c r="AE160" i="13"/>
  <c r="AE161" i="13"/>
  <c r="AE162" i="13"/>
  <c r="AE163" i="13"/>
  <c r="AE164" i="13"/>
  <c r="AE165" i="13"/>
  <c r="AE166" i="13"/>
  <c r="AE167" i="13"/>
  <c r="AE168" i="13"/>
  <c r="AE169" i="13"/>
  <c r="AE170" i="13"/>
  <c r="AE171" i="13"/>
  <c r="AE172" i="13"/>
  <c r="AE173" i="13"/>
  <c r="AE174" i="13"/>
  <c r="AE175" i="13"/>
  <c r="AE176" i="13"/>
  <c r="AE177" i="13"/>
  <c r="AE178" i="13"/>
  <c r="AE179" i="13"/>
  <c r="AE180" i="13"/>
  <c r="AE181" i="13"/>
  <c r="AE182" i="13"/>
  <c r="AE183" i="13"/>
  <c r="AE184" i="13"/>
  <c r="AE185" i="13"/>
  <c r="AE186" i="13"/>
  <c r="AE187" i="13"/>
  <c r="AE188" i="13"/>
  <c r="AE189" i="13"/>
  <c r="AE190" i="13"/>
  <c r="AE191" i="13"/>
  <c r="AE192" i="13"/>
  <c r="AE193" i="13"/>
  <c r="AE194" i="13"/>
  <c r="AE195" i="13"/>
  <c r="AE196" i="13"/>
  <c r="AE197" i="13"/>
  <c r="AE198" i="13"/>
  <c r="AE199" i="13"/>
  <c r="AE200" i="13"/>
  <c r="AE201" i="13"/>
  <c r="AE202" i="13"/>
  <c r="AE203" i="13"/>
  <c r="AE204" i="13"/>
  <c r="AE205" i="13"/>
  <c r="AE206" i="13"/>
  <c r="AE207" i="13"/>
  <c r="AE208" i="13"/>
  <c r="AE209" i="13"/>
  <c r="AE210" i="13"/>
  <c r="AE211" i="13"/>
  <c r="AE212" i="13"/>
  <c r="AE213" i="13"/>
  <c r="AE214" i="13"/>
  <c r="AE215" i="13"/>
  <c r="AE216" i="13"/>
  <c r="AE217" i="13"/>
  <c r="AE218" i="13"/>
  <c r="AE219" i="13"/>
  <c r="AE220" i="13"/>
  <c r="AE221" i="13"/>
  <c r="AE222" i="13"/>
  <c r="AE223" i="13"/>
  <c r="AE224" i="13"/>
  <c r="AE225" i="13"/>
  <c r="AE226" i="13"/>
  <c r="AE227" i="13"/>
  <c r="AE228" i="13"/>
  <c r="AE229" i="13"/>
  <c r="AE230" i="13"/>
  <c r="AE231" i="13"/>
  <c r="AE232" i="13"/>
  <c r="AE233" i="13"/>
  <c r="AE234" i="13"/>
  <c r="AE235" i="13"/>
  <c r="AE236" i="13"/>
  <c r="AE237" i="13"/>
  <c r="AE238" i="13"/>
  <c r="AE239" i="13"/>
  <c r="AE240" i="13"/>
  <c r="AE241" i="13"/>
  <c r="AE242" i="13"/>
  <c r="AE243" i="13"/>
  <c r="AE244" i="13"/>
  <c r="AE245" i="13"/>
  <c r="AE246" i="13"/>
  <c r="AE247" i="13"/>
  <c r="AE248" i="13"/>
  <c r="AE249" i="13"/>
  <c r="AE250" i="13"/>
  <c r="AE251" i="13"/>
  <c r="AE252" i="13"/>
  <c r="AE253" i="13"/>
  <c r="AE254" i="13"/>
  <c r="AE255" i="13"/>
  <c r="AE256" i="13"/>
  <c r="AE257" i="13"/>
  <c r="AE258" i="13"/>
  <c r="AE259" i="13"/>
  <c r="AE260" i="13"/>
  <c r="AE261" i="13"/>
  <c r="AE262" i="13"/>
  <c r="AE263" i="13"/>
  <c r="AE264" i="13"/>
  <c r="AE265" i="13"/>
  <c r="AE266" i="13"/>
  <c r="AE267" i="13"/>
  <c r="AE268" i="13"/>
  <c r="AE269" i="13"/>
  <c r="AE270" i="13"/>
  <c r="AE271" i="13"/>
  <c r="AE272" i="13"/>
  <c r="AE273" i="13"/>
  <c r="AE274" i="13"/>
  <c r="AE275" i="13"/>
  <c r="AE276" i="13"/>
  <c r="AE277" i="13"/>
  <c r="AE278" i="13"/>
  <c r="AE279" i="13"/>
  <c r="AE280" i="13"/>
  <c r="AE281" i="13"/>
  <c r="AE282" i="13"/>
  <c r="AE283" i="13"/>
  <c r="AE284" i="13"/>
  <c r="AE285" i="13"/>
  <c r="AE286" i="13"/>
  <c r="AE287" i="13"/>
  <c r="AE288" i="13"/>
  <c r="AE289" i="13"/>
  <c r="AE290" i="13"/>
  <c r="AE291" i="13"/>
  <c r="AE292" i="13"/>
  <c r="AE293" i="13"/>
  <c r="AE294" i="13"/>
  <c r="AE295" i="13"/>
  <c r="AE296" i="13"/>
  <c r="AE297" i="13"/>
  <c r="AE298" i="13"/>
  <c r="AE299" i="13"/>
  <c r="AE300" i="13"/>
  <c r="AE301" i="13"/>
  <c r="AE302" i="13"/>
  <c r="AE303" i="13"/>
  <c r="AE304" i="13"/>
  <c r="AE305" i="13"/>
  <c r="AE306" i="13"/>
  <c r="AE307" i="13"/>
  <c r="AE308" i="13"/>
  <c r="AE309" i="13"/>
  <c r="AE310" i="13"/>
  <c r="AH56" i="13"/>
  <c r="AH57" i="13"/>
  <c r="AH58" i="13"/>
  <c r="AH62" i="13"/>
  <c r="AH63" i="13"/>
  <c r="AH64" i="13"/>
  <c r="AH68" i="13"/>
  <c r="AH69" i="13"/>
  <c r="AH70" i="13"/>
  <c r="AH74" i="13"/>
  <c r="AH75" i="13"/>
  <c r="AH76" i="13"/>
  <c r="AH80" i="13"/>
  <c r="AH81" i="13"/>
  <c r="AH82" i="13"/>
  <c r="AH86" i="13"/>
  <c r="AH87" i="13"/>
  <c r="AH88" i="13"/>
  <c r="AH92" i="13"/>
  <c r="AH93" i="13"/>
  <c r="AH94" i="13"/>
  <c r="AH98" i="13"/>
  <c r="AH99" i="13"/>
  <c r="AH100" i="13"/>
  <c r="AH104" i="13"/>
  <c r="AH105" i="13"/>
  <c r="AH106" i="13"/>
  <c r="AH110" i="13"/>
  <c r="AH111" i="13"/>
  <c r="AH112" i="13"/>
  <c r="AH116" i="13"/>
  <c r="AH117" i="13"/>
  <c r="AH118" i="13"/>
  <c r="AH122" i="13"/>
  <c r="AH123" i="13"/>
  <c r="AH124" i="13"/>
  <c r="AH128" i="13"/>
  <c r="AH129" i="13"/>
  <c r="AH130" i="13"/>
  <c r="AH134" i="13"/>
  <c r="AH135" i="13"/>
  <c r="AH136" i="13"/>
  <c r="AH140" i="13"/>
  <c r="AH141" i="13"/>
  <c r="AH142" i="13"/>
  <c r="AH146" i="13"/>
  <c r="AH147" i="13"/>
  <c r="AH148" i="13"/>
  <c r="AH152" i="13"/>
  <c r="AH153" i="13"/>
  <c r="AH154" i="13"/>
  <c r="AH158" i="13"/>
  <c r="AH159" i="13"/>
  <c r="AH160" i="13"/>
  <c r="AH164" i="13"/>
  <c r="AH165" i="13"/>
  <c r="AH166" i="13"/>
  <c r="AH170" i="13"/>
  <c r="AH171" i="13"/>
  <c r="AH172" i="13"/>
  <c r="AH176" i="13"/>
  <c r="AH177" i="13"/>
  <c r="AH178" i="13"/>
  <c r="AH182" i="13"/>
  <c r="AH183" i="13"/>
  <c r="AH184" i="13"/>
  <c r="AH188" i="13"/>
  <c r="AH189" i="13"/>
  <c r="AH190" i="13"/>
  <c r="AH194" i="13"/>
  <c r="AH195" i="13"/>
  <c r="AH196" i="13"/>
  <c r="AH200" i="13"/>
  <c r="AH201" i="13"/>
  <c r="AH202" i="13"/>
  <c r="AH206" i="13"/>
  <c r="AH207" i="13"/>
  <c r="AH208" i="13"/>
  <c r="AH212" i="13"/>
  <c r="AH213" i="13"/>
  <c r="AH214" i="13"/>
  <c r="AH218" i="13"/>
  <c r="AH219" i="13"/>
  <c r="AH220" i="13"/>
  <c r="AH224" i="13"/>
  <c r="AH225" i="13"/>
  <c r="AH226" i="13"/>
  <c r="AH230" i="13"/>
  <c r="AH231" i="13"/>
  <c r="AH232" i="13"/>
  <c r="AH236" i="13"/>
  <c r="AH237" i="13"/>
  <c r="AH238" i="13"/>
  <c r="AH242" i="13"/>
  <c r="AH243" i="13"/>
  <c r="AH244" i="13"/>
  <c r="AH248" i="13"/>
  <c r="AH249" i="13"/>
  <c r="AH250" i="13"/>
  <c r="AH254" i="13"/>
  <c r="AH255" i="13"/>
  <c r="AH256" i="13"/>
  <c r="AH260" i="13"/>
  <c r="AH261" i="13"/>
  <c r="AH262" i="13"/>
  <c r="AH266" i="13"/>
  <c r="AH267" i="13"/>
  <c r="AH268" i="13"/>
  <c r="AH272" i="13"/>
  <c r="AH273" i="13"/>
  <c r="AH274" i="13"/>
  <c r="AH278" i="13"/>
  <c r="AH279" i="13"/>
  <c r="AH280" i="13"/>
  <c r="AH284" i="13"/>
  <c r="AH285" i="13"/>
  <c r="AH286" i="13"/>
  <c r="AH290" i="13"/>
  <c r="AH291" i="13"/>
  <c r="AH292" i="13"/>
  <c r="AH296" i="13"/>
  <c r="AH297" i="13"/>
  <c r="AH298" i="13"/>
  <c r="AH302" i="13"/>
  <c r="AH303" i="13"/>
  <c r="AH304" i="13"/>
  <c r="AH308" i="13"/>
  <c r="AH309" i="13"/>
  <c r="AH310" i="13"/>
  <c r="Q237" i="13"/>
  <c r="Q239" i="13"/>
  <c r="Q245" i="13"/>
  <c r="Q257" i="13"/>
  <c r="Q263" i="13"/>
  <c r="Q271" i="13"/>
  <c r="Q291" i="13"/>
  <c r="Q293" i="13"/>
  <c r="Q297" i="13"/>
  <c r="Q305" i="13"/>
  <c r="Q310" i="13"/>
  <c r="I195" i="13"/>
  <c r="I207" i="13"/>
  <c r="I225" i="13"/>
  <c r="I228" i="13"/>
  <c r="I231" i="13"/>
  <c r="I237" i="13"/>
  <c r="I240" i="13"/>
  <c r="I255" i="13"/>
  <c r="I267" i="13"/>
  <c r="I285" i="13"/>
  <c r="I291" i="13"/>
  <c r="I294" i="13"/>
  <c r="I300" i="13"/>
  <c r="I309" i="13"/>
  <c r="I193" i="13"/>
  <c r="I199" i="13"/>
  <c r="I218" i="13"/>
  <c r="I220" i="13"/>
  <c r="I232" i="13"/>
  <c r="I235" i="13"/>
  <c r="I241" i="13"/>
  <c r="I242" i="13"/>
  <c r="I244" i="13"/>
  <c r="I253" i="13"/>
  <c r="I262" i="13"/>
  <c r="I277" i="13"/>
  <c r="I278" i="13"/>
  <c r="I280" i="13"/>
  <c r="I283" i="13"/>
  <c r="I286" i="13"/>
  <c r="I298" i="13"/>
  <c r="I302" i="13"/>
  <c r="I310" i="13"/>
  <c r="AD191" i="13"/>
  <c r="I192" i="13"/>
  <c r="AD192" i="13"/>
  <c r="AD193" i="13"/>
  <c r="AD194" i="13"/>
  <c r="AD195" i="13"/>
  <c r="I196" i="13"/>
  <c r="AD196" i="13"/>
  <c r="AD197" i="13"/>
  <c r="I198" i="13"/>
  <c r="AD198" i="13"/>
  <c r="AD199" i="13"/>
  <c r="AD200" i="13"/>
  <c r="I201" i="13"/>
  <c r="AD201" i="13"/>
  <c r="AD202" i="13"/>
  <c r="I203" i="13"/>
  <c r="AD203" i="13"/>
  <c r="I204" i="13"/>
  <c r="AD204" i="13"/>
  <c r="AD205" i="13"/>
  <c r="AD206" i="13"/>
  <c r="AD207" i="13"/>
  <c r="I208" i="13"/>
  <c r="AD208" i="13"/>
  <c r="I209" i="13"/>
  <c r="AD209" i="13"/>
  <c r="AD210" i="13"/>
  <c r="AD211" i="13"/>
  <c r="AD212" i="13"/>
  <c r="I213" i="13"/>
  <c r="AD213" i="13"/>
  <c r="AD214" i="13"/>
  <c r="I215" i="13"/>
  <c r="AD215" i="13"/>
  <c r="I216" i="13"/>
  <c r="AD216" i="13"/>
  <c r="AD217" i="13"/>
  <c r="AD218" i="13"/>
  <c r="AD219" i="13"/>
  <c r="AD220" i="13"/>
  <c r="I221" i="13"/>
  <c r="AD221" i="13"/>
  <c r="AD222" i="13"/>
  <c r="I223" i="13"/>
  <c r="AD223" i="13"/>
  <c r="AD224" i="13"/>
  <c r="AD225" i="13"/>
  <c r="I226" i="13"/>
  <c r="AD226" i="13"/>
  <c r="I227" i="13"/>
  <c r="AD227" i="13"/>
  <c r="AD228" i="13"/>
  <c r="AD229" i="13"/>
  <c r="I230" i="13"/>
  <c r="AD230" i="13"/>
  <c r="AD231" i="13"/>
  <c r="AD232" i="13"/>
  <c r="I233" i="13"/>
  <c r="AD233" i="13"/>
  <c r="AD234" i="13"/>
  <c r="AD235" i="13"/>
  <c r="I236" i="13"/>
  <c r="AD236" i="13"/>
  <c r="AD237" i="13"/>
  <c r="AD238" i="13"/>
  <c r="I239" i="13"/>
  <c r="AD239" i="13"/>
  <c r="AD240" i="13"/>
  <c r="AD241" i="13"/>
  <c r="AD242" i="13"/>
  <c r="I243" i="13"/>
  <c r="AD243" i="13"/>
  <c r="AD244" i="13"/>
  <c r="I245" i="13"/>
  <c r="AD245" i="13"/>
  <c r="I246" i="13"/>
  <c r="AD246" i="13"/>
  <c r="AD247" i="13"/>
  <c r="I248" i="13"/>
  <c r="AD248" i="13"/>
  <c r="I249" i="13"/>
  <c r="AD249" i="13"/>
  <c r="AD250" i="13"/>
  <c r="I251" i="13"/>
  <c r="AD251" i="13"/>
  <c r="AD252" i="13"/>
  <c r="AD253" i="13"/>
  <c r="I254" i="13"/>
  <c r="AD254" i="13"/>
  <c r="AD255" i="13"/>
  <c r="AD256" i="13"/>
  <c r="I257" i="13"/>
  <c r="AD257" i="13"/>
  <c r="I258" i="13"/>
  <c r="AD258" i="13"/>
  <c r="AD259" i="13"/>
  <c r="I260" i="13"/>
  <c r="AD260" i="13"/>
  <c r="AD261" i="13"/>
  <c r="AD262" i="13"/>
  <c r="I263" i="13"/>
  <c r="AD263" i="13"/>
  <c r="I264" i="13"/>
  <c r="AD264" i="13"/>
  <c r="AD265" i="13"/>
  <c r="I266" i="13"/>
  <c r="AD266" i="13"/>
  <c r="AD267" i="13"/>
  <c r="AD268" i="13"/>
  <c r="AD269" i="13"/>
  <c r="AD270" i="13"/>
  <c r="I271" i="13"/>
  <c r="AD271" i="13"/>
  <c r="I272" i="13"/>
  <c r="Q272" i="13"/>
  <c r="AD272" i="13"/>
  <c r="AD273" i="13"/>
  <c r="I274" i="13"/>
  <c r="AD274" i="13"/>
  <c r="I275" i="13"/>
  <c r="AD275" i="13"/>
  <c r="AD276" i="13"/>
  <c r="AD277" i="13"/>
  <c r="AD278" i="13"/>
  <c r="AD279" i="13"/>
  <c r="AD280" i="13"/>
  <c r="I281" i="13"/>
  <c r="AD281" i="13"/>
  <c r="I282" i="13"/>
  <c r="AD282" i="13"/>
  <c r="AD283" i="13"/>
  <c r="I284" i="13"/>
  <c r="AD284" i="13"/>
  <c r="AD285" i="13"/>
  <c r="AD286" i="13"/>
  <c r="I287" i="13"/>
  <c r="AD287" i="13"/>
  <c r="I288" i="13"/>
  <c r="AD288" i="13"/>
  <c r="I289" i="13"/>
  <c r="AD289" i="13"/>
  <c r="I290" i="13"/>
  <c r="AD290" i="13"/>
  <c r="AD291" i="13"/>
  <c r="I292" i="13"/>
  <c r="AD292" i="13"/>
  <c r="I293" i="13"/>
  <c r="AD293" i="13"/>
  <c r="AD294" i="13"/>
  <c r="I295" i="13"/>
  <c r="AD295" i="13"/>
  <c r="I296" i="13"/>
  <c r="AD296" i="13"/>
  <c r="AD297" i="13"/>
  <c r="AD298" i="13"/>
  <c r="I299" i="13"/>
  <c r="AD299" i="13"/>
  <c r="AD300" i="13"/>
  <c r="I301" i="13"/>
  <c r="AD301" i="13"/>
  <c r="AD302" i="13"/>
  <c r="AD303" i="13"/>
  <c r="I304" i="13"/>
  <c r="AD304" i="13"/>
  <c r="I305" i="13"/>
  <c r="AD305" i="13"/>
  <c r="I306" i="13"/>
  <c r="AD306" i="13"/>
  <c r="I307" i="13"/>
  <c r="AD307" i="13"/>
  <c r="I308" i="13"/>
  <c r="AD308" i="13"/>
  <c r="AD309" i="13"/>
  <c r="AD310" i="13"/>
  <c r="AH271" i="13" l="1"/>
  <c r="AH217" i="13"/>
  <c r="AH127" i="13"/>
  <c r="AH109" i="13"/>
  <c r="AH85" i="13"/>
  <c r="AH61" i="13"/>
  <c r="AH306" i="13"/>
  <c r="AH282" i="13"/>
  <c r="AH258" i="13"/>
  <c r="AH240" i="13"/>
  <c r="AH216" i="13"/>
  <c r="AH198" i="13"/>
  <c r="AH174" i="13"/>
  <c r="AH156" i="13"/>
  <c r="AH126" i="13"/>
  <c r="AH108" i="13"/>
  <c r="AH90" i="13"/>
  <c r="AH72" i="13"/>
  <c r="AH54" i="13"/>
  <c r="AH305" i="13"/>
  <c r="AH299" i="13"/>
  <c r="AH293" i="13"/>
  <c r="AH287" i="13"/>
  <c r="AH281" i="13"/>
  <c r="AH275" i="13"/>
  <c r="AH269" i="13"/>
  <c r="AH263" i="13"/>
  <c r="AH257" i="13"/>
  <c r="AH251" i="13"/>
  <c r="AH245" i="13"/>
  <c r="AH239" i="13"/>
  <c r="AH233" i="13"/>
  <c r="AH227" i="13"/>
  <c r="AH221" i="13"/>
  <c r="AH215" i="13"/>
  <c r="AH209" i="13"/>
  <c r="AH203" i="13"/>
  <c r="AH197" i="13"/>
  <c r="AH191" i="13"/>
  <c r="AH185" i="13"/>
  <c r="AH179" i="13"/>
  <c r="AH173" i="13"/>
  <c r="AH167" i="13"/>
  <c r="AH161" i="13"/>
  <c r="AH155" i="13"/>
  <c r="AH149" i="13"/>
  <c r="AH143" i="13"/>
  <c r="AH137" i="13"/>
  <c r="AH131" i="13"/>
  <c r="AH125" i="13"/>
  <c r="AH119" i="13"/>
  <c r="AH113" i="13"/>
  <c r="AH107" i="13"/>
  <c r="AH101" i="13"/>
  <c r="AH95" i="13"/>
  <c r="AH89" i="13"/>
  <c r="AH83" i="13"/>
  <c r="AH77" i="13"/>
  <c r="AH71" i="13"/>
  <c r="AH65" i="13"/>
  <c r="AH59" i="13"/>
  <c r="AH307" i="13"/>
  <c r="AH253" i="13"/>
  <c r="AH235" i="13"/>
  <c r="AH181" i="13"/>
  <c r="AH163" i="13"/>
  <c r="AH121" i="13"/>
  <c r="AH103" i="13"/>
  <c r="AH91" i="13"/>
  <c r="AH79" i="13"/>
  <c r="AH67" i="13"/>
  <c r="AH55" i="13"/>
  <c r="AH300" i="13"/>
  <c r="AH288" i="13"/>
  <c r="AH270" i="13"/>
  <c r="AH264" i="13"/>
  <c r="AH246" i="13"/>
  <c r="AH228" i="13"/>
  <c r="AH222" i="13"/>
  <c r="AH204" i="13"/>
  <c r="AH192" i="13"/>
  <c r="AH180" i="13"/>
  <c r="AH162" i="13"/>
  <c r="AH144" i="13"/>
  <c r="AH138" i="13"/>
  <c r="AH120" i="13"/>
  <c r="AH102" i="13"/>
  <c r="AH84" i="13"/>
  <c r="AH66" i="13"/>
  <c r="AH289" i="13"/>
  <c r="AH199" i="13"/>
  <c r="AH145" i="13"/>
  <c r="AH115" i="13"/>
  <c r="AH97" i="13"/>
  <c r="AH73" i="13"/>
  <c r="AH294" i="13"/>
  <c r="AH276" i="13"/>
  <c r="AH252" i="13"/>
  <c r="AH234" i="13"/>
  <c r="AH210" i="13"/>
  <c r="AH186" i="13"/>
  <c r="AH168" i="13"/>
  <c r="AH150" i="13"/>
  <c r="AH132" i="13"/>
  <c r="AH114" i="13"/>
  <c r="AH96" i="13"/>
  <c r="AH78" i="13"/>
  <c r="AH60" i="13"/>
  <c r="T310" i="13"/>
  <c r="T226" i="13"/>
  <c r="T284" i="13"/>
  <c r="T222" i="13"/>
  <c r="Q214" i="13"/>
  <c r="Q202" i="13"/>
  <c r="Q238" i="13"/>
  <c r="T274" i="13"/>
  <c r="Q298" i="13"/>
  <c r="Q306" i="13"/>
  <c r="Q294" i="13"/>
  <c r="T270" i="13"/>
  <c r="Q258" i="13"/>
  <c r="Q222" i="13"/>
  <c r="T282" i="13"/>
  <c r="Q282" i="13"/>
  <c r="Q270" i="13"/>
  <c r="T258" i="13"/>
  <c r="T234" i="13"/>
  <c r="T246" i="13"/>
  <c r="Q234" i="13"/>
  <c r="Q246" i="13"/>
  <c r="T198" i="13"/>
  <c r="Q198" i="13"/>
  <c r="T288" i="13"/>
  <c r="T218" i="13"/>
  <c r="Q218" i="13"/>
  <c r="T216" i="13"/>
  <c r="T204" i="13"/>
  <c r="Q204" i="13"/>
  <c r="Q254" i="13"/>
  <c r="T206" i="13"/>
  <c r="T300" i="13"/>
  <c r="T202" i="13"/>
  <c r="T200" i="13"/>
  <c r="Q228" i="13"/>
  <c r="Q292" i="13"/>
  <c r="Q260" i="13"/>
  <c r="Q220" i="13"/>
  <c r="T298" i="13"/>
  <c r="T272" i="13"/>
  <c r="T238" i="13"/>
  <c r="Q200" i="13"/>
  <c r="T286" i="13"/>
  <c r="T296" i="13"/>
  <c r="Q296" i="13"/>
  <c r="Q286" i="13"/>
  <c r="Q284" i="13"/>
  <c r="Q274" i="13"/>
  <c r="T268" i="13"/>
  <c r="Q248" i="13"/>
  <c r="Q226" i="13"/>
  <c r="T214" i="13"/>
  <c r="Q304" i="13"/>
  <c r="Q268" i="13"/>
  <c r="T244" i="13"/>
  <c r="T232" i="13"/>
  <c r="Q208" i="13"/>
  <c r="T304" i="13"/>
  <c r="Q278" i="13"/>
  <c r="T256" i="13"/>
  <c r="Q244" i="13"/>
  <c r="Q232" i="13"/>
  <c r="Q290" i="13"/>
  <c r="Q280" i="13"/>
  <c r="Q266" i="13"/>
  <c r="Q256" i="13"/>
  <c r="Q242" i="13"/>
  <c r="T240" i="13"/>
  <c r="T278" i="13"/>
  <c r="T276" i="13"/>
  <c r="T262" i="13"/>
  <c r="T252" i="13"/>
  <c r="T250" i="13"/>
  <c r="Q240" i="13"/>
  <c r="Q216" i="13"/>
  <c r="T196" i="13"/>
  <c r="Q194" i="13"/>
  <c r="T302" i="13"/>
  <c r="Q302" i="13"/>
  <c r="T292" i="13"/>
  <c r="Q276" i="13"/>
  <c r="Q264" i="13"/>
  <c r="T264" i="13"/>
  <c r="Q262" i="13"/>
  <c r="T260" i="13"/>
  <c r="Q252" i="13"/>
  <c r="Q250" i="13"/>
  <c r="Q230" i="13"/>
  <c r="T220" i="13"/>
  <c r="Q206" i="13"/>
  <c r="Q196" i="13"/>
  <c r="T194" i="13"/>
  <c r="T192" i="13"/>
  <c r="Q192" i="13"/>
  <c r="T208" i="13"/>
  <c r="T280" i="13"/>
  <c r="T290" i="13"/>
  <c r="T242" i="13"/>
  <c r="Q273" i="13"/>
  <c r="T273" i="13"/>
  <c r="T308" i="13"/>
  <c r="Q307" i="13"/>
  <c r="T307" i="13"/>
  <c r="Q295" i="13"/>
  <c r="T295" i="13"/>
  <c r="Q283" i="13"/>
  <c r="T283" i="13"/>
  <c r="T259" i="13"/>
  <c r="Q259" i="13"/>
  <c r="Q247" i="13"/>
  <c r="T247" i="13"/>
  <c r="Q235" i="13"/>
  <c r="T235" i="13"/>
  <c r="Q223" i="13"/>
  <c r="T223" i="13"/>
  <c r="Q211" i="13"/>
  <c r="T211" i="13"/>
  <c r="Q199" i="13"/>
  <c r="T199" i="13"/>
  <c r="Q281" i="13"/>
  <c r="T281" i="13"/>
  <c r="T269" i="13"/>
  <c r="Q269" i="13"/>
  <c r="Q233" i="13"/>
  <c r="T233" i="13"/>
  <c r="Q221" i="13"/>
  <c r="T221" i="13"/>
  <c r="Q209" i="13"/>
  <c r="T209" i="13"/>
  <c r="Q197" i="13"/>
  <c r="T197" i="13"/>
  <c r="T303" i="13"/>
  <c r="Q303" i="13"/>
  <c r="T279" i="13"/>
  <c r="Q279" i="13"/>
  <c r="T267" i="13"/>
  <c r="Q267" i="13"/>
  <c r="Q255" i="13"/>
  <c r="T255" i="13"/>
  <c r="Q243" i="13"/>
  <c r="T243" i="13"/>
  <c r="T231" i="13"/>
  <c r="Q231" i="13"/>
  <c r="T219" i="13"/>
  <c r="Q219" i="13"/>
  <c r="T207" i="13"/>
  <c r="Q207" i="13"/>
  <c r="T195" i="13"/>
  <c r="Q195" i="13"/>
  <c r="Q285" i="13"/>
  <c r="T285" i="13"/>
  <c r="Q261" i="13"/>
  <c r="T261" i="13"/>
  <c r="T249" i="13"/>
  <c r="Q249" i="13"/>
  <c r="Q225" i="13"/>
  <c r="T225" i="13"/>
  <c r="T201" i="13"/>
  <c r="Q201" i="13"/>
  <c r="Q301" i="13"/>
  <c r="T301" i="13"/>
  <c r="Q289" i="13"/>
  <c r="T289" i="13"/>
  <c r="T277" i="13"/>
  <c r="Q277" i="13"/>
  <c r="Q265" i="13"/>
  <c r="T265" i="13"/>
  <c r="Q253" i="13"/>
  <c r="T253" i="13"/>
  <c r="Q241" i="13"/>
  <c r="T241" i="13"/>
  <c r="Q229" i="13"/>
  <c r="T229" i="13"/>
  <c r="T217" i="13"/>
  <c r="Q217" i="13"/>
  <c r="Q205" i="13"/>
  <c r="T205" i="13"/>
  <c r="T193" i="13"/>
  <c r="Q193" i="13"/>
  <c r="Q299" i="13"/>
  <c r="T299" i="13"/>
  <c r="Q287" i="13"/>
  <c r="T287" i="13"/>
  <c r="T275" i="13"/>
  <c r="Q275" i="13"/>
  <c r="T251" i="13"/>
  <c r="Q251" i="13"/>
  <c r="T227" i="13"/>
  <c r="Q227" i="13"/>
  <c r="T215" i="13"/>
  <c r="Q215" i="13"/>
  <c r="Q203" i="13"/>
  <c r="T203" i="13"/>
  <c r="T191" i="13"/>
  <c r="Q191" i="13"/>
  <c r="I297" i="13"/>
  <c r="I234" i="13"/>
  <c r="I303" i="13"/>
  <c r="T306" i="13"/>
  <c r="T294" i="13"/>
  <c r="T291" i="13"/>
  <c r="I214" i="13"/>
  <c r="I200" i="13"/>
  <c r="Q288" i="13"/>
  <c r="Q300" i="13"/>
  <c r="T293" i="13"/>
  <c r="I276" i="13"/>
  <c r="I273" i="13"/>
  <c r="I270" i="13"/>
  <c r="I269" i="13"/>
  <c r="I261" i="13"/>
  <c r="I252" i="13"/>
  <c r="I238" i="13"/>
  <c r="I224" i="13"/>
  <c r="I222" i="13"/>
  <c r="I219" i="13"/>
  <c r="T297" i="13"/>
  <c r="T305" i="13"/>
  <c r="T266" i="13"/>
  <c r="I250" i="13"/>
  <c r="T248" i="13"/>
  <c r="T237" i="13"/>
  <c r="I229" i="13"/>
  <c r="I217" i="13"/>
  <c r="Q212" i="13"/>
  <c r="T212" i="13"/>
  <c r="Q210" i="13"/>
  <c r="T210" i="13"/>
  <c r="I202" i="13"/>
  <c r="I279" i="13"/>
  <c r="T271" i="13"/>
  <c r="I268" i="13"/>
  <c r="I259" i="13"/>
  <c r="T257" i="13"/>
  <c r="T239" i="13"/>
  <c r="Q236" i="13"/>
  <c r="T236" i="13"/>
  <c r="T228" i="13"/>
  <c r="Q213" i="13"/>
  <c r="T213" i="13"/>
  <c r="I212" i="13"/>
  <c r="I210" i="13"/>
  <c r="I265" i="13"/>
  <c r="T263" i="13"/>
  <c r="I256" i="13"/>
  <c r="T254" i="13"/>
  <c r="I247" i="13"/>
  <c r="T245" i="13"/>
  <c r="T230" i="13"/>
  <c r="Q224" i="13"/>
  <c r="T224" i="13"/>
  <c r="I197" i="13"/>
  <c r="I194" i="13"/>
  <c r="I191" i="13"/>
  <c r="I211" i="13"/>
  <c r="I206" i="13"/>
  <c r="I205" i="13"/>
  <c r="L12" i="22"/>
  <c r="L8" i="22"/>
  <c r="L9" i="22"/>
  <c r="L10" i="22"/>
  <c r="L11" i="22"/>
  <c r="L13" i="22"/>
  <c r="L14" i="22"/>
  <c r="L15" i="22"/>
  <c r="L16" i="22"/>
  <c r="L17" i="22"/>
  <c r="L18" i="22"/>
  <c r="L19" i="22"/>
  <c r="L20" i="22"/>
  <c r="L21" i="22"/>
  <c r="L22" i="22"/>
  <c r="L23" i="22"/>
  <c r="L24" i="22"/>
  <c r="L25" i="22"/>
  <c r="L26" i="22"/>
  <c r="L27" i="22"/>
  <c r="L28" i="22"/>
  <c r="L29" i="22"/>
  <c r="L30" i="22"/>
  <c r="L31" i="22"/>
  <c r="L32" i="22"/>
  <c r="L33" i="22"/>
  <c r="L34" i="22"/>
  <c r="L35" i="22"/>
  <c r="L36" i="22"/>
  <c r="L37" i="22"/>
  <c r="L38" i="22"/>
  <c r="L39" i="22"/>
  <c r="L40" i="22"/>
  <c r="L41" i="22"/>
  <c r="L42" i="22"/>
  <c r="L43" i="22"/>
  <c r="L44" i="22"/>
  <c r="L45" i="22"/>
  <c r="L46" i="22"/>
  <c r="L47" i="22"/>
  <c r="L48" i="22"/>
  <c r="L49" i="22"/>
  <c r="L50" i="22"/>
  <c r="L51" i="22"/>
  <c r="L52" i="22"/>
  <c r="L53" i="22"/>
  <c r="L54" i="22"/>
  <c r="L55" i="22"/>
  <c r="L56" i="22"/>
  <c r="L57" i="22"/>
  <c r="L58" i="22"/>
  <c r="L59" i="22"/>
  <c r="L60" i="22"/>
  <c r="L61" i="22"/>
  <c r="L62" i="22"/>
  <c r="L63" i="22"/>
  <c r="L64" i="22"/>
  <c r="L65" i="22"/>
  <c r="L66" i="22"/>
  <c r="L67" i="22"/>
  <c r="L68" i="22"/>
  <c r="L69" i="22"/>
  <c r="L70" i="22"/>
  <c r="L71" i="22"/>
  <c r="L72" i="22"/>
  <c r="L73" i="22"/>
  <c r="L74" i="22"/>
  <c r="L75" i="22"/>
  <c r="L76" i="22"/>
  <c r="L77" i="22"/>
  <c r="L78" i="22"/>
  <c r="AL4" i="19"/>
  <c r="AK4" i="19"/>
  <c r="AJ4" i="19"/>
  <c r="AI4" i="19"/>
  <c r="AH4" i="19"/>
  <c r="AG4" i="19"/>
  <c r="AF4" i="19"/>
  <c r="AE4" i="19"/>
  <c r="AD4" i="19"/>
  <c r="AC4" i="19"/>
  <c r="AB4" i="19"/>
  <c r="AA4" i="19"/>
  <c r="Z4" i="19"/>
  <c r="Y4" i="19"/>
  <c r="X4" i="19"/>
  <c r="W4" i="19"/>
  <c r="V4" i="19"/>
  <c r="U4" i="19"/>
  <c r="T4" i="19"/>
  <c r="N6" i="18"/>
  <c r="N7" i="18"/>
  <c r="N8" i="18"/>
  <c r="N9" i="18"/>
  <c r="N10" i="18"/>
  <c r="N11" i="18"/>
  <c r="N12" i="18"/>
  <c r="N13" i="18"/>
  <c r="N14" i="18"/>
  <c r="N15" i="18"/>
  <c r="N16" i="18"/>
  <c r="N17" i="18"/>
  <c r="N18" i="18"/>
  <c r="N19" i="18"/>
  <c r="N20" i="18"/>
  <c r="N21" i="18"/>
  <c r="N5" i="18"/>
  <c r="J6" i="18"/>
  <c r="J7" i="18"/>
  <c r="J8" i="18"/>
  <c r="J9" i="18"/>
  <c r="J10" i="18"/>
  <c r="J11" i="18"/>
  <c r="J12" i="18"/>
  <c r="J13" i="18"/>
  <c r="J14" i="18"/>
  <c r="J15" i="18"/>
  <c r="J16" i="18"/>
  <c r="J17" i="18"/>
  <c r="J18" i="18"/>
  <c r="J19" i="18"/>
  <c r="J20" i="18"/>
  <c r="J21" i="18"/>
  <c r="J5" i="18"/>
  <c r="L7" i="18"/>
  <c r="L8" i="18"/>
  <c r="L9" i="18"/>
  <c r="L10" i="18"/>
  <c r="L11" i="18"/>
  <c r="L12" i="18"/>
  <c r="L13" i="18"/>
  <c r="L14" i="18"/>
  <c r="L15" i="18"/>
  <c r="L16" i="18"/>
  <c r="L17" i="18"/>
  <c r="L18" i="18"/>
  <c r="L19" i="18"/>
  <c r="L20" i="18"/>
  <c r="L21" i="18"/>
  <c r="L6" i="18"/>
  <c r="Q308" i="13" l="1"/>
  <c r="N4" i="18"/>
  <c r="T309" i="13" l="1"/>
  <c r="Q309" i="13"/>
  <c r="A20" i="23"/>
  <c r="B20" i="23"/>
  <c r="A21" i="23"/>
  <c r="B21" i="23"/>
  <c r="A22" i="23"/>
  <c r="B22" i="23"/>
  <c r="A23" i="23"/>
  <c r="B23" i="23"/>
  <c r="A24" i="23"/>
  <c r="B24" i="23"/>
  <c r="A25" i="23"/>
  <c r="B25" i="23"/>
  <c r="A26" i="23"/>
  <c r="B26" i="23"/>
  <c r="A27" i="23"/>
  <c r="B27" i="23"/>
  <c r="A28" i="23"/>
  <c r="B28" i="23"/>
  <c r="A29" i="23"/>
  <c r="B29" i="23"/>
  <c r="A30" i="23"/>
  <c r="B30" i="23"/>
  <c r="A31" i="23"/>
  <c r="B31" i="23"/>
  <c r="A32" i="23"/>
  <c r="B32" i="23"/>
  <c r="A33" i="23"/>
  <c r="B33" i="23"/>
  <c r="A34" i="23"/>
  <c r="B34" i="23"/>
  <c r="A35" i="23"/>
  <c r="B35" i="23"/>
  <c r="A36" i="23"/>
  <c r="B36" i="23"/>
  <c r="A37" i="23"/>
  <c r="B37" i="23"/>
  <c r="A38" i="23"/>
  <c r="B38" i="23"/>
  <c r="A39" i="23"/>
  <c r="B39" i="23"/>
  <c r="A40" i="23"/>
  <c r="B40" i="23"/>
  <c r="A41" i="23"/>
  <c r="B41" i="23"/>
  <c r="A42" i="23"/>
  <c r="B42" i="23"/>
  <c r="A43" i="23"/>
  <c r="B43" i="23"/>
  <c r="A44" i="23"/>
  <c r="B44" i="23"/>
  <c r="A45" i="23"/>
  <c r="B45" i="23"/>
  <c r="A46" i="23"/>
  <c r="B46" i="23"/>
  <c r="A47" i="23"/>
  <c r="B47" i="23"/>
  <c r="A48" i="23"/>
  <c r="B48" i="23"/>
  <c r="A49" i="23"/>
  <c r="B49" i="23"/>
  <c r="A50" i="23"/>
  <c r="B50" i="23"/>
  <c r="A51" i="23"/>
  <c r="B51" i="23"/>
  <c r="A52" i="23"/>
  <c r="B52" i="23"/>
  <c r="A53" i="23"/>
  <c r="B53" i="23"/>
  <c r="A54" i="23"/>
  <c r="B54" i="23"/>
  <c r="A55" i="23"/>
  <c r="B55" i="23"/>
  <c r="A56" i="23"/>
  <c r="B56" i="23"/>
  <c r="A57" i="23"/>
  <c r="B57" i="23"/>
  <c r="A58" i="23"/>
  <c r="B58" i="23"/>
  <c r="A59" i="23"/>
  <c r="B59" i="23"/>
  <c r="A60" i="23"/>
  <c r="B60" i="23"/>
  <c r="A61" i="23"/>
  <c r="B61" i="23"/>
  <c r="A62" i="23"/>
  <c r="B62" i="23"/>
  <c r="A63" i="23"/>
  <c r="B63" i="23"/>
  <c r="A64" i="23"/>
  <c r="B64" i="23"/>
  <c r="A65" i="23"/>
  <c r="B65" i="23"/>
  <c r="A66" i="23"/>
  <c r="B66" i="23"/>
  <c r="A67" i="23"/>
  <c r="B67" i="23"/>
  <c r="A68" i="23"/>
  <c r="B68" i="23"/>
  <c r="A69" i="23"/>
  <c r="B69" i="23"/>
  <c r="A70" i="23"/>
  <c r="B70" i="23"/>
  <c r="A71" i="23"/>
  <c r="B71" i="23"/>
  <c r="A72" i="23"/>
  <c r="B72" i="23"/>
  <c r="A73" i="23"/>
  <c r="B73" i="23"/>
  <c r="A74" i="23"/>
  <c r="B74" i="23"/>
  <c r="A75" i="23"/>
  <c r="B75" i="23"/>
  <c r="A76" i="23"/>
  <c r="B76" i="23"/>
  <c r="A77" i="23"/>
  <c r="B77" i="23"/>
  <c r="A78" i="23"/>
  <c r="B78" i="23"/>
  <c r="A79" i="23"/>
  <c r="B79" i="23"/>
  <c r="A80" i="23"/>
  <c r="B80" i="23"/>
  <c r="A81" i="23"/>
  <c r="B81" i="23"/>
  <c r="A82" i="23"/>
  <c r="B82" i="23"/>
  <c r="A83" i="23"/>
  <c r="B83" i="23"/>
  <c r="A84" i="23"/>
  <c r="B84" i="23"/>
  <c r="A85" i="23"/>
  <c r="B85" i="23"/>
  <c r="A86" i="23"/>
  <c r="B86" i="23"/>
  <c r="A87" i="23"/>
  <c r="B87" i="23"/>
  <c r="A88" i="23"/>
  <c r="B88" i="23"/>
  <c r="A89" i="23"/>
  <c r="B89" i="23"/>
  <c r="A90" i="23"/>
  <c r="B90" i="23"/>
  <c r="A91" i="23"/>
  <c r="B91" i="23"/>
  <c r="A92" i="23"/>
  <c r="B92" i="23"/>
  <c r="A93" i="23"/>
  <c r="B93" i="23"/>
  <c r="A94" i="23"/>
  <c r="B94" i="23"/>
  <c r="A95" i="23"/>
  <c r="B95" i="23"/>
  <c r="A96" i="23"/>
  <c r="B96" i="23"/>
  <c r="A97" i="23"/>
  <c r="B97" i="23"/>
  <c r="A98" i="23"/>
  <c r="B98" i="23"/>
  <c r="A99" i="23"/>
  <c r="B99" i="23"/>
  <c r="A100" i="23"/>
  <c r="B100" i="23"/>
  <c r="A101" i="23"/>
  <c r="B101" i="23"/>
  <c r="AD119" i="13"/>
  <c r="AD120" i="13"/>
  <c r="AD121" i="13"/>
  <c r="AD122" i="13"/>
  <c r="AD123" i="13"/>
  <c r="AD124" i="13"/>
  <c r="AD125" i="13"/>
  <c r="AD126" i="13"/>
  <c r="AD127" i="13"/>
  <c r="AD128" i="13"/>
  <c r="AD129" i="13"/>
  <c r="AD130" i="13"/>
  <c r="AD131" i="13"/>
  <c r="AD132" i="13"/>
  <c r="AD133" i="13"/>
  <c r="AD134" i="13"/>
  <c r="AD135" i="13"/>
  <c r="AD136" i="13"/>
  <c r="AD137" i="13"/>
  <c r="AD138" i="13"/>
  <c r="AD139" i="13"/>
  <c r="AD140" i="13"/>
  <c r="AD141" i="13"/>
  <c r="AD142" i="13"/>
  <c r="AD143" i="13"/>
  <c r="AD144" i="13"/>
  <c r="AD145" i="13"/>
  <c r="AD146" i="13"/>
  <c r="AD147" i="13"/>
  <c r="AD148" i="13"/>
  <c r="AD149" i="13"/>
  <c r="AD150" i="13"/>
  <c r="AD151" i="13"/>
  <c r="AD152" i="13"/>
  <c r="AD153" i="13"/>
  <c r="AD154" i="13"/>
  <c r="AD155" i="13"/>
  <c r="AD156" i="13"/>
  <c r="AD157" i="13"/>
  <c r="AD158" i="13"/>
  <c r="AD159" i="13"/>
  <c r="AD160" i="13"/>
  <c r="AD161" i="13"/>
  <c r="AD162" i="13"/>
  <c r="AD163" i="13"/>
  <c r="AD164" i="13"/>
  <c r="AD165" i="13"/>
  <c r="AD166" i="13"/>
  <c r="AD167" i="13"/>
  <c r="AD168" i="13"/>
  <c r="AD169" i="13"/>
  <c r="AD170" i="13"/>
  <c r="AD171" i="13"/>
  <c r="AD172" i="13"/>
  <c r="AD173" i="13"/>
  <c r="AD174" i="13"/>
  <c r="AD175" i="13"/>
  <c r="AD176" i="13"/>
  <c r="AD177" i="13"/>
  <c r="AD178" i="13"/>
  <c r="AD179" i="13"/>
  <c r="AD180" i="13"/>
  <c r="AD181" i="13"/>
  <c r="AD182" i="13"/>
  <c r="AD183" i="13"/>
  <c r="AD184" i="13"/>
  <c r="AD185" i="13"/>
  <c r="AD186" i="13"/>
  <c r="AD187" i="13"/>
  <c r="AD188" i="13"/>
  <c r="AD189" i="13"/>
  <c r="AD190" i="13"/>
  <c r="AN8" i="13" l="1"/>
  <c r="AJ9" i="13"/>
  <c r="AJ10" i="13" s="1"/>
  <c r="AJ11" i="13" s="1"/>
  <c r="AJ12" i="13" s="1"/>
  <c r="AJ13" i="13" s="1"/>
  <c r="AJ14" i="13" s="1"/>
  <c r="AJ15" i="13" s="1"/>
  <c r="AJ16" i="13" s="1"/>
  <c r="AJ17" i="13" s="1"/>
  <c r="AJ18" i="13" s="1"/>
  <c r="AJ19" i="13" s="1"/>
  <c r="AJ20" i="13" s="1"/>
  <c r="AJ21" i="13" s="1"/>
  <c r="AJ22" i="13" s="1"/>
  <c r="AJ23" i="13" s="1"/>
  <c r="AJ24" i="13" s="1"/>
  <c r="AJ25" i="13" s="1"/>
  <c r="AJ26" i="13" s="1"/>
  <c r="AJ27" i="13" s="1"/>
  <c r="AJ28" i="13" s="1"/>
  <c r="AJ29" i="13" s="1"/>
  <c r="AJ30" i="13" s="1"/>
  <c r="B1" i="22" l="1"/>
  <c r="K8" i="22" s="1"/>
  <c r="M6" i="22"/>
  <c r="D8" i="22"/>
  <c r="F8" i="22" s="1"/>
  <c r="E8" i="22"/>
  <c r="G8" i="22" s="1"/>
  <c r="J8" i="22"/>
  <c r="P8" i="22" s="1"/>
  <c r="D9" i="22"/>
  <c r="F9" i="22" s="1"/>
  <c r="E9" i="22"/>
  <c r="G9" i="22" s="1"/>
  <c r="I9" i="22"/>
  <c r="D10" i="22"/>
  <c r="F10" i="22" s="1"/>
  <c r="E10" i="22"/>
  <c r="G10" i="22" s="1"/>
  <c r="D11" i="22"/>
  <c r="F11" i="22" s="1"/>
  <c r="E11" i="22"/>
  <c r="G11" i="22" s="1"/>
  <c r="D12" i="22"/>
  <c r="F12" i="22" s="1"/>
  <c r="E12" i="22"/>
  <c r="G12" i="22" s="1"/>
  <c r="D13" i="22"/>
  <c r="F13" i="22" s="1"/>
  <c r="E13" i="22"/>
  <c r="G13" i="22" s="1"/>
  <c r="D14" i="22"/>
  <c r="F14" i="22" s="1"/>
  <c r="E14" i="22"/>
  <c r="G14" i="22" s="1"/>
  <c r="D15" i="22"/>
  <c r="F15" i="22" s="1"/>
  <c r="E15" i="22"/>
  <c r="G15" i="22" s="1"/>
  <c r="D16" i="22"/>
  <c r="F16" i="22" s="1"/>
  <c r="E16" i="22"/>
  <c r="G16" i="22"/>
  <c r="D17" i="22"/>
  <c r="F17" i="22" s="1"/>
  <c r="E17" i="22"/>
  <c r="G17" i="22" s="1"/>
  <c r="D18" i="22"/>
  <c r="F18" i="22" s="1"/>
  <c r="E18" i="22"/>
  <c r="G18" i="22" s="1"/>
  <c r="D19" i="22"/>
  <c r="F19" i="22" s="1"/>
  <c r="E19" i="22"/>
  <c r="G19" i="22" s="1"/>
  <c r="D20" i="22"/>
  <c r="F20" i="22" s="1"/>
  <c r="E20" i="22"/>
  <c r="G20" i="22" s="1"/>
  <c r="D21" i="22"/>
  <c r="E21" i="22"/>
  <c r="G21" i="22" s="1"/>
  <c r="F21" i="22"/>
  <c r="D22" i="22"/>
  <c r="F22" i="22" s="1"/>
  <c r="E22" i="22"/>
  <c r="G22" i="22" s="1"/>
  <c r="D23" i="22"/>
  <c r="F23" i="22" s="1"/>
  <c r="E23" i="22"/>
  <c r="G23" i="22" s="1"/>
  <c r="D24" i="22"/>
  <c r="F24" i="22" s="1"/>
  <c r="E24" i="22"/>
  <c r="G24" i="22" s="1"/>
  <c r="D25" i="22"/>
  <c r="F25" i="22" s="1"/>
  <c r="E25" i="22"/>
  <c r="G25" i="22" s="1"/>
  <c r="D26" i="22"/>
  <c r="F26" i="22" s="1"/>
  <c r="E26" i="22"/>
  <c r="G26" i="22" s="1"/>
  <c r="D27" i="22"/>
  <c r="F27" i="22" s="1"/>
  <c r="E27" i="22"/>
  <c r="G27" i="22" s="1"/>
  <c r="D28" i="22"/>
  <c r="F28" i="22" s="1"/>
  <c r="E28" i="22"/>
  <c r="G28" i="22" s="1"/>
  <c r="D29" i="22"/>
  <c r="F29" i="22" s="1"/>
  <c r="E29" i="22"/>
  <c r="G29" i="22" s="1"/>
  <c r="D30" i="22"/>
  <c r="F30" i="22" s="1"/>
  <c r="E30" i="22"/>
  <c r="G30" i="22" s="1"/>
  <c r="D31" i="22"/>
  <c r="F31" i="22" s="1"/>
  <c r="E31" i="22"/>
  <c r="G31" i="22"/>
  <c r="D32" i="22"/>
  <c r="F32" i="22" s="1"/>
  <c r="E32" i="22"/>
  <c r="G32" i="22" s="1"/>
  <c r="D33" i="22"/>
  <c r="E33" i="22"/>
  <c r="G33" i="22" s="1"/>
  <c r="F33" i="22"/>
  <c r="D34" i="22"/>
  <c r="F34" i="22" s="1"/>
  <c r="E34" i="22"/>
  <c r="G34" i="22" s="1"/>
  <c r="D35" i="22"/>
  <c r="F35" i="22" s="1"/>
  <c r="E35" i="22"/>
  <c r="G35" i="22" s="1"/>
  <c r="D36" i="22"/>
  <c r="F36" i="22" s="1"/>
  <c r="E36" i="22"/>
  <c r="G36" i="22" s="1"/>
  <c r="D37" i="22"/>
  <c r="F37" i="22" s="1"/>
  <c r="E37" i="22"/>
  <c r="G37" i="22"/>
  <c r="D38" i="22"/>
  <c r="F38" i="22" s="1"/>
  <c r="E38" i="22"/>
  <c r="G38" i="22" s="1"/>
  <c r="D39" i="22"/>
  <c r="F39" i="22" s="1"/>
  <c r="E39" i="22"/>
  <c r="G39" i="22" s="1"/>
  <c r="D40" i="22"/>
  <c r="F40" i="22" s="1"/>
  <c r="E40" i="22"/>
  <c r="G40" i="22" s="1"/>
  <c r="D41" i="22"/>
  <c r="E41" i="22"/>
  <c r="G41" i="22" s="1"/>
  <c r="F41" i="22"/>
  <c r="D42" i="22"/>
  <c r="F42" i="22" s="1"/>
  <c r="E42" i="22"/>
  <c r="G42" i="22" s="1"/>
  <c r="D43" i="22"/>
  <c r="E43" i="22"/>
  <c r="F43" i="22"/>
  <c r="G43" i="22"/>
  <c r="D44" i="22"/>
  <c r="F44" i="22" s="1"/>
  <c r="E44" i="22"/>
  <c r="G44" i="22" s="1"/>
  <c r="D45" i="22"/>
  <c r="E45" i="22"/>
  <c r="F45" i="22"/>
  <c r="G45" i="22"/>
  <c r="D46" i="22"/>
  <c r="F46" i="22" s="1"/>
  <c r="E46" i="22"/>
  <c r="G46" i="22" s="1"/>
  <c r="D47" i="22"/>
  <c r="E47" i="22"/>
  <c r="G47" i="22" s="1"/>
  <c r="F47" i="22"/>
  <c r="D48" i="22"/>
  <c r="F48" i="22" s="1"/>
  <c r="E48" i="22"/>
  <c r="G48" i="22" s="1"/>
  <c r="D49" i="22"/>
  <c r="F49" i="22" s="1"/>
  <c r="E49" i="22"/>
  <c r="G49" i="22"/>
  <c r="D50" i="22"/>
  <c r="F50" i="22" s="1"/>
  <c r="E50" i="22"/>
  <c r="G50" i="22" s="1"/>
  <c r="D51" i="22"/>
  <c r="F51" i="22" s="1"/>
  <c r="E51" i="22"/>
  <c r="G51" i="22" s="1"/>
  <c r="D52" i="22"/>
  <c r="F52" i="22" s="1"/>
  <c r="E52" i="22"/>
  <c r="G52" i="22" s="1"/>
  <c r="D53" i="22"/>
  <c r="F53" i="22" s="1"/>
  <c r="E53" i="22"/>
  <c r="G53" i="22" s="1"/>
  <c r="D54" i="22"/>
  <c r="F54" i="22" s="1"/>
  <c r="E54" i="22"/>
  <c r="G54" i="22" s="1"/>
  <c r="D55" i="22"/>
  <c r="F55" i="22" s="1"/>
  <c r="E55" i="22"/>
  <c r="G55" i="22" s="1"/>
  <c r="D56" i="22"/>
  <c r="F56" i="22" s="1"/>
  <c r="E56" i="22"/>
  <c r="G56" i="22" s="1"/>
  <c r="D57" i="22"/>
  <c r="F57" i="22" s="1"/>
  <c r="E57" i="22"/>
  <c r="G57" i="22" s="1"/>
  <c r="D58" i="22"/>
  <c r="F58" i="22" s="1"/>
  <c r="E58" i="22"/>
  <c r="G58" i="22" s="1"/>
  <c r="D59" i="22"/>
  <c r="F59" i="22" s="1"/>
  <c r="E59" i="22"/>
  <c r="G59" i="22" s="1"/>
  <c r="D60" i="22"/>
  <c r="E60" i="22"/>
  <c r="G60" i="22" s="1"/>
  <c r="F60" i="22"/>
  <c r="D61" i="22"/>
  <c r="F61" i="22" s="1"/>
  <c r="E61" i="22"/>
  <c r="G61" i="22" s="1"/>
  <c r="D62" i="22"/>
  <c r="F62" i="22" s="1"/>
  <c r="E62" i="22"/>
  <c r="G62" i="22"/>
  <c r="D63" i="22"/>
  <c r="F63" i="22" s="1"/>
  <c r="E63" i="22"/>
  <c r="G63" i="22" s="1"/>
  <c r="D64" i="22"/>
  <c r="F64" i="22" s="1"/>
  <c r="E64" i="22"/>
  <c r="G64" i="22" s="1"/>
  <c r="D65" i="22"/>
  <c r="F65" i="22" s="1"/>
  <c r="E65" i="22"/>
  <c r="G65" i="22" s="1"/>
  <c r="D66" i="22"/>
  <c r="F66" i="22" s="1"/>
  <c r="E66" i="22"/>
  <c r="G66" i="22" s="1"/>
  <c r="D67" i="22"/>
  <c r="F67" i="22" s="1"/>
  <c r="E67" i="22"/>
  <c r="G67" i="22" s="1"/>
  <c r="D68" i="22"/>
  <c r="F68" i="22" s="1"/>
  <c r="E68" i="22"/>
  <c r="G68" i="22" s="1"/>
  <c r="D69" i="22"/>
  <c r="F69" i="22" s="1"/>
  <c r="E69" i="22"/>
  <c r="G69" i="22" s="1"/>
  <c r="D70" i="22"/>
  <c r="F70" i="22" s="1"/>
  <c r="E70" i="22"/>
  <c r="G70" i="22" s="1"/>
  <c r="D71" i="22"/>
  <c r="F71" i="22" s="1"/>
  <c r="E71" i="22"/>
  <c r="G71" i="22" s="1"/>
  <c r="D72" i="22"/>
  <c r="F72" i="22" s="1"/>
  <c r="E72" i="22"/>
  <c r="G72" i="22"/>
  <c r="D73" i="22"/>
  <c r="F73" i="22" s="1"/>
  <c r="E73" i="22"/>
  <c r="G73" i="22" s="1"/>
  <c r="D74" i="22"/>
  <c r="F74" i="22" s="1"/>
  <c r="E74" i="22"/>
  <c r="G74" i="22" s="1"/>
  <c r="D75" i="22"/>
  <c r="F75" i="22" s="1"/>
  <c r="E75" i="22"/>
  <c r="G75" i="22" s="1"/>
  <c r="D76" i="22"/>
  <c r="F76" i="22" s="1"/>
  <c r="E76" i="22"/>
  <c r="G76" i="22" s="1"/>
  <c r="D77" i="22"/>
  <c r="F77" i="22" s="1"/>
  <c r="E77" i="22"/>
  <c r="G77" i="22" s="1"/>
  <c r="D78" i="22"/>
  <c r="F78" i="22" s="1"/>
  <c r="E78" i="22"/>
  <c r="G78" i="22" s="1"/>
  <c r="D79" i="22"/>
  <c r="F79" i="22" s="1"/>
  <c r="E79" i="22"/>
  <c r="G79" i="22"/>
  <c r="D80" i="22"/>
  <c r="F80" i="22" s="1"/>
  <c r="E80" i="22"/>
  <c r="G80" i="22" s="1"/>
  <c r="D81" i="22"/>
  <c r="F81" i="22" s="1"/>
  <c r="E81" i="22"/>
  <c r="G81" i="22"/>
  <c r="D82" i="22"/>
  <c r="F82" i="22" s="1"/>
  <c r="E82" i="22"/>
  <c r="G82" i="22" s="1"/>
  <c r="D83" i="22"/>
  <c r="E83" i="22"/>
  <c r="G83" i="22" s="1"/>
  <c r="F83" i="22"/>
  <c r="D84" i="22"/>
  <c r="F84" i="22" s="1"/>
  <c r="E84" i="22"/>
  <c r="G84" i="22" s="1"/>
  <c r="D85" i="22"/>
  <c r="E85" i="22"/>
  <c r="F85" i="22"/>
  <c r="G85" i="22"/>
  <c r="D86" i="22"/>
  <c r="F86" i="22" s="1"/>
  <c r="E86" i="22"/>
  <c r="G86" i="22" s="1"/>
  <c r="D87" i="22"/>
  <c r="F87" i="22" s="1"/>
  <c r="E87" i="22"/>
  <c r="G87" i="22"/>
  <c r="D88" i="22"/>
  <c r="F88" i="22" s="1"/>
  <c r="E88" i="22"/>
  <c r="G88" i="22"/>
  <c r="D89" i="22"/>
  <c r="E89" i="22"/>
  <c r="G89" i="22" s="1"/>
  <c r="F89" i="22"/>
  <c r="D90" i="22"/>
  <c r="F90" i="22" s="1"/>
  <c r="E90" i="22"/>
  <c r="G90" i="22"/>
  <c r="D91" i="22"/>
  <c r="E91" i="22"/>
  <c r="G91" i="22" s="1"/>
  <c r="F91" i="22"/>
  <c r="D92" i="22"/>
  <c r="E92" i="22"/>
  <c r="G92" i="22" s="1"/>
  <c r="F92" i="22"/>
  <c r="D93" i="22"/>
  <c r="F93" i="22" s="1"/>
  <c r="E93" i="22"/>
  <c r="G93" i="22" s="1"/>
  <c r="D94" i="22"/>
  <c r="F94" i="22" s="1"/>
  <c r="E94" i="22"/>
  <c r="G94" i="22"/>
  <c r="D95" i="22"/>
  <c r="F95" i="22" s="1"/>
  <c r="E95" i="22"/>
  <c r="G95" i="22" s="1"/>
  <c r="D96" i="22"/>
  <c r="F96" i="22" s="1"/>
  <c r="E96" i="22"/>
  <c r="G96" i="22" s="1"/>
  <c r="D97" i="22"/>
  <c r="F97" i="22" s="1"/>
  <c r="E97" i="22"/>
  <c r="G97" i="22"/>
  <c r="D98" i="22"/>
  <c r="F98" i="22" s="1"/>
  <c r="E98" i="22"/>
  <c r="G98" i="22" s="1"/>
  <c r="D99" i="22"/>
  <c r="F99" i="22" s="1"/>
  <c r="E99" i="22"/>
  <c r="G99" i="22"/>
  <c r="D100" i="22"/>
  <c r="F100" i="22" s="1"/>
  <c r="E100" i="22"/>
  <c r="G100" i="22" s="1"/>
  <c r="D101" i="22"/>
  <c r="F101" i="22" s="1"/>
  <c r="E101" i="22"/>
  <c r="G101" i="22" s="1"/>
  <c r="D102" i="22"/>
  <c r="F102" i="22" s="1"/>
  <c r="E102" i="22"/>
  <c r="G102" i="22" s="1"/>
  <c r="D103" i="22"/>
  <c r="F103" i="22" s="1"/>
  <c r="E103" i="22"/>
  <c r="G103" i="22" s="1"/>
  <c r="D104" i="22"/>
  <c r="F104" i="22" s="1"/>
  <c r="E104" i="22"/>
  <c r="G104" i="22" s="1"/>
  <c r="D105" i="22"/>
  <c r="F105" i="22" s="1"/>
  <c r="E105" i="22"/>
  <c r="G105" i="22" s="1"/>
  <c r="D106" i="22"/>
  <c r="F106" i="22" s="1"/>
  <c r="E106" i="22"/>
  <c r="G106" i="22"/>
  <c r="D107" i="22"/>
  <c r="F107" i="22" s="1"/>
  <c r="E107" i="22"/>
  <c r="G107" i="22" s="1"/>
  <c r="D108" i="22"/>
  <c r="F108" i="22" s="1"/>
  <c r="E108" i="22"/>
  <c r="G108" i="22"/>
  <c r="D109" i="22"/>
  <c r="F109" i="22" s="1"/>
  <c r="E109" i="22"/>
  <c r="G109" i="22" s="1"/>
  <c r="D110" i="22"/>
  <c r="E110" i="22"/>
  <c r="G110" i="22" s="1"/>
  <c r="F110" i="22"/>
  <c r="D111" i="22"/>
  <c r="F111" i="22" s="1"/>
  <c r="E111" i="22"/>
  <c r="G111" i="22" s="1"/>
  <c r="D112" i="22"/>
  <c r="F112" i="22" s="1"/>
  <c r="E112" i="22"/>
  <c r="G112" i="22"/>
  <c r="D113" i="22"/>
  <c r="F113" i="22" s="1"/>
  <c r="E113" i="22"/>
  <c r="G113" i="22" s="1"/>
  <c r="D114" i="22"/>
  <c r="F114" i="22" s="1"/>
  <c r="E114" i="22"/>
  <c r="G114" i="22"/>
  <c r="D115" i="22"/>
  <c r="F115" i="22" s="1"/>
  <c r="E115" i="22"/>
  <c r="G115" i="22" s="1"/>
  <c r="D116" i="22"/>
  <c r="F116" i="22" s="1"/>
  <c r="E116" i="22"/>
  <c r="G116" i="22" s="1"/>
  <c r="D117" i="22"/>
  <c r="F117" i="22" s="1"/>
  <c r="E117" i="22"/>
  <c r="G117" i="22" s="1"/>
  <c r="D118" i="22"/>
  <c r="E118" i="22"/>
  <c r="G118" i="22" s="1"/>
  <c r="F118" i="22"/>
  <c r="D119" i="22"/>
  <c r="E119" i="22"/>
  <c r="G119" i="22" s="1"/>
  <c r="F119" i="22"/>
  <c r="D120" i="22"/>
  <c r="F120" i="22" s="1"/>
  <c r="E120" i="22"/>
  <c r="G120" i="22" s="1"/>
  <c r="D121" i="22"/>
  <c r="F121" i="22" s="1"/>
  <c r="E121" i="22"/>
  <c r="G121" i="22"/>
  <c r="D122" i="22"/>
  <c r="F122" i="22" s="1"/>
  <c r="E122" i="22"/>
  <c r="G122" i="22" s="1"/>
  <c r="D123" i="22"/>
  <c r="F123" i="22" s="1"/>
  <c r="E123" i="22"/>
  <c r="G123" i="22"/>
  <c r="D124" i="22"/>
  <c r="F124" i="22" s="1"/>
  <c r="E124" i="22"/>
  <c r="G124" i="22" s="1"/>
  <c r="D125" i="22"/>
  <c r="E125" i="22"/>
  <c r="G125" i="22" s="1"/>
  <c r="F125" i="22"/>
  <c r="D126" i="22"/>
  <c r="F126" i="22" s="1"/>
  <c r="E126" i="22"/>
  <c r="G126" i="22" s="1"/>
  <c r="D127" i="22"/>
  <c r="E127" i="22"/>
  <c r="F127" i="22"/>
  <c r="G127" i="22"/>
  <c r="D128" i="22"/>
  <c r="F128" i="22" s="1"/>
  <c r="E128" i="22"/>
  <c r="G128" i="22" s="1"/>
  <c r="N8" i="22" l="1"/>
  <c r="J9" i="22"/>
  <c r="P9" i="22"/>
  <c r="I10" i="22"/>
  <c r="K9" i="22"/>
  <c r="M8" i="22"/>
  <c r="N9" i="22" l="1"/>
  <c r="M9" i="22"/>
  <c r="J10" i="22"/>
  <c r="P10" i="22"/>
  <c r="I11" i="22"/>
  <c r="K10" i="22"/>
  <c r="O8" i="22"/>
  <c r="N10" i="22" l="1"/>
  <c r="Q8" i="22"/>
  <c r="M10" i="22"/>
  <c r="K11" i="22"/>
  <c r="P11" i="22"/>
  <c r="I12" i="22"/>
  <c r="J11" i="22"/>
  <c r="O9" i="22"/>
  <c r="N11" i="22" l="1"/>
  <c r="Q9" i="22"/>
  <c r="J12" i="22"/>
  <c r="P12" i="22"/>
  <c r="I13" i="22"/>
  <c r="K12" i="22"/>
  <c r="M11" i="22"/>
  <c r="O10" i="22"/>
  <c r="Q10" i="22" s="1"/>
  <c r="M12" i="22" l="1"/>
  <c r="J13" i="22"/>
  <c r="P13" i="22"/>
  <c r="I14" i="22"/>
  <c r="K13" i="22"/>
  <c r="O11" i="22"/>
  <c r="N12" i="22"/>
  <c r="O12" i="22"/>
  <c r="N13" i="22" l="1"/>
  <c r="Q12" i="22"/>
  <c r="Q11" i="22"/>
  <c r="K14" i="22"/>
  <c r="P14" i="22"/>
  <c r="J14" i="22"/>
  <c r="I15" i="22"/>
  <c r="M13" i="22"/>
  <c r="J15" i="22" l="1"/>
  <c r="P15" i="22"/>
  <c r="I16" i="22"/>
  <c r="K15" i="22"/>
  <c r="O13" i="22"/>
  <c r="N14" i="22"/>
  <c r="M14" i="22"/>
  <c r="M15" i="22" l="1"/>
  <c r="J16" i="22"/>
  <c r="P16" i="22"/>
  <c r="I17" i="22"/>
  <c r="K16" i="22"/>
  <c r="Q13" i="22"/>
  <c r="N15" i="22"/>
  <c r="O15" i="22"/>
  <c r="O14" i="22"/>
  <c r="Q15" i="22" l="1"/>
  <c r="K17" i="22"/>
  <c r="P17" i="22"/>
  <c r="I18" i="22"/>
  <c r="J17" i="22"/>
  <c r="M16" i="22"/>
  <c r="Q14" i="22"/>
  <c r="N16" i="22"/>
  <c r="M17" i="22" l="1"/>
  <c r="O16" i="22"/>
  <c r="N17" i="22"/>
  <c r="O17" i="22"/>
  <c r="Q17" i="22" s="1"/>
  <c r="J18" i="22"/>
  <c r="P18" i="22"/>
  <c r="I19" i="22"/>
  <c r="K18" i="22"/>
  <c r="N18" i="22" l="1"/>
  <c r="O18" i="22"/>
  <c r="Q18" i="22" s="1"/>
  <c r="Q16" i="22"/>
  <c r="M18" i="22"/>
  <c r="J19" i="22"/>
  <c r="P19" i="22"/>
  <c r="I20" i="22"/>
  <c r="K19" i="22"/>
  <c r="K20" i="22" l="1"/>
  <c r="P20" i="22"/>
  <c r="J20" i="22"/>
  <c r="I21" i="22"/>
  <c r="M19" i="22"/>
  <c r="O19" i="22"/>
  <c r="Q19" i="22" s="1"/>
  <c r="N19" i="22"/>
  <c r="J21" i="22" l="1"/>
  <c r="P21" i="22"/>
  <c r="I22" i="22"/>
  <c r="K21" i="22"/>
  <c r="N20" i="22"/>
  <c r="M20" i="22"/>
  <c r="M21" i="22" l="1"/>
  <c r="J22" i="22"/>
  <c r="P22" i="22"/>
  <c r="I23" i="22"/>
  <c r="K22" i="22"/>
  <c r="O20" i="22"/>
  <c r="Q20" i="22" s="1"/>
  <c r="N21" i="22"/>
  <c r="O21" i="22"/>
  <c r="Q21" i="22" s="1"/>
  <c r="N22" i="22" l="1"/>
  <c r="M22" i="22"/>
  <c r="K23" i="22"/>
  <c r="I24" i="22"/>
  <c r="P23" i="22"/>
  <c r="J23" i="22"/>
  <c r="N23" i="22" l="1"/>
  <c r="O22" i="22"/>
  <c r="Q22" i="22" s="1"/>
  <c r="K24" i="22"/>
  <c r="J24" i="22"/>
  <c r="I25" i="22"/>
  <c r="P24" i="22"/>
  <c r="M23" i="22"/>
  <c r="N24" i="22" l="1"/>
  <c r="O23" i="22"/>
  <c r="Q23" i="22" s="1"/>
  <c r="M24" i="22"/>
  <c r="J25" i="22"/>
  <c r="P25" i="22"/>
  <c r="I26" i="22"/>
  <c r="K25" i="22"/>
  <c r="O24" i="22" l="1"/>
  <c r="N25" i="22"/>
  <c r="Q24" i="22"/>
  <c r="M25" i="22"/>
  <c r="K26" i="22"/>
  <c r="I27" i="22"/>
  <c r="P26" i="22"/>
  <c r="J26" i="22"/>
  <c r="N26" i="22" l="1"/>
  <c r="J27" i="22"/>
  <c r="P27" i="22"/>
  <c r="I28" i="22"/>
  <c r="K27" i="22"/>
  <c r="M26" i="22"/>
  <c r="O25" i="22"/>
  <c r="Q25" i="22" s="1"/>
  <c r="N27" i="22" l="1"/>
  <c r="J28" i="22"/>
  <c r="P28" i="22"/>
  <c r="I29" i="22"/>
  <c r="K28" i="22"/>
  <c r="M27" i="22"/>
  <c r="O26" i="22"/>
  <c r="Q26" i="22" s="1"/>
  <c r="M28" i="22" l="1"/>
  <c r="K29" i="22"/>
  <c r="I30" i="22"/>
  <c r="P29" i="22"/>
  <c r="J29" i="22"/>
  <c r="N28" i="22"/>
  <c r="O28" i="22"/>
  <c r="O27" i="22"/>
  <c r="Q27" i="22" s="1"/>
  <c r="P30" i="22" l="1"/>
  <c r="J30" i="22"/>
  <c r="K30" i="22"/>
  <c r="I31" i="22"/>
  <c r="M29" i="22"/>
  <c r="N29" i="22"/>
  <c r="Q28" i="22"/>
  <c r="O29" i="22" l="1"/>
  <c r="Q29" i="22" s="1"/>
  <c r="J31" i="22"/>
  <c r="K31" i="22"/>
  <c r="P31" i="22"/>
  <c r="I32" i="22"/>
  <c r="M30" i="22"/>
  <c r="N30" i="22"/>
  <c r="M31" i="22" l="1"/>
  <c r="K32" i="22"/>
  <c r="I33" i="22"/>
  <c r="P32" i="22"/>
  <c r="J32" i="22"/>
  <c r="O31" i="22"/>
  <c r="N31" i="22"/>
  <c r="O30" i="22"/>
  <c r="Q30" i="22" s="1"/>
  <c r="J33" i="22" l="1"/>
  <c r="P33" i="22"/>
  <c r="I34" i="22"/>
  <c r="K33" i="22"/>
  <c r="M32" i="22"/>
  <c r="N32" i="22"/>
  <c r="Q31" i="22"/>
  <c r="O32" i="22" l="1"/>
  <c r="Q32" i="22" s="1"/>
  <c r="P34" i="22"/>
  <c r="J34" i="22"/>
  <c r="K34" i="22"/>
  <c r="I35" i="22"/>
  <c r="M33" i="22"/>
  <c r="N33" i="22"/>
  <c r="O33" i="22" l="1"/>
  <c r="Q33" i="22" s="1"/>
  <c r="M34" i="22"/>
  <c r="J35" i="22"/>
  <c r="K35" i="22"/>
  <c r="I36" i="22"/>
  <c r="P35" i="22"/>
  <c r="N34" i="22"/>
  <c r="M35" i="22" l="1"/>
  <c r="N35" i="22"/>
  <c r="O35" i="22"/>
  <c r="Q35" i="22" s="1"/>
  <c r="O34" i="22"/>
  <c r="Q34" i="22" s="1"/>
  <c r="K36" i="22"/>
  <c r="P36" i="22"/>
  <c r="I37" i="22"/>
  <c r="J36" i="22"/>
  <c r="N36" i="22" l="1"/>
  <c r="K37" i="22"/>
  <c r="P37" i="22"/>
  <c r="I38" i="22"/>
  <c r="J37" i="22"/>
  <c r="M36" i="22"/>
  <c r="O36" i="22" l="1"/>
  <c r="Q36" i="22" s="1"/>
  <c r="N37" i="22"/>
  <c r="K38" i="22"/>
  <c r="I39" i="22"/>
  <c r="P38" i="22"/>
  <c r="J38" i="22"/>
  <c r="M37" i="22"/>
  <c r="O37" i="22" l="1"/>
  <c r="Q37" i="22" s="1"/>
  <c r="J39" i="22"/>
  <c r="P39" i="22"/>
  <c r="I40" i="22"/>
  <c r="K39" i="22"/>
  <c r="N38" i="22"/>
  <c r="M38" i="22"/>
  <c r="I41" i="22" l="1"/>
  <c r="P40" i="22"/>
  <c r="K40" i="22"/>
  <c r="J40" i="22"/>
  <c r="N39" i="22"/>
  <c r="O39" i="22"/>
  <c r="Q39" i="22" s="1"/>
  <c r="M39" i="22"/>
  <c r="O38" i="22"/>
  <c r="Q38" i="22" s="1"/>
  <c r="N40" i="22" l="1"/>
  <c r="M40" i="22"/>
  <c r="P41" i="22"/>
  <c r="J41" i="22"/>
  <c r="I42" i="22"/>
  <c r="K41" i="22"/>
  <c r="J42" i="22" l="1"/>
  <c r="K42" i="22"/>
  <c r="I43" i="22"/>
  <c r="P42" i="22"/>
  <c r="N41" i="22"/>
  <c r="O41" i="22"/>
  <c r="Q41" i="22" s="1"/>
  <c r="M41" i="22"/>
  <c r="O40" i="22"/>
  <c r="Q40" i="22" s="1"/>
  <c r="J43" i="22" l="1"/>
  <c r="K43" i="22"/>
  <c r="P43" i="22"/>
  <c r="I44" i="22"/>
  <c r="M42" i="22"/>
  <c r="N42" i="22"/>
  <c r="K44" i="22" l="1"/>
  <c r="J44" i="22"/>
  <c r="I45" i="22"/>
  <c r="P44" i="22"/>
  <c r="M43" i="22"/>
  <c r="O42" i="22"/>
  <c r="Q42" i="22" s="1"/>
  <c r="N43" i="22"/>
  <c r="O43" i="22" l="1"/>
  <c r="Q43" i="22" s="1"/>
  <c r="J45" i="22"/>
  <c r="P45" i="22"/>
  <c r="I46" i="22"/>
  <c r="K45" i="22"/>
  <c r="N44" i="22"/>
  <c r="M44" i="22"/>
  <c r="M45" i="22" l="1"/>
  <c r="I47" i="22"/>
  <c r="K46" i="22"/>
  <c r="J46" i="22"/>
  <c r="P46" i="22"/>
  <c r="O44" i="22"/>
  <c r="Q44" i="22" s="1"/>
  <c r="O45" i="22"/>
  <c r="Q45" i="22" s="1"/>
  <c r="N45" i="22"/>
  <c r="N46" i="22" l="1"/>
  <c r="M46" i="22"/>
  <c r="I48" i="22"/>
  <c r="P47" i="22"/>
  <c r="J47" i="22"/>
  <c r="K47" i="22"/>
  <c r="M47" i="22" l="1"/>
  <c r="N47" i="22"/>
  <c r="O46" i="22"/>
  <c r="Q46" i="22" s="1"/>
  <c r="P48" i="22"/>
  <c r="I49" i="22"/>
  <c r="J48" i="22"/>
  <c r="K48" i="22"/>
  <c r="O47" i="22" l="1"/>
  <c r="Q47" i="22" s="1"/>
  <c r="P49" i="22"/>
  <c r="I50" i="22"/>
  <c r="J49" i="22"/>
  <c r="K49" i="22"/>
  <c r="M48" i="22"/>
  <c r="N48" i="22"/>
  <c r="M49" i="22" l="1"/>
  <c r="O49" i="22"/>
  <c r="N49" i="22"/>
  <c r="O48" i="22"/>
  <c r="Q48" i="22" s="1"/>
  <c r="K50" i="22"/>
  <c r="P50" i="22"/>
  <c r="J50" i="22"/>
  <c r="I51" i="22"/>
  <c r="Q49" i="22" l="1"/>
  <c r="N50" i="22"/>
  <c r="J51" i="22"/>
  <c r="P51" i="22"/>
  <c r="I52" i="22"/>
  <c r="K51" i="22"/>
  <c r="M50" i="22"/>
  <c r="O50" i="22" l="1"/>
  <c r="Q50" i="22" s="1"/>
  <c r="M51" i="22"/>
  <c r="J52" i="22"/>
  <c r="P52" i="22"/>
  <c r="I53" i="22"/>
  <c r="K52" i="22"/>
  <c r="O51" i="22"/>
  <c r="Q51" i="22" s="1"/>
  <c r="N51" i="22"/>
  <c r="N52" i="22" l="1"/>
  <c r="M52" i="22"/>
  <c r="K53" i="22"/>
  <c r="I54" i="22"/>
  <c r="P53" i="22"/>
  <c r="J53" i="22"/>
  <c r="N53" i="22" l="1"/>
  <c r="K54" i="22"/>
  <c r="J54" i="22"/>
  <c r="I55" i="22"/>
  <c r="P54" i="22"/>
  <c r="M53" i="22"/>
  <c r="O52" i="22"/>
  <c r="Q52" i="22" s="1"/>
  <c r="N54" i="22" l="1"/>
  <c r="M54" i="22"/>
  <c r="O53" i="22"/>
  <c r="Q53" i="22" s="1"/>
  <c r="J55" i="22"/>
  <c r="P55" i="22"/>
  <c r="I56" i="22"/>
  <c r="K55" i="22"/>
  <c r="N55" i="22" l="1"/>
  <c r="O54" i="22"/>
  <c r="Q54" i="22" s="1"/>
  <c r="M55" i="22"/>
  <c r="K56" i="22"/>
  <c r="I57" i="22"/>
  <c r="P56" i="22"/>
  <c r="J56" i="22"/>
  <c r="J57" i="22" l="1"/>
  <c r="K57" i="22"/>
  <c r="I58" i="22"/>
  <c r="P57" i="22"/>
  <c r="N56" i="22"/>
  <c r="M56" i="22"/>
  <c r="O55" i="22"/>
  <c r="Q55" i="22" s="1"/>
  <c r="O56" i="22" l="1"/>
  <c r="Q56" i="22"/>
  <c r="J58" i="22"/>
  <c r="P58" i="22"/>
  <c r="I59" i="22"/>
  <c r="K58" i="22"/>
  <c r="M57" i="22"/>
  <c r="N57" i="22"/>
  <c r="M58" i="22" l="1"/>
  <c r="J59" i="22"/>
  <c r="K59" i="22"/>
  <c r="I60" i="22"/>
  <c r="P59" i="22"/>
  <c r="O57" i="22"/>
  <c r="Q57" i="22" s="1"/>
  <c r="O58" i="22"/>
  <c r="Q58" i="22" s="1"/>
  <c r="N58" i="22"/>
  <c r="K60" i="22" l="1"/>
  <c r="I61" i="22"/>
  <c r="P60" i="22"/>
  <c r="J60" i="22"/>
  <c r="M59" i="22"/>
  <c r="O59" i="22"/>
  <c r="Q59" i="22" s="1"/>
  <c r="N59" i="22"/>
  <c r="J61" i="22" l="1"/>
  <c r="P61" i="22"/>
  <c r="I62" i="22"/>
  <c r="K61" i="22"/>
  <c r="M60" i="22"/>
  <c r="N60" i="22"/>
  <c r="O60" i="22"/>
  <c r="Q60" i="22" s="1"/>
  <c r="I63" i="22" l="1"/>
  <c r="P62" i="22"/>
  <c r="J62" i="22"/>
  <c r="K62" i="22"/>
  <c r="N61" i="22"/>
  <c r="M61" i="22"/>
  <c r="O61" i="22" l="1"/>
  <c r="Q61" i="22" s="1"/>
  <c r="N62" i="22"/>
  <c r="K63" i="22"/>
  <c r="P63" i="22"/>
  <c r="J63" i="22"/>
  <c r="I64" i="22"/>
  <c r="M62" i="22"/>
  <c r="J64" i="22" l="1"/>
  <c r="P64" i="22"/>
  <c r="I65" i="22"/>
  <c r="K64" i="22"/>
  <c r="M63" i="22"/>
  <c r="N63" i="22"/>
  <c r="O62" i="22"/>
  <c r="Q62" i="22" s="1"/>
  <c r="O63" i="22" l="1"/>
  <c r="M64" i="22"/>
  <c r="P65" i="22"/>
  <c r="I66" i="22"/>
  <c r="J65" i="22"/>
  <c r="K65" i="22"/>
  <c r="Q63" i="22"/>
  <c r="O64" i="22"/>
  <c r="Q64" i="22" s="1"/>
  <c r="N64" i="22"/>
  <c r="K66" i="22" l="1"/>
  <c r="I67" i="22"/>
  <c r="P66" i="22"/>
  <c r="J66" i="22"/>
  <c r="M65" i="22"/>
  <c r="N65" i="22"/>
  <c r="O65" i="22" l="1"/>
  <c r="Q65" i="22" s="1"/>
  <c r="J67" i="22"/>
  <c r="P67" i="22"/>
  <c r="I68" i="22"/>
  <c r="K67" i="22"/>
  <c r="M66" i="22"/>
  <c r="N66" i="22"/>
  <c r="O66" i="22"/>
  <c r="Q66" i="22" s="1"/>
  <c r="P68" i="22" l="1"/>
  <c r="J68" i="22"/>
  <c r="K68" i="22"/>
  <c r="I69" i="22"/>
  <c r="N67" i="22"/>
  <c r="M67" i="22"/>
  <c r="N68" i="22" l="1"/>
  <c r="J69" i="22"/>
  <c r="K69" i="22"/>
  <c r="I70" i="22"/>
  <c r="P69" i="22"/>
  <c r="O67" i="22"/>
  <c r="Q67" i="22" s="1"/>
  <c r="M68" i="22"/>
  <c r="K70" i="22" l="1"/>
  <c r="J70" i="22"/>
  <c r="P70" i="22"/>
  <c r="I71" i="22"/>
  <c r="N69" i="22"/>
  <c r="O69" i="22"/>
  <c r="Q69" i="22" s="1"/>
  <c r="M69" i="22"/>
  <c r="O68" i="22"/>
  <c r="Q68" i="22" s="1"/>
  <c r="J71" i="22" l="1"/>
  <c r="P71" i="22"/>
  <c r="I72" i="22"/>
  <c r="K71" i="22"/>
  <c r="O70" i="22"/>
  <c r="Q70" i="22" s="1"/>
  <c r="N70" i="22"/>
  <c r="M70" i="22"/>
  <c r="M71" i="22" l="1"/>
  <c r="J72" i="22"/>
  <c r="P72" i="22"/>
  <c r="I73" i="22"/>
  <c r="K72" i="22"/>
  <c r="O71" i="22"/>
  <c r="Q71" i="22" s="1"/>
  <c r="N71" i="22"/>
  <c r="M72" i="22" l="1"/>
  <c r="J73" i="22"/>
  <c r="P73" i="22"/>
  <c r="I74" i="22"/>
  <c r="K73" i="22"/>
  <c r="O72" i="22"/>
  <c r="Q72" i="22" s="1"/>
  <c r="N72" i="22"/>
  <c r="N73" i="22" l="1"/>
  <c r="M73" i="22"/>
  <c r="J74" i="22"/>
  <c r="P74" i="22"/>
  <c r="I75" i="22"/>
  <c r="K74" i="22"/>
  <c r="M74" i="22" l="1"/>
  <c r="O73" i="22"/>
  <c r="Q73" i="22" s="1"/>
  <c r="N74" i="22"/>
  <c r="O74" i="22"/>
  <c r="J75" i="22"/>
  <c r="P75" i="22"/>
  <c r="I76" i="22"/>
  <c r="K75" i="22"/>
  <c r="K76" i="22" l="1"/>
  <c r="I77" i="22"/>
  <c r="J76" i="22"/>
  <c r="P76" i="22"/>
  <c r="M75" i="22"/>
  <c r="N75" i="22"/>
  <c r="Q74" i="22"/>
  <c r="N76" i="22" l="1"/>
  <c r="J77" i="22"/>
  <c r="P77" i="22"/>
  <c r="I78" i="22"/>
  <c r="K77" i="22"/>
  <c r="O75" i="22"/>
  <c r="Q75" i="22" s="1"/>
  <c r="M76" i="22"/>
  <c r="N77" i="22" l="1"/>
  <c r="M77" i="22"/>
  <c r="J78" i="22"/>
  <c r="P78" i="22"/>
  <c r="K78" i="22"/>
  <c r="O76" i="22"/>
  <c r="Q76" i="22" s="1"/>
  <c r="M78" i="22" l="1"/>
  <c r="O78" i="22"/>
  <c r="Q78" i="22" s="1"/>
  <c r="N78" i="22"/>
  <c r="O77" i="22"/>
  <c r="Q77" i="22" s="1"/>
  <c r="M5" i="18" l="1"/>
  <c r="O5" i="18" s="1"/>
  <c r="M6" i="18"/>
  <c r="O6" i="18" s="1"/>
  <c r="M7" i="18"/>
  <c r="O7" i="18" s="1"/>
  <c r="M8" i="18"/>
  <c r="O8" i="18" s="1"/>
  <c r="M9" i="18"/>
  <c r="O9" i="18" s="1"/>
  <c r="M10" i="18"/>
  <c r="O10" i="18" s="1"/>
  <c r="M11" i="18"/>
  <c r="O11" i="18" s="1"/>
  <c r="M12" i="18"/>
  <c r="O12" i="18" s="1"/>
  <c r="M13" i="18"/>
  <c r="O13" i="18" s="1"/>
  <c r="M14" i="18"/>
  <c r="O14" i="18" s="1"/>
  <c r="M15" i="18"/>
  <c r="O15" i="18" s="1"/>
  <c r="M16" i="18"/>
  <c r="O16" i="18" s="1"/>
  <c r="M17" i="18"/>
  <c r="O17" i="18" s="1"/>
  <c r="M18" i="18"/>
  <c r="O18" i="18" s="1"/>
  <c r="M19" i="18"/>
  <c r="O19" i="18" s="1"/>
  <c r="M20" i="18"/>
  <c r="O20" i="18" s="1"/>
  <c r="M21" i="18"/>
  <c r="O21" i="18" s="1"/>
  <c r="M4" i="18" l="1"/>
  <c r="K11" i="21"/>
  <c r="J15" i="21"/>
  <c r="J11" i="21"/>
  <c r="A4" i="18" l="1"/>
  <c r="A5" i="18" s="1"/>
  <c r="A6" i="18" s="1"/>
  <c r="A7" i="18" s="1"/>
  <c r="A8" i="18" s="1"/>
  <c r="A9" i="18" s="1"/>
  <c r="A10" i="18" s="1"/>
  <c r="A11" i="18" s="1"/>
  <c r="A12" i="18" s="1"/>
  <c r="A13" i="18" s="1"/>
  <c r="A14" i="18" s="1"/>
  <c r="A15" i="18" s="1"/>
  <c r="A16" i="18" s="1"/>
  <c r="A17" i="18" s="1"/>
  <c r="A18" i="18" s="1"/>
  <c r="A1" i="18"/>
  <c r="C9" i="18" s="1" a="1"/>
  <c r="C9" i="18" s="1"/>
  <c r="C6" i="18" l="1" a="1"/>
  <c r="C6" i="18" s="1"/>
  <c r="C15" i="18" a="1"/>
  <c r="C15" i="18" s="1"/>
  <c r="P8" i="13" s="1"/>
  <c r="AL8" i="13" s="1"/>
  <c r="C8" i="18" a="1"/>
  <c r="C8" i="18" s="1"/>
  <c r="C57" i="18" s="1"/>
  <c r="C12" i="18" a="1"/>
  <c r="C12" i="18" s="1"/>
  <c r="C10" i="18" a="1"/>
  <c r="C10" i="18" s="1"/>
  <c r="C13" i="18" a="1"/>
  <c r="C13" i="18" s="1"/>
  <c r="C4" i="18" a="1"/>
  <c r="C4" i="18" s="1"/>
  <c r="C14" i="18" a="1"/>
  <c r="C14" i="18" s="1"/>
  <c r="C18" i="18" a="1"/>
  <c r="C18" i="18" s="1"/>
  <c r="C50" i="18" s="1"/>
  <c r="C7" i="18" a="1"/>
  <c r="C7" i="18" s="1"/>
  <c r="C17" i="18" a="1"/>
  <c r="C17" i="18" s="1"/>
  <c r="C16" i="18" a="1"/>
  <c r="C16" i="18" s="1"/>
  <c r="R8" i="13" s="1"/>
  <c r="AM8" i="13" s="1"/>
  <c r="C5" i="18" a="1"/>
  <c r="C5" i="18" s="1"/>
  <c r="C11" i="18" a="1"/>
  <c r="C11" i="18" s="1"/>
  <c r="C55" i="18" l="1"/>
  <c r="C56" i="18"/>
  <c r="C53" i="18"/>
  <c r="C54" i="18"/>
  <c r="C40" i="18"/>
  <c r="C41" i="18" s="1"/>
  <c r="C51" i="18"/>
  <c r="C42" i="18"/>
  <c r="C39" i="18"/>
  <c r="C49" i="18"/>
  <c r="C47" i="18"/>
  <c r="C43" i="18" l="1"/>
  <c r="C44" i="18" s="1"/>
  <c r="C46" i="18" s="1" a="1"/>
  <c r="C46" i="18" s="1"/>
  <c r="C45" i="18" l="1" a="1"/>
  <c r="C45" i="18" s="1"/>
  <c r="C48" i="18"/>
  <c r="A9" i="13"/>
  <c r="A10" i="13" l="1"/>
  <c r="A11" i="13" s="1"/>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A161" i="13" s="1"/>
  <c r="A162" i="13" s="1"/>
  <c r="A163" i="13" s="1"/>
  <c r="A164" i="13" s="1"/>
  <c r="A165" i="13" s="1"/>
  <c r="A166" i="13" s="1"/>
  <c r="A167" i="13" s="1"/>
  <c r="A168" i="13" s="1"/>
  <c r="A169" i="13" s="1"/>
  <c r="A170" i="13" s="1"/>
  <c r="A171" i="13" s="1"/>
  <c r="A172" i="13" s="1"/>
  <c r="A173" i="13" s="1"/>
  <c r="A174" i="13" s="1"/>
  <c r="A175" i="13" s="1"/>
  <c r="A176" i="13" s="1"/>
  <c r="A177" i="13" s="1"/>
  <c r="A178" i="13" s="1"/>
  <c r="A179" i="13" s="1"/>
  <c r="A180" i="13" s="1"/>
  <c r="A181" i="13" s="1"/>
  <c r="A182" i="13" s="1"/>
  <c r="A183" i="13" s="1"/>
  <c r="A184" i="13" s="1"/>
  <c r="A185" i="13" s="1"/>
  <c r="A186" i="13" s="1"/>
  <c r="A187" i="13" s="1"/>
  <c r="A188" i="13" s="1"/>
  <c r="A189" i="13" s="1"/>
  <c r="A190" i="13" s="1"/>
  <c r="A191" i="13" s="1"/>
  <c r="A192" i="13" s="1"/>
  <c r="A193" i="13" s="1"/>
  <c r="A194" i="13" s="1"/>
  <c r="A195" i="13" s="1"/>
  <c r="A196" i="13" s="1"/>
  <c r="A197" i="13" s="1"/>
  <c r="A198" i="13" s="1"/>
  <c r="A199" i="13" s="1"/>
  <c r="A200" i="13" s="1"/>
  <c r="A201" i="13" s="1"/>
  <c r="A202" i="13" s="1"/>
  <c r="A203" i="13" s="1"/>
  <c r="A204" i="13" s="1"/>
  <c r="A205" i="13" s="1"/>
  <c r="A206" i="13" s="1"/>
  <c r="A207" i="13" s="1"/>
  <c r="A208" i="13" s="1"/>
  <c r="A209" i="13" s="1"/>
  <c r="A210" i="13" s="1"/>
  <c r="A211" i="13" s="1"/>
  <c r="A212" i="13" s="1"/>
  <c r="A213" i="13" s="1"/>
  <c r="A214" i="13" s="1"/>
  <c r="A215" i="13" s="1"/>
  <c r="A216" i="13" s="1"/>
  <c r="A217" i="13" s="1"/>
  <c r="A218" i="13" s="1"/>
  <c r="A219" i="13" s="1"/>
  <c r="A220" i="13" s="1"/>
  <c r="A221" i="13" s="1"/>
  <c r="A222" i="13" s="1"/>
  <c r="A223" i="13" s="1"/>
  <c r="A224" i="13" s="1"/>
  <c r="A225" i="13" s="1"/>
  <c r="A226" i="13" s="1"/>
  <c r="A227" i="13" s="1"/>
  <c r="A228" i="13" s="1"/>
  <c r="A229" i="13" s="1"/>
  <c r="A230" i="13" s="1"/>
  <c r="A231" i="13" s="1"/>
  <c r="A232" i="13" s="1"/>
  <c r="A233" i="13" s="1"/>
  <c r="A234" i="13" s="1"/>
  <c r="A235" i="13" s="1"/>
  <c r="A236" i="13" s="1"/>
  <c r="A237" i="13" s="1"/>
  <c r="A238" i="13" s="1"/>
  <c r="A239" i="13" s="1"/>
  <c r="A240" i="13" s="1"/>
  <c r="A241" i="13" s="1"/>
  <c r="A242" i="13" s="1"/>
  <c r="A243" i="13" s="1"/>
  <c r="A244" i="13" s="1"/>
  <c r="A245" i="13" s="1"/>
  <c r="A246" i="13" s="1"/>
  <c r="A247" i="13" s="1"/>
  <c r="A248" i="13" s="1"/>
  <c r="A249" i="13" s="1"/>
  <c r="A250" i="13" s="1"/>
  <c r="A251" i="13" s="1"/>
  <c r="A252" i="13" s="1"/>
  <c r="A253" i="13" s="1"/>
  <c r="A254" i="13" s="1"/>
  <c r="A255" i="13" s="1"/>
  <c r="A256" i="13" s="1"/>
  <c r="A257" i="13" s="1"/>
  <c r="A258" i="13" s="1"/>
  <c r="A259" i="13" s="1"/>
  <c r="A260" i="13" s="1"/>
  <c r="A261" i="13" s="1"/>
  <c r="A262" i="13" s="1"/>
  <c r="A263" i="13" s="1"/>
  <c r="A264" i="13" s="1"/>
  <c r="A265" i="13" s="1"/>
  <c r="A266" i="13" s="1"/>
  <c r="A267" i="13" s="1"/>
  <c r="A268" i="13" s="1"/>
  <c r="A269" i="13" s="1"/>
  <c r="A270" i="13" s="1"/>
  <c r="A271" i="13" s="1"/>
  <c r="A272" i="13" s="1"/>
  <c r="A273" i="13" s="1"/>
  <c r="A274" i="13" s="1"/>
  <c r="A275" i="13" s="1"/>
  <c r="A276" i="13" s="1"/>
  <c r="A277" i="13" s="1"/>
  <c r="A278" i="13" s="1"/>
  <c r="A279" i="13" s="1"/>
  <c r="A280" i="13" s="1"/>
  <c r="A281" i="13" s="1"/>
  <c r="A282" i="13" s="1"/>
  <c r="A283" i="13" s="1"/>
  <c r="A284" i="13" s="1"/>
  <c r="A285" i="13" s="1"/>
  <c r="A286" i="13" s="1"/>
  <c r="A287" i="13" s="1"/>
  <c r="A288" i="13" s="1"/>
  <c r="A289" i="13" s="1"/>
  <c r="A290" i="13" s="1"/>
  <c r="A291" i="13" s="1"/>
  <c r="A292" i="13" s="1"/>
  <c r="A293" i="13" s="1"/>
  <c r="A294" i="13" s="1"/>
  <c r="A295" i="13" s="1"/>
  <c r="A296" i="13" s="1"/>
  <c r="A297" i="13" s="1"/>
  <c r="A298" i="13" s="1"/>
  <c r="A299" i="13" s="1"/>
  <c r="A300" i="13" s="1"/>
  <c r="A301" i="13" s="1"/>
  <c r="A302" i="13" s="1"/>
  <c r="A303" i="13" s="1"/>
  <c r="A304" i="13" s="1"/>
  <c r="A305" i="13" s="1"/>
  <c r="A306" i="13" s="1"/>
  <c r="A307" i="13" s="1"/>
  <c r="A308" i="13" s="1"/>
  <c r="A309" i="13" s="1"/>
  <c r="A310" i="13" s="1"/>
  <c r="B8" i="13"/>
  <c r="AR9" i="13"/>
  <c r="AR10" i="13" s="1"/>
  <c r="AR11" i="13" s="1"/>
  <c r="AR12" i="13" s="1"/>
  <c r="AR13" i="13" s="1"/>
  <c r="AR14" i="13" s="1"/>
  <c r="AR15" i="13" s="1"/>
  <c r="AR16" i="13" s="1"/>
  <c r="AR17" i="13" s="1"/>
  <c r="AR18" i="13" s="1"/>
  <c r="AR19" i="13" s="1"/>
  <c r="AR20" i="13" s="1"/>
  <c r="AR21" i="13" s="1"/>
  <c r="AR22" i="13" s="1"/>
  <c r="AR23" i="13" s="1"/>
  <c r="AR24" i="13" s="1"/>
  <c r="AR25" i="13" s="1"/>
  <c r="AR26" i="13" s="1"/>
  <c r="AR27" i="13" s="1"/>
  <c r="AR28" i="13" s="1"/>
  <c r="AR29" i="13" s="1"/>
  <c r="AR30" i="13" s="1"/>
  <c r="AR31" i="13" s="1"/>
  <c r="AR32" i="13" s="1"/>
  <c r="AR33" i="13" s="1"/>
  <c r="AR34" i="13" s="1"/>
  <c r="AR35" i="13" s="1"/>
  <c r="AR36" i="13" s="1"/>
  <c r="AR37" i="13" s="1"/>
  <c r="AR38" i="13" s="1"/>
  <c r="AR39" i="13" s="1"/>
  <c r="AR40" i="13" s="1"/>
  <c r="AR41" i="13" s="1"/>
  <c r="AR42" i="13" s="1"/>
  <c r="AR43" i="13" s="1"/>
  <c r="AR44" i="13" s="1"/>
  <c r="AR45" i="13" s="1"/>
  <c r="AR46" i="13" s="1"/>
  <c r="AR47" i="13" s="1"/>
  <c r="AR48" i="13" s="1"/>
  <c r="AR49" i="13" s="1"/>
  <c r="AR50" i="13" s="1"/>
  <c r="AR51" i="13" s="1"/>
  <c r="AR52" i="13" s="1"/>
  <c r="AR53" i="13" s="1"/>
  <c r="AR54" i="13" s="1"/>
  <c r="AR55" i="13" s="1"/>
  <c r="AR56" i="13" s="1"/>
  <c r="AR57" i="13" s="1"/>
  <c r="AR58" i="13" s="1"/>
  <c r="AR59" i="13" s="1"/>
  <c r="AR60" i="13" s="1"/>
  <c r="AR61" i="13" s="1"/>
  <c r="AR62" i="13" s="1"/>
  <c r="AR63" i="13" s="1"/>
  <c r="AR64" i="13" s="1"/>
  <c r="AR65" i="13" s="1"/>
  <c r="AR66" i="13" s="1"/>
  <c r="AR67" i="13" s="1"/>
  <c r="AR68" i="13" s="1"/>
  <c r="AR69" i="13" s="1"/>
  <c r="AR70" i="13" s="1"/>
  <c r="AR71" i="13" s="1"/>
  <c r="AR72" i="13" s="1"/>
  <c r="AR73" i="13" s="1"/>
  <c r="AR74" i="13" s="1"/>
  <c r="AR75" i="13" s="1"/>
  <c r="AR76" i="13" s="1"/>
  <c r="AR77" i="13" s="1"/>
  <c r="AR78" i="13" s="1"/>
  <c r="AR79" i="13" s="1"/>
  <c r="AR80" i="13" s="1"/>
  <c r="AR81" i="13" s="1"/>
  <c r="AR82" i="13" s="1"/>
  <c r="AR83" i="13" s="1"/>
  <c r="AR84" i="13" s="1"/>
  <c r="AR85" i="13" s="1"/>
  <c r="AR86" i="13" s="1"/>
  <c r="AR87" i="13" s="1"/>
  <c r="AR88" i="13" s="1"/>
  <c r="AR89" i="13" s="1"/>
  <c r="AR90" i="13" s="1"/>
  <c r="AR91" i="13" s="1"/>
  <c r="AR92" i="13" s="1"/>
  <c r="AR93" i="13" s="1"/>
  <c r="AR94" i="13" s="1"/>
  <c r="AR95" i="13" s="1"/>
  <c r="AR96" i="13" s="1"/>
  <c r="AR97" i="13" s="1"/>
  <c r="AR98" i="13" s="1"/>
  <c r="AR99" i="13" s="1"/>
  <c r="AR100" i="13" s="1"/>
  <c r="AR101" i="13" s="1"/>
  <c r="AR102" i="13" s="1"/>
  <c r="AR103" i="13" s="1"/>
  <c r="AR104" i="13" s="1"/>
  <c r="AR105" i="13" s="1"/>
  <c r="AR106" i="13" s="1"/>
  <c r="AR107" i="13" s="1"/>
  <c r="AR108" i="13" s="1"/>
  <c r="AR109" i="13" s="1"/>
  <c r="AR110" i="13" s="1"/>
  <c r="AR111" i="13" s="1"/>
  <c r="AR112" i="13" s="1"/>
  <c r="AR113" i="13" s="1"/>
  <c r="AR114" i="13" s="1"/>
  <c r="AR115" i="13" s="1"/>
  <c r="AR116" i="13" s="1"/>
  <c r="AR117" i="13" s="1"/>
  <c r="AR118" i="13" s="1"/>
  <c r="AR119" i="13" s="1"/>
  <c r="AR120" i="13" s="1"/>
  <c r="AR121" i="13" s="1"/>
  <c r="AR122" i="13" s="1"/>
  <c r="AR123" i="13" s="1"/>
  <c r="AR124" i="13" s="1"/>
  <c r="AR125" i="13" s="1"/>
  <c r="AR126" i="13" s="1"/>
  <c r="AR127" i="13" s="1"/>
  <c r="AR128" i="13" s="1"/>
  <c r="AR129" i="13" s="1"/>
  <c r="AR130" i="13" s="1"/>
  <c r="AR131" i="13" s="1"/>
  <c r="AR132" i="13" s="1"/>
  <c r="AR133" i="13" s="1"/>
  <c r="AR134" i="13" s="1"/>
  <c r="AR135" i="13" s="1"/>
  <c r="AR136" i="13" s="1"/>
  <c r="AR137" i="13" s="1"/>
  <c r="AR138" i="13" s="1"/>
  <c r="AR139" i="13" s="1"/>
  <c r="AR140" i="13" s="1"/>
  <c r="AR141" i="13" s="1"/>
  <c r="AR142" i="13" s="1"/>
  <c r="AR143" i="13" s="1"/>
  <c r="AR144" i="13" s="1"/>
  <c r="AR145" i="13" s="1"/>
  <c r="AR146" i="13" s="1"/>
  <c r="AR147" i="13" s="1"/>
  <c r="AR148" i="13" s="1"/>
  <c r="AR149" i="13" s="1"/>
  <c r="AR150" i="13" s="1"/>
  <c r="AR151" i="13" s="1"/>
  <c r="AR152" i="13" s="1"/>
  <c r="AR153" i="13" s="1"/>
  <c r="AR154" i="13" s="1"/>
  <c r="AR155" i="13" s="1"/>
  <c r="AR156" i="13" s="1"/>
  <c r="AR157" i="13" s="1"/>
  <c r="AR158" i="13" s="1"/>
  <c r="AR159" i="13" s="1"/>
  <c r="AR160" i="13" s="1"/>
  <c r="AR161" i="13" s="1"/>
  <c r="AR162" i="13" s="1"/>
  <c r="AR163" i="13" s="1"/>
  <c r="AR164" i="13" s="1"/>
  <c r="AR165" i="13" s="1"/>
  <c r="AR166" i="13" s="1"/>
  <c r="AR167" i="13" s="1"/>
  <c r="AR168" i="13" s="1"/>
  <c r="AR169" i="13" s="1"/>
  <c r="AR170" i="13" s="1"/>
  <c r="AR171" i="13" s="1"/>
  <c r="AR172" i="13" s="1"/>
  <c r="AR173" i="13" s="1"/>
  <c r="AR174" i="13" s="1"/>
  <c r="AR175" i="13" s="1"/>
  <c r="AR176" i="13" s="1"/>
  <c r="AR177" i="13" s="1"/>
  <c r="AR178" i="13" s="1"/>
  <c r="AR179" i="13" s="1"/>
  <c r="AR180" i="13" s="1"/>
  <c r="AR181" i="13" s="1"/>
  <c r="AR182" i="13" s="1"/>
  <c r="AR183" i="13" s="1"/>
  <c r="AR184" i="13" s="1"/>
  <c r="AR185" i="13" s="1"/>
  <c r="AR186" i="13" s="1"/>
  <c r="AR187" i="13" s="1"/>
  <c r="AR188" i="13" s="1"/>
  <c r="AR189" i="13" s="1"/>
  <c r="AR190" i="13" s="1"/>
  <c r="AR191" i="13" s="1"/>
  <c r="AR192" i="13" s="1"/>
  <c r="AR193" i="13" s="1"/>
  <c r="AR194" i="13" s="1"/>
  <c r="AR195" i="13" s="1"/>
  <c r="AR196" i="13" s="1"/>
  <c r="AR197" i="13" s="1"/>
  <c r="AR198" i="13" s="1"/>
  <c r="AR199" i="13" s="1"/>
  <c r="AR200" i="13" s="1"/>
  <c r="AR201" i="13" s="1"/>
  <c r="AR202" i="13" s="1"/>
  <c r="AR203" i="13" s="1"/>
  <c r="AR204" i="13" s="1"/>
  <c r="AR205" i="13" s="1"/>
  <c r="AR206" i="13" s="1"/>
  <c r="AR207" i="13" s="1"/>
  <c r="AR208" i="13" s="1"/>
  <c r="AR209" i="13" s="1"/>
  <c r="AR210" i="13" s="1"/>
  <c r="AR211" i="13" s="1"/>
  <c r="AR212" i="13" s="1"/>
  <c r="AR213" i="13" s="1"/>
  <c r="AR214" i="13" s="1"/>
  <c r="AR215" i="13" s="1"/>
  <c r="AR216" i="13" s="1"/>
  <c r="AR217" i="13" s="1"/>
  <c r="AR218" i="13" s="1"/>
  <c r="AR219" i="13" s="1"/>
  <c r="AR220" i="13" s="1"/>
  <c r="AR221" i="13" s="1"/>
  <c r="AR222" i="13" s="1"/>
  <c r="AR223" i="13" s="1"/>
  <c r="AR224" i="13" s="1"/>
  <c r="AR225" i="13" s="1"/>
  <c r="AR226" i="13" s="1"/>
  <c r="AR227" i="13" s="1"/>
  <c r="AR228" i="13" s="1"/>
  <c r="AR229" i="13" s="1"/>
  <c r="AR230" i="13" s="1"/>
  <c r="AR231" i="13" s="1"/>
  <c r="AR232" i="13" s="1"/>
  <c r="AR233" i="13" s="1"/>
  <c r="AR234" i="13" s="1"/>
  <c r="AR235" i="13" s="1"/>
  <c r="AR236" i="13" s="1"/>
  <c r="AR237" i="13" s="1"/>
  <c r="AR238" i="13" s="1"/>
  <c r="AR239" i="13" s="1"/>
  <c r="AR240" i="13" s="1"/>
  <c r="AR241" i="13" s="1"/>
  <c r="AR242" i="13" s="1"/>
  <c r="AR243" i="13" s="1"/>
  <c r="AR244" i="13" s="1"/>
  <c r="AR245" i="13" s="1"/>
  <c r="AR246" i="13" s="1"/>
  <c r="AR247" i="13" s="1"/>
  <c r="AR248" i="13" s="1"/>
  <c r="AR249" i="13" s="1"/>
  <c r="AR250" i="13" s="1"/>
  <c r="AR251" i="13" s="1"/>
  <c r="AR252" i="13" s="1"/>
  <c r="AR253" i="13" s="1"/>
  <c r="AR254" i="13" s="1"/>
  <c r="AR255" i="13" s="1"/>
  <c r="AR256" i="13" s="1"/>
  <c r="AR257" i="13" s="1"/>
  <c r="AR258" i="13" s="1"/>
  <c r="AR259" i="13" s="1"/>
  <c r="AR260" i="13" s="1"/>
  <c r="AR261" i="13" s="1"/>
  <c r="AR262" i="13" s="1"/>
  <c r="AR263" i="13" s="1"/>
  <c r="AR264" i="13" s="1"/>
  <c r="AR265" i="13" s="1"/>
  <c r="AR266" i="13" s="1"/>
  <c r="AR267" i="13" s="1"/>
  <c r="AR268" i="13" s="1"/>
  <c r="AR269" i="13" s="1"/>
  <c r="AR270" i="13" s="1"/>
  <c r="AR271" i="13" s="1"/>
  <c r="AR272" i="13" s="1"/>
  <c r="AR273" i="13" s="1"/>
  <c r="AR274" i="13" s="1"/>
  <c r="AR275" i="13" s="1"/>
  <c r="AR276" i="13" s="1"/>
  <c r="AR277" i="13" s="1"/>
  <c r="AR278" i="13" s="1"/>
  <c r="AR279" i="13" s="1"/>
  <c r="AR280" i="13" s="1"/>
  <c r="AR281" i="13" s="1"/>
  <c r="AR282" i="13" s="1"/>
  <c r="AR283" i="13" s="1"/>
  <c r="AR284" i="13" s="1"/>
  <c r="AR285" i="13" s="1"/>
  <c r="AR286" i="13" s="1"/>
  <c r="AR287" i="13" s="1"/>
  <c r="AR288" i="13" s="1"/>
  <c r="AR289" i="13" s="1"/>
  <c r="AR290" i="13" s="1"/>
  <c r="AR291" i="13" s="1"/>
  <c r="AR292" i="13" s="1"/>
  <c r="AR293" i="13" s="1"/>
  <c r="AR294" i="13" s="1"/>
  <c r="AR295" i="13" s="1"/>
  <c r="AR296" i="13" s="1"/>
  <c r="AR297" i="13" s="1"/>
  <c r="AR298" i="13" s="1"/>
  <c r="AR299" i="13" s="1"/>
  <c r="AR300" i="13" s="1"/>
  <c r="AR301" i="13" s="1"/>
  <c r="AR302" i="13" s="1"/>
  <c r="AR303" i="13" s="1"/>
  <c r="AR304" i="13" s="1"/>
  <c r="AR305" i="13" s="1"/>
  <c r="AR306" i="13" s="1"/>
  <c r="AR307" i="13" s="1"/>
  <c r="AR308" i="13" s="1"/>
  <c r="AR309" i="13" s="1"/>
  <c r="AR310" i="13" s="1"/>
  <c r="AR311" i="13" s="1"/>
  <c r="AR312" i="13" s="1"/>
  <c r="AR313" i="13" s="1"/>
  <c r="AR314" i="13" s="1"/>
  <c r="AR315" i="13" s="1"/>
  <c r="AR316" i="13" s="1"/>
  <c r="AR317" i="13" s="1"/>
  <c r="AR318" i="13" s="1"/>
  <c r="AR319" i="13" s="1"/>
  <c r="AR320" i="13" s="1"/>
  <c r="AR321" i="13" s="1"/>
  <c r="AR322" i="13" s="1"/>
  <c r="AR323" i="13" s="1"/>
  <c r="AR324" i="13" s="1"/>
  <c r="AR325" i="13" s="1"/>
  <c r="AR326" i="13" s="1"/>
  <c r="AR327" i="13" s="1"/>
  <c r="AR328" i="13" s="1"/>
  <c r="AR329" i="13" s="1"/>
  <c r="AR330" i="13" s="1"/>
  <c r="AR331" i="13" s="1"/>
  <c r="AR332" i="13" s="1"/>
  <c r="AR333" i="13" s="1"/>
  <c r="AR334" i="13" s="1"/>
  <c r="AR335" i="13" s="1"/>
  <c r="AR336" i="13" s="1"/>
  <c r="AR337" i="13" s="1"/>
  <c r="AR338" i="13" s="1"/>
  <c r="AR339" i="13" s="1"/>
  <c r="AR340" i="13" s="1"/>
  <c r="AR341" i="13" s="1"/>
  <c r="AR342" i="13" s="1"/>
  <c r="AR343" i="13" s="1"/>
  <c r="AR344" i="13" s="1"/>
  <c r="AR345" i="13" s="1"/>
  <c r="AR346" i="13" s="1"/>
  <c r="AR347" i="13" s="1"/>
  <c r="AR348" i="13" s="1"/>
  <c r="AR349" i="13" s="1"/>
  <c r="AR350" i="13" s="1"/>
  <c r="E8" i="13" l="1"/>
  <c r="F8" i="13"/>
  <c r="AF8" i="13" s="1"/>
  <c r="D8" i="13"/>
  <c r="B9" i="13"/>
  <c r="X8" i="13"/>
  <c r="Y8" i="13"/>
  <c r="V8" i="13"/>
  <c r="W8" i="13"/>
  <c r="N8" i="13"/>
  <c r="BM28" i="13"/>
  <c r="BL28" i="13"/>
  <c r="BK28" i="13"/>
  <c r="BJ28" i="13"/>
  <c r="BI28" i="13"/>
  <c r="BM26" i="13"/>
  <c r="BL26" i="13"/>
  <c r="BK26" i="13"/>
  <c r="BJ26" i="13"/>
  <c r="BI26" i="13"/>
  <c r="BM24" i="13"/>
  <c r="BL24" i="13"/>
  <c r="BK24" i="13"/>
  <c r="BJ24" i="13"/>
  <c r="BI24" i="13"/>
  <c r="BM13" i="13"/>
  <c r="BL13" i="13"/>
  <c r="BK13" i="13"/>
  <c r="BJ13" i="13"/>
  <c r="BI13" i="13"/>
  <c r="AE8" i="13" l="1"/>
  <c r="AH8" i="13" s="1"/>
  <c r="F9" i="13"/>
  <c r="AF9" i="13" s="1"/>
  <c r="T8" i="13"/>
  <c r="C8" i="13"/>
  <c r="L8" i="13" s="1"/>
  <c r="E9" i="13"/>
  <c r="I9" i="13" s="1"/>
  <c r="D9" i="13"/>
  <c r="I8" i="13"/>
  <c r="M8" i="13"/>
  <c r="B10" i="13"/>
  <c r="Z8" i="13"/>
  <c r="AB8" i="13"/>
  <c r="H9" i="13"/>
  <c r="Y9" i="13" s="1"/>
  <c r="AA9" i="13" s="1"/>
  <c r="G9" i="13"/>
  <c r="X9" i="13" s="1"/>
  <c r="AA8" i="13"/>
  <c r="W9" i="13"/>
  <c r="V9" i="13"/>
  <c r="O8" i="13"/>
  <c r="AK8" i="13" s="1"/>
  <c r="N9" i="13"/>
  <c r="AO8" i="13" l="1"/>
  <c r="AE9" i="13"/>
  <c r="AH9" i="13" s="1"/>
  <c r="Q9" i="13"/>
  <c r="D10" i="13"/>
  <c r="F10" i="13"/>
  <c r="AF10" i="13" s="1"/>
  <c r="E10" i="13"/>
  <c r="I10" i="13" s="1"/>
  <c r="C9" i="13"/>
  <c r="K9" i="13" s="1"/>
  <c r="B11" i="13"/>
  <c r="U8" i="13"/>
  <c r="AD8" i="13" s="1"/>
  <c r="AC8" i="13"/>
  <c r="Z9" i="13"/>
  <c r="AB9" i="13"/>
  <c r="H10" i="13"/>
  <c r="Y10" i="13" s="1"/>
  <c r="G10" i="13"/>
  <c r="X10" i="13" s="1"/>
  <c r="W10" i="13"/>
  <c r="V10" i="13"/>
  <c r="N10" i="13"/>
  <c r="O9" i="13"/>
  <c r="AK9" i="13" s="1"/>
  <c r="U9" i="13" l="1"/>
  <c r="AD9" i="13" s="1"/>
  <c r="AE10" i="13"/>
  <c r="AH10" i="13" s="1"/>
  <c r="F11" i="13"/>
  <c r="AF11" i="13" s="1"/>
  <c r="Q10" i="13"/>
  <c r="D11" i="13"/>
  <c r="E11" i="13"/>
  <c r="I11" i="13" s="1"/>
  <c r="L9" i="13"/>
  <c r="J9" i="13"/>
  <c r="M9" i="13" s="1"/>
  <c r="P9" i="13" s="1"/>
  <c r="S9" i="13"/>
  <c r="AN9" i="13" s="1"/>
  <c r="C10" i="13"/>
  <c r="L10" i="13" s="1"/>
  <c r="B12" i="13"/>
  <c r="AP8" i="13"/>
  <c r="AC9" i="13"/>
  <c r="Z10" i="13"/>
  <c r="AB10" i="13"/>
  <c r="AA10" i="13"/>
  <c r="H11" i="13"/>
  <c r="Y11" i="13" s="1"/>
  <c r="G11" i="13"/>
  <c r="X11" i="13" s="1"/>
  <c r="W11" i="13"/>
  <c r="V11" i="13"/>
  <c r="N11" i="13"/>
  <c r="O10" i="13"/>
  <c r="AK10" i="13" s="1"/>
  <c r="AE11" i="13" l="1"/>
  <c r="AH11" i="13" s="1"/>
  <c r="U10" i="13"/>
  <c r="AD10" i="13" s="1"/>
  <c r="Q11" i="13"/>
  <c r="F12" i="13"/>
  <c r="AF12" i="13" s="1"/>
  <c r="E12" i="13"/>
  <c r="I12" i="13" s="1"/>
  <c r="D12" i="13"/>
  <c r="J10" i="13"/>
  <c r="C11" i="13"/>
  <c r="B13" i="13"/>
  <c r="AA11" i="13"/>
  <c r="H12" i="13"/>
  <c r="Y12" i="13" s="1"/>
  <c r="G12" i="13"/>
  <c r="X12" i="13" s="1"/>
  <c r="Z12" i="13" s="1"/>
  <c r="Z11" i="13"/>
  <c r="AB11" i="13"/>
  <c r="AC10" i="13"/>
  <c r="AL9" i="13"/>
  <c r="W12" i="13"/>
  <c r="V12" i="13"/>
  <c r="T9" i="13"/>
  <c r="N12" i="13"/>
  <c r="O11" i="13"/>
  <c r="AK11" i="13" s="1"/>
  <c r="AO9" i="13" l="1"/>
  <c r="AE12" i="13"/>
  <c r="Q12" i="13"/>
  <c r="E13" i="13"/>
  <c r="D13" i="13"/>
  <c r="F13" i="13"/>
  <c r="AF13" i="13" s="1"/>
  <c r="S11" i="13"/>
  <c r="AN11" i="13" s="1"/>
  <c r="L11" i="13"/>
  <c r="J11" i="13"/>
  <c r="C12" i="13"/>
  <c r="B14" i="13"/>
  <c r="I13" i="13"/>
  <c r="AC11" i="13"/>
  <c r="AA12" i="13"/>
  <c r="U11" i="13"/>
  <c r="AD11" i="13" s="1"/>
  <c r="H13" i="13"/>
  <c r="Y13" i="13" s="1"/>
  <c r="G13" i="13"/>
  <c r="X13" i="13" s="1"/>
  <c r="AB12" i="13"/>
  <c r="AP9" i="13"/>
  <c r="V13" i="13"/>
  <c r="W13" i="13"/>
  <c r="R9" i="13"/>
  <c r="K10" i="13"/>
  <c r="M10" i="13" s="1"/>
  <c r="N13" i="13"/>
  <c r="O12" i="13"/>
  <c r="AK12" i="13" s="1"/>
  <c r="AE13" i="13" l="1"/>
  <c r="AH12" i="13"/>
  <c r="Q13" i="13"/>
  <c r="E14" i="13"/>
  <c r="I14" i="13" s="1"/>
  <c r="F14" i="13"/>
  <c r="AF14" i="13" s="1"/>
  <c r="D14" i="13"/>
  <c r="J12" i="13"/>
  <c r="L12" i="13"/>
  <c r="C13" i="13"/>
  <c r="B15" i="13"/>
  <c r="AA13" i="13"/>
  <c r="G14" i="13"/>
  <c r="X14" i="13" s="1"/>
  <c r="H14" i="13"/>
  <c r="Y14" i="13" s="1"/>
  <c r="AC12" i="13"/>
  <c r="Z13" i="13"/>
  <c r="U12" i="13"/>
  <c r="AD12" i="13" s="1"/>
  <c r="AB13" i="13"/>
  <c r="V14" i="13"/>
  <c r="W14" i="13"/>
  <c r="S10" i="13"/>
  <c r="AN10" i="13" s="1"/>
  <c r="AM9" i="13"/>
  <c r="N14" i="13"/>
  <c r="O13" i="13"/>
  <c r="AK13" i="13" s="1"/>
  <c r="AH13" i="13" l="1"/>
  <c r="AE14" i="13"/>
  <c r="U13" i="13"/>
  <c r="AD13" i="13" s="1"/>
  <c r="F15" i="13"/>
  <c r="AF15" i="13" s="1"/>
  <c r="Q14" i="13"/>
  <c r="E15" i="13"/>
  <c r="I15" i="13" s="1"/>
  <c r="D15" i="13"/>
  <c r="J13" i="13"/>
  <c r="L13" i="13"/>
  <c r="S13" i="13"/>
  <c r="AN13" i="13" s="1"/>
  <c r="B16" i="13"/>
  <c r="C14" i="13"/>
  <c r="AB14" i="13"/>
  <c r="Z14" i="13"/>
  <c r="AC13" i="13"/>
  <c r="AA14" i="13"/>
  <c r="G15" i="13"/>
  <c r="X15" i="13" s="1"/>
  <c r="H15" i="13"/>
  <c r="Y15" i="13" s="1"/>
  <c r="AA15" i="13" s="1"/>
  <c r="V15" i="13"/>
  <c r="W15" i="13"/>
  <c r="P10" i="13"/>
  <c r="N15" i="13"/>
  <c r="O14" i="13"/>
  <c r="AK14" i="13" s="1"/>
  <c r="AE15" i="13" l="1"/>
  <c r="AH14" i="13"/>
  <c r="Q15" i="13"/>
  <c r="U14" i="13"/>
  <c r="AD14" i="13" s="1"/>
  <c r="D16" i="13"/>
  <c r="E16" i="13"/>
  <c r="I16" i="13" s="1"/>
  <c r="F16" i="13"/>
  <c r="AF16" i="13" s="1"/>
  <c r="J14" i="13"/>
  <c r="L14" i="13"/>
  <c r="C15" i="13"/>
  <c r="L15" i="13" s="1"/>
  <c r="B17" i="13"/>
  <c r="AC14" i="13"/>
  <c r="Z15" i="13"/>
  <c r="H16" i="13"/>
  <c r="Y16" i="13" s="1"/>
  <c r="AA16" i="13" s="1"/>
  <c r="G16" i="13"/>
  <c r="X16" i="13" s="1"/>
  <c r="AB15" i="13"/>
  <c r="AL10" i="13"/>
  <c r="W16" i="13"/>
  <c r="V16" i="13"/>
  <c r="R10" i="13"/>
  <c r="AM10" i="13" s="1"/>
  <c r="N16" i="13"/>
  <c r="O15" i="13"/>
  <c r="AK15" i="13" s="1"/>
  <c r="AH15" i="13" l="1"/>
  <c r="AE16" i="13"/>
  <c r="F17" i="13"/>
  <c r="AF17" i="13" s="1"/>
  <c r="Q16" i="13"/>
  <c r="D17" i="13"/>
  <c r="E17" i="13"/>
  <c r="I17" i="13" s="1"/>
  <c r="J15" i="13"/>
  <c r="C16" i="13"/>
  <c r="J16" i="13" s="1"/>
  <c r="S15" i="13"/>
  <c r="AN15" i="13" s="1"/>
  <c r="B18" i="13"/>
  <c r="AB16" i="13"/>
  <c r="Z16" i="13"/>
  <c r="AC15" i="13"/>
  <c r="H17" i="13"/>
  <c r="Y17" i="13" s="1"/>
  <c r="AA17" i="13" s="1"/>
  <c r="G17" i="13"/>
  <c r="X17" i="13" s="1"/>
  <c r="U15" i="13"/>
  <c r="AD15" i="13" s="1"/>
  <c r="AP10" i="13"/>
  <c r="W17" i="13"/>
  <c r="V17" i="13"/>
  <c r="N17" i="13"/>
  <c r="O16" i="13"/>
  <c r="AK16" i="13" s="1"/>
  <c r="AE17" i="13" l="1"/>
  <c r="AH16" i="13"/>
  <c r="Q17" i="13"/>
  <c r="U16" i="13"/>
  <c r="AD16" i="13" s="1"/>
  <c r="D18" i="13"/>
  <c r="F18" i="13"/>
  <c r="AF18" i="13" s="1"/>
  <c r="E18" i="13"/>
  <c r="I18" i="13" s="1"/>
  <c r="L16" i="13"/>
  <c r="C17" i="13"/>
  <c r="J17" i="13" s="1"/>
  <c r="B19" i="13"/>
  <c r="AC16" i="13"/>
  <c r="AB17" i="13"/>
  <c r="Z17" i="13"/>
  <c r="H18" i="13"/>
  <c r="Y18" i="13" s="1"/>
  <c r="AA18" i="13" s="1"/>
  <c r="G18" i="13"/>
  <c r="X18" i="13" s="1"/>
  <c r="W18" i="13"/>
  <c r="V18" i="13"/>
  <c r="N18" i="13"/>
  <c r="O17" i="13"/>
  <c r="AK17" i="13" s="1"/>
  <c r="AH17" i="13" l="1"/>
  <c r="AE18" i="13"/>
  <c r="U17" i="13"/>
  <c r="AD17" i="13" s="1"/>
  <c r="C18" i="13"/>
  <c r="L18" i="13" s="1"/>
  <c r="D19" i="13"/>
  <c r="E19" i="13"/>
  <c r="I19" i="13" s="1"/>
  <c r="F19" i="13"/>
  <c r="AF19" i="13" s="1"/>
  <c r="Q18" i="13"/>
  <c r="L17" i="13"/>
  <c r="S17" i="13"/>
  <c r="AN17" i="13" s="1"/>
  <c r="B20" i="13"/>
  <c r="AB18" i="13"/>
  <c r="AC18" i="13" s="1"/>
  <c r="Z18" i="13"/>
  <c r="H19" i="13"/>
  <c r="Y19" i="13" s="1"/>
  <c r="AA19" i="13" s="1"/>
  <c r="G19" i="13"/>
  <c r="X19" i="13" s="1"/>
  <c r="AC17" i="13"/>
  <c r="W19" i="13"/>
  <c r="V19" i="13"/>
  <c r="N19" i="13"/>
  <c r="O18" i="13"/>
  <c r="AK18" i="13" s="1"/>
  <c r="AE19" i="13" l="1"/>
  <c r="AH18" i="13"/>
  <c r="Q19" i="13"/>
  <c r="J18" i="13"/>
  <c r="C19" i="13"/>
  <c r="J19" i="13" s="1"/>
  <c r="E20" i="13"/>
  <c r="I20" i="13" s="1"/>
  <c r="D20" i="13"/>
  <c r="F20" i="13"/>
  <c r="AF20" i="13" s="1"/>
  <c r="B21" i="13"/>
  <c r="U18" i="13"/>
  <c r="AD18" i="13" s="1"/>
  <c r="G20" i="13"/>
  <c r="X20" i="13" s="1"/>
  <c r="H20" i="13"/>
  <c r="Y20" i="13" s="1"/>
  <c r="AA20" i="13" s="1"/>
  <c r="AB19" i="13"/>
  <c r="AC19" i="13" s="1"/>
  <c r="Z19" i="13"/>
  <c r="V20" i="13"/>
  <c r="W20" i="13"/>
  <c r="N20" i="13"/>
  <c r="O19" i="13"/>
  <c r="AK19" i="13" s="1"/>
  <c r="AH19" i="13" l="1"/>
  <c r="AE20" i="13"/>
  <c r="AH20" i="13" s="1"/>
  <c r="L19" i="13"/>
  <c r="S19" i="13"/>
  <c r="AN19" i="13" s="1"/>
  <c r="Q20" i="13"/>
  <c r="C20" i="13"/>
  <c r="J20" i="13" s="1"/>
  <c r="D21" i="13"/>
  <c r="E21" i="13"/>
  <c r="F21" i="13"/>
  <c r="AF21" i="13" s="1"/>
  <c r="B22" i="13"/>
  <c r="I21" i="13"/>
  <c r="G21" i="13"/>
  <c r="X21" i="13" s="1"/>
  <c r="H21" i="13"/>
  <c r="Y21" i="13" s="1"/>
  <c r="AA21" i="13" s="1"/>
  <c r="AB20" i="13"/>
  <c r="AC20" i="13" s="1"/>
  <c r="Z20" i="13"/>
  <c r="U19" i="13"/>
  <c r="AD19" i="13" s="1"/>
  <c r="V21" i="13"/>
  <c r="W21" i="13"/>
  <c r="N21" i="13"/>
  <c r="O20" i="13"/>
  <c r="AK20" i="13" s="1"/>
  <c r="AE21" i="13" l="1"/>
  <c r="AH21" i="13" s="1"/>
  <c r="L20" i="13"/>
  <c r="C21" i="13"/>
  <c r="J21" i="13" s="1"/>
  <c r="Q21" i="13"/>
  <c r="D22" i="13"/>
  <c r="F22" i="13"/>
  <c r="AF22" i="13" s="1"/>
  <c r="E22" i="13"/>
  <c r="I22" i="13" s="1"/>
  <c r="B23" i="13"/>
  <c r="H22" i="13"/>
  <c r="Y22" i="13" s="1"/>
  <c r="AA22" i="13" s="1"/>
  <c r="G22" i="13"/>
  <c r="X22" i="13" s="1"/>
  <c r="AB21" i="13"/>
  <c r="AC21" i="13" s="1"/>
  <c r="Z21" i="13"/>
  <c r="U20" i="13"/>
  <c r="AD20" i="13" s="1"/>
  <c r="V22" i="13"/>
  <c r="W22" i="13"/>
  <c r="N22" i="13"/>
  <c r="O21" i="13"/>
  <c r="AK21" i="13" s="1"/>
  <c r="AE22" i="13" l="1"/>
  <c r="Q22" i="13"/>
  <c r="L21" i="13"/>
  <c r="S21" i="13"/>
  <c r="AN21" i="13" s="1"/>
  <c r="F23" i="13"/>
  <c r="AF23" i="13" s="1"/>
  <c r="D23" i="13"/>
  <c r="E23" i="13"/>
  <c r="I23" i="13" s="1"/>
  <c r="C22" i="13"/>
  <c r="J22" i="13" s="1"/>
  <c r="B24" i="13"/>
  <c r="AB22" i="13"/>
  <c r="AC22" i="13" s="1"/>
  <c r="Z22" i="13"/>
  <c r="U21" i="13"/>
  <c r="AD21" i="13" s="1"/>
  <c r="H23" i="13"/>
  <c r="Y23" i="13" s="1"/>
  <c r="AA23" i="13" s="1"/>
  <c r="G23" i="13"/>
  <c r="X23" i="13" s="1"/>
  <c r="W23" i="13"/>
  <c r="V23" i="13"/>
  <c r="N23" i="13"/>
  <c r="O22" i="13"/>
  <c r="AK22" i="13" s="1"/>
  <c r="AE23" i="13" l="1"/>
  <c r="AH22" i="13"/>
  <c r="Q23" i="13"/>
  <c r="C23" i="13"/>
  <c r="S23" i="13" s="1"/>
  <c r="AN23" i="13" s="1"/>
  <c r="F24" i="13"/>
  <c r="AF24" i="13" s="1"/>
  <c r="D24" i="13"/>
  <c r="E24" i="13"/>
  <c r="I24" i="13" s="1"/>
  <c r="L22" i="13"/>
  <c r="B25" i="13"/>
  <c r="U22" i="13"/>
  <c r="AD22" i="13" s="1"/>
  <c r="AB23" i="13"/>
  <c r="AC23" i="13" s="1"/>
  <c r="Z23" i="13"/>
  <c r="H24" i="13"/>
  <c r="Y24" i="13" s="1"/>
  <c r="AA24" i="13" s="1"/>
  <c r="G24" i="13"/>
  <c r="X24" i="13" s="1"/>
  <c r="W24" i="13"/>
  <c r="V24" i="13"/>
  <c r="N24" i="13"/>
  <c r="O23" i="13"/>
  <c r="AK23" i="13" s="1"/>
  <c r="AE24" i="13" l="1"/>
  <c r="AH24" i="13" s="1"/>
  <c r="AH23" i="13"/>
  <c r="L23" i="13"/>
  <c r="C24" i="13"/>
  <c r="J24" i="13" s="1"/>
  <c r="J23" i="13"/>
  <c r="Q24" i="13"/>
  <c r="E25" i="13"/>
  <c r="I25" i="13" s="1"/>
  <c r="D25" i="13"/>
  <c r="F25" i="13"/>
  <c r="AF25" i="13" s="1"/>
  <c r="B26" i="13"/>
  <c r="U23" i="13"/>
  <c r="AD23" i="13" s="1"/>
  <c r="AB24" i="13"/>
  <c r="AC24" i="13" s="1"/>
  <c r="Z24" i="13"/>
  <c r="H25" i="13"/>
  <c r="Y25" i="13" s="1"/>
  <c r="AA25" i="13" s="1"/>
  <c r="G25" i="13"/>
  <c r="X25" i="13" s="1"/>
  <c r="W25" i="13"/>
  <c r="V25" i="13"/>
  <c r="N25" i="13"/>
  <c r="O24" i="13"/>
  <c r="AK24" i="13" s="1"/>
  <c r="AE25" i="13" l="1"/>
  <c r="AH25" i="13" s="1"/>
  <c r="L24" i="13"/>
  <c r="Q25" i="13"/>
  <c r="C25" i="13"/>
  <c r="J25" i="13" s="1"/>
  <c r="E26" i="13"/>
  <c r="I26" i="13" s="1"/>
  <c r="F26" i="13"/>
  <c r="AF26" i="13" s="1"/>
  <c r="D26" i="13"/>
  <c r="B27" i="13"/>
  <c r="U24" i="13"/>
  <c r="AD24" i="13" s="1"/>
  <c r="AB25" i="13"/>
  <c r="AC25" i="13" s="1"/>
  <c r="Z25" i="13"/>
  <c r="G26" i="13"/>
  <c r="X26" i="13" s="1"/>
  <c r="H26" i="13"/>
  <c r="Y26" i="13" s="1"/>
  <c r="AA26" i="13" s="1"/>
  <c r="V26" i="13"/>
  <c r="W26" i="13"/>
  <c r="N26" i="13"/>
  <c r="O25" i="13"/>
  <c r="AK25" i="13" s="1"/>
  <c r="AE26" i="13" l="1"/>
  <c r="L25" i="13"/>
  <c r="Q26" i="13"/>
  <c r="S25" i="13"/>
  <c r="AN25" i="13" s="1"/>
  <c r="C26" i="13"/>
  <c r="J26" i="13" s="1"/>
  <c r="F27" i="13"/>
  <c r="AF27" i="13" s="1"/>
  <c r="D27" i="13"/>
  <c r="E27" i="13"/>
  <c r="I27" i="13" s="1"/>
  <c r="B28" i="13"/>
  <c r="U25" i="13"/>
  <c r="AD25" i="13" s="1"/>
  <c r="AB26" i="13"/>
  <c r="AC26" i="13" s="1"/>
  <c r="Z26" i="13"/>
  <c r="G27" i="13"/>
  <c r="X27" i="13" s="1"/>
  <c r="H27" i="13"/>
  <c r="Y27" i="13" s="1"/>
  <c r="AA27" i="13" s="1"/>
  <c r="W27" i="13"/>
  <c r="V27" i="13"/>
  <c r="N27" i="13"/>
  <c r="O26" i="13"/>
  <c r="AK26" i="13" s="1"/>
  <c r="AE27" i="13" l="1"/>
  <c r="AH26" i="13"/>
  <c r="Q27" i="13"/>
  <c r="S26" i="13"/>
  <c r="AN26" i="13" s="1"/>
  <c r="L26" i="13"/>
  <c r="C27" i="13"/>
  <c r="J27" i="13" s="1"/>
  <c r="D28" i="13"/>
  <c r="F28" i="13"/>
  <c r="AF28" i="13" s="1"/>
  <c r="E28" i="13"/>
  <c r="I28" i="13" s="1"/>
  <c r="U26" i="13"/>
  <c r="AD26" i="13" s="1"/>
  <c r="B29" i="13"/>
  <c r="H28" i="13"/>
  <c r="Y28" i="13" s="1"/>
  <c r="AA28" i="13" s="1"/>
  <c r="G28" i="13"/>
  <c r="X28" i="13" s="1"/>
  <c r="AB27" i="13"/>
  <c r="AC27" i="13" s="1"/>
  <c r="Z27" i="13"/>
  <c r="V28" i="13"/>
  <c r="W28" i="13"/>
  <c r="N28" i="13"/>
  <c r="O27" i="13"/>
  <c r="AK27" i="13" s="1"/>
  <c r="AE28" i="13" l="1"/>
  <c r="AH27" i="13"/>
  <c r="Q28" i="13"/>
  <c r="L27" i="13"/>
  <c r="S27" i="13"/>
  <c r="AN27" i="13" s="1"/>
  <c r="F29" i="13"/>
  <c r="AF29" i="13" s="1"/>
  <c r="E29" i="13"/>
  <c r="I29" i="13" s="1"/>
  <c r="D29" i="13"/>
  <c r="C28" i="13"/>
  <c r="J28" i="13" s="1"/>
  <c r="B30" i="13"/>
  <c r="AB28" i="13"/>
  <c r="AC28" i="13" s="1"/>
  <c r="Z28" i="13"/>
  <c r="H29" i="13"/>
  <c r="Y29" i="13" s="1"/>
  <c r="AA29" i="13" s="1"/>
  <c r="G29" i="13"/>
  <c r="X29" i="13" s="1"/>
  <c r="U27" i="13"/>
  <c r="AD27" i="13" s="1"/>
  <c r="W29" i="13"/>
  <c r="V29" i="13"/>
  <c r="N29" i="13"/>
  <c r="O28" i="13"/>
  <c r="AK28" i="13" s="1"/>
  <c r="AE29" i="13" l="1"/>
  <c r="AH28" i="13"/>
  <c r="Q29" i="13"/>
  <c r="C29" i="13"/>
  <c r="J29" i="13" s="1"/>
  <c r="L28" i="13"/>
  <c r="S28" i="13"/>
  <c r="AN28" i="13" s="1"/>
  <c r="D30" i="13"/>
  <c r="E30" i="13"/>
  <c r="I30" i="13" s="1"/>
  <c r="F30" i="13"/>
  <c r="AF30" i="13" s="1"/>
  <c r="B31" i="13"/>
  <c r="U28" i="13"/>
  <c r="AD28" i="13" s="1"/>
  <c r="AB29" i="13"/>
  <c r="AC29" i="13" s="1"/>
  <c r="Z29" i="13"/>
  <c r="H30" i="13"/>
  <c r="Y30" i="13" s="1"/>
  <c r="AA30" i="13" s="1"/>
  <c r="G30" i="13"/>
  <c r="X30" i="13" s="1"/>
  <c r="W30" i="13"/>
  <c r="V30" i="13"/>
  <c r="N30" i="13"/>
  <c r="O29" i="13"/>
  <c r="AK29" i="13" s="1"/>
  <c r="AE30" i="13" l="1"/>
  <c r="AH29" i="13"/>
  <c r="L29" i="13"/>
  <c r="Q30" i="13"/>
  <c r="S29" i="13"/>
  <c r="AN29" i="13" s="1"/>
  <c r="D31" i="13"/>
  <c r="E31" i="13"/>
  <c r="I31" i="13" s="1"/>
  <c r="F31" i="13"/>
  <c r="AF31" i="13" s="1"/>
  <c r="C30" i="13"/>
  <c r="J30" i="13" s="1"/>
  <c r="B32" i="13"/>
  <c r="U29" i="13"/>
  <c r="AD29" i="13" s="1"/>
  <c r="H31" i="13"/>
  <c r="Y31" i="13" s="1"/>
  <c r="AA31" i="13" s="1"/>
  <c r="G31" i="13"/>
  <c r="X31" i="13" s="1"/>
  <c r="AB30" i="13"/>
  <c r="AC30" i="13" s="1"/>
  <c r="Z30" i="13"/>
  <c r="W31" i="13"/>
  <c r="V31" i="13"/>
  <c r="N31" i="13"/>
  <c r="O30" i="13"/>
  <c r="AK30" i="13" s="1"/>
  <c r="AH30" i="13" l="1"/>
  <c r="AE31" i="13"/>
  <c r="C31" i="13"/>
  <c r="J31" i="13" s="1"/>
  <c r="Q31" i="13"/>
  <c r="E32" i="13"/>
  <c r="I32" i="13" s="1"/>
  <c r="F32" i="13"/>
  <c r="AF32" i="13" s="1"/>
  <c r="D32" i="13"/>
  <c r="B33" i="13"/>
  <c r="AB31" i="13"/>
  <c r="AC31" i="13" s="1"/>
  <c r="Z31" i="13"/>
  <c r="G32" i="13"/>
  <c r="X32" i="13" s="1"/>
  <c r="H32" i="13"/>
  <c r="Y32" i="13" s="1"/>
  <c r="AA32" i="13" s="1"/>
  <c r="V32" i="13"/>
  <c r="W32" i="13"/>
  <c r="N32" i="13"/>
  <c r="O31" i="13"/>
  <c r="AE32" i="13" l="1"/>
  <c r="AH31" i="13"/>
  <c r="L31" i="13"/>
  <c r="S31" i="13"/>
  <c r="Q32" i="13"/>
  <c r="D33" i="13"/>
  <c r="E33" i="13"/>
  <c r="I33" i="13" s="1"/>
  <c r="F33" i="13"/>
  <c r="AF33" i="13" s="1"/>
  <c r="C32" i="13"/>
  <c r="J32" i="13" s="1"/>
  <c r="B34" i="13"/>
  <c r="AB32" i="13"/>
  <c r="AC32" i="13" s="1"/>
  <c r="Z32" i="13"/>
  <c r="U31" i="13"/>
  <c r="AD31" i="13" s="1"/>
  <c r="AD33" i="13" s="1"/>
  <c r="AD35" i="13" s="1"/>
  <c r="AD37" i="13" s="1"/>
  <c r="AD39" i="13" s="1"/>
  <c r="AD41" i="13" s="1"/>
  <c r="AD43" i="13" s="1"/>
  <c r="AD45" i="13" s="1"/>
  <c r="AD47" i="13" s="1"/>
  <c r="AD49" i="13" s="1"/>
  <c r="AD51" i="13" s="1"/>
  <c r="AD53" i="13" s="1"/>
  <c r="AD55" i="13" s="1"/>
  <c r="AD57" i="13" s="1"/>
  <c r="AD59" i="13" s="1"/>
  <c r="AD61" i="13" s="1"/>
  <c r="AD63" i="13" s="1"/>
  <c r="AD65" i="13" s="1"/>
  <c r="AD67" i="13" s="1"/>
  <c r="AD69" i="13" s="1"/>
  <c r="AD71" i="13" s="1"/>
  <c r="AD73" i="13" s="1"/>
  <c r="AD75" i="13" s="1"/>
  <c r="AD77" i="13" s="1"/>
  <c r="AD79" i="13" s="1"/>
  <c r="AD81" i="13" s="1"/>
  <c r="AD83" i="13" s="1"/>
  <c r="AD85" i="13" s="1"/>
  <c r="AD87" i="13" s="1"/>
  <c r="AD89" i="13" s="1"/>
  <c r="AD91" i="13" s="1"/>
  <c r="AD93" i="13" s="1"/>
  <c r="AD95" i="13" s="1"/>
  <c r="AD97" i="13" s="1"/>
  <c r="AD99" i="13" s="1"/>
  <c r="AD101" i="13" s="1"/>
  <c r="AD103" i="13" s="1"/>
  <c r="AD105" i="13" s="1"/>
  <c r="AD107" i="13" s="1"/>
  <c r="AD109" i="13" s="1"/>
  <c r="AD111" i="13" s="1"/>
  <c r="AD113" i="13" s="1"/>
  <c r="AD115" i="13" s="1"/>
  <c r="AD117" i="13" s="1"/>
  <c r="G33" i="13"/>
  <c r="X33" i="13" s="1"/>
  <c r="H33" i="13"/>
  <c r="Y33" i="13" s="1"/>
  <c r="AA33" i="13" s="1"/>
  <c r="W33" i="13"/>
  <c r="V33" i="13"/>
  <c r="N33" i="13"/>
  <c r="O32" i="13"/>
  <c r="T10" i="13"/>
  <c r="AO10" i="13" l="1"/>
  <c r="AE33" i="13"/>
  <c r="AH32" i="13"/>
  <c r="C33" i="13"/>
  <c r="J33" i="13" s="1"/>
  <c r="Q33" i="13"/>
  <c r="D34" i="13"/>
  <c r="E34" i="13"/>
  <c r="I34" i="13" s="1"/>
  <c r="F34" i="13"/>
  <c r="AF34" i="13" s="1"/>
  <c r="L32" i="13"/>
  <c r="B35" i="13"/>
  <c r="N34" i="13"/>
  <c r="O34" i="13" s="1"/>
  <c r="H34" i="13"/>
  <c r="Y34" i="13" s="1"/>
  <c r="AA34" i="13" s="1"/>
  <c r="G34" i="13"/>
  <c r="X34" i="13" s="1"/>
  <c r="AB33" i="13"/>
  <c r="AC33" i="13" s="1"/>
  <c r="Z33" i="13"/>
  <c r="V34" i="13"/>
  <c r="W34" i="13"/>
  <c r="O33" i="13"/>
  <c r="K11" i="13"/>
  <c r="M11" i="13" s="1"/>
  <c r="P11" i="13" s="1"/>
  <c r="AE34" i="13" l="1"/>
  <c r="AH33" i="13"/>
  <c r="S33" i="13"/>
  <c r="L33" i="13"/>
  <c r="Q34" i="13"/>
  <c r="E35" i="13"/>
  <c r="I35" i="13" s="1"/>
  <c r="D35" i="13"/>
  <c r="F35" i="13"/>
  <c r="AF35" i="13" s="1"/>
  <c r="C34" i="13"/>
  <c r="J34" i="13" s="1"/>
  <c r="B36" i="13"/>
  <c r="V36" i="13" s="1"/>
  <c r="AB34" i="13"/>
  <c r="AC34" i="13" s="1"/>
  <c r="Z34" i="13"/>
  <c r="U33" i="13"/>
  <c r="H35" i="13"/>
  <c r="Y35" i="13" s="1"/>
  <c r="AA35" i="13" s="1"/>
  <c r="G35" i="13"/>
  <c r="X35" i="13" s="1"/>
  <c r="AL11" i="13"/>
  <c r="W35" i="13"/>
  <c r="V35" i="13"/>
  <c r="N35" i="13"/>
  <c r="T11" i="13"/>
  <c r="AO11" i="13" l="1"/>
  <c r="AE35" i="13"/>
  <c r="AH34" i="13"/>
  <c r="C35" i="13"/>
  <c r="J35" i="13" s="1"/>
  <c r="Q35" i="13"/>
  <c r="W36" i="13"/>
  <c r="F36" i="13"/>
  <c r="AF36" i="13" s="1"/>
  <c r="E36" i="13"/>
  <c r="I36" i="13" s="1"/>
  <c r="D36" i="13"/>
  <c r="N36" i="13"/>
  <c r="L34" i="13"/>
  <c r="B37" i="13"/>
  <c r="H37" i="13" s="1"/>
  <c r="Y37" i="13" s="1"/>
  <c r="AB35" i="13"/>
  <c r="AC35" i="13" s="1"/>
  <c r="Z35" i="13"/>
  <c r="H36" i="13"/>
  <c r="Y36" i="13" s="1"/>
  <c r="AA36" i="13" s="1"/>
  <c r="G36" i="13"/>
  <c r="X36" i="13" s="1"/>
  <c r="O35" i="13"/>
  <c r="AP11" i="13"/>
  <c r="W37" i="13"/>
  <c r="R11" i="13"/>
  <c r="N37" i="13"/>
  <c r="K12" i="13"/>
  <c r="M12" i="13" s="1"/>
  <c r="AE36" i="13" l="1"/>
  <c r="AH35" i="13"/>
  <c r="S35" i="13"/>
  <c r="L35" i="13"/>
  <c r="F37" i="13"/>
  <c r="AF37" i="13" s="1"/>
  <c r="G37" i="13"/>
  <c r="X37" i="13" s="1"/>
  <c r="AB37" i="13" s="1"/>
  <c r="V37" i="13"/>
  <c r="O36" i="13"/>
  <c r="D37" i="13"/>
  <c r="E37" i="13"/>
  <c r="I37" i="13" s="1"/>
  <c r="Q36" i="13"/>
  <c r="C36" i="13"/>
  <c r="B38" i="13"/>
  <c r="V38" i="13" s="1"/>
  <c r="U35" i="13"/>
  <c r="AA37" i="13"/>
  <c r="AB36" i="13"/>
  <c r="AC36" i="13" s="1"/>
  <c r="Z36" i="13"/>
  <c r="S12" i="13"/>
  <c r="AN12" i="13" s="1"/>
  <c r="AM11" i="13"/>
  <c r="O37" i="13"/>
  <c r="AE37" i="13" l="1"/>
  <c r="AH36" i="13"/>
  <c r="Z37" i="13"/>
  <c r="G38" i="13"/>
  <c r="X38" i="13" s="1"/>
  <c r="Z38" i="13" s="1"/>
  <c r="H38" i="13"/>
  <c r="Y38" i="13" s="1"/>
  <c r="AA38" i="13" s="1"/>
  <c r="N38" i="13"/>
  <c r="O38" i="13" s="1"/>
  <c r="E38" i="13"/>
  <c r="I38" i="13" s="1"/>
  <c r="D38" i="13"/>
  <c r="F38" i="13"/>
  <c r="AF38" i="13" s="1"/>
  <c r="W38" i="13"/>
  <c r="B39" i="13"/>
  <c r="V39" i="13" s="1"/>
  <c r="J36" i="13"/>
  <c r="L36" i="13"/>
  <c r="Q37" i="13"/>
  <c r="U37" i="13" s="1"/>
  <c r="C37" i="13"/>
  <c r="AC37" i="13"/>
  <c r="P12" i="13"/>
  <c r="AE38" i="13" l="1"/>
  <c r="AH38" i="13" s="1"/>
  <c r="AH37" i="13"/>
  <c r="AB38" i="13"/>
  <c r="AC38" i="13" s="1"/>
  <c r="D39" i="13"/>
  <c r="E39" i="13"/>
  <c r="I39" i="13" s="1"/>
  <c r="W39" i="13"/>
  <c r="F39" i="13"/>
  <c r="AF39" i="13" s="1"/>
  <c r="G39" i="13"/>
  <c r="X39" i="13" s="1"/>
  <c r="N39" i="13"/>
  <c r="O39" i="13" s="1"/>
  <c r="H39" i="13"/>
  <c r="Y39" i="13" s="1"/>
  <c r="AA39" i="13" s="1"/>
  <c r="Q38" i="13"/>
  <c r="C38" i="13"/>
  <c r="J37" i="13"/>
  <c r="S37" i="13"/>
  <c r="L37" i="13"/>
  <c r="B40" i="13"/>
  <c r="AL12" i="13"/>
  <c r="R12" i="13"/>
  <c r="AM12" i="13" s="1"/>
  <c r="T12" i="13"/>
  <c r="AO12" i="13" l="1"/>
  <c r="AE39" i="13"/>
  <c r="AB39" i="13"/>
  <c r="AC39" i="13" s="1"/>
  <c r="D40" i="13"/>
  <c r="F40" i="13"/>
  <c r="AF40" i="13" s="1"/>
  <c r="E40" i="13"/>
  <c r="I40" i="13" s="1"/>
  <c r="Z39" i="13"/>
  <c r="V40" i="13"/>
  <c r="G40" i="13"/>
  <c r="X40" i="13" s="1"/>
  <c r="Z40" i="13" s="1"/>
  <c r="W40" i="13"/>
  <c r="H40" i="13"/>
  <c r="Y40" i="13" s="1"/>
  <c r="AA40" i="13" s="1"/>
  <c r="N40" i="13"/>
  <c r="J38" i="13"/>
  <c r="L38" i="13"/>
  <c r="B41" i="13"/>
  <c r="Q39" i="13"/>
  <c r="C39" i="13"/>
  <c r="AP12" i="13"/>
  <c r="K13" i="13"/>
  <c r="M13" i="13" s="1"/>
  <c r="P13" i="13" s="1"/>
  <c r="AE40" i="13" l="1"/>
  <c r="AH40" i="13" s="1"/>
  <c r="AH39" i="13"/>
  <c r="Q40" i="13"/>
  <c r="U39" i="13"/>
  <c r="G41" i="13"/>
  <c r="X41" i="13" s="1"/>
  <c r="Z41" i="13" s="1"/>
  <c r="E41" i="13"/>
  <c r="I41" i="13" s="1"/>
  <c r="D41" i="13"/>
  <c r="V41" i="13"/>
  <c r="F41" i="13"/>
  <c r="AF41" i="13" s="1"/>
  <c r="H41" i="13"/>
  <c r="Y41" i="13" s="1"/>
  <c r="AA41" i="13" s="1"/>
  <c r="W41" i="13"/>
  <c r="O40" i="13"/>
  <c r="AB40" i="13"/>
  <c r="AC40" i="13" s="1"/>
  <c r="B42" i="13"/>
  <c r="W42" i="13" s="1"/>
  <c r="N41" i="13"/>
  <c r="O41" i="13" s="1"/>
  <c r="J39" i="13"/>
  <c r="S39" i="13"/>
  <c r="L39" i="13"/>
  <c r="C40" i="13"/>
  <c r="H42" i="13"/>
  <c r="Y42" i="13" s="1"/>
  <c r="AL13" i="13"/>
  <c r="R13" i="13"/>
  <c r="AM13" i="13" s="1"/>
  <c r="T13" i="13"/>
  <c r="AE41" i="13" l="1"/>
  <c r="AH41" i="13" s="1"/>
  <c r="Q41" i="13"/>
  <c r="V42" i="13"/>
  <c r="AA42" i="13"/>
  <c r="F42" i="13"/>
  <c r="AF42" i="13" s="1"/>
  <c r="E42" i="13"/>
  <c r="I42" i="13" s="1"/>
  <c r="D42" i="13"/>
  <c r="N42" i="13"/>
  <c r="O42" i="13" s="1"/>
  <c r="AB41" i="13"/>
  <c r="AC41" i="13" s="1"/>
  <c r="J40" i="13"/>
  <c r="L40" i="13"/>
  <c r="B43" i="13"/>
  <c r="N43" i="13" s="1"/>
  <c r="G42" i="13"/>
  <c r="X42" i="13" s="1"/>
  <c r="AB42" i="13" s="1"/>
  <c r="C41" i="13"/>
  <c r="AP13" i="13"/>
  <c r="S14" i="13"/>
  <c r="AN14" i="13" s="1"/>
  <c r="AO13" i="13"/>
  <c r="K14" i="13"/>
  <c r="M14" i="13" s="1"/>
  <c r="AE42" i="13" l="1"/>
  <c r="W43" i="13"/>
  <c r="AC42" i="13"/>
  <c r="V43" i="13"/>
  <c r="U41" i="13"/>
  <c r="E43" i="13"/>
  <c r="I43" i="13" s="1"/>
  <c r="D43" i="13"/>
  <c r="F43" i="13"/>
  <c r="AF43" i="13" s="1"/>
  <c r="Z42" i="13"/>
  <c r="Q42" i="13"/>
  <c r="C42" i="13"/>
  <c r="J41" i="13"/>
  <c r="S41" i="13"/>
  <c r="L41" i="13"/>
  <c r="B44" i="13"/>
  <c r="G43" i="13"/>
  <c r="X43" i="13" s="1"/>
  <c r="Z43" i="13" s="1"/>
  <c r="H43" i="13"/>
  <c r="Y43" i="13" s="1"/>
  <c r="AA43" i="13" s="1"/>
  <c r="P14" i="13"/>
  <c r="O43" i="13"/>
  <c r="AE43" i="13" l="1"/>
  <c r="AH42" i="13"/>
  <c r="E44" i="13"/>
  <c r="I44" i="13" s="1"/>
  <c r="D44" i="13"/>
  <c r="F44" i="13"/>
  <c r="AF44" i="13" s="1"/>
  <c r="W44" i="13"/>
  <c r="B45" i="13"/>
  <c r="H45" i="13" s="1"/>
  <c r="Y45" i="13" s="1"/>
  <c r="V44" i="13"/>
  <c r="H44" i="13"/>
  <c r="Y44" i="13" s="1"/>
  <c r="AA44" i="13" s="1"/>
  <c r="N44" i="13"/>
  <c r="G44" i="13"/>
  <c r="X44" i="13" s="1"/>
  <c r="Z44" i="13" s="1"/>
  <c r="Q43" i="13"/>
  <c r="C43" i="13"/>
  <c r="J42" i="13"/>
  <c r="L42" i="13"/>
  <c r="AB43" i="13"/>
  <c r="AC43" i="13" s="1"/>
  <c r="AL14" i="13"/>
  <c r="T14" i="13"/>
  <c r="AO14" i="13" s="1"/>
  <c r="R14" i="13"/>
  <c r="AM14" i="13" s="1"/>
  <c r="AE44" i="13" l="1"/>
  <c r="AH44" i="13" s="1"/>
  <c r="AH43" i="13"/>
  <c r="V45" i="13"/>
  <c r="Q44" i="13"/>
  <c r="W45" i="13"/>
  <c r="U43" i="13"/>
  <c r="C44" i="13"/>
  <c r="J44" i="13" s="1"/>
  <c r="O44" i="13"/>
  <c r="F45" i="13"/>
  <c r="AF45" i="13" s="1"/>
  <c r="D45" i="13"/>
  <c r="E45" i="13"/>
  <c r="I45" i="13" s="1"/>
  <c r="N45" i="13"/>
  <c r="O45" i="13" s="1"/>
  <c r="G45" i="13"/>
  <c r="X45" i="13" s="1"/>
  <c r="AB45" i="13" s="1"/>
  <c r="AA45" i="13"/>
  <c r="AB44" i="13"/>
  <c r="AC44" i="13" s="1"/>
  <c r="J43" i="13"/>
  <c r="S43" i="13"/>
  <c r="L43" i="13"/>
  <c r="B46" i="13"/>
  <c r="H46" i="13" s="1"/>
  <c r="Y46" i="13" s="1"/>
  <c r="AA46" i="13" s="1"/>
  <c r="AP14" i="13"/>
  <c r="K15" i="13"/>
  <c r="M15" i="13" s="1"/>
  <c r="P15" i="13" s="1"/>
  <c r="AE45" i="13" l="1"/>
  <c r="AH45" i="13" s="1"/>
  <c r="AC45" i="13"/>
  <c r="L44" i="13"/>
  <c r="N46" i="13"/>
  <c r="D46" i="13"/>
  <c r="E46" i="13"/>
  <c r="I46" i="13" s="1"/>
  <c r="F46" i="13"/>
  <c r="AF46" i="13" s="1"/>
  <c r="Z45" i="13"/>
  <c r="V46" i="13"/>
  <c r="G46" i="13"/>
  <c r="X46" i="13" s="1"/>
  <c r="AB46" i="13" s="1"/>
  <c r="W46" i="13"/>
  <c r="B47" i="13"/>
  <c r="V47" i="13" s="1"/>
  <c r="Q45" i="13"/>
  <c r="U45" i="13" s="1"/>
  <c r="C45" i="13"/>
  <c r="AL15" i="13"/>
  <c r="R15" i="13"/>
  <c r="S16" i="13" s="1"/>
  <c r="AN16" i="13" s="1"/>
  <c r="T15" i="13"/>
  <c r="K16" i="13" s="1"/>
  <c r="M16" i="13" s="1"/>
  <c r="O46" i="13"/>
  <c r="AE46" i="13" l="1"/>
  <c r="H47" i="13"/>
  <c r="Y47" i="13" s="1"/>
  <c r="AA47" i="13" s="1"/>
  <c r="Z46" i="13"/>
  <c r="F47" i="13"/>
  <c r="AF47" i="13" s="1"/>
  <c r="G47" i="13"/>
  <c r="X47" i="13" s="1"/>
  <c r="AB47" i="13" s="1"/>
  <c r="AC47" i="13" s="1"/>
  <c r="E47" i="13"/>
  <c r="I47" i="13" s="1"/>
  <c r="D47" i="13"/>
  <c r="W47" i="13"/>
  <c r="N47" i="13"/>
  <c r="O47" i="13" s="1"/>
  <c r="Q46" i="13"/>
  <c r="C46" i="13"/>
  <c r="J46" i="13" s="1"/>
  <c r="J45" i="13"/>
  <c r="S45" i="13"/>
  <c r="L45" i="13"/>
  <c r="B48" i="13"/>
  <c r="V48" i="13" s="1"/>
  <c r="AC46" i="13"/>
  <c r="AP15" i="13"/>
  <c r="P16" i="13"/>
  <c r="AO15" i="13"/>
  <c r="AM15" i="13"/>
  <c r="N48" i="13"/>
  <c r="AH46" i="13" l="1"/>
  <c r="AE47" i="13"/>
  <c r="Z47" i="13"/>
  <c r="G48" i="13"/>
  <c r="X48" i="13" s="1"/>
  <c r="Z48" i="13" s="1"/>
  <c r="H48" i="13"/>
  <c r="Y48" i="13" s="1"/>
  <c r="AA48" i="13" s="1"/>
  <c r="F48" i="13"/>
  <c r="AF48" i="13" s="1"/>
  <c r="E48" i="13"/>
  <c r="D48" i="13"/>
  <c r="W48" i="13"/>
  <c r="L46" i="13"/>
  <c r="Q47" i="13"/>
  <c r="U47" i="13" s="1"/>
  <c r="C47" i="13"/>
  <c r="B49" i="13"/>
  <c r="G49" i="13" s="1"/>
  <c r="X49" i="13" s="1"/>
  <c r="I48" i="13"/>
  <c r="AL16" i="13"/>
  <c r="R16" i="13"/>
  <c r="AM16" i="13" s="1"/>
  <c r="T16" i="13"/>
  <c r="AO16" i="13" s="1"/>
  <c r="AE48" i="13" l="1"/>
  <c r="AH47" i="13"/>
  <c r="O48" i="13"/>
  <c r="AB48" i="13"/>
  <c r="V49" i="13"/>
  <c r="E49" i="13"/>
  <c r="I49" i="13" s="1"/>
  <c r="D49" i="13"/>
  <c r="F49" i="13"/>
  <c r="AF49" i="13" s="1"/>
  <c r="N49" i="13"/>
  <c r="O49" i="13" s="1"/>
  <c r="H49" i="13"/>
  <c r="Y49" i="13" s="1"/>
  <c r="AA49" i="13" s="1"/>
  <c r="W49" i="13"/>
  <c r="Q48" i="13"/>
  <c r="C48" i="13"/>
  <c r="J48" i="13" s="1"/>
  <c r="B50" i="13"/>
  <c r="N50" i="13" s="1"/>
  <c r="J47" i="13"/>
  <c r="S47" i="13"/>
  <c r="L47" i="13"/>
  <c r="Z49" i="13"/>
  <c r="AC48" i="13"/>
  <c r="AP16" i="13"/>
  <c r="K17" i="13"/>
  <c r="M17" i="13" s="1"/>
  <c r="P17" i="13" s="1"/>
  <c r="S18" i="13"/>
  <c r="AN18" i="13" s="1"/>
  <c r="AE49" i="13" l="1"/>
  <c r="AH49" i="13" s="1"/>
  <c r="AH48" i="13"/>
  <c r="AB49" i="13"/>
  <c r="AC49" i="13" s="1"/>
  <c r="H50" i="13"/>
  <c r="Y50" i="13" s="1"/>
  <c r="AA50" i="13" s="1"/>
  <c r="E50" i="13"/>
  <c r="I50" i="13" s="1"/>
  <c r="D50" i="13"/>
  <c r="F50" i="13"/>
  <c r="AF50" i="13" s="1"/>
  <c r="W50" i="13"/>
  <c r="V50" i="13"/>
  <c r="L48" i="13"/>
  <c r="Q49" i="13"/>
  <c r="U49" i="13" s="1"/>
  <c r="C49" i="13"/>
  <c r="B51" i="13"/>
  <c r="W51" i="13" s="1"/>
  <c r="G50" i="13"/>
  <c r="X50" i="13" s="1"/>
  <c r="AL17" i="13"/>
  <c r="R17" i="13"/>
  <c r="AM17" i="13" s="1"/>
  <c r="T17" i="13"/>
  <c r="AO17" i="13" s="1"/>
  <c r="O50" i="13"/>
  <c r="AE50" i="13" l="1"/>
  <c r="AB50" i="13"/>
  <c r="AC50" i="13" s="1"/>
  <c r="Z50" i="13"/>
  <c r="F51" i="13"/>
  <c r="AF51" i="13" s="1"/>
  <c r="V51" i="13"/>
  <c r="D51" i="13"/>
  <c r="E51" i="13"/>
  <c r="I51" i="13" s="1"/>
  <c r="N51" i="13"/>
  <c r="O51" i="13" s="1"/>
  <c r="G51" i="13"/>
  <c r="X51" i="13" s="1"/>
  <c r="Z51" i="13" s="1"/>
  <c r="H51" i="13"/>
  <c r="Y51" i="13" s="1"/>
  <c r="AA51" i="13" s="1"/>
  <c r="Q50" i="13"/>
  <c r="C50" i="13"/>
  <c r="B52" i="13"/>
  <c r="N52" i="13" s="1"/>
  <c r="J49" i="13"/>
  <c r="L49" i="13"/>
  <c r="S49" i="13"/>
  <c r="AP17" i="13"/>
  <c r="K18" i="13"/>
  <c r="M18" i="13" s="1"/>
  <c r="P18" i="13" s="1"/>
  <c r="AE51" i="13" l="1"/>
  <c r="AH51" i="13" s="1"/>
  <c r="AH50" i="13"/>
  <c r="H52" i="13"/>
  <c r="Y52" i="13" s="1"/>
  <c r="AA52" i="13" s="1"/>
  <c r="AB51" i="13"/>
  <c r="AC51" i="13" s="1"/>
  <c r="G52" i="13"/>
  <c r="X52" i="13" s="1"/>
  <c r="D52" i="13"/>
  <c r="F52" i="13"/>
  <c r="AF52" i="13" s="1"/>
  <c r="E52" i="13"/>
  <c r="I52" i="13" s="1"/>
  <c r="V52" i="13"/>
  <c r="W52" i="13"/>
  <c r="Q51" i="13"/>
  <c r="C51" i="13"/>
  <c r="B53" i="13"/>
  <c r="J50" i="13"/>
  <c r="L50" i="13"/>
  <c r="AL18" i="13"/>
  <c r="T18" i="13"/>
  <c r="AO18" i="13" s="1"/>
  <c r="R18" i="13"/>
  <c r="AM18" i="13" s="1"/>
  <c r="AE52" i="13" l="1"/>
  <c r="U51" i="13"/>
  <c r="AB52" i="13"/>
  <c r="AC52" i="13" s="1"/>
  <c r="O52" i="13"/>
  <c r="Z52" i="13"/>
  <c r="G53" i="13"/>
  <c r="X53" i="13" s="1"/>
  <c r="Z53" i="13" s="1"/>
  <c r="D53" i="13"/>
  <c r="E53" i="13"/>
  <c r="I53" i="13" s="1"/>
  <c r="F53" i="13"/>
  <c r="AF53" i="13" s="1"/>
  <c r="W53" i="13"/>
  <c r="V53" i="13"/>
  <c r="N53" i="13"/>
  <c r="O53" i="13" s="1"/>
  <c r="H53" i="13"/>
  <c r="Y53" i="13" s="1"/>
  <c r="AA53" i="13" s="1"/>
  <c r="Q52" i="13"/>
  <c r="C52" i="13"/>
  <c r="B54" i="13"/>
  <c r="N54" i="13" s="1"/>
  <c r="J51" i="13"/>
  <c r="S51" i="13"/>
  <c r="L51" i="13"/>
  <c r="AP18" i="13"/>
  <c r="K19" i="13"/>
  <c r="M19" i="13" s="1"/>
  <c r="P19" i="13" s="1"/>
  <c r="AE53" i="13" l="1"/>
  <c r="AH52" i="13"/>
  <c r="H54" i="13"/>
  <c r="Y54" i="13" s="1"/>
  <c r="AA54" i="13" s="1"/>
  <c r="W54" i="13"/>
  <c r="V54" i="13"/>
  <c r="AB53" i="13"/>
  <c r="AC53" i="13" s="1"/>
  <c r="Q53" i="13"/>
  <c r="C53" i="13"/>
  <c r="J52" i="13"/>
  <c r="L52" i="13"/>
  <c r="B55" i="13"/>
  <c r="W55" i="13" s="1"/>
  <c r="I54" i="13"/>
  <c r="G54" i="13"/>
  <c r="X54" i="13" s="1"/>
  <c r="AB54" i="13" s="1"/>
  <c r="AL19" i="13"/>
  <c r="R19" i="13"/>
  <c r="T19" i="13"/>
  <c r="AO19" i="13" s="1"/>
  <c r="O54" i="13"/>
  <c r="AH53" i="13" l="1"/>
  <c r="U53" i="13"/>
  <c r="AC54" i="13"/>
  <c r="V55" i="13"/>
  <c r="Z54" i="13"/>
  <c r="B56" i="13"/>
  <c r="H56" i="13" s="1"/>
  <c r="Y56" i="13" s="1"/>
  <c r="Q55" i="13"/>
  <c r="I55" i="13"/>
  <c r="G55" i="13"/>
  <c r="X55" i="13" s="1"/>
  <c r="J53" i="13"/>
  <c r="S53" i="13"/>
  <c r="L53" i="13"/>
  <c r="Q54" i="13"/>
  <c r="C54" i="13"/>
  <c r="N55" i="13"/>
  <c r="H55" i="13"/>
  <c r="Y55" i="13" s="1"/>
  <c r="AA55" i="13" s="1"/>
  <c r="AM19" i="13"/>
  <c r="S20" i="13"/>
  <c r="AN20" i="13" s="1"/>
  <c r="G56" i="13"/>
  <c r="X56" i="13" s="1"/>
  <c r="AP19" i="13"/>
  <c r="K20" i="13"/>
  <c r="M20" i="13" s="1"/>
  <c r="O55" i="13" l="1"/>
  <c r="N56" i="13"/>
  <c r="V56" i="13"/>
  <c r="W56" i="13"/>
  <c r="AA56" i="13"/>
  <c r="C55" i="13"/>
  <c r="J55" i="13" s="1"/>
  <c r="AB55" i="13"/>
  <c r="AC55" i="13" s="1"/>
  <c r="Z55" i="13"/>
  <c r="J54" i="13"/>
  <c r="L54" i="13"/>
  <c r="B57" i="13"/>
  <c r="G57" i="13" s="1"/>
  <c r="X57" i="13" s="1"/>
  <c r="I56" i="13"/>
  <c r="P20" i="13"/>
  <c r="T20" i="13" s="1"/>
  <c r="AO20" i="13" s="1"/>
  <c r="AB56" i="13"/>
  <c r="Z56" i="13"/>
  <c r="R20" i="13"/>
  <c r="AM20" i="13" s="1"/>
  <c r="W57" i="13" l="1"/>
  <c r="U55" i="13"/>
  <c r="AC56" i="13"/>
  <c r="L55" i="13"/>
  <c r="S55" i="13"/>
  <c r="Q56" i="13"/>
  <c r="C56" i="13"/>
  <c r="N57" i="13"/>
  <c r="H57" i="13"/>
  <c r="Y57" i="13" s="1"/>
  <c r="AA57" i="13" s="1"/>
  <c r="O56" i="13"/>
  <c r="B58" i="13"/>
  <c r="N58" i="13" s="1"/>
  <c r="Q57" i="13"/>
  <c r="I57" i="13"/>
  <c r="V57" i="13"/>
  <c r="AL20" i="13"/>
  <c r="Z57" i="13"/>
  <c r="AP20" i="13"/>
  <c r="K21" i="13"/>
  <c r="M21" i="13" s="1"/>
  <c r="P21" i="13" s="1"/>
  <c r="S22" i="13"/>
  <c r="AN22" i="13" s="1"/>
  <c r="O57" i="13" l="1"/>
  <c r="AB57" i="13"/>
  <c r="AC57" i="13" s="1"/>
  <c r="W58" i="13"/>
  <c r="V58" i="13"/>
  <c r="B59" i="13"/>
  <c r="H59" i="13" s="1"/>
  <c r="Y59" i="13" s="1"/>
  <c r="I58" i="13"/>
  <c r="G58" i="13"/>
  <c r="X58" i="13" s="1"/>
  <c r="C57" i="13"/>
  <c r="H58" i="13"/>
  <c r="Y58" i="13" s="1"/>
  <c r="AA58" i="13" s="1"/>
  <c r="J56" i="13"/>
  <c r="L56" i="13"/>
  <c r="AL21" i="13"/>
  <c r="R21" i="13"/>
  <c r="AM21" i="13" s="1"/>
  <c r="T21" i="13"/>
  <c r="AO21" i="13" s="1"/>
  <c r="O58" i="13"/>
  <c r="N59" i="13" l="1"/>
  <c r="W59" i="13"/>
  <c r="V59" i="13"/>
  <c r="U57" i="13"/>
  <c r="AA59" i="13"/>
  <c r="G59" i="13"/>
  <c r="X59" i="13" s="1"/>
  <c r="Z59" i="13" s="1"/>
  <c r="AB58" i="13"/>
  <c r="AC58" i="13" s="1"/>
  <c r="J57" i="13"/>
  <c r="S57" i="13"/>
  <c r="L57" i="13"/>
  <c r="Q58" i="13"/>
  <c r="C58" i="13"/>
  <c r="J58" i="13" s="1"/>
  <c r="Z58" i="13"/>
  <c r="B60" i="13"/>
  <c r="G60" i="13" s="1"/>
  <c r="X60" i="13" s="1"/>
  <c r="I59" i="13"/>
  <c r="AP21" i="13"/>
  <c r="K22" i="13"/>
  <c r="M22" i="13" s="1"/>
  <c r="P22" i="13" s="1"/>
  <c r="O59" i="13"/>
  <c r="N60" i="13" l="1"/>
  <c r="H60" i="13"/>
  <c r="Y60" i="13" s="1"/>
  <c r="AA60" i="13" s="1"/>
  <c r="V60" i="13"/>
  <c r="W60" i="13"/>
  <c r="AB59" i="13"/>
  <c r="AC59" i="13" s="1"/>
  <c r="Q59" i="13"/>
  <c r="C59" i="13"/>
  <c r="B61" i="13"/>
  <c r="W61" i="13" s="1"/>
  <c r="O60" i="13"/>
  <c r="I60" i="13"/>
  <c r="L58" i="13"/>
  <c r="Z60" i="13"/>
  <c r="AL22" i="13"/>
  <c r="T22" i="13"/>
  <c r="AO22" i="13" s="1"/>
  <c r="R22" i="13"/>
  <c r="AM22" i="13" s="1"/>
  <c r="AB60" i="13" l="1"/>
  <c r="U59" i="13"/>
  <c r="V61" i="13"/>
  <c r="G61" i="13"/>
  <c r="X61" i="13" s="1"/>
  <c r="N61" i="13"/>
  <c r="H61" i="13"/>
  <c r="Y61" i="13" s="1"/>
  <c r="AA61" i="13" s="1"/>
  <c r="AC60" i="13"/>
  <c r="Q60" i="13"/>
  <c r="C60" i="13"/>
  <c r="B62" i="13"/>
  <c r="H62" i="13" s="1"/>
  <c r="Y62" i="13" s="1"/>
  <c r="I61" i="13"/>
  <c r="J59" i="13"/>
  <c r="L59" i="13"/>
  <c r="S59" i="13"/>
  <c r="AP22" i="13"/>
  <c r="K23" i="13"/>
  <c r="M23" i="13" s="1"/>
  <c r="P23" i="13" s="1"/>
  <c r="O61" i="13"/>
  <c r="N62" i="13" l="1"/>
  <c r="AB61" i="13"/>
  <c r="AC61" i="13" s="1"/>
  <c r="Z61" i="13"/>
  <c r="W62" i="13"/>
  <c r="V62" i="13"/>
  <c r="G62" i="13"/>
  <c r="X62" i="13" s="1"/>
  <c r="AB62" i="13" s="1"/>
  <c r="AC62" i="13" s="1"/>
  <c r="AA62" i="13"/>
  <c r="Q61" i="13"/>
  <c r="U61" i="13" s="1"/>
  <c r="C61" i="13"/>
  <c r="B63" i="13"/>
  <c r="V63" i="13" s="1"/>
  <c r="I62" i="13"/>
  <c r="J60" i="13"/>
  <c r="L60" i="13"/>
  <c r="AL23" i="13"/>
  <c r="T23" i="13"/>
  <c r="AO23" i="13" s="1"/>
  <c r="R23" i="13"/>
  <c r="O62" i="13" l="1"/>
  <c r="W63" i="13"/>
  <c r="G63" i="13"/>
  <c r="X63" i="13" s="1"/>
  <c r="N63" i="13"/>
  <c r="H63" i="13"/>
  <c r="Y63" i="13" s="1"/>
  <c r="AA63" i="13" s="1"/>
  <c r="Z62" i="13"/>
  <c r="Q62" i="13"/>
  <c r="C62" i="13"/>
  <c r="B64" i="13"/>
  <c r="G64" i="13" s="1"/>
  <c r="X64" i="13" s="1"/>
  <c r="I63" i="13"/>
  <c r="J61" i="13"/>
  <c r="L61" i="13"/>
  <c r="S61" i="13"/>
  <c r="AM23" i="13"/>
  <c r="S24" i="13"/>
  <c r="AN24" i="13" s="1"/>
  <c r="AP23" i="13"/>
  <c r="K24" i="13"/>
  <c r="M24" i="13" s="1"/>
  <c r="O63" i="13"/>
  <c r="W64" i="13" l="1"/>
  <c r="AB63" i="13"/>
  <c r="AC63" i="13" s="1"/>
  <c r="V64" i="13"/>
  <c r="H64" i="13"/>
  <c r="Y64" i="13" s="1"/>
  <c r="AA64" i="13" s="1"/>
  <c r="Z63" i="13"/>
  <c r="N64" i="13"/>
  <c r="P24" i="13"/>
  <c r="AL24" i="13" s="1"/>
  <c r="Q63" i="13"/>
  <c r="C63" i="13"/>
  <c r="B65" i="13"/>
  <c r="W65" i="13" s="1"/>
  <c r="I64" i="13"/>
  <c r="J62" i="13"/>
  <c r="L62" i="13"/>
  <c r="U63" i="13"/>
  <c r="Z64" i="13"/>
  <c r="H65" i="13"/>
  <c r="Y65" i="13" s="1"/>
  <c r="AA65" i="13" s="1"/>
  <c r="R24" i="13"/>
  <c r="AM24" i="13" s="1"/>
  <c r="N65" i="13"/>
  <c r="O64" i="13" l="1"/>
  <c r="AB64" i="13"/>
  <c r="AC64" i="13" s="1"/>
  <c r="V65" i="13"/>
  <c r="T24" i="13"/>
  <c r="AO24" i="13" s="1"/>
  <c r="Q64" i="13"/>
  <c r="C64" i="13"/>
  <c r="B66" i="13"/>
  <c r="V66" i="13" s="1"/>
  <c r="I65" i="13"/>
  <c r="J63" i="13"/>
  <c r="S63" i="13"/>
  <c r="L63" i="13"/>
  <c r="G65" i="13"/>
  <c r="X65" i="13" s="1"/>
  <c r="Z65" i="13" s="1"/>
  <c r="AP24" i="13"/>
  <c r="O65" i="13"/>
  <c r="N66" i="13" l="1"/>
  <c r="K25" i="13"/>
  <c r="M25" i="13" s="1"/>
  <c r="P25" i="13" s="1"/>
  <c r="AL25" i="13" s="1"/>
  <c r="AB65" i="13"/>
  <c r="AC65" i="13" s="1"/>
  <c r="Q65" i="13"/>
  <c r="C65" i="13"/>
  <c r="B67" i="13"/>
  <c r="H67" i="13" s="1"/>
  <c r="Y67" i="13" s="1"/>
  <c r="I66" i="13"/>
  <c r="J64" i="13"/>
  <c r="L64" i="13"/>
  <c r="G66" i="13"/>
  <c r="X66" i="13" s="1"/>
  <c r="Z66" i="13" s="1"/>
  <c r="W66" i="13"/>
  <c r="H66" i="13"/>
  <c r="Y66" i="13" s="1"/>
  <c r="AA66" i="13" s="1"/>
  <c r="O66" i="13"/>
  <c r="U65" i="13" l="1"/>
  <c r="N67" i="13"/>
  <c r="V67" i="13"/>
  <c r="W67" i="13"/>
  <c r="G67" i="13"/>
  <c r="X67" i="13" s="1"/>
  <c r="AB67" i="13" s="1"/>
  <c r="AC67" i="13" s="1"/>
  <c r="T25" i="13"/>
  <c r="AO25" i="13" s="1"/>
  <c r="R25" i="13"/>
  <c r="AM25" i="13" s="1"/>
  <c r="AA67" i="13"/>
  <c r="AB66" i="13"/>
  <c r="AC66" i="13" s="1"/>
  <c r="Q66" i="13"/>
  <c r="C66" i="13"/>
  <c r="B68" i="13"/>
  <c r="G68" i="13" s="1"/>
  <c r="X68" i="13" s="1"/>
  <c r="I67" i="13"/>
  <c r="J65" i="13"/>
  <c r="L65" i="13"/>
  <c r="S65" i="13"/>
  <c r="AP25" i="13"/>
  <c r="O67" i="13"/>
  <c r="Z67" i="13" l="1"/>
  <c r="K26" i="13"/>
  <c r="M26" i="13" s="1"/>
  <c r="P26" i="13" s="1"/>
  <c r="AL26" i="13" s="1"/>
  <c r="W68" i="13"/>
  <c r="V68" i="13"/>
  <c r="N68" i="13"/>
  <c r="H68" i="13"/>
  <c r="Y68" i="13" s="1"/>
  <c r="AA68" i="13" s="1"/>
  <c r="B69" i="13"/>
  <c r="V69" i="13" s="1"/>
  <c r="I68" i="13"/>
  <c r="Q67" i="13"/>
  <c r="U67" i="13" s="1"/>
  <c r="C67" i="13"/>
  <c r="J66" i="13"/>
  <c r="L66" i="13"/>
  <c r="Z68" i="13"/>
  <c r="W69" i="13" l="1"/>
  <c r="T26" i="13"/>
  <c r="AO26" i="13" s="1"/>
  <c r="R26" i="13"/>
  <c r="AM26" i="13" s="1"/>
  <c r="N69" i="13"/>
  <c r="G69" i="13"/>
  <c r="X69" i="13" s="1"/>
  <c r="H69" i="13"/>
  <c r="Y69" i="13" s="1"/>
  <c r="AA69" i="13" s="1"/>
  <c r="AB68" i="13"/>
  <c r="AC68" i="13" s="1"/>
  <c r="J67" i="13"/>
  <c r="S67" i="13"/>
  <c r="L67" i="13"/>
  <c r="Q68" i="13"/>
  <c r="C68" i="13"/>
  <c r="J68" i="13" s="1"/>
  <c r="O68" i="13"/>
  <c r="B70" i="13"/>
  <c r="G70" i="13" s="1"/>
  <c r="X70" i="13" s="1"/>
  <c r="I69" i="13"/>
  <c r="H70" i="13"/>
  <c r="Y70" i="13" s="1"/>
  <c r="AP26" i="13"/>
  <c r="O69" i="13"/>
  <c r="AB69" i="13" l="1"/>
  <c r="AC69" i="13" s="1"/>
  <c r="AA70" i="13"/>
  <c r="N70" i="13"/>
  <c r="Z69" i="13"/>
  <c r="K27" i="13"/>
  <c r="M27" i="13" s="1"/>
  <c r="P27" i="13" s="1"/>
  <c r="AL27" i="13" s="1"/>
  <c r="L68" i="13"/>
  <c r="V70" i="13"/>
  <c r="Q69" i="13"/>
  <c r="C69" i="13"/>
  <c r="B71" i="13"/>
  <c r="N71" i="13" s="1"/>
  <c r="I70" i="13"/>
  <c r="W70" i="13"/>
  <c r="AB70" i="13"/>
  <c r="AC70" i="13" s="1"/>
  <c r="Z70" i="13"/>
  <c r="V71" i="13" l="1"/>
  <c r="O70" i="13"/>
  <c r="W71" i="13"/>
  <c r="G71" i="13"/>
  <c r="X71" i="13" s="1"/>
  <c r="Z71" i="13" s="1"/>
  <c r="U69" i="13"/>
  <c r="H71" i="13"/>
  <c r="Y71" i="13" s="1"/>
  <c r="AA71" i="13" s="1"/>
  <c r="T27" i="13"/>
  <c r="AO27" i="13" s="1"/>
  <c r="R27" i="13"/>
  <c r="AM27" i="13" s="1"/>
  <c r="Q70" i="13"/>
  <c r="C70" i="13"/>
  <c r="B72" i="13"/>
  <c r="G72" i="13" s="1"/>
  <c r="X72" i="13" s="1"/>
  <c r="I71" i="13"/>
  <c r="J69" i="13"/>
  <c r="L69" i="13"/>
  <c r="S69" i="13"/>
  <c r="AP27" i="13"/>
  <c r="O71" i="13"/>
  <c r="H72" i="13" l="1"/>
  <c r="Y72" i="13" s="1"/>
  <c r="AB72" i="13" s="1"/>
  <c r="AC72" i="13" s="1"/>
  <c r="K28" i="13"/>
  <c r="M28" i="13" s="1"/>
  <c r="R28" i="13" s="1"/>
  <c r="AM28" i="13" s="1"/>
  <c r="AB71" i="13"/>
  <c r="AC71" i="13" s="1"/>
  <c r="W72" i="13"/>
  <c r="V72" i="13"/>
  <c r="N72" i="13"/>
  <c r="Q71" i="13"/>
  <c r="U71" i="13" s="1"/>
  <c r="C71" i="13"/>
  <c r="B73" i="13"/>
  <c r="G73" i="13" s="1"/>
  <c r="X73" i="13" s="1"/>
  <c r="I72" i="13"/>
  <c r="J70" i="13"/>
  <c r="L70" i="13"/>
  <c r="Z72" i="13"/>
  <c r="H73" i="13"/>
  <c r="Y73" i="13" s="1"/>
  <c r="N73" i="13"/>
  <c r="AA73" i="13" l="1"/>
  <c r="AA72" i="13"/>
  <c r="O72" i="13"/>
  <c r="P28" i="13"/>
  <c r="AL28" i="13" s="1"/>
  <c r="W73" i="13"/>
  <c r="V73" i="13"/>
  <c r="Q72" i="13"/>
  <c r="C72" i="13"/>
  <c r="B74" i="13"/>
  <c r="H74" i="13" s="1"/>
  <c r="Y74" i="13" s="1"/>
  <c r="AA74" i="13" s="1"/>
  <c r="Q73" i="13"/>
  <c r="I73" i="13"/>
  <c r="J71" i="13"/>
  <c r="S71" i="13"/>
  <c r="L71" i="13"/>
  <c r="AB73" i="13"/>
  <c r="AC73" i="13" s="1"/>
  <c r="Z73" i="13"/>
  <c r="O73" i="13"/>
  <c r="T28" i="13" l="1"/>
  <c r="AO28" i="13" s="1"/>
  <c r="N74" i="13"/>
  <c r="W74" i="13"/>
  <c r="V74" i="13"/>
  <c r="C73" i="13"/>
  <c r="B75" i="13"/>
  <c r="W75" i="13" s="1"/>
  <c r="I74" i="13"/>
  <c r="J72" i="13"/>
  <c r="L72" i="13"/>
  <c r="G74" i="13"/>
  <c r="X74" i="13" s="1"/>
  <c r="AB74" i="13" s="1"/>
  <c r="AC74" i="13" s="1"/>
  <c r="U73" i="13"/>
  <c r="H75" i="13"/>
  <c r="Y75" i="13" s="1"/>
  <c r="AA75" i="13" s="1"/>
  <c r="AP28" i="13"/>
  <c r="O74" i="13" l="1"/>
  <c r="K29" i="13"/>
  <c r="M29" i="13" s="1"/>
  <c r="P29" i="13" s="1"/>
  <c r="AL29" i="13" s="1"/>
  <c r="Z74" i="13"/>
  <c r="N75" i="13"/>
  <c r="V75" i="13"/>
  <c r="G75" i="13"/>
  <c r="X75" i="13" s="1"/>
  <c r="Z75" i="13" s="1"/>
  <c r="B76" i="13"/>
  <c r="G76" i="13" s="1"/>
  <c r="X76" i="13" s="1"/>
  <c r="I75" i="13"/>
  <c r="Q74" i="13"/>
  <c r="C74" i="13"/>
  <c r="J73" i="13"/>
  <c r="S73" i="13"/>
  <c r="L73" i="13"/>
  <c r="O75" i="13" l="1"/>
  <c r="AB75" i="13"/>
  <c r="AC75" i="13" s="1"/>
  <c r="W76" i="13"/>
  <c r="R29" i="13"/>
  <c r="AM29" i="13" s="1"/>
  <c r="T29" i="13"/>
  <c r="AO29" i="13" s="1"/>
  <c r="H76" i="13"/>
  <c r="Y76" i="13" s="1"/>
  <c r="AA76" i="13" s="1"/>
  <c r="V76" i="13"/>
  <c r="N76" i="13"/>
  <c r="J74" i="13"/>
  <c r="L74" i="13"/>
  <c r="Q75" i="13"/>
  <c r="U75" i="13" s="1"/>
  <c r="C75" i="13"/>
  <c r="B77" i="13"/>
  <c r="W77" i="13" s="1"/>
  <c r="I76" i="13"/>
  <c r="Z76" i="13"/>
  <c r="AP29" i="13"/>
  <c r="S30" i="13"/>
  <c r="AN30" i="13" s="1"/>
  <c r="K30" i="13" l="1"/>
  <c r="M30" i="13" s="1"/>
  <c r="R30" i="13" s="1"/>
  <c r="AM30" i="13" s="1"/>
  <c r="AB76" i="13"/>
  <c r="AC76" i="13" s="1"/>
  <c r="G77" i="13"/>
  <c r="X77" i="13" s="1"/>
  <c r="Z77" i="13" s="1"/>
  <c r="N77" i="13"/>
  <c r="H77" i="13"/>
  <c r="Y77" i="13" s="1"/>
  <c r="AA77" i="13" s="1"/>
  <c r="V77" i="13"/>
  <c r="B78" i="13"/>
  <c r="W78" i="13" s="1"/>
  <c r="I77" i="13"/>
  <c r="Q76" i="13"/>
  <c r="C76" i="13"/>
  <c r="J75" i="13"/>
  <c r="L75" i="13"/>
  <c r="S75" i="13"/>
  <c r="O76" i="13"/>
  <c r="O77" i="13" l="1"/>
  <c r="P30" i="13"/>
  <c r="AL30" i="13" s="1"/>
  <c r="V78" i="13"/>
  <c r="G78" i="13"/>
  <c r="X78" i="13" s="1"/>
  <c r="Z78" i="13" s="1"/>
  <c r="H78" i="13"/>
  <c r="Y78" i="13" s="1"/>
  <c r="AA78" i="13" s="1"/>
  <c r="N78" i="13"/>
  <c r="AB77" i="13"/>
  <c r="AC77" i="13" s="1"/>
  <c r="J76" i="13"/>
  <c r="L76" i="13"/>
  <c r="Q77" i="13"/>
  <c r="C77" i="13"/>
  <c r="B79" i="13"/>
  <c r="H79" i="13" s="1"/>
  <c r="Y79" i="13" s="1"/>
  <c r="AA79" i="13" s="1"/>
  <c r="I78" i="13"/>
  <c r="U30" i="13"/>
  <c r="AD30" i="13" s="1"/>
  <c r="AD32" i="13" s="1"/>
  <c r="AD34" i="13" s="1"/>
  <c r="AD36" i="13" s="1"/>
  <c r="AD38" i="13" s="1"/>
  <c r="AD40" i="13" s="1"/>
  <c r="AD42" i="13" s="1"/>
  <c r="AD44" i="13" s="1"/>
  <c r="AD46" i="13" s="1"/>
  <c r="AD48" i="13" s="1"/>
  <c r="AD50" i="13" s="1"/>
  <c r="AD52" i="13" s="1"/>
  <c r="AD54" i="13" s="1"/>
  <c r="AD56" i="13" s="1"/>
  <c r="AD58" i="13" s="1"/>
  <c r="AD60" i="13" s="1"/>
  <c r="AD62" i="13" s="1"/>
  <c r="AD64" i="13" s="1"/>
  <c r="AD66" i="13" s="1"/>
  <c r="AD68" i="13" s="1"/>
  <c r="AD70" i="13" s="1"/>
  <c r="AD72" i="13" s="1"/>
  <c r="AD74" i="13" s="1"/>
  <c r="AD76" i="13" s="1"/>
  <c r="AD78" i="13" s="1"/>
  <c r="AD80" i="13" s="1"/>
  <c r="AD82" i="13" s="1"/>
  <c r="AD84" i="13" s="1"/>
  <c r="AD86" i="13" s="1"/>
  <c r="AD88" i="13" s="1"/>
  <c r="AD90" i="13" s="1"/>
  <c r="AD92" i="13" s="1"/>
  <c r="AD94" i="13" s="1"/>
  <c r="AD96" i="13" s="1"/>
  <c r="AD98" i="13" s="1"/>
  <c r="AD100" i="13" s="1"/>
  <c r="AD102" i="13" s="1"/>
  <c r="AD104" i="13" s="1"/>
  <c r="AD106" i="13" s="1"/>
  <c r="AD108" i="13" s="1"/>
  <c r="AD110" i="13" s="1"/>
  <c r="AD112" i="13" s="1"/>
  <c r="AD114" i="13" s="1"/>
  <c r="AD116" i="13" s="1"/>
  <c r="AD118" i="13" s="1"/>
  <c r="O78" i="13" l="1"/>
  <c r="T30" i="13"/>
  <c r="AO30" i="13" s="1"/>
  <c r="AB78" i="13"/>
  <c r="AC78" i="13"/>
  <c r="U77" i="13"/>
  <c r="N79" i="13"/>
  <c r="J77" i="13"/>
  <c r="S77" i="13"/>
  <c r="G79" i="13"/>
  <c r="X79" i="13" s="1"/>
  <c r="AB79" i="13" s="1"/>
  <c r="AC79" i="13" s="1"/>
  <c r="L77" i="13"/>
  <c r="B80" i="13"/>
  <c r="G80" i="13" s="1"/>
  <c r="X80" i="13" s="1"/>
  <c r="I79" i="13"/>
  <c r="W79" i="13"/>
  <c r="V79" i="13"/>
  <c r="Q78" i="13"/>
  <c r="C78" i="13"/>
  <c r="J78" i="13" s="1"/>
  <c r="AP30" i="13"/>
  <c r="O79" i="13" l="1"/>
  <c r="K31" i="13"/>
  <c r="M31" i="13" s="1"/>
  <c r="P31" i="13" s="1"/>
  <c r="T31" i="13" s="1"/>
  <c r="K32" i="13" s="1"/>
  <c r="M32" i="13" s="1"/>
  <c r="R32" i="13" s="1"/>
  <c r="Z79" i="13"/>
  <c r="L78" i="13"/>
  <c r="W80" i="13"/>
  <c r="V80" i="13"/>
  <c r="B81" i="13"/>
  <c r="N81" i="13" s="1"/>
  <c r="I80" i="13"/>
  <c r="Q80" i="13"/>
  <c r="N80" i="13"/>
  <c r="H80" i="13"/>
  <c r="Y80" i="13" s="1"/>
  <c r="AA80" i="13" s="1"/>
  <c r="Q79" i="13"/>
  <c r="U79" i="13" s="1"/>
  <c r="C79" i="13"/>
  <c r="Z80" i="13"/>
  <c r="R31" i="13" l="1"/>
  <c r="S32" i="13" s="1"/>
  <c r="P32" i="13" s="1"/>
  <c r="T32" i="13" s="1"/>
  <c r="K33" i="13" s="1"/>
  <c r="M33" i="13" s="1"/>
  <c r="V81" i="13"/>
  <c r="W81" i="13"/>
  <c r="H81" i="13"/>
  <c r="Y81" i="13" s="1"/>
  <c r="AA81" i="13" s="1"/>
  <c r="G81" i="13"/>
  <c r="X81" i="13" s="1"/>
  <c r="Z81" i="13" s="1"/>
  <c r="AB80" i="13"/>
  <c r="AC80" i="13" s="1"/>
  <c r="J79" i="13"/>
  <c r="S79" i="13"/>
  <c r="L79" i="13"/>
  <c r="B82" i="13"/>
  <c r="H82" i="13" s="1"/>
  <c r="Y82" i="13" s="1"/>
  <c r="AA82" i="13" s="1"/>
  <c r="I81" i="13"/>
  <c r="O80" i="13"/>
  <c r="C80" i="13"/>
  <c r="U32" i="13"/>
  <c r="O81" i="13"/>
  <c r="N82" i="13"/>
  <c r="AB81" i="13" l="1"/>
  <c r="AC81" i="13" s="1"/>
  <c r="W82" i="13"/>
  <c r="Q81" i="13"/>
  <c r="C81" i="13"/>
  <c r="B83" i="13"/>
  <c r="H83" i="13" s="1"/>
  <c r="Y83" i="13" s="1"/>
  <c r="AA83" i="13" s="1"/>
  <c r="I82" i="13"/>
  <c r="G82" i="13"/>
  <c r="X82" i="13" s="1"/>
  <c r="Z82" i="13" s="1"/>
  <c r="J80" i="13"/>
  <c r="L80" i="13"/>
  <c r="V82" i="13"/>
  <c r="R33" i="13"/>
  <c r="S34" i="13" s="1"/>
  <c r="P33" i="13"/>
  <c r="O82" i="13"/>
  <c r="U81" i="13" l="1"/>
  <c r="N83" i="13"/>
  <c r="V83" i="13"/>
  <c r="W83" i="13"/>
  <c r="G83" i="13"/>
  <c r="X83" i="13" s="1"/>
  <c r="AB83" i="13" s="1"/>
  <c r="T33" i="13"/>
  <c r="K34" i="13" s="1"/>
  <c r="M34" i="13" s="1"/>
  <c r="R34" i="13" s="1"/>
  <c r="AB82" i="13"/>
  <c r="AC82" i="13" s="1"/>
  <c r="Q82" i="13"/>
  <c r="C82" i="13"/>
  <c r="B84" i="13"/>
  <c r="G84" i="13" s="1"/>
  <c r="X84" i="13" s="1"/>
  <c r="I83" i="13"/>
  <c r="J81" i="13"/>
  <c r="S81" i="13"/>
  <c r="L81" i="13"/>
  <c r="O83" i="13" l="1"/>
  <c r="N84" i="13"/>
  <c r="AC83" i="13"/>
  <c r="Z83" i="13"/>
  <c r="P34" i="13"/>
  <c r="W84" i="13"/>
  <c r="V84" i="13"/>
  <c r="H84" i="13"/>
  <c r="Y84" i="13" s="1"/>
  <c r="AA84" i="13" s="1"/>
  <c r="Q83" i="13"/>
  <c r="U83" i="13" s="1"/>
  <c r="C83" i="13"/>
  <c r="B85" i="13"/>
  <c r="H85" i="13" s="1"/>
  <c r="Y85" i="13" s="1"/>
  <c r="I84" i="13"/>
  <c r="J82" i="13"/>
  <c r="L82" i="13"/>
  <c r="Z84" i="13"/>
  <c r="O84" i="13"/>
  <c r="AA85" i="13" l="1"/>
  <c r="AB84" i="13"/>
  <c r="AC84" i="13" s="1"/>
  <c r="U34" i="13"/>
  <c r="T34" i="13"/>
  <c r="K35" i="13" s="1"/>
  <c r="M35" i="13" s="1"/>
  <c r="V85" i="13"/>
  <c r="W85" i="13"/>
  <c r="G85" i="13"/>
  <c r="X85" i="13" s="1"/>
  <c r="AB85" i="13" s="1"/>
  <c r="N85" i="13"/>
  <c r="Q84" i="13"/>
  <c r="C84" i="13"/>
  <c r="B86" i="13"/>
  <c r="H86" i="13" s="1"/>
  <c r="Y86" i="13" s="1"/>
  <c r="AA86" i="13" s="1"/>
  <c r="I85" i="13"/>
  <c r="J83" i="13"/>
  <c r="S83" i="13"/>
  <c r="L83" i="13"/>
  <c r="O85" i="13"/>
  <c r="N86" i="13" l="1"/>
  <c r="AC85" i="13"/>
  <c r="W86" i="13"/>
  <c r="V86" i="13"/>
  <c r="G86" i="13"/>
  <c r="X86" i="13" s="1"/>
  <c r="AB86" i="13" s="1"/>
  <c r="AC86" i="13" s="1"/>
  <c r="R35" i="13"/>
  <c r="S36" i="13" s="1"/>
  <c r="P35" i="13"/>
  <c r="T35" i="13" s="1"/>
  <c r="K36" i="13" s="1"/>
  <c r="M36" i="13" s="1"/>
  <c r="R36" i="13" s="1"/>
  <c r="Z85" i="13"/>
  <c r="B87" i="13"/>
  <c r="H87" i="13" s="1"/>
  <c r="Y87" i="13" s="1"/>
  <c r="AA87" i="13" s="1"/>
  <c r="I86" i="13"/>
  <c r="Q85" i="13"/>
  <c r="U85" i="13" s="1"/>
  <c r="C85" i="13"/>
  <c r="J84" i="13"/>
  <c r="L84" i="13"/>
  <c r="O86" i="13"/>
  <c r="Z86" i="13" l="1"/>
  <c r="N87" i="13"/>
  <c r="V87" i="13"/>
  <c r="G87" i="13"/>
  <c r="X87" i="13" s="1"/>
  <c r="AB87" i="13" s="1"/>
  <c r="AC87" i="13" s="1"/>
  <c r="W87" i="13"/>
  <c r="P36" i="13"/>
  <c r="U36" i="13" s="1"/>
  <c r="Q86" i="13"/>
  <c r="C86" i="13"/>
  <c r="J86" i="13" s="1"/>
  <c r="J85" i="13"/>
  <c r="S85" i="13"/>
  <c r="L85" i="13"/>
  <c r="B88" i="13"/>
  <c r="H88" i="13" s="1"/>
  <c r="Y88" i="13" s="1"/>
  <c r="AA88" i="13" s="1"/>
  <c r="I87" i="13"/>
  <c r="O87" i="13"/>
  <c r="V88" i="13" l="1"/>
  <c r="Z87" i="13"/>
  <c r="L86" i="13"/>
  <c r="W88" i="13"/>
  <c r="G88" i="13"/>
  <c r="X88" i="13" s="1"/>
  <c r="Z88" i="13" s="1"/>
  <c r="N88" i="13"/>
  <c r="T36" i="13"/>
  <c r="K37" i="13" s="1"/>
  <c r="M37" i="13" s="1"/>
  <c r="R37" i="13" s="1"/>
  <c r="S38" i="13" s="1"/>
  <c r="Q87" i="13"/>
  <c r="U87" i="13" s="1"/>
  <c r="C87" i="13"/>
  <c r="B89" i="13"/>
  <c r="H89" i="13" s="1"/>
  <c r="Y89" i="13" s="1"/>
  <c r="AA89" i="13" s="1"/>
  <c r="I88" i="13"/>
  <c r="O88" i="13" l="1"/>
  <c r="AB88" i="13"/>
  <c r="AC88" i="13" s="1"/>
  <c r="V89" i="13"/>
  <c r="N89" i="13"/>
  <c r="G89" i="13"/>
  <c r="X89" i="13" s="1"/>
  <c r="Z89" i="13" s="1"/>
  <c r="P37" i="13"/>
  <c r="T37" i="13" s="1"/>
  <c r="K38" i="13" s="1"/>
  <c r="M38" i="13" s="1"/>
  <c r="R38" i="13" s="1"/>
  <c r="Q88" i="13"/>
  <c r="C88" i="13"/>
  <c r="B90" i="13"/>
  <c r="G90" i="13" s="1"/>
  <c r="X90" i="13" s="1"/>
  <c r="I89" i="13"/>
  <c r="J87" i="13"/>
  <c r="S87" i="13"/>
  <c r="L87" i="13"/>
  <c r="W89" i="13"/>
  <c r="V90" i="13"/>
  <c r="N90" i="13"/>
  <c r="O89" i="13"/>
  <c r="AB89" i="13" l="1"/>
  <c r="AC89" i="13" s="1"/>
  <c r="W90" i="13"/>
  <c r="Q89" i="13"/>
  <c r="U89" i="13" s="1"/>
  <c r="C89" i="13"/>
  <c r="B91" i="13"/>
  <c r="G91" i="13" s="1"/>
  <c r="X91" i="13" s="1"/>
  <c r="I90" i="13"/>
  <c r="J88" i="13"/>
  <c r="L88" i="13"/>
  <c r="H90" i="13"/>
  <c r="Y90" i="13" s="1"/>
  <c r="AA90" i="13" s="1"/>
  <c r="Z90" i="13"/>
  <c r="P38" i="13"/>
  <c r="U38" i="13" s="1"/>
  <c r="O90" i="13"/>
  <c r="N91" i="13" l="1"/>
  <c r="W91" i="13"/>
  <c r="V91" i="13"/>
  <c r="AB90" i="13"/>
  <c r="AC90" i="13" s="1"/>
  <c r="Q90" i="13"/>
  <c r="C90" i="13"/>
  <c r="B92" i="13"/>
  <c r="V92" i="13" s="1"/>
  <c r="I91" i="13"/>
  <c r="J89" i="13"/>
  <c r="S89" i="13"/>
  <c r="L89" i="13"/>
  <c r="H91" i="13"/>
  <c r="Y91" i="13" s="1"/>
  <c r="AA91" i="13" s="1"/>
  <c r="Z91" i="13"/>
  <c r="T38" i="13"/>
  <c r="K39" i="13" s="1"/>
  <c r="M39" i="13" s="1"/>
  <c r="R39" i="13" s="1"/>
  <c r="S40" i="13" s="1"/>
  <c r="O91" i="13" l="1"/>
  <c r="N92" i="13"/>
  <c r="W92" i="13"/>
  <c r="H92" i="13"/>
  <c r="Y92" i="13" s="1"/>
  <c r="AA92" i="13" s="1"/>
  <c r="AB91" i="13"/>
  <c r="AC91" i="13" s="1"/>
  <c r="Q91" i="13"/>
  <c r="C91" i="13"/>
  <c r="B93" i="13"/>
  <c r="H93" i="13" s="1"/>
  <c r="Y93" i="13" s="1"/>
  <c r="I92" i="13"/>
  <c r="J90" i="13"/>
  <c r="L90" i="13"/>
  <c r="G92" i="13"/>
  <c r="X92" i="13" s="1"/>
  <c r="Z92" i="13" s="1"/>
  <c r="P39" i="13"/>
  <c r="O92" i="13"/>
  <c r="U91" i="13" l="1"/>
  <c r="AA93" i="13"/>
  <c r="W93" i="13"/>
  <c r="V93" i="13"/>
  <c r="G93" i="13"/>
  <c r="X93" i="13" s="1"/>
  <c r="AB93" i="13" s="1"/>
  <c r="N93" i="13"/>
  <c r="AB92" i="13"/>
  <c r="AC92" i="13" s="1"/>
  <c r="B94" i="13"/>
  <c r="V94" i="13" s="1"/>
  <c r="I93" i="13"/>
  <c r="J91" i="13"/>
  <c r="S91" i="13"/>
  <c r="L91" i="13"/>
  <c r="Q92" i="13"/>
  <c r="C92" i="13"/>
  <c r="T39" i="13"/>
  <c r="K40" i="13" s="1"/>
  <c r="M40" i="13" s="1"/>
  <c r="R40" i="13" s="1"/>
  <c r="O93" i="13" l="1"/>
  <c r="AC93" i="13"/>
  <c r="Z93" i="13"/>
  <c r="G94" i="13"/>
  <c r="X94" i="13" s="1"/>
  <c r="Z94" i="13" s="1"/>
  <c r="H94" i="13"/>
  <c r="Y94" i="13" s="1"/>
  <c r="AA94" i="13" s="1"/>
  <c r="N94" i="13"/>
  <c r="W94" i="13"/>
  <c r="J92" i="13"/>
  <c r="L92" i="13"/>
  <c r="Q93" i="13"/>
  <c r="U93" i="13" s="1"/>
  <c r="C93" i="13"/>
  <c r="B95" i="13"/>
  <c r="G95" i="13" s="1"/>
  <c r="X95" i="13" s="1"/>
  <c r="I94" i="13"/>
  <c r="P40" i="13"/>
  <c r="U40" i="13" s="1"/>
  <c r="O94" i="13" l="1"/>
  <c r="N95" i="13"/>
  <c r="H95" i="13"/>
  <c r="Y95" i="13" s="1"/>
  <c r="AA95" i="13" s="1"/>
  <c r="AB94" i="13"/>
  <c r="AC94" i="13" s="1"/>
  <c r="B96" i="13"/>
  <c r="V96" i="13" s="1"/>
  <c r="Q95" i="13"/>
  <c r="I95" i="13"/>
  <c r="V95" i="13"/>
  <c r="J93" i="13"/>
  <c r="L93" i="13"/>
  <c r="S93" i="13"/>
  <c r="W95" i="13"/>
  <c r="Q94" i="13"/>
  <c r="C94" i="13"/>
  <c r="Z95" i="13"/>
  <c r="T40" i="13"/>
  <c r="K41" i="13" s="1"/>
  <c r="M41" i="13" s="1"/>
  <c r="R41" i="13" s="1"/>
  <c r="S42" i="13" s="1"/>
  <c r="W96" i="13" l="1"/>
  <c r="O95" i="13"/>
  <c r="G96" i="13"/>
  <c r="X96" i="13" s="1"/>
  <c r="Z96" i="13" s="1"/>
  <c r="H96" i="13"/>
  <c r="Y96" i="13" s="1"/>
  <c r="AA96" i="13" s="1"/>
  <c r="N96" i="13"/>
  <c r="AB95" i="13"/>
  <c r="AC95" i="13" s="1"/>
  <c r="C95" i="13"/>
  <c r="J95" i="13" s="1"/>
  <c r="J94" i="13"/>
  <c r="L94" i="13"/>
  <c r="B97" i="13"/>
  <c r="G97" i="13" s="1"/>
  <c r="X97" i="13" s="1"/>
  <c r="I96" i="13"/>
  <c r="U95" i="13"/>
  <c r="P41" i="13"/>
  <c r="AB96" i="13" l="1"/>
  <c r="AC96" i="13" s="1"/>
  <c r="H97" i="13"/>
  <c r="Y97" i="13" s="1"/>
  <c r="AA97" i="13" s="1"/>
  <c r="S95" i="13"/>
  <c r="L95" i="13"/>
  <c r="N97" i="13"/>
  <c r="V97" i="13"/>
  <c r="W97" i="13"/>
  <c r="Q96" i="13"/>
  <c r="C96" i="13"/>
  <c r="B98" i="13"/>
  <c r="W98" i="13" s="1"/>
  <c r="I97" i="13"/>
  <c r="O96" i="13"/>
  <c r="Z97" i="13"/>
  <c r="T41" i="13"/>
  <c r="K42" i="13" s="1"/>
  <c r="M42" i="13" s="1"/>
  <c r="R42" i="13" s="1"/>
  <c r="O97" i="13" l="1"/>
  <c r="AB97" i="13"/>
  <c r="AC97" i="13" s="1"/>
  <c r="N98" i="13"/>
  <c r="G98" i="13"/>
  <c r="X98" i="13" s="1"/>
  <c r="Z98" i="13" s="1"/>
  <c r="V98" i="13"/>
  <c r="H98" i="13"/>
  <c r="Y98" i="13" s="1"/>
  <c r="AA98" i="13" s="1"/>
  <c r="Q97" i="13"/>
  <c r="U97" i="13" s="1"/>
  <c r="C97" i="13"/>
  <c r="B99" i="13"/>
  <c r="W99" i="13" s="1"/>
  <c r="I98" i="13"/>
  <c r="J96" i="13"/>
  <c r="L96" i="13"/>
  <c r="P42" i="13"/>
  <c r="U42" i="13" s="1"/>
  <c r="O98" i="13" l="1"/>
  <c r="H99" i="13"/>
  <c r="Y99" i="13" s="1"/>
  <c r="AA99" i="13" s="1"/>
  <c r="AB98" i="13"/>
  <c r="AC98" i="13" s="1"/>
  <c r="V99" i="13"/>
  <c r="B100" i="13"/>
  <c r="V100" i="13" s="1"/>
  <c r="I99" i="13"/>
  <c r="J97" i="13"/>
  <c r="S97" i="13"/>
  <c r="L97" i="13"/>
  <c r="Q98" i="13"/>
  <c r="C98" i="13"/>
  <c r="N99" i="13"/>
  <c r="G99" i="13"/>
  <c r="X99" i="13" s="1"/>
  <c r="Z99" i="13" s="1"/>
  <c r="T42" i="13"/>
  <c r="K43" i="13" s="1"/>
  <c r="M43" i="13" s="1"/>
  <c r="R43" i="13" s="1"/>
  <c r="S44" i="13" s="1"/>
  <c r="N100" i="13" l="1"/>
  <c r="O99" i="13"/>
  <c r="W100" i="13"/>
  <c r="G100" i="13"/>
  <c r="X100" i="13" s="1"/>
  <c r="Z100" i="13" s="1"/>
  <c r="H100" i="13"/>
  <c r="Y100" i="13" s="1"/>
  <c r="AA100" i="13" s="1"/>
  <c r="AB99" i="13"/>
  <c r="AC99" i="13" s="1"/>
  <c r="J98" i="13"/>
  <c r="L98" i="13"/>
  <c r="Q99" i="13"/>
  <c r="C99" i="13"/>
  <c r="B101" i="13"/>
  <c r="G101" i="13" s="1"/>
  <c r="X101" i="13" s="1"/>
  <c r="I100" i="13"/>
  <c r="P43" i="13"/>
  <c r="AB100" i="13" l="1"/>
  <c r="U99" i="13"/>
  <c r="N101" i="13"/>
  <c r="V101" i="13"/>
  <c r="W101" i="13"/>
  <c r="H101" i="13"/>
  <c r="Y101" i="13" s="1"/>
  <c r="AA101" i="13" s="1"/>
  <c r="AC100" i="13"/>
  <c r="B102" i="13"/>
  <c r="G102" i="13" s="1"/>
  <c r="X102" i="13" s="1"/>
  <c r="I101" i="13"/>
  <c r="J99" i="13"/>
  <c r="S99" i="13"/>
  <c r="L99" i="13"/>
  <c r="Q100" i="13"/>
  <c r="C100" i="13"/>
  <c r="O100" i="13"/>
  <c r="Z101" i="13"/>
  <c r="T43" i="13"/>
  <c r="K44" i="13" s="1"/>
  <c r="M44" i="13" s="1"/>
  <c r="R44" i="13" s="1"/>
  <c r="O101" i="13"/>
  <c r="H102" i="13" l="1"/>
  <c r="Y102" i="13" s="1"/>
  <c r="AA102" i="13" s="1"/>
  <c r="N102" i="13"/>
  <c r="AB101" i="13"/>
  <c r="AC101" i="13" s="1"/>
  <c r="W102" i="13"/>
  <c r="V102" i="13"/>
  <c r="J100" i="13"/>
  <c r="L100" i="13"/>
  <c r="Q101" i="13"/>
  <c r="U101" i="13" s="1"/>
  <c r="C101" i="13"/>
  <c r="B103" i="13"/>
  <c r="H103" i="13" s="1"/>
  <c r="Y103" i="13" s="1"/>
  <c r="AA103" i="13" s="1"/>
  <c r="I102" i="13"/>
  <c r="Z102" i="13"/>
  <c r="P44" i="13"/>
  <c r="U44" i="13" s="1"/>
  <c r="O102" i="13"/>
  <c r="AB102" i="13" l="1"/>
  <c r="AC102" i="13" s="1"/>
  <c r="B104" i="13"/>
  <c r="G104" i="13" s="1"/>
  <c r="X104" i="13" s="1"/>
  <c r="Q103" i="13"/>
  <c r="I103" i="13"/>
  <c r="V103" i="13"/>
  <c r="J101" i="13"/>
  <c r="L101" i="13"/>
  <c r="S101" i="13"/>
  <c r="Q102" i="13"/>
  <c r="C102" i="13"/>
  <c r="W103" i="13"/>
  <c r="C103" i="13"/>
  <c r="J103" i="13" s="1"/>
  <c r="N103" i="13"/>
  <c r="G103" i="13"/>
  <c r="X103" i="13" s="1"/>
  <c r="AB103" i="13" s="1"/>
  <c r="H104" i="13"/>
  <c r="Y104" i="13" s="1"/>
  <c r="AA104" i="13" s="1"/>
  <c r="V104" i="13"/>
  <c r="W104" i="13"/>
  <c r="T44" i="13"/>
  <c r="K45" i="13" s="1"/>
  <c r="M45" i="13" s="1"/>
  <c r="R45" i="13" s="1"/>
  <c r="S46" i="13" s="1"/>
  <c r="N104" i="13"/>
  <c r="O103" i="13" l="1"/>
  <c r="AC103" i="13"/>
  <c r="Z103" i="13"/>
  <c r="L103" i="13"/>
  <c r="S103" i="13"/>
  <c r="J102" i="13"/>
  <c r="L102" i="13"/>
  <c r="B105" i="13"/>
  <c r="W105" i="13" s="1"/>
  <c r="I104" i="13"/>
  <c r="U103" i="13"/>
  <c r="AB104" i="13"/>
  <c r="AC104" i="13" s="1"/>
  <c r="Z104" i="13"/>
  <c r="P45" i="13"/>
  <c r="O104" i="13"/>
  <c r="N105" i="13" l="1"/>
  <c r="H105" i="13"/>
  <c r="Y105" i="13" s="1"/>
  <c r="AA105" i="13" s="1"/>
  <c r="G105" i="13"/>
  <c r="X105" i="13" s="1"/>
  <c r="Z105" i="13" s="1"/>
  <c r="B106" i="13"/>
  <c r="H106" i="13" s="1"/>
  <c r="Y106" i="13" s="1"/>
  <c r="Q105" i="13"/>
  <c r="I105" i="13"/>
  <c r="V105" i="13"/>
  <c r="Q104" i="13"/>
  <c r="C104" i="13"/>
  <c r="G106" i="13"/>
  <c r="X106" i="13" s="1"/>
  <c r="W106" i="13"/>
  <c r="V106" i="13"/>
  <c r="T45" i="13"/>
  <c r="K46" i="13" s="1"/>
  <c r="M46" i="13" s="1"/>
  <c r="R46" i="13" s="1"/>
  <c r="AA106" i="13" l="1"/>
  <c r="O105" i="13"/>
  <c r="N106" i="13"/>
  <c r="AB105" i="13"/>
  <c r="AC105" i="13" s="1"/>
  <c r="C105" i="13"/>
  <c r="J105" i="13" s="1"/>
  <c r="J104" i="13"/>
  <c r="L104" i="13"/>
  <c r="B107" i="13"/>
  <c r="G107" i="13" s="1"/>
  <c r="X107" i="13" s="1"/>
  <c r="I106" i="13"/>
  <c r="U105" i="13"/>
  <c r="AB106" i="13"/>
  <c r="Z106" i="13"/>
  <c r="P46" i="13"/>
  <c r="U46" i="13" s="1"/>
  <c r="O106" i="13" l="1"/>
  <c r="AC106" i="13"/>
  <c r="L105" i="13"/>
  <c r="N107" i="13"/>
  <c r="S105" i="13"/>
  <c r="H107" i="13"/>
  <c r="Y107" i="13" s="1"/>
  <c r="AA107" i="13" s="1"/>
  <c r="V107" i="13"/>
  <c r="W107" i="13"/>
  <c r="B108" i="13"/>
  <c r="V108" i="13" s="1"/>
  <c r="I107" i="13"/>
  <c r="Q106" i="13"/>
  <c r="C106" i="13"/>
  <c r="Z107" i="13"/>
  <c r="T46" i="13"/>
  <c r="K47" i="13" s="1"/>
  <c r="M47" i="13" s="1"/>
  <c r="R47" i="13" s="1"/>
  <c r="S48" i="13" s="1"/>
  <c r="O107" i="13" l="1"/>
  <c r="AB107" i="13"/>
  <c r="AC107" i="13" s="1"/>
  <c r="N108" i="13"/>
  <c r="G108" i="13"/>
  <c r="X108" i="13" s="1"/>
  <c r="Z108" i="13" s="1"/>
  <c r="H108" i="13"/>
  <c r="Y108" i="13" s="1"/>
  <c r="AA108" i="13" s="1"/>
  <c r="W108" i="13"/>
  <c r="J106" i="13"/>
  <c r="L106" i="13"/>
  <c r="Q107" i="13"/>
  <c r="C107" i="13"/>
  <c r="B109" i="13"/>
  <c r="G109" i="13" s="1"/>
  <c r="X109" i="13" s="1"/>
  <c r="O108" i="13"/>
  <c r="I108" i="13"/>
  <c r="U107" i="13"/>
  <c r="P47" i="13"/>
  <c r="AB108" i="13" l="1"/>
  <c r="AC108" i="13" s="1"/>
  <c r="V109" i="13"/>
  <c r="J107" i="13"/>
  <c r="S107" i="13"/>
  <c r="B110" i="13"/>
  <c r="W110" i="13" s="1"/>
  <c r="Q109" i="13"/>
  <c r="I109" i="13"/>
  <c r="W109" i="13"/>
  <c r="N109" i="13"/>
  <c r="H109" i="13"/>
  <c r="Y109" i="13" s="1"/>
  <c r="AA109" i="13" s="1"/>
  <c r="Q108" i="13"/>
  <c r="C108" i="13"/>
  <c r="J108" i="13" s="1"/>
  <c r="L107" i="13"/>
  <c r="Z109" i="13"/>
  <c r="T47" i="13"/>
  <c r="K48" i="13" s="1"/>
  <c r="M48" i="13" s="1"/>
  <c r="R48" i="13" s="1"/>
  <c r="O109" i="13" l="1"/>
  <c r="G110" i="13"/>
  <c r="X110" i="13" s="1"/>
  <c r="Z110" i="13" s="1"/>
  <c r="L108" i="13"/>
  <c r="AB109" i="13"/>
  <c r="AC109" i="13" s="1"/>
  <c r="C109" i="13"/>
  <c r="B111" i="13"/>
  <c r="N111" i="13" s="1"/>
  <c r="I110" i="13"/>
  <c r="Q110" i="13"/>
  <c r="N110" i="13"/>
  <c r="V110" i="13"/>
  <c r="H110" i="13"/>
  <c r="Y110" i="13" s="1"/>
  <c r="AA110" i="13" s="1"/>
  <c r="P48" i="13"/>
  <c r="U48" i="13" s="1"/>
  <c r="O110" i="13" l="1"/>
  <c r="U109" i="13"/>
  <c r="V111" i="13"/>
  <c r="W111" i="13"/>
  <c r="G111" i="13"/>
  <c r="X111" i="13" s="1"/>
  <c r="Z111" i="13" s="1"/>
  <c r="H111" i="13"/>
  <c r="Y111" i="13" s="1"/>
  <c r="AB110" i="13"/>
  <c r="AC110" i="13" s="1"/>
  <c r="C110" i="13"/>
  <c r="B112" i="13"/>
  <c r="H112" i="13" s="1"/>
  <c r="Y112" i="13" s="1"/>
  <c r="I111" i="13"/>
  <c r="J109" i="13"/>
  <c r="S109" i="13"/>
  <c r="L109" i="13"/>
  <c r="T48" i="13"/>
  <c r="K49" i="13" s="1"/>
  <c r="M49" i="13" s="1"/>
  <c r="R49" i="13" s="1"/>
  <c r="S50" i="13" s="1"/>
  <c r="O111" i="13"/>
  <c r="AB111" i="13" l="1"/>
  <c r="V112" i="13"/>
  <c r="W112" i="13"/>
  <c r="N112" i="13"/>
  <c r="AC111" i="13"/>
  <c r="AA112" i="13"/>
  <c r="G112" i="13"/>
  <c r="X112" i="13" s="1"/>
  <c r="Z112" i="13" s="1"/>
  <c r="AA111" i="13"/>
  <c r="Q111" i="13"/>
  <c r="U111" i="13" s="1"/>
  <c r="C111" i="13"/>
  <c r="B113" i="13"/>
  <c r="H113" i="13" s="1"/>
  <c r="Y113" i="13" s="1"/>
  <c r="AA113" i="13" s="1"/>
  <c r="I112" i="13"/>
  <c r="J110" i="13"/>
  <c r="L110" i="13"/>
  <c r="P49" i="13"/>
  <c r="N113" i="13" l="1"/>
  <c r="V113" i="13"/>
  <c r="AB112" i="13"/>
  <c r="AC112" i="13" s="1"/>
  <c r="W113" i="13"/>
  <c r="G113" i="13"/>
  <c r="X113" i="13" s="1"/>
  <c r="AB113" i="13" s="1"/>
  <c r="Q112" i="13"/>
  <c r="C112" i="13"/>
  <c r="J112" i="13" s="1"/>
  <c r="B114" i="13"/>
  <c r="V114" i="13" s="1"/>
  <c r="I113" i="13"/>
  <c r="J111" i="13"/>
  <c r="S111" i="13"/>
  <c r="L111" i="13"/>
  <c r="O112" i="13"/>
  <c r="T49" i="13"/>
  <c r="K50" i="13" s="1"/>
  <c r="M50" i="13" s="1"/>
  <c r="R50" i="13" s="1"/>
  <c r="O113" i="13"/>
  <c r="AC113" i="13" l="1"/>
  <c r="Z113" i="13"/>
  <c r="W114" i="13"/>
  <c r="L112" i="13"/>
  <c r="Q113" i="13"/>
  <c r="C113" i="13"/>
  <c r="B115" i="13"/>
  <c r="V115" i="13" s="1"/>
  <c r="I114" i="13"/>
  <c r="G114" i="13"/>
  <c r="X114" i="13" s="1"/>
  <c r="N114" i="13"/>
  <c r="H114" i="13"/>
  <c r="Y114" i="13" s="1"/>
  <c r="AA114" i="13" s="1"/>
  <c r="U113" i="13"/>
  <c r="P50" i="13"/>
  <c r="U50" i="13" s="1"/>
  <c r="O114" i="13" l="1"/>
  <c r="N115" i="13"/>
  <c r="AB114" i="13"/>
  <c r="AC114" i="13" s="1"/>
  <c r="W115" i="13"/>
  <c r="Z114" i="13"/>
  <c r="B116" i="13"/>
  <c r="W116" i="13" s="1"/>
  <c r="I115" i="13"/>
  <c r="G115" i="13"/>
  <c r="X115" i="13" s="1"/>
  <c r="Z115" i="13" s="1"/>
  <c r="J113" i="13"/>
  <c r="S113" i="13"/>
  <c r="L113" i="13"/>
  <c r="Q114" i="13"/>
  <c r="C114" i="13"/>
  <c r="H115" i="13"/>
  <c r="Y115" i="13" s="1"/>
  <c r="AA115" i="13" s="1"/>
  <c r="T50" i="13"/>
  <c r="K51" i="13" s="1"/>
  <c r="M51" i="13" s="1"/>
  <c r="R51" i="13" s="1"/>
  <c r="S52" i="13" s="1"/>
  <c r="O115" i="13"/>
  <c r="H116" i="13" l="1"/>
  <c r="Y116" i="13" s="1"/>
  <c r="AA116" i="13" s="1"/>
  <c r="V116" i="13"/>
  <c r="G116" i="13"/>
  <c r="X116" i="13" s="1"/>
  <c r="Z116" i="13" s="1"/>
  <c r="N116" i="13"/>
  <c r="AB115" i="13"/>
  <c r="AC115" i="13" s="1"/>
  <c r="J114" i="13"/>
  <c r="L114" i="13"/>
  <c r="Q115" i="13"/>
  <c r="C115" i="13"/>
  <c r="B117" i="13"/>
  <c r="H117" i="13" s="1"/>
  <c r="Y117" i="13" s="1"/>
  <c r="AA117" i="13" s="1"/>
  <c r="I116" i="13"/>
  <c r="P51" i="13"/>
  <c r="U115" i="13" l="1"/>
  <c r="AB116" i="13"/>
  <c r="AC116" i="13" s="1"/>
  <c r="B118" i="13"/>
  <c r="W118" i="13" s="1"/>
  <c r="Q117" i="13"/>
  <c r="I117" i="13"/>
  <c r="Q116" i="13"/>
  <c r="C116" i="13"/>
  <c r="J115" i="13"/>
  <c r="S115" i="13"/>
  <c r="L115" i="13"/>
  <c r="V117" i="13"/>
  <c r="W117" i="13"/>
  <c r="N117" i="13"/>
  <c r="O116" i="13"/>
  <c r="G117" i="13"/>
  <c r="X117" i="13" s="1"/>
  <c r="AB117" i="13" s="1"/>
  <c r="AC117" i="13" s="1"/>
  <c r="T51" i="13"/>
  <c r="K52" i="13" s="1"/>
  <c r="M52" i="13" s="1"/>
  <c r="R52" i="13" s="1"/>
  <c r="O117" i="13" l="1"/>
  <c r="N118" i="13"/>
  <c r="G118" i="13"/>
  <c r="X118" i="13" s="1"/>
  <c r="Z118" i="13" s="1"/>
  <c r="H118" i="13"/>
  <c r="Y118" i="13" s="1"/>
  <c r="AA118" i="13" s="1"/>
  <c r="Z117" i="13"/>
  <c r="V118" i="13"/>
  <c r="J116" i="13"/>
  <c r="L116" i="13"/>
  <c r="C117" i="13"/>
  <c r="B119" i="13"/>
  <c r="H119" i="13" s="1"/>
  <c r="Y119" i="13" s="1"/>
  <c r="AA119" i="13" s="1"/>
  <c r="I118" i="13"/>
  <c r="U117" i="13"/>
  <c r="P52" i="13"/>
  <c r="U52" i="13" s="1"/>
  <c r="O118" i="13"/>
  <c r="AB118" i="13" l="1"/>
  <c r="AC118" i="13" s="1"/>
  <c r="J117" i="13"/>
  <c r="S117" i="13"/>
  <c r="Q118" i="13"/>
  <c r="C118" i="13"/>
  <c r="J118" i="13" s="1"/>
  <c r="B120" i="13"/>
  <c r="H120" i="13" s="1"/>
  <c r="Y120" i="13" s="1"/>
  <c r="AA120" i="13" s="1"/>
  <c r="Q119" i="13"/>
  <c r="I119" i="13"/>
  <c r="V119" i="13"/>
  <c r="W119" i="13"/>
  <c r="L117" i="13"/>
  <c r="N119" i="13"/>
  <c r="G119" i="13"/>
  <c r="X119" i="13" s="1"/>
  <c r="AB119" i="13" s="1"/>
  <c r="AC119" i="13" s="1"/>
  <c r="T52" i="13"/>
  <c r="K53" i="13" s="1"/>
  <c r="M53" i="13" s="1"/>
  <c r="R53" i="13" s="1"/>
  <c r="S54" i="13" s="1"/>
  <c r="O119" i="13" l="1"/>
  <c r="N120" i="13"/>
  <c r="W120" i="13"/>
  <c r="Z119" i="13"/>
  <c r="L118" i="13"/>
  <c r="B121" i="13"/>
  <c r="H121" i="13" s="1"/>
  <c r="Y121" i="13" s="1"/>
  <c r="AA121" i="13" s="1"/>
  <c r="Q120" i="13"/>
  <c r="I120" i="13"/>
  <c r="V120" i="13"/>
  <c r="G120" i="13"/>
  <c r="X120" i="13" s="1"/>
  <c r="AB120" i="13" s="1"/>
  <c r="AC120" i="13" s="1"/>
  <c r="C119" i="13"/>
  <c r="P53" i="13"/>
  <c r="W121" i="13" l="1"/>
  <c r="N121" i="13"/>
  <c r="Z120" i="13"/>
  <c r="V121" i="13"/>
  <c r="G121" i="13"/>
  <c r="X121" i="13" s="1"/>
  <c r="AB121" i="13" s="1"/>
  <c r="AC121" i="13" s="1"/>
  <c r="C120" i="13"/>
  <c r="J120" i="13" s="1"/>
  <c r="O120" i="13"/>
  <c r="J119" i="13"/>
  <c r="S119" i="13"/>
  <c r="L119" i="13"/>
  <c r="B122" i="13"/>
  <c r="V122" i="13" s="1"/>
  <c r="I121" i="13"/>
  <c r="T53" i="13"/>
  <c r="K54" i="13" s="1"/>
  <c r="M54" i="13" s="1"/>
  <c r="R54" i="13" s="1"/>
  <c r="O121" i="13"/>
  <c r="H122" i="13" l="1"/>
  <c r="Y122" i="13" s="1"/>
  <c r="AA122" i="13" s="1"/>
  <c r="L120" i="13"/>
  <c r="Z121" i="13"/>
  <c r="W122" i="13"/>
  <c r="G122" i="13"/>
  <c r="X122" i="13" s="1"/>
  <c r="Z122" i="13" s="1"/>
  <c r="N122" i="13"/>
  <c r="B123" i="13"/>
  <c r="W123" i="13" s="1"/>
  <c r="I122" i="13"/>
  <c r="Q122" i="13"/>
  <c r="C122" i="13"/>
  <c r="J122" i="13" s="1"/>
  <c r="Q121" i="13"/>
  <c r="C121" i="13"/>
  <c r="V123" i="13"/>
  <c r="P54" i="13"/>
  <c r="U54" i="13" s="1"/>
  <c r="O122" i="13" l="1"/>
  <c r="AB122" i="13"/>
  <c r="AC122" i="13" s="1"/>
  <c r="J121" i="13"/>
  <c r="L121" i="13"/>
  <c r="S121" i="13"/>
  <c r="B124" i="13"/>
  <c r="G124" i="13" s="1"/>
  <c r="X124" i="13" s="1"/>
  <c r="Q123" i="13"/>
  <c r="I123" i="13"/>
  <c r="H123" i="13"/>
  <c r="Y123" i="13" s="1"/>
  <c r="AA123" i="13" s="1"/>
  <c r="L122" i="13"/>
  <c r="N123" i="13"/>
  <c r="G123" i="13"/>
  <c r="X123" i="13" s="1"/>
  <c r="H124" i="13"/>
  <c r="Y124" i="13" s="1"/>
  <c r="T54" i="13"/>
  <c r="K55" i="13" s="1"/>
  <c r="M55" i="13" s="1"/>
  <c r="R55" i="13" s="1"/>
  <c r="S56" i="13" s="1"/>
  <c r="O123" i="13" l="1"/>
  <c r="AA124" i="13"/>
  <c r="N124" i="13"/>
  <c r="V124" i="13"/>
  <c r="AB123" i="13"/>
  <c r="AC123" i="13" s="1"/>
  <c r="B125" i="13"/>
  <c r="V125" i="13" s="1"/>
  <c r="I124" i="13"/>
  <c r="Z123" i="13"/>
  <c r="C123" i="13"/>
  <c r="W124" i="13"/>
  <c r="AB124" i="13"/>
  <c r="AC124" i="13" s="1"/>
  <c r="Z124" i="13"/>
  <c r="H125" i="13"/>
  <c r="Y125" i="13" s="1"/>
  <c r="AA125" i="13" s="1"/>
  <c r="G125" i="13"/>
  <c r="X125" i="13" s="1"/>
  <c r="P55" i="13"/>
  <c r="O124" i="13" l="1"/>
  <c r="N125" i="13"/>
  <c r="W125" i="13"/>
  <c r="Q124" i="13"/>
  <c r="C124" i="13"/>
  <c r="J124" i="13" s="1"/>
  <c r="J123" i="13"/>
  <c r="S123" i="13"/>
  <c r="L123" i="13"/>
  <c r="B126" i="13"/>
  <c r="G126" i="13" s="1"/>
  <c r="X126" i="13" s="1"/>
  <c r="I125" i="13"/>
  <c r="AB125" i="13"/>
  <c r="AC125" i="13" s="1"/>
  <c r="Z125" i="13"/>
  <c r="T55" i="13"/>
  <c r="K56" i="13" s="1"/>
  <c r="M56" i="13" s="1"/>
  <c r="R56" i="13" s="1"/>
  <c r="O125" i="13"/>
  <c r="H126" i="13" l="1"/>
  <c r="Y126" i="13" s="1"/>
  <c r="AA126" i="13" s="1"/>
  <c r="N126" i="13"/>
  <c r="V126" i="13"/>
  <c r="W126" i="13"/>
  <c r="Q125" i="13"/>
  <c r="C125" i="13"/>
  <c r="B127" i="13"/>
  <c r="H127" i="13" s="1"/>
  <c r="Y127" i="13" s="1"/>
  <c r="AA127" i="13" s="1"/>
  <c r="I126" i="13"/>
  <c r="L124" i="13"/>
  <c r="Z126" i="13"/>
  <c r="P56" i="13"/>
  <c r="U56" i="13" s="1"/>
  <c r="O126" i="13"/>
  <c r="AB126" i="13" l="1"/>
  <c r="AC126" i="13" s="1"/>
  <c r="N127" i="13"/>
  <c r="V127" i="13"/>
  <c r="G127" i="13"/>
  <c r="X127" i="13" s="1"/>
  <c r="AB127" i="13" s="1"/>
  <c r="B128" i="13"/>
  <c r="H128" i="13" s="1"/>
  <c r="Y128" i="13" s="1"/>
  <c r="AA128" i="13" s="1"/>
  <c r="I127" i="13"/>
  <c r="Q126" i="13"/>
  <c r="C126" i="13"/>
  <c r="J125" i="13"/>
  <c r="S125" i="13"/>
  <c r="W127" i="13"/>
  <c r="L125" i="13"/>
  <c r="T56" i="13"/>
  <c r="K57" i="13" s="1"/>
  <c r="M57" i="13" s="1"/>
  <c r="R57" i="13" s="1"/>
  <c r="S58" i="13" s="1"/>
  <c r="O127" i="13"/>
  <c r="N128" i="13" l="1"/>
  <c r="G128" i="13"/>
  <c r="X128" i="13" s="1"/>
  <c r="AB128" i="13" s="1"/>
  <c r="AC128" i="13" s="1"/>
  <c r="AC127" i="13"/>
  <c r="W128" i="13"/>
  <c r="V128" i="13"/>
  <c r="Z127" i="13"/>
  <c r="Q127" i="13"/>
  <c r="C127" i="13"/>
  <c r="L127" i="13" s="1"/>
  <c r="J126" i="13"/>
  <c r="L126" i="13"/>
  <c r="B129" i="13"/>
  <c r="N129" i="13" s="1"/>
  <c r="I128" i="13"/>
  <c r="P57" i="13"/>
  <c r="Z128" i="13" l="1"/>
  <c r="G129" i="13"/>
  <c r="X129" i="13" s="1"/>
  <c r="Z129" i="13" s="1"/>
  <c r="W129" i="13"/>
  <c r="V129" i="13"/>
  <c r="Q128" i="13"/>
  <c r="C128" i="13"/>
  <c r="J127" i="13"/>
  <c r="S127" i="13"/>
  <c r="B130" i="13"/>
  <c r="G130" i="13" s="1"/>
  <c r="X130" i="13" s="1"/>
  <c r="Q129" i="13"/>
  <c r="I129" i="13"/>
  <c r="O128" i="13"/>
  <c r="H129" i="13"/>
  <c r="Y129" i="13" s="1"/>
  <c r="AA129" i="13" s="1"/>
  <c r="T57" i="13"/>
  <c r="K58" i="13" s="1"/>
  <c r="M58" i="13" s="1"/>
  <c r="R58" i="13" s="1"/>
  <c r="O129" i="13"/>
  <c r="N130" i="13" l="1"/>
  <c r="H130" i="13"/>
  <c r="Y130" i="13" s="1"/>
  <c r="W130" i="13"/>
  <c r="V130" i="13"/>
  <c r="J128" i="13"/>
  <c r="L128" i="13"/>
  <c r="AB129" i="13"/>
  <c r="AC129" i="13" s="1"/>
  <c r="B131" i="13"/>
  <c r="V131" i="13" s="1"/>
  <c r="I130" i="13"/>
  <c r="C129" i="13"/>
  <c r="Z130" i="13"/>
  <c r="P58" i="13"/>
  <c r="U58" i="13" s="1"/>
  <c r="O130" i="13"/>
  <c r="AB130" i="13" l="1"/>
  <c r="AC130" i="13" s="1"/>
  <c r="AA130" i="13"/>
  <c r="H131" i="13"/>
  <c r="Y131" i="13" s="1"/>
  <c r="AA131" i="13" s="1"/>
  <c r="Q130" i="13"/>
  <c r="C130" i="13"/>
  <c r="J130" i="13" s="1"/>
  <c r="J129" i="13"/>
  <c r="S129" i="13"/>
  <c r="L129" i="13"/>
  <c r="B132" i="13"/>
  <c r="G132" i="13" s="1"/>
  <c r="X132" i="13" s="1"/>
  <c r="Q131" i="13"/>
  <c r="I131" i="13"/>
  <c r="N131" i="13"/>
  <c r="W131" i="13"/>
  <c r="C131" i="13"/>
  <c r="J131" i="13" s="1"/>
  <c r="G131" i="13"/>
  <c r="X131" i="13" s="1"/>
  <c r="AB131" i="13" s="1"/>
  <c r="AC131" i="13" s="1"/>
  <c r="T58" i="13"/>
  <c r="K59" i="13" s="1"/>
  <c r="M59" i="13" s="1"/>
  <c r="R59" i="13" s="1"/>
  <c r="S60" i="13" s="1"/>
  <c r="O131" i="13" l="1"/>
  <c r="L130" i="13"/>
  <c r="L131" i="13"/>
  <c r="B133" i="13"/>
  <c r="N133" i="13" s="1"/>
  <c r="Q132" i="13"/>
  <c r="I132" i="13"/>
  <c r="H132" i="13"/>
  <c r="Y132" i="13" s="1"/>
  <c r="AA132" i="13" s="1"/>
  <c r="Z131" i="13"/>
  <c r="V132" i="13"/>
  <c r="S131" i="13"/>
  <c r="W132" i="13"/>
  <c r="N132" i="13"/>
  <c r="C132" i="13"/>
  <c r="J132" i="13" s="1"/>
  <c r="Z132" i="13"/>
  <c r="P59" i="13"/>
  <c r="O132" i="13" l="1"/>
  <c r="G133" i="13"/>
  <c r="X133" i="13" s="1"/>
  <c r="H133" i="13"/>
  <c r="Y133" i="13" s="1"/>
  <c r="AA133" i="13" s="1"/>
  <c r="V133" i="13"/>
  <c r="W133" i="13"/>
  <c r="AB132" i="13"/>
  <c r="AC132" i="13" s="1"/>
  <c r="L132" i="13"/>
  <c r="B134" i="13"/>
  <c r="N134" i="13" s="1"/>
  <c r="I133" i="13"/>
  <c r="Z133" i="13"/>
  <c r="T59" i="13"/>
  <c r="K60" i="13" s="1"/>
  <c r="M60" i="13" s="1"/>
  <c r="R60" i="13" s="1"/>
  <c r="O133" i="13"/>
  <c r="AB133" i="13" l="1"/>
  <c r="AC133" i="13" s="1"/>
  <c r="W134" i="13"/>
  <c r="V134" i="13"/>
  <c r="G134" i="13"/>
  <c r="X134" i="13" s="1"/>
  <c r="H134" i="13"/>
  <c r="Y134" i="13" s="1"/>
  <c r="AA134" i="13" s="1"/>
  <c r="Q133" i="13"/>
  <c r="C133" i="13"/>
  <c r="B135" i="13"/>
  <c r="H135" i="13" s="1"/>
  <c r="Y135" i="13" s="1"/>
  <c r="I134" i="13"/>
  <c r="P60" i="13"/>
  <c r="U60" i="13" s="1"/>
  <c r="O134" i="13"/>
  <c r="AB134" i="13" l="1"/>
  <c r="AC134" i="13" s="1"/>
  <c r="Z134" i="13"/>
  <c r="AA135" i="13"/>
  <c r="W135" i="13"/>
  <c r="N135" i="13"/>
  <c r="G135" i="13"/>
  <c r="X135" i="13" s="1"/>
  <c r="Z135" i="13" s="1"/>
  <c r="Q134" i="13"/>
  <c r="C134" i="13"/>
  <c r="B136" i="13"/>
  <c r="V136" i="13" s="1"/>
  <c r="I135" i="13"/>
  <c r="J133" i="13"/>
  <c r="S133" i="13"/>
  <c r="L133" i="13"/>
  <c r="V135" i="13"/>
  <c r="T60" i="13"/>
  <c r="K61" i="13" s="1"/>
  <c r="M61" i="13" s="1"/>
  <c r="R61" i="13" s="1"/>
  <c r="S62" i="13" s="1"/>
  <c r="O135" i="13" l="1"/>
  <c r="AB135" i="13"/>
  <c r="AC135" i="13" s="1"/>
  <c r="N136" i="13"/>
  <c r="W136" i="13"/>
  <c r="Q135" i="13"/>
  <c r="C135" i="13"/>
  <c r="B137" i="13"/>
  <c r="V137" i="13" s="1"/>
  <c r="I136" i="13"/>
  <c r="G136" i="13"/>
  <c r="X136" i="13" s="1"/>
  <c r="Z136" i="13" s="1"/>
  <c r="J134" i="13"/>
  <c r="L134" i="13"/>
  <c r="H136" i="13"/>
  <c r="Y136" i="13" s="1"/>
  <c r="AA136" i="13" s="1"/>
  <c r="P61" i="13"/>
  <c r="O136" i="13" l="1"/>
  <c r="N137" i="13"/>
  <c r="W137" i="13"/>
  <c r="AB136" i="13"/>
  <c r="AC136" i="13" s="1"/>
  <c r="B138" i="13"/>
  <c r="H138" i="13" s="1"/>
  <c r="Y138" i="13" s="1"/>
  <c r="I137" i="13"/>
  <c r="G137" i="13"/>
  <c r="X137" i="13" s="1"/>
  <c r="Z137" i="13" s="1"/>
  <c r="J135" i="13"/>
  <c r="S135" i="13"/>
  <c r="L135" i="13"/>
  <c r="Q136" i="13"/>
  <c r="C136" i="13"/>
  <c r="H137" i="13"/>
  <c r="Y137" i="13" s="1"/>
  <c r="AA137" i="13" s="1"/>
  <c r="T61" i="13"/>
  <c r="K62" i="13" s="1"/>
  <c r="M62" i="13" s="1"/>
  <c r="R62" i="13" s="1"/>
  <c r="O137" i="13"/>
  <c r="G138" i="13" l="1"/>
  <c r="X138" i="13" s="1"/>
  <c r="Z138" i="13" s="1"/>
  <c r="W138" i="13"/>
  <c r="V138" i="13"/>
  <c r="N138" i="13"/>
  <c r="AB137" i="13"/>
  <c r="AC137" i="13" s="1"/>
  <c r="J136" i="13"/>
  <c r="L136" i="13"/>
  <c r="AA138" i="13"/>
  <c r="Q137" i="13"/>
  <c r="C137" i="13"/>
  <c r="B139" i="13"/>
  <c r="N139" i="13" s="1"/>
  <c r="I138" i="13"/>
  <c r="AB138" i="13"/>
  <c r="P62" i="13"/>
  <c r="U62" i="13" s="1"/>
  <c r="O138" i="13" l="1"/>
  <c r="H139" i="13"/>
  <c r="Y139" i="13" s="1"/>
  <c r="AC138" i="13"/>
  <c r="B140" i="13"/>
  <c r="G140" i="13" s="1"/>
  <c r="X140" i="13" s="1"/>
  <c r="Q139" i="13"/>
  <c r="I139" i="13"/>
  <c r="J137" i="13"/>
  <c r="L137" i="13"/>
  <c r="S137" i="13"/>
  <c r="W139" i="13"/>
  <c r="V139" i="13"/>
  <c r="G139" i="13"/>
  <c r="X139" i="13" s="1"/>
  <c r="Q138" i="13"/>
  <c r="C138" i="13"/>
  <c r="J138" i="13" s="1"/>
  <c r="T62" i="13"/>
  <c r="K63" i="13" s="1"/>
  <c r="M63" i="13" s="1"/>
  <c r="R63" i="13" s="1"/>
  <c r="S64" i="13" s="1"/>
  <c r="O139" i="13"/>
  <c r="N140" i="13" l="1"/>
  <c r="H140" i="13"/>
  <c r="Y140" i="13" s="1"/>
  <c r="W140" i="13"/>
  <c r="V140" i="13"/>
  <c r="C139" i="13"/>
  <c r="J139" i="13" s="1"/>
  <c r="L138" i="13"/>
  <c r="B141" i="13"/>
  <c r="G141" i="13" s="1"/>
  <c r="X141" i="13" s="1"/>
  <c r="I140" i="13"/>
  <c r="W141" i="13"/>
  <c r="V141" i="13"/>
  <c r="P63" i="13"/>
  <c r="N141" i="13"/>
  <c r="H141" i="13" l="1"/>
  <c r="Y141" i="13" s="1"/>
  <c r="L139" i="13"/>
  <c r="S139" i="13"/>
  <c r="Q140" i="13"/>
  <c r="C140" i="13"/>
  <c r="O140" i="13"/>
  <c r="B142" i="13"/>
  <c r="W142" i="13" s="1"/>
  <c r="I141" i="13"/>
  <c r="T63" i="13"/>
  <c r="K64" i="13" s="1"/>
  <c r="M64" i="13" s="1"/>
  <c r="R64" i="13" s="1"/>
  <c r="O141" i="13"/>
  <c r="N142" i="13" l="1"/>
  <c r="Q141" i="13"/>
  <c r="C141" i="13"/>
  <c r="B143" i="13"/>
  <c r="W143" i="13" s="1"/>
  <c r="I142" i="13"/>
  <c r="G142" i="13"/>
  <c r="X142" i="13" s="1"/>
  <c r="V142" i="13"/>
  <c r="H142" i="13"/>
  <c r="Y142" i="13" s="1"/>
  <c r="J140" i="13"/>
  <c r="L140" i="13"/>
  <c r="H143" i="13"/>
  <c r="Y143" i="13" s="1"/>
  <c r="G143" i="13"/>
  <c r="X143" i="13" s="1"/>
  <c r="P64" i="13"/>
  <c r="U64" i="13" s="1"/>
  <c r="N143" i="13"/>
  <c r="O142" i="13" l="1"/>
  <c r="V143" i="13"/>
  <c r="Q142" i="13"/>
  <c r="C142" i="13"/>
  <c r="B144" i="13"/>
  <c r="W144" i="13" s="1"/>
  <c r="I143" i="13"/>
  <c r="J141" i="13"/>
  <c r="L141" i="13"/>
  <c r="S141" i="13"/>
  <c r="T64" i="13"/>
  <c r="K65" i="13" s="1"/>
  <c r="M65" i="13" s="1"/>
  <c r="R65" i="13" s="1"/>
  <c r="S66" i="13" s="1"/>
  <c r="O143" i="13"/>
  <c r="V144" i="13" l="1"/>
  <c r="G144" i="13"/>
  <c r="X144" i="13" s="1"/>
  <c r="H144" i="13"/>
  <c r="Y144" i="13" s="1"/>
  <c r="N144" i="13"/>
  <c r="Q143" i="13"/>
  <c r="C143" i="13"/>
  <c r="B145" i="13"/>
  <c r="N145" i="13" s="1"/>
  <c r="I144" i="13"/>
  <c r="J142" i="13"/>
  <c r="L142" i="13"/>
  <c r="P65" i="13"/>
  <c r="O144" i="13" l="1"/>
  <c r="V145" i="13"/>
  <c r="G145" i="13"/>
  <c r="X145" i="13" s="1"/>
  <c r="H145" i="13"/>
  <c r="Y145" i="13" s="1"/>
  <c r="W145" i="13"/>
  <c r="Q144" i="13"/>
  <c r="C144" i="13"/>
  <c r="B146" i="13"/>
  <c r="W146" i="13" s="1"/>
  <c r="I145" i="13"/>
  <c r="J143" i="13"/>
  <c r="L143" i="13"/>
  <c r="S143" i="13"/>
  <c r="T65" i="13"/>
  <c r="K66" i="13" s="1"/>
  <c r="M66" i="13" s="1"/>
  <c r="R66" i="13" s="1"/>
  <c r="O145" i="13"/>
  <c r="V146" i="13" l="1"/>
  <c r="N146" i="13"/>
  <c r="H146" i="13"/>
  <c r="Y146" i="13" s="1"/>
  <c r="G146" i="13"/>
  <c r="X146" i="13" s="1"/>
  <c r="B147" i="13"/>
  <c r="N147" i="13" s="1"/>
  <c r="I146" i="13"/>
  <c r="Q145" i="13"/>
  <c r="C145" i="13"/>
  <c r="J144" i="13"/>
  <c r="L144" i="13"/>
  <c r="H147" i="13"/>
  <c r="Y147" i="13" s="1"/>
  <c r="P66" i="13"/>
  <c r="U66" i="13" s="1"/>
  <c r="O146" i="13" l="1"/>
  <c r="V147" i="13"/>
  <c r="W147" i="13"/>
  <c r="G147" i="13"/>
  <c r="X147" i="13" s="1"/>
  <c r="Q146" i="13"/>
  <c r="C146" i="13"/>
  <c r="J146" i="13" s="1"/>
  <c r="J145" i="13"/>
  <c r="L145" i="13"/>
  <c r="S145" i="13"/>
  <c r="B148" i="13"/>
  <c r="V148" i="13" s="1"/>
  <c r="I147" i="13"/>
  <c r="T66" i="13"/>
  <c r="K67" i="13" s="1"/>
  <c r="M67" i="13" s="1"/>
  <c r="R67" i="13" s="1"/>
  <c r="S68" i="13" s="1"/>
  <c r="O147" i="13"/>
  <c r="G148" i="13" l="1"/>
  <c r="X148" i="13" s="1"/>
  <c r="N148" i="13"/>
  <c r="H148" i="13"/>
  <c r="Y148" i="13" s="1"/>
  <c r="W148" i="13"/>
  <c r="L146" i="13"/>
  <c r="Q147" i="13"/>
  <c r="C147" i="13"/>
  <c r="B149" i="13"/>
  <c r="G149" i="13" s="1"/>
  <c r="X149" i="13" s="1"/>
  <c r="I148" i="13"/>
  <c r="P67" i="13"/>
  <c r="N149" i="13" l="1"/>
  <c r="V149" i="13"/>
  <c r="W149" i="13"/>
  <c r="Q148" i="13"/>
  <c r="C148" i="13"/>
  <c r="B150" i="13"/>
  <c r="H150" i="13" s="1"/>
  <c r="Y150" i="13" s="1"/>
  <c r="I149" i="13"/>
  <c r="J147" i="13"/>
  <c r="S147" i="13"/>
  <c r="L147" i="13"/>
  <c r="O148" i="13"/>
  <c r="H149" i="13"/>
  <c r="Y149" i="13" s="1"/>
  <c r="T67" i="13"/>
  <c r="K68" i="13" s="1"/>
  <c r="M68" i="13" s="1"/>
  <c r="R68" i="13" s="1"/>
  <c r="O149" i="13" l="1"/>
  <c r="N150" i="13"/>
  <c r="W150" i="13"/>
  <c r="V150" i="13"/>
  <c r="Q149" i="13"/>
  <c r="C149" i="13"/>
  <c r="B151" i="13"/>
  <c r="W151" i="13" s="1"/>
  <c r="I150" i="13"/>
  <c r="J148" i="13"/>
  <c r="L148" i="13"/>
  <c r="G150" i="13"/>
  <c r="X150" i="13" s="1"/>
  <c r="P68" i="13"/>
  <c r="U68" i="13" s="1"/>
  <c r="O150" i="13" l="1"/>
  <c r="H151" i="13"/>
  <c r="Y151" i="13" s="1"/>
  <c r="G151" i="13"/>
  <c r="X151" i="13" s="1"/>
  <c r="N151" i="13"/>
  <c r="V151" i="13"/>
  <c r="Q150" i="13"/>
  <c r="C150" i="13"/>
  <c r="B152" i="13"/>
  <c r="W152" i="13" s="1"/>
  <c r="I151" i="13"/>
  <c r="J149" i="13"/>
  <c r="L149" i="13"/>
  <c r="S149" i="13"/>
  <c r="T68" i="13"/>
  <c r="K69" i="13" s="1"/>
  <c r="M69" i="13" s="1"/>
  <c r="R69" i="13" s="1"/>
  <c r="S70" i="13" s="1"/>
  <c r="O151" i="13" l="1"/>
  <c r="N152" i="13"/>
  <c r="G152" i="13"/>
  <c r="X152" i="13" s="1"/>
  <c r="V152" i="13"/>
  <c r="H152" i="13"/>
  <c r="Y152" i="13" s="1"/>
  <c r="Q151" i="13"/>
  <c r="C151" i="13"/>
  <c r="B153" i="13"/>
  <c r="W153" i="13" s="1"/>
  <c r="I152" i="13"/>
  <c r="J150" i="13"/>
  <c r="L150" i="13"/>
  <c r="P69" i="13"/>
  <c r="G153" i="13" l="1"/>
  <c r="X153" i="13" s="1"/>
  <c r="H153" i="13"/>
  <c r="Y153" i="13" s="1"/>
  <c r="N153" i="13"/>
  <c r="V153" i="13"/>
  <c r="Q152" i="13"/>
  <c r="C152" i="13"/>
  <c r="O152" i="13"/>
  <c r="B154" i="13"/>
  <c r="H154" i="13" s="1"/>
  <c r="Y154" i="13" s="1"/>
  <c r="I153" i="13"/>
  <c r="J151" i="13"/>
  <c r="L151" i="13"/>
  <c r="S151" i="13"/>
  <c r="T69" i="13"/>
  <c r="K70" i="13" s="1"/>
  <c r="M70" i="13" s="1"/>
  <c r="R70" i="13" s="1"/>
  <c r="O153" i="13"/>
  <c r="W154" i="13" l="1"/>
  <c r="G154" i="13"/>
  <c r="V154" i="13"/>
  <c r="N154" i="13"/>
  <c r="Q153" i="13"/>
  <c r="C153" i="13"/>
  <c r="B155" i="13"/>
  <c r="H155" i="13" s="1"/>
  <c r="Y155" i="13" s="1"/>
  <c r="I154" i="13"/>
  <c r="J152" i="13"/>
  <c r="L152" i="13"/>
  <c r="X154" i="13"/>
  <c r="P70" i="13"/>
  <c r="U70" i="13" s="1"/>
  <c r="V155" i="13" l="1"/>
  <c r="O154" i="13"/>
  <c r="G155" i="13"/>
  <c r="X155" i="13" s="1"/>
  <c r="N155" i="13"/>
  <c r="B156" i="13"/>
  <c r="H156" i="13" s="1"/>
  <c r="Y156" i="13" s="1"/>
  <c r="I155" i="13"/>
  <c r="J153" i="13"/>
  <c r="S153" i="13"/>
  <c r="L153" i="13"/>
  <c r="Q154" i="13"/>
  <c r="C154" i="13"/>
  <c r="W155" i="13"/>
  <c r="T70" i="13"/>
  <c r="K71" i="13" s="1"/>
  <c r="M71" i="13" s="1"/>
  <c r="R71" i="13" s="1"/>
  <c r="S72" i="13" s="1"/>
  <c r="O155" i="13" l="1"/>
  <c r="G156" i="13"/>
  <c r="X156" i="13" s="1"/>
  <c r="W156" i="13"/>
  <c r="V156" i="13"/>
  <c r="N156" i="13"/>
  <c r="J154" i="13"/>
  <c r="L154" i="13"/>
  <c r="Q155" i="13"/>
  <c r="C155" i="13"/>
  <c r="B157" i="13"/>
  <c r="V157" i="13" s="1"/>
  <c r="I156" i="13"/>
  <c r="P71" i="13"/>
  <c r="N157" i="13" l="1"/>
  <c r="Q156" i="13"/>
  <c r="C156" i="13"/>
  <c r="B158" i="13"/>
  <c r="G158" i="13" s="1"/>
  <c r="X158" i="13" s="1"/>
  <c r="I157" i="13"/>
  <c r="G157" i="13"/>
  <c r="X157" i="13" s="1"/>
  <c r="J155" i="13"/>
  <c r="L155" i="13"/>
  <c r="S155" i="13"/>
  <c r="H157" i="13"/>
  <c r="Y157" i="13" s="1"/>
  <c r="O156" i="13"/>
  <c r="W157" i="13"/>
  <c r="T71" i="13"/>
  <c r="K72" i="13" s="1"/>
  <c r="M72" i="13" s="1"/>
  <c r="R72" i="13" s="1"/>
  <c r="O157" i="13"/>
  <c r="N158" i="13" l="1"/>
  <c r="H158" i="13"/>
  <c r="Y158" i="13" s="1"/>
  <c r="V158" i="13"/>
  <c r="W158" i="13"/>
  <c r="Q157" i="13"/>
  <c r="C157" i="13"/>
  <c r="B159" i="13"/>
  <c r="G159" i="13" s="1"/>
  <c r="X159" i="13" s="1"/>
  <c r="I158" i="13"/>
  <c r="J156" i="13"/>
  <c r="L156" i="13"/>
  <c r="P72" i="13"/>
  <c r="U72" i="13" s="1"/>
  <c r="O158" i="13"/>
  <c r="N159" i="13"/>
  <c r="W159" i="13" l="1"/>
  <c r="H159" i="13"/>
  <c r="Y159" i="13" s="1"/>
  <c r="V159" i="13"/>
  <c r="B160" i="13"/>
  <c r="V160" i="13" s="1"/>
  <c r="I159" i="13"/>
  <c r="J157" i="13"/>
  <c r="S157" i="13"/>
  <c r="L157" i="13"/>
  <c r="Q158" i="13"/>
  <c r="C158" i="13"/>
  <c r="H160" i="13"/>
  <c r="Y160" i="13" s="1"/>
  <c r="G160" i="13"/>
  <c r="T72" i="13"/>
  <c r="K73" i="13" s="1"/>
  <c r="M73" i="13" s="1"/>
  <c r="R73" i="13" s="1"/>
  <c r="S74" i="13" s="1"/>
  <c r="O159" i="13"/>
  <c r="N160" i="13" l="1"/>
  <c r="X160" i="13"/>
  <c r="W160" i="13"/>
  <c r="J158" i="13"/>
  <c r="L158" i="13"/>
  <c r="Q159" i="13"/>
  <c r="C159" i="13"/>
  <c r="B161" i="13"/>
  <c r="G161" i="13" s="1"/>
  <c r="X161" i="13" s="1"/>
  <c r="I160" i="13"/>
  <c r="P73" i="13"/>
  <c r="W161" i="13" l="1"/>
  <c r="Q160" i="13"/>
  <c r="C160" i="13"/>
  <c r="O160" i="13"/>
  <c r="J159" i="13"/>
  <c r="S159" i="13"/>
  <c r="L159" i="13"/>
  <c r="N161" i="13"/>
  <c r="H161" i="13"/>
  <c r="Y161" i="13" s="1"/>
  <c r="B162" i="13"/>
  <c r="G162" i="13" s="1"/>
  <c r="X162" i="13" s="1"/>
  <c r="I161" i="13"/>
  <c r="V161" i="13"/>
  <c r="T73" i="13"/>
  <c r="K74" i="13" s="1"/>
  <c r="M74" i="13" s="1"/>
  <c r="R74" i="13" s="1"/>
  <c r="O161" i="13"/>
  <c r="N162" i="13" l="1"/>
  <c r="H162" i="13"/>
  <c r="Y162" i="13" s="1"/>
  <c r="W162" i="13"/>
  <c r="V162" i="13"/>
  <c r="Q161" i="13"/>
  <c r="C161" i="13"/>
  <c r="B163" i="13"/>
  <c r="H163" i="13" s="1"/>
  <c r="Y163" i="13" s="1"/>
  <c r="I162" i="13"/>
  <c r="J160" i="13"/>
  <c r="L160" i="13"/>
  <c r="P74" i="13"/>
  <c r="U74" i="13" s="1"/>
  <c r="O162" i="13"/>
  <c r="V163" i="13" l="1"/>
  <c r="G163" i="13"/>
  <c r="X163" i="13" s="1"/>
  <c r="N163" i="13"/>
  <c r="B164" i="13"/>
  <c r="H164" i="13" s="1"/>
  <c r="Y164" i="13" s="1"/>
  <c r="I163" i="13"/>
  <c r="J161" i="13"/>
  <c r="S161" i="13"/>
  <c r="L161" i="13"/>
  <c r="Q162" i="13"/>
  <c r="C162" i="13"/>
  <c r="W163" i="13"/>
  <c r="G164" i="13"/>
  <c r="X164" i="13" s="1"/>
  <c r="T74" i="13"/>
  <c r="K75" i="13" s="1"/>
  <c r="M75" i="13" s="1"/>
  <c r="R75" i="13" s="1"/>
  <c r="S76" i="13" s="1"/>
  <c r="N164" i="13"/>
  <c r="O163" i="13"/>
  <c r="V164" i="13" l="1"/>
  <c r="W164" i="13"/>
  <c r="J162" i="13"/>
  <c r="L162" i="13"/>
  <c r="Q163" i="13"/>
  <c r="C163" i="13"/>
  <c r="B165" i="13"/>
  <c r="W165" i="13" s="1"/>
  <c r="I164" i="13"/>
  <c r="P75" i="13"/>
  <c r="O164" i="13"/>
  <c r="B166" i="13" l="1"/>
  <c r="I165" i="13"/>
  <c r="J163" i="13"/>
  <c r="S163" i="13"/>
  <c r="L163" i="13"/>
  <c r="N165" i="13"/>
  <c r="G165" i="13"/>
  <c r="X165" i="13" s="1"/>
  <c r="H165" i="13"/>
  <c r="Y165" i="13" s="1"/>
  <c r="Q164" i="13"/>
  <c r="C164" i="13"/>
  <c r="V165" i="13"/>
  <c r="H166" i="13"/>
  <c r="Y166" i="13" s="1"/>
  <c r="G166" i="13"/>
  <c r="X166" i="13"/>
  <c r="W166" i="13"/>
  <c r="V166" i="13"/>
  <c r="T75" i="13"/>
  <c r="K76" i="13" s="1"/>
  <c r="M76" i="13" s="1"/>
  <c r="R76" i="13" s="1"/>
  <c r="N166" i="13"/>
  <c r="O165" i="13" l="1"/>
  <c r="J164" i="13"/>
  <c r="L164" i="13"/>
  <c r="Q165" i="13"/>
  <c r="C165" i="13"/>
  <c r="L165" i="13" s="1"/>
  <c r="B167" i="13"/>
  <c r="H167" i="13" s="1"/>
  <c r="Y167" i="13" s="1"/>
  <c r="I166" i="13"/>
  <c r="P76" i="13"/>
  <c r="U76" i="13" s="1"/>
  <c r="O166" i="13"/>
  <c r="J165" i="13" l="1"/>
  <c r="S165" i="13"/>
  <c r="B168" i="13"/>
  <c r="V168" i="13" s="1"/>
  <c r="I167" i="13"/>
  <c r="N167" i="13"/>
  <c r="G167" i="13"/>
  <c r="X167" i="13" s="1"/>
  <c r="V167" i="13"/>
  <c r="W167" i="13"/>
  <c r="Q166" i="13"/>
  <c r="C166" i="13"/>
  <c r="T76" i="13"/>
  <c r="K77" i="13" s="1"/>
  <c r="M77" i="13" s="1"/>
  <c r="R77" i="13" s="1"/>
  <c r="S78" i="13" s="1"/>
  <c r="N168" i="13"/>
  <c r="O167" i="13" l="1"/>
  <c r="G168" i="13"/>
  <c r="X168" i="13" s="1"/>
  <c r="H168" i="13"/>
  <c r="Y168" i="13" s="1"/>
  <c r="W168" i="13"/>
  <c r="J166" i="13"/>
  <c r="L166" i="13"/>
  <c r="Q167" i="13"/>
  <c r="C167" i="13"/>
  <c r="B169" i="13"/>
  <c r="W169" i="13" s="1"/>
  <c r="O168" i="13"/>
  <c r="I168" i="13"/>
  <c r="P77" i="13"/>
  <c r="B170" i="13" l="1"/>
  <c r="I169" i="13"/>
  <c r="G169" i="13"/>
  <c r="X169" i="13" s="1"/>
  <c r="J167" i="13"/>
  <c r="S167" i="13"/>
  <c r="L167" i="13"/>
  <c r="N169" i="13"/>
  <c r="H169" i="13"/>
  <c r="Y169" i="13" s="1"/>
  <c r="Q168" i="13"/>
  <c r="C168" i="13"/>
  <c r="V169" i="13"/>
  <c r="G170" i="13"/>
  <c r="X170" i="13" s="1"/>
  <c r="H170" i="13"/>
  <c r="Y170" i="13" s="1"/>
  <c r="V170" i="13"/>
  <c r="W170" i="13"/>
  <c r="T77" i="13"/>
  <c r="K78" i="13" s="1"/>
  <c r="M78" i="13" s="1"/>
  <c r="R78" i="13" s="1"/>
  <c r="N170" i="13"/>
  <c r="O169" i="13"/>
  <c r="Q169" i="13" l="1"/>
  <c r="C169" i="13"/>
  <c r="J168" i="13"/>
  <c r="L168" i="13"/>
  <c r="B171" i="13"/>
  <c r="I170" i="13"/>
  <c r="P78" i="13"/>
  <c r="U78" i="13" s="1"/>
  <c r="O170" i="13"/>
  <c r="B172" i="13" l="1"/>
  <c r="Q171" i="13"/>
  <c r="I171" i="13"/>
  <c r="H171" i="13"/>
  <c r="Y171" i="13" s="1"/>
  <c r="N171" i="13"/>
  <c r="J169" i="13"/>
  <c r="S169" i="13"/>
  <c r="G171" i="13"/>
  <c r="X171" i="13" s="1"/>
  <c r="Q170" i="13"/>
  <c r="C170" i="13"/>
  <c r="W171" i="13"/>
  <c r="V171" i="13"/>
  <c r="L169" i="13"/>
  <c r="H172" i="13"/>
  <c r="Y172" i="13" s="1"/>
  <c r="G172" i="13"/>
  <c r="X172" i="13" s="1"/>
  <c r="W172" i="13"/>
  <c r="V172" i="13"/>
  <c r="T78" i="13"/>
  <c r="K79" i="13" s="1"/>
  <c r="M79" i="13" s="1"/>
  <c r="R79" i="13" s="1"/>
  <c r="S80" i="13" s="1"/>
  <c r="N172" i="13"/>
  <c r="O171" i="13" l="1"/>
  <c r="C171" i="13"/>
  <c r="J170" i="13"/>
  <c r="L170" i="13"/>
  <c r="L171" i="13"/>
  <c r="B173" i="13"/>
  <c r="W173" i="13" s="1"/>
  <c r="I172" i="13"/>
  <c r="P79" i="13"/>
  <c r="V173" i="13" l="1"/>
  <c r="J171" i="13"/>
  <c r="S171" i="13"/>
  <c r="B174" i="13"/>
  <c r="H174" i="13" s="1"/>
  <c r="Y174" i="13" s="1"/>
  <c r="I173" i="13"/>
  <c r="Q172" i="13"/>
  <c r="C172" i="13"/>
  <c r="N173" i="13"/>
  <c r="G173" i="13"/>
  <c r="X173" i="13" s="1"/>
  <c r="O172" i="13"/>
  <c r="H173" i="13"/>
  <c r="Y173" i="13" s="1"/>
  <c r="V174" i="13"/>
  <c r="T79" i="13"/>
  <c r="K80" i="13" s="1"/>
  <c r="M80" i="13" s="1"/>
  <c r="R80" i="13" s="1"/>
  <c r="O173" i="13" l="1"/>
  <c r="N174" i="13"/>
  <c r="W174" i="13"/>
  <c r="G174" i="13"/>
  <c r="X174" i="13" s="1"/>
  <c r="J172" i="13"/>
  <c r="L172" i="13"/>
  <c r="Q173" i="13"/>
  <c r="C173" i="13"/>
  <c r="B175" i="13"/>
  <c r="W175" i="13" s="1"/>
  <c r="I174" i="13"/>
  <c r="P80" i="13"/>
  <c r="U80" i="13" s="1"/>
  <c r="O174" i="13"/>
  <c r="N175" i="13" l="1"/>
  <c r="Q174" i="13"/>
  <c r="C174" i="13"/>
  <c r="B176" i="13"/>
  <c r="H176" i="13" s="1"/>
  <c r="Y176" i="13" s="1"/>
  <c r="I175" i="13"/>
  <c r="G175" i="13"/>
  <c r="X175" i="13" s="1"/>
  <c r="J173" i="13"/>
  <c r="S173" i="13"/>
  <c r="L173" i="13"/>
  <c r="H175" i="13"/>
  <c r="Y175" i="13" s="1"/>
  <c r="V175" i="13"/>
  <c r="G176" i="13"/>
  <c r="X176" i="13" s="1"/>
  <c r="T80" i="13"/>
  <c r="K81" i="13" s="1"/>
  <c r="M81" i="13" s="1"/>
  <c r="R81" i="13" s="1"/>
  <c r="S82" i="13" s="1"/>
  <c r="O175" i="13" l="1"/>
  <c r="N176" i="13"/>
  <c r="V176" i="13"/>
  <c r="W176" i="13"/>
  <c r="Q175" i="13"/>
  <c r="C175" i="13"/>
  <c r="B177" i="13"/>
  <c r="N177" i="13" s="1"/>
  <c r="I176" i="13"/>
  <c r="J174" i="13"/>
  <c r="L174" i="13"/>
  <c r="P81" i="13"/>
  <c r="O176" i="13" l="1"/>
  <c r="W177" i="13"/>
  <c r="G177" i="13"/>
  <c r="X177" i="13" s="1"/>
  <c r="H177" i="13"/>
  <c r="Y177" i="13" s="1"/>
  <c r="B178" i="13"/>
  <c r="W178" i="13" s="1"/>
  <c r="I177" i="13"/>
  <c r="J175" i="13"/>
  <c r="S175" i="13"/>
  <c r="L175" i="13"/>
  <c r="Q176" i="13"/>
  <c r="C176" i="13"/>
  <c r="V177" i="13"/>
  <c r="T81" i="13"/>
  <c r="K82" i="13" s="1"/>
  <c r="M82" i="13" s="1"/>
  <c r="R82" i="13" s="1"/>
  <c r="O177" i="13"/>
  <c r="V178" i="13" l="1"/>
  <c r="G178" i="13"/>
  <c r="X178" i="13" s="1"/>
  <c r="H178" i="13"/>
  <c r="Y178" i="13" s="1"/>
  <c r="N178" i="13"/>
  <c r="J176" i="13"/>
  <c r="L176" i="13"/>
  <c r="Q177" i="13"/>
  <c r="C177" i="13"/>
  <c r="B179" i="13"/>
  <c r="H179" i="13" s="1"/>
  <c r="Y179" i="13" s="1"/>
  <c r="I178" i="13"/>
  <c r="P82" i="13"/>
  <c r="U82" i="13" s="1"/>
  <c r="O178" i="13"/>
  <c r="N179" i="13" l="1"/>
  <c r="W179" i="13"/>
  <c r="J177" i="13"/>
  <c r="S177" i="13"/>
  <c r="L177" i="13"/>
  <c r="G179" i="13"/>
  <c r="X179" i="13" s="1"/>
  <c r="B180" i="13"/>
  <c r="Q179" i="13"/>
  <c r="I179" i="13"/>
  <c r="V179" i="13"/>
  <c r="Q178" i="13"/>
  <c r="C178" i="13"/>
  <c r="T82" i="13"/>
  <c r="K83" i="13" s="1"/>
  <c r="M83" i="13" s="1"/>
  <c r="R83" i="13" s="1"/>
  <c r="S84" i="13" s="1"/>
  <c r="O179" i="13" l="1"/>
  <c r="B181" i="13"/>
  <c r="N181" i="13" s="1"/>
  <c r="Q180" i="13"/>
  <c r="I180" i="13"/>
  <c r="W180" i="13"/>
  <c r="J178" i="13"/>
  <c r="L178" i="13"/>
  <c r="V180" i="13"/>
  <c r="N180" i="13"/>
  <c r="G180" i="13"/>
  <c r="X180" i="13" s="1"/>
  <c r="C180" i="13"/>
  <c r="J180" i="13" s="1"/>
  <c r="H180" i="13"/>
  <c r="Y180" i="13" s="1"/>
  <c r="C179" i="13"/>
  <c r="L179" i="13" s="1"/>
  <c r="W181" i="13"/>
  <c r="P83" i="13"/>
  <c r="O180" i="13" l="1"/>
  <c r="V181" i="13"/>
  <c r="H181" i="13"/>
  <c r="Y181" i="13" s="1"/>
  <c r="G181" i="13"/>
  <c r="X181" i="13" s="1"/>
  <c r="J179" i="13"/>
  <c r="S179" i="13"/>
  <c r="B182" i="13"/>
  <c r="W182" i="13" s="1"/>
  <c r="Q181" i="13"/>
  <c r="I181" i="13"/>
  <c r="O181" i="13"/>
  <c r="T83" i="13"/>
  <c r="K84" i="13" s="1"/>
  <c r="M84" i="13" s="1"/>
  <c r="R84" i="13" s="1"/>
  <c r="H182" i="13" l="1"/>
  <c r="Y182" i="13" s="1"/>
  <c r="G182" i="13"/>
  <c r="X182" i="13" s="1"/>
  <c r="N182" i="13"/>
  <c r="V182" i="13"/>
  <c r="C181" i="13"/>
  <c r="B183" i="13"/>
  <c r="V183" i="13" s="1"/>
  <c r="I182" i="13"/>
  <c r="P84" i="13"/>
  <c r="U84" i="13" s="1"/>
  <c r="O182" i="13" l="1"/>
  <c r="H183" i="13"/>
  <c r="Y183" i="13" s="1"/>
  <c r="G183" i="13"/>
  <c r="X183" i="13" s="1"/>
  <c r="Q182" i="13"/>
  <c r="C182" i="13"/>
  <c r="L182" i="13" s="1"/>
  <c r="B184" i="13"/>
  <c r="Q183" i="13"/>
  <c r="I183" i="13"/>
  <c r="W183" i="13"/>
  <c r="N183" i="13"/>
  <c r="J181" i="13"/>
  <c r="L181" i="13"/>
  <c r="S181" i="13"/>
  <c r="T84" i="13"/>
  <c r="K85" i="13" s="1"/>
  <c r="M85" i="13" s="1"/>
  <c r="R85" i="13" s="1"/>
  <c r="S86" i="13" s="1"/>
  <c r="O183" i="13" l="1"/>
  <c r="B185" i="13"/>
  <c r="I184" i="13"/>
  <c r="Q184" i="13"/>
  <c r="H184" i="13"/>
  <c r="Y184" i="13" s="1"/>
  <c r="W184" i="13"/>
  <c r="V184" i="13"/>
  <c r="G184" i="13"/>
  <c r="X184" i="13" s="1"/>
  <c r="N184" i="13"/>
  <c r="C184" i="13"/>
  <c r="J184" i="13" s="1"/>
  <c r="J182" i="13"/>
  <c r="C183" i="13"/>
  <c r="L183" i="13" s="1"/>
  <c r="P85" i="13"/>
  <c r="O184" i="13" l="1"/>
  <c r="J183" i="13"/>
  <c r="S183" i="13"/>
  <c r="L184" i="13"/>
  <c r="B186" i="13"/>
  <c r="Q185" i="13"/>
  <c r="I185" i="13"/>
  <c r="H185" i="13"/>
  <c r="Y185" i="13" s="1"/>
  <c r="N185" i="13"/>
  <c r="G185" i="13"/>
  <c r="X185" i="13" s="1"/>
  <c r="W185" i="13"/>
  <c r="V185" i="13"/>
  <c r="T85" i="13"/>
  <c r="K86" i="13" s="1"/>
  <c r="M86" i="13" s="1"/>
  <c r="R86" i="13" s="1"/>
  <c r="O185" i="13" l="1"/>
  <c r="C185" i="13"/>
  <c r="J185" i="13" s="1"/>
  <c r="B187" i="13"/>
  <c r="Q186" i="13"/>
  <c r="I186" i="13"/>
  <c r="W186" i="13"/>
  <c r="V186" i="13"/>
  <c r="H186" i="13"/>
  <c r="Y186" i="13" s="1"/>
  <c r="N186" i="13"/>
  <c r="G186" i="13"/>
  <c r="X186" i="13" s="1"/>
  <c r="P86" i="13"/>
  <c r="U86" i="13" s="1"/>
  <c r="O186" i="13" l="1"/>
  <c r="L185" i="13"/>
  <c r="S185" i="13"/>
  <c r="B188" i="13"/>
  <c r="Q187" i="13"/>
  <c r="I187" i="13"/>
  <c r="V187" i="13"/>
  <c r="H187" i="13"/>
  <c r="Y187" i="13" s="1"/>
  <c r="G187" i="13"/>
  <c r="X187" i="13" s="1"/>
  <c r="N187" i="13"/>
  <c r="W187" i="13"/>
  <c r="C186" i="13"/>
  <c r="T86" i="13"/>
  <c r="K87" i="13" s="1"/>
  <c r="M87" i="13" s="1"/>
  <c r="R87" i="13" s="1"/>
  <c r="S88" i="13" s="1"/>
  <c r="O187" i="13" l="1"/>
  <c r="C187" i="13"/>
  <c r="J187" i="13" s="1"/>
  <c r="J186" i="13"/>
  <c r="L186" i="13"/>
  <c r="B189" i="13"/>
  <c r="I188" i="13"/>
  <c r="Q188" i="13"/>
  <c r="V188" i="13"/>
  <c r="W188" i="13"/>
  <c r="H188" i="13"/>
  <c r="Y188" i="13" s="1"/>
  <c r="G188" i="13"/>
  <c r="X188" i="13" s="1"/>
  <c r="N188" i="13"/>
  <c r="P87" i="13"/>
  <c r="S187" i="13" l="1"/>
  <c r="L187" i="13"/>
  <c r="B190" i="13"/>
  <c r="B191" i="13" s="1"/>
  <c r="Q189" i="13"/>
  <c r="I189" i="13"/>
  <c r="G189" i="13"/>
  <c r="X189" i="13" s="1"/>
  <c r="C189" i="13"/>
  <c r="N189" i="13"/>
  <c r="W189" i="13"/>
  <c r="V189" i="13"/>
  <c r="H189" i="13"/>
  <c r="Y189" i="13" s="1"/>
  <c r="O188" i="13"/>
  <c r="C188" i="13"/>
  <c r="T87" i="13"/>
  <c r="K88" i="13" s="1"/>
  <c r="M88" i="13" s="1"/>
  <c r="R88" i="13" s="1"/>
  <c r="O189" i="13" l="1"/>
  <c r="B192" i="13"/>
  <c r="W191" i="13"/>
  <c r="G191" i="13"/>
  <c r="X191" i="13" s="1"/>
  <c r="H191" i="13"/>
  <c r="Y191" i="13" s="1"/>
  <c r="N191" i="13"/>
  <c r="V191" i="13"/>
  <c r="C191" i="13"/>
  <c r="J188" i="13"/>
  <c r="L188" i="13"/>
  <c r="L189" i="13"/>
  <c r="J189" i="13"/>
  <c r="S189" i="13"/>
  <c r="Q190" i="13"/>
  <c r="I190" i="13"/>
  <c r="V190" i="13"/>
  <c r="H190" i="13"/>
  <c r="Y190" i="13" s="1"/>
  <c r="G190" i="13"/>
  <c r="X190" i="13" s="1"/>
  <c r="N190" i="13"/>
  <c r="W190" i="13"/>
  <c r="P88" i="13"/>
  <c r="U88" i="13" s="1"/>
  <c r="O190" i="13" l="1"/>
  <c r="O191" i="13"/>
  <c r="J191" i="13"/>
  <c r="S191" i="13"/>
  <c r="B193" i="13"/>
  <c r="V192" i="13"/>
  <c r="G192" i="13"/>
  <c r="X192" i="13" s="1"/>
  <c r="H192" i="13"/>
  <c r="Y192" i="13" s="1"/>
  <c r="W192" i="13"/>
  <c r="N192" i="13"/>
  <c r="C192" i="13"/>
  <c r="C190" i="13"/>
  <c r="T88" i="13"/>
  <c r="K89" i="13" s="1"/>
  <c r="M89" i="13" s="1"/>
  <c r="R89" i="13" s="1"/>
  <c r="S90" i="13" s="1"/>
  <c r="O192" i="13" l="1"/>
  <c r="B194" i="13"/>
  <c r="H193" i="13"/>
  <c r="Y193" i="13" s="1"/>
  <c r="W193" i="13"/>
  <c r="G193" i="13"/>
  <c r="X193" i="13" s="1"/>
  <c r="N193" i="13"/>
  <c r="V193" i="13"/>
  <c r="C193" i="13"/>
  <c r="K192" i="13"/>
  <c r="J192" i="13"/>
  <c r="L191" i="13"/>
  <c r="L192" i="13"/>
  <c r="J190" i="13"/>
  <c r="P89" i="13"/>
  <c r="O193" i="13" l="1"/>
  <c r="L193" i="13"/>
  <c r="M192" i="13"/>
  <c r="R192" i="13" s="1"/>
  <c r="K193" i="13"/>
  <c r="J193" i="13"/>
  <c r="S193" i="13"/>
  <c r="B195" i="13"/>
  <c r="G194" i="13"/>
  <c r="X194" i="13" s="1"/>
  <c r="W194" i="13"/>
  <c r="H194" i="13"/>
  <c r="Y194" i="13" s="1"/>
  <c r="N194" i="13"/>
  <c r="V194" i="13"/>
  <c r="C194" i="13"/>
  <c r="T89" i="13"/>
  <c r="K90" i="13" s="1"/>
  <c r="M90" i="13" s="1"/>
  <c r="R90" i="13" s="1"/>
  <c r="O194" i="13" l="1"/>
  <c r="M193" i="13"/>
  <c r="R193" i="13" s="1"/>
  <c r="K194" i="13"/>
  <c r="J194" i="13"/>
  <c r="S194" i="13"/>
  <c r="B196" i="13"/>
  <c r="W195" i="13"/>
  <c r="G195" i="13"/>
  <c r="X195" i="13" s="1"/>
  <c r="H195" i="13"/>
  <c r="Y195" i="13" s="1"/>
  <c r="N195" i="13"/>
  <c r="V195" i="13"/>
  <c r="C195" i="13"/>
  <c r="L194" i="13"/>
  <c r="P90" i="13"/>
  <c r="U90" i="13" s="1"/>
  <c r="O195" i="13" l="1"/>
  <c r="M194" i="13"/>
  <c r="R194" i="13" s="1"/>
  <c r="B197" i="13"/>
  <c r="H196" i="13"/>
  <c r="Y196" i="13" s="1"/>
  <c r="V196" i="13"/>
  <c r="W196" i="13"/>
  <c r="G196" i="13"/>
  <c r="X196" i="13" s="1"/>
  <c r="N196" i="13"/>
  <c r="C196" i="13"/>
  <c r="L196" i="13" s="1"/>
  <c r="K195" i="13"/>
  <c r="S195" i="13"/>
  <c r="J195" i="13"/>
  <c r="L195" i="13"/>
  <c r="T90" i="13"/>
  <c r="K91" i="13" s="1"/>
  <c r="M91" i="13" s="1"/>
  <c r="R91" i="13" s="1"/>
  <c r="S92" i="13" s="1"/>
  <c r="O196" i="13" l="1"/>
  <c r="B198" i="13"/>
  <c r="G197" i="13"/>
  <c r="X197" i="13" s="1"/>
  <c r="V197" i="13"/>
  <c r="N197" i="13"/>
  <c r="W197" i="13"/>
  <c r="H197" i="13"/>
  <c r="Y197" i="13" s="1"/>
  <c r="C197" i="13"/>
  <c r="L197" i="13" s="1"/>
  <c r="K196" i="13"/>
  <c r="J196" i="13"/>
  <c r="M195" i="13"/>
  <c r="R195" i="13" s="1"/>
  <c r="S196" i="13" s="1"/>
  <c r="P91" i="13"/>
  <c r="O197" i="13" l="1"/>
  <c r="M196" i="13"/>
  <c r="R196" i="13" s="1"/>
  <c r="B199" i="13"/>
  <c r="V198" i="13"/>
  <c r="N198" i="13"/>
  <c r="W198" i="13"/>
  <c r="G198" i="13"/>
  <c r="X198" i="13" s="1"/>
  <c r="H198" i="13"/>
  <c r="Y198" i="13" s="1"/>
  <c r="C198" i="13"/>
  <c r="K197" i="13"/>
  <c r="J197" i="13"/>
  <c r="S197" i="13"/>
  <c r="T91" i="13"/>
  <c r="K92" i="13" s="1"/>
  <c r="M92" i="13" s="1"/>
  <c r="R92" i="13" s="1"/>
  <c r="O198" i="13" l="1"/>
  <c r="M197" i="13"/>
  <c r="R197" i="13" s="1"/>
  <c r="K198" i="13"/>
  <c r="J198" i="13"/>
  <c r="S198" i="13"/>
  <c r="L198" i="13"/>
  <c r="B200" i="13"/>
  <c r="H199" i="13"/>
  <c r="Y199" i="13" s="1"/>
  <c r="G199" i="13"/>
  <c r="X199" i="13" s="1"/>
  <c r="N199" i="13"/>
  <c r="V199" i="13"/>
  <c r="W199" i="13"/>
  <c r="C199" i="13"/>
  <c r="P92" i="13"/>
  <c r="U92" i="13" s="1"/>
  <c r="O199" i="13" l="1"/>
  <c r="M198" i="13"/>
  <c r="R198" i="13" s="1"/>
  <c r="K199" i="13"/>
  <c r="S199" i="13"/>
  <c r="J199" i="13"/>
  <c r="L199" i="13"/>
  <c r="B201" i="13"/>
  <c r="G200" i="13"/>
  <c r="X200" i="13" s="1"/>
  <c r="H200" i="13"/>
  <c r="Y200" i="13" s="1"/>
  <c r="N200" i="13"/>
  <c r="V200" i="13"/>
  <c r="W200" i="13"/>
  <c r="C200" i="13"/>
  <c r="T92" i="13"/>
  <c r="K93" i="13" s="1"/>
  <c r="M93" i="13" s="1"/>
  <c r="R93" i="13" s="1"/>
  <c r="S94" i="13" s="1"/>
  <c r="O200" i="13" l="1"/>
  <c r="M199" i="13"/>
  <c r="R199" i="13" s="1"/>
  <c r="S200" i="13" s="1"/>
  <c r="B202" i="13"/>
  <c r="V201" i="13"/>
  <c r="G201" i="13"/>
  <c r="X201" i="13" s="1"/>
  <c r="H201" i="13"/>
  <c r="Y201" i="13" s="1"/>
  <c r="N201" i="13"/>
  <c r="W201" i="13"/>
  <c r="C201" i="13"/>
  <c r="L201" i="13" s="1"/>
  <c r="K200" i="13"/>
  <c r="J200" i="13"/>
  <c r="L200" i="13"/>
  <c r="P93" i="13"/>
  <c r="O201" i="13" l="1"/>
  <c r="M200" i="13"/>
  <c r="R200" i="13" s="1"/>
  <c r="B203" i="13"/>
  <c r="H202" i="13"/>
  <c r="Y202" i="13" s="1"/>
  <c r="N202" i="13"/>
  <c r="V202" i="13"/>
  <c r="W202" i="13"/>
  <c r="G202" i="13"/>
  <c r="X202" i="13" s="1"/>
  <c r="C202" i="13"/>
  <c r="K201" i="13"/>
  <c r="J201" i="13"/>
  <c r="S201" i="13"/>
  <c r="T93" i="13"/>
  <c r="K94" i="13" s="1"/>
  <c r="M94" i="13" s="1"/>
  <c r="R94" i="13" s="1"/>
  <c r="O202" i="13" l="1"/>
  <c r="M201" i="13"/>
  <c r="R201" i="13" s="1"/>
  <c r="K202" i="13"/>
  <c r="J202" i="13"/>
  <c r="S202" i="13"/>
  <c r="B204" i="13"/>
  <c r="G203" i="13"/>
  <c r="X203" i="13" s="1"/>
  <c r="W203" i="13"/>
  <c r="V203" i="13"/>
  <c r="N203" i="13"/>
  <c r="H203" i="13"/>
  <c r="Y203" i="13" s="1"/>
  <c r="C203" i="13"/>
  <c r="L202" i="13"/>
  <c r="P94" i="13"/>
  <c r="U94" i="13" s="1"/>
  <c r="O203" i="13" l="1"/>
  <c r="K203" i="13"/>
  <c r="J203" i="13"/>
  <c r="S203" i="13"/>
  <c r="L203" i="13"/>
  <c r="M202" i="13"/>
  <c r="R202" i="13" s="1"/>
  <c r="B205" i="13"/>
  <c r="N204" i="13"/>
  <c r="V204" i="13"/>
  <c r="W204" i="13"/>
  <c r="G204" i="13"/>
  <c r="X204" i="13" s="1"/>
  <c r="H204" i="13"/>
  <c r="Y204" i="13" s="1"/>
  <c r="C204" i="13"/>
  <c r="T94" i="13"/>
  <c r="K95" i="13" s="1"/>
  <c r="M95" i="13" s="1"/>
  <c r="R95" i="13" s="1"/>
  <c r="S96" i="13" s="1"/>
  <c r="O204" i="13" l="1"/>
  <c r="M203" i="13"/>
  <c r="R203" i="13" s="1"/>
  <c r="S204" i="13" s="1"/>
  <c r="B206" i="13"/>
  <c r="G205" i="13"/>
  <c r="X205" i="13" s="1"/>
  <c r="N205" i="13"/>
  <c r="V205" i="13"/>
  <c r="H205" i="13"/>
  <c r="Y205" i="13" s="1"/>
  <c r="W205" i="13"/>
  <c r="C205" i="13"/>
  <c r="K204" i="13"/>
  <c r="J204" i="13"/>
  <c r="L204" i="13"/>
  <c r="P95" i="13"/>
  <c r="O205" i="13" l="1"/>
  <c r="M204" i="13"/>
  <c r="R204" i="13" s="1"/>
  <c r="K205" i="13"/>
  <c r="S205" i="13"/>
  <c r="J205" i="13"/>
  <c r="L205" i="13"/>
  <c r="B207" i="13"/>
  <c r="W206" i="13"/>
  <c r="H206" i="13"/>
  <c r="Y206" i="13" s="1"/>
  <c r="N206" i="13"/>
  <c r="G206" i="13"/>
  <c r="X206" i="13" s="1"/>
  <c r="V206" i="13"/>
  <c r="C206" i="13"/>
  <c r="T95" i="13"/>
  <c r="K96" i="13" s="1"/>
  <c r="M96" i="13" s="1"/>
  <c r="R96" i="13" s="1"/>
  <c r="O206" i="13" l="1"/>
  <c r="K206" i="13"/>
  <c r="J206" i="13"/>
  <c r="S206" i="13"/>
  <c r="L206" i="13"/>
  <c r="B208" i="13"/>
  <c r="V207" i="13"/>
  <c r="G207" i="13"/>
  <c r="X207" i="13" s="1"/>
  <c r="H207" i="13"/>
  <c r="Y207" i="13" s="1"/>
  <c r="N207" i="13"/>
  <c r="W207" i="13"/>
  <c r="C207" i="13"/>
  <c r="M205" i="13"/>
  <c r="R205" i="13" s="1"/>
  <c r="P96" i="13"/>
  <c r="U96" i="13" s="1"/>
  <c r="O207" i="13" l="1"/>
  <c r="K207" i="13"/>
  <c r="J207" i="13"/>
  <c r="S207" i="13"/>
  <c r="L207" i="13"/>
  <c r="B209" i="13"/>
  <c r="G208" i="13"/>
  <c r="X208" i="13" s="1"/>
  <c r="H208" i="13"/>
  <c r="Y208" i="13" s="1"/>
  <c r="V208" i="13"/>
  <c r="W208" i="13"/>
  <c r="N208" i="13"/>
  <c r="C208" i="13"/>
  <c r="M206" i="13"/>
  <c r="R206" i="13" s="1"/>
  <c r="T96" i="13"/>
  <c r="K97" i="13" s="1"/>
  <c r="M97" i="13" s="1"/>
  <c r="R97" i="13" s="1"/>
  <c r="S98" i="13" s="1"/>
  <c r="O208" i="13" l="1"/>
  <c r="M207" i="13"/>
  <c r="R207" i="13" s="1"/>
  <c r="S208" i="13" s="1"/>
  <c r="B210" i="13"/>
  <c r="W209" i="13"/>
  <c r="N209" i="13"/>
  <c r="V209" i="13"/>
  <c r="G209" i="13"/>
  <c r="X209" i="13" s="1"/>
  <c r="H209" i="13"/>
  <c r="Y209" i="13" s="1"/>
  <c r="C209" i="13"/>
  <c r="K208" i="13"/>
  <c r="J208" i="13"/>
  <c r="L208" i="13"/>
  <c r="P97" i="13"/>
  <c r="O209" i="13" l="1"/>
  <c r="M208" i="13"/>
  <c r="R208" i="13" s="1"/>
  <c r="K209" i="13"/>
  <c r="J209" i="13"/>
  <c r="S209" i="13"/>
  <c r="L209" i="13"/>
  <c r="B211" i="13"/>
  <c r="W210" i="13"/>
  <c r="V210" i="13"/>
  <c r="G210" i="13"/>
  <c r="X210" i="13" s="1"/>
  <c r="H210" i="13"/>
  <c r="Y210" i="13" s="1"/>
  <c r="N210" i="13"/>
  <c r="C210" i="13"/>
  <c r="T97" i="13"/>
  <c r="K98" i="13" s="1"/>
  <c r="M98" i="13" s="1"/>
  <c r="R98" i="13" s="1"/>
  <c r="O210" i="13" l="1"/>
  <c r="M209" i="13"/>
  <c r="R209" i="13" s="1"/>
  <c r="K210" i="13"/>
  <c r="J210" i="13"/>
  <c r="S210" i="13"/>
  <c r="L210" i="13"/>
  <c r="B212" i="13"/>
  <c r="N211" i="13"/>
  <c r="V211" i="13"/>
  <c r="W211" i="13"/>
  <c r="G211" i="13"/>
  <c r="X211" i="13" s="1"/>
  <c r="H211" i="13"/>
  <c r="Y211" i="13" s="1"/>
  <c r="C211" i="13"/>
  <c r="P98" i="13"/>
  <c r="U98" i="13" s="1"/>
  <c r="O211" i="13" l="1"/>
  <c r="M210" i="13"/>
  <c r="R210" i="13" s="1"/>
  <c r="K211" i="13"/>
  <c r="S211" i="13"/>
  <c r="J211" i="13"/>
  <c r="L211" i="13"/>
  <c r="B213" i="13"/>
  <c r="N212" i="13"/>
  <c r="W212" i="13"/>
  <c r="G212" i="13"/>
  <c r="X212" i="13" s="1"/>
  <c r="H212" i="13"/>
  <c r="Y212" i="13" s="1"/>
  <c r="V212" i="13"/>
  <c r="C212" i="13"/>
  <c r="T98" i="13"/>
  <c r="K99" i="13" s="1"/>
  <c r="M99" i="13" s="1"/>
  <c r="R99" i="13" s="1"/>
  <c r="S100" i="13" s="1"/>
  <c r="O212" i="13" l="1"/>
  <c r="K212" i="13"/>
  <c r="J212" i="13"/>
  <c r="L212" i="13"/>
  <c r="B214" i="13"/>
  <c r="G213" i="13"/>
  <c r="X213" i="13" s="1"/>
  <c r="V213" i="13"/>
  <c r="W213" i="13"/>
  <c r="H213" i="13"/>
  <c r="Y213" i="13" s="1"/>
  <c r="N213" i="13"/>
  <c r="C213" i="13"/>
  <c r="M211" i="13"/>
  <c r="R211" i="13" s="1"/>
  <c r="S212" i="13" s="1"/>
  <c r="P99" i="13"/>
  <c r="O213" i="13" l="1"/>
  <c r="K213" i="13"/>
  <c r="J213" i="13"/>
  <c r="S213" i="13"/>
  <c r="L213" i="13"/>
  <c r="B215" i="13"/>
  <c r="N214" i="13"/>
  <c r="V214" i="13"/>
  <c r="G214" i="13"/>
  <c r="X214" i="13" s="1"/>
  <c r="H214" i="13"/>
  <c r="Y214" i="13" s="1"/>
  <c r="W214" i="13"/>
  <c r="C214" i="13"/>
  <c r="M212" i="13"/>
  <c r="R212" i="13" s="1"/>
  <c r="T99" i="13"/>
  <c r="K100" i="13" s="1"/>
  <c r="M100" i="13" s="1"/>
  <c r="R100" i="13" s="1"/>
  <c r="O214" i="13" l="1"/>
  <c r="M213" i="13"/>
  <c r="R213" i="13" s="1"/>
  <c r="K214" i="13"/>
  <c r="S214" i="13"/>
  <c r="J214" i="13"/>
  <c r="L214" i="13"/>
  <c r="B216" i="13"/>
  <c r="V215" i="13"/>
  <c r="H215" i="13"/>
  <c r="Y215" i="13" s="1"/>
  <c r="N215" i="13"/>
  <c r="W215" i="13"/>
  <c r="G215" i="13"/>
  <c r="X215" i="13" s="1"/>
  <c r="C215" i="13"/>
  <c r="P100" i="13"/>
  <c r="U100" i="13" s="1"/>
  <c r="O215" i="13" l="1"/>
  <c r="K215" i="13"/>
  <c r="S215" i="13"/>
  <c r="J215" i="13"/>
  <c r="L215" i="13"/>
  <c r="B217" i="13"/>
  <c r="H216" i="13"/>
  <c r="Y216" i="13" s="1"/>
  <c r="G216" i="13"/>
  <c r="X216" i="13" s="1"/>
  <c r="N216" i="13"/>
  <c r="V216" i="13"/>
  <c r="W216" i="13"/>
  <c r="C216" i="13"/>
  <c r="M214" i="13"/>
  <c r="R214" i="13" s="1"/>
  <c r="T100" i="13"/>
  <c r="K101" i="13" s="1"/>
  <c r="M101" i="13" s="1"/>
  <c r="R101" i="13" s="1"/>
  <c r="S102" i="13" s="1"/>
  <c r="O216" i="13" l="1"/>
  <c r="B218" i="13"/>
  <c r="G217" i="13"/>
  <c r="X217" i="13" s="1"/>
  <c r="H217" i="13"/>
  <c r="Y217" i="13" s="1"/>
  <c r="N217" i="13"/>
  <c r="V217" i="13"/>
  <c r="W217" i="13"/>
  <c r="C217" i="13"/>
  <c r="M215" i="13"/>
  <c r="R215" i="13" s="1"/>
  <c r="S216" i="13" s="1"/>
  <c r="K216" i="13"/>
  <c r="J216" i="13"/>
  <c r="L216" i="13"/>
  <c r="P101" i="13"/>
  <c r="O217" i="13" l="1"/>
  <c r="M216" i="13"/>
  <c r="R216" i="13" s="1"/>
  <c r="K217" i="13"/>
  <c r="S217" i="13"/>
  <c r="J217" i="13"/>
  <c r="L217" i="13"/>
  <c r="B219" i="13"/>
  <c r="W218" i="13"/>
  <c r="G218" i="13"/>
  <c r="X218" i="13" s="1"/>
  <c r="H218" i="13"/>
  <c r="Y218" i="13" s="1"/>
  <c r="N218" i="13"/>
  <c r="V218" i="13"/>
  <c r="C218" i="13"/>
  <c r="T101" i="13"/>
  <c r="K102" i="13" s="1"/>
  <c r="M102" i="13" s="1"/>
  <c r="R102" i="13" s="1"/>
  <c r="O218" i="13" l="1"/>
  <c r="M217" i="13"/>
  <c r="R217" i="13" s="1"/>
  <c r="B220" i="13"/>
  <c r="V219" i="13"/>
  <c r="G219" i="13"/>
  <c r="X219" i="13" s="1"/>
  <c r="N219" i="13"/>
  <c r="W219" i="13"/>
  <c r="H219" i="13"/>
  <c r="Y219" i="13" s="1"/>
  <c r="C219" i="13"/>
  <c r="K218" i="13"/>
  <c r="J218" i="13"/>
  <c r="S218" i="13"/>
  <c r="L218" i="13"/>
  <c r="P102" i="13"/>
  <c r="U102" i="13" s="1"/>
  <c r="O219" i="13" l="1"/>
  <c r="M218" i="13"/>
  <c r="R218" i="13" s="1"/>
  <c r="K219" i="13"/>
  <c r="S219" i="13"/>
  <c r="J219" i="13"/>
  <c r="L219" i="13"/>
  <c r="B221" i="13"/>
  <c r="H220" i="13"/>
  <c r="Y220" i="13" s="1"/>
  <c r="V220" i="13"/>
  <c r="W220" i="13"/>
  <c r="G220" i="13"/>
  <c r="X220" i="13" s="1"/>
  <c r="N220" i="13"/>
  <c r="C220" i="13"/>
  <c r="T102" i="13"/>
  <c r="K103" i="13" s="1"/>
  <c r="M103" i="13" s="1"/>
  <c r="R103" i="13" s="1"/>
  <c r="S104" i="13" s="1"/>
  <c r="O220" i="13" l="1"/>
  <c r="M219" i="13"/>
  <c r="R219" i="13" s="1"/>
  <c r="S220" i="13" s="1"/>
  <c r="B222" i="13"/>
  <c r="V221" i="13"/>
  <c r="N221" i="13"/>
  <c r="W221" i="13"/>
  <c r="G221" i="13"/>
  <c r="X221" i="13" s="1"/>
  <c r="H221" i="13"/>
  <c r="Y221" i="13" s="1"/>
  <c r="C221" i="13"/>
  <c r="K220" i="13"/>
  <c r="J220" i="13"/>
  <c r="L220" i="13"/>
  <c r="P103" i="13"/>
  <c r="O221" i="13" l="1"/>
  <c r="M220" i="13"/>
  <c r="R220" i="13" s="1"/>
  <c r="K221" i="13"/>
  <c r="S221" i="13"/>
  <c r="J221" i="13"/>
  <c r="L221" i="13"/>
  <c r="B223" i="13"/>
  <c r="N222" i="13"/>
  <c r="H222" i="13"/>
  <c r="Y222" i="13" s="1"/>
  <c r="V222" i="13"/>
  <c r="G222" i="13"/>
  <c r="X222" i="13" s="1"/>
  <c r="W222" i="13"/>
  <c r="C222" i="13"/>
  <c r="T103" i="13"/>
  <c r="K104" i="13" s="1"/>
  <c r="M104" i="13" s="1"/>
  <c r="R104" i="13" s="1"/>
  <c r="O222" i="13" l="1"/>
  <c r="M221" i="13"/>
  <c r="R221" i="13" s="1"/>
  <c r="B224" i="13"/>
  <c r="G223" i="13"/>
  <c r="X223" i="13" s="1"/>
  <c r="H223" i="13"/>
  <c r="Y223" i="13" s="1"/>
  <c r="N223" i="13"/>
  <c r="V223" i="13"/>
  <c r="W223" i="13"/>
  <c r="C223" i="13"/>
  <c r="K222" i="13"/>
  <c r="J222" i="13"/>
  <c r="S222" i="13"/>
  <c r="L222" i="13"/>
  <c r="P104" i="13"/>
  <c r="U104" i="13" s="1"/>
  <c r="O223" i="13" l="1"/>
  <c r="M222" i="13"/>
  <c r="R222" i="13" s="1"/>
  <c r="B225" i="13"/>
  <c r="V224" i="13"/>
  <c r="G224" i="13"/>
  <c r="X224" i="13" s="1"/>
  <c r="H224" i="13"/>
  <c r="Y224" i="13" s="1"/>
  <c r="N224" i="13"/>
  <c r="W224" i="13"/>
  <c r="C224" i="13"/>
  <c r="K223" i="13"/>
  <c r="S223" i="13"/>
  <c r="J223" i="13"/>
  <c r="L223" i="13"/>
  <c r="T104" i="13"/>
  <c r="K105" i="13" s="1"/>
  <c r="M105" i="13" s="1"/>
  <c r="R105" i="13" s="1"/>
  <c r="S106" i="13" s="1"/>
  <c r="O224" i="13" l="1"/>
  <c r="M223" i="13"/>
  <c r="R223" i="13" s="1"/>
  <c r="S224" i="13" s="1"/>
  <c r="K224" i="13"/>
  <c r="J224" i="13"/>
  <c r="L224" i="13"/>
  <c r="B226" i="13"/>
  <c r="N225" i="13"/>
  <c r="G225" i="13"/>
  <c r="X225" i="13" s="1"/>
  <c r="H225" i="13"/>
  <c r="Y225" i="13" s="1"/>
  <c r="V225" i="13"/>
  <c r="W225" i="13"/>
  <c r="C225" i="13"/>
  <c r="P105" i="13"/>
  <c r="O225" i="13" l="1"/>
  <c r="K225" i="13"/>
  <c r="S225" i="13"/>
  <c r="J225" i="13"/>
  <c r="L225" i="13"/>
  <c r="B227" i="13"/>
  <c r="G226" i="13"/>
  <c r="X226" i="13" s="1"/>
  <c r="W226" i="13"/>
  <c r="V226" i="13"/>
  <c r="H226" i="13"/>
  <c r="Y226" i="13" s="1"/>
  <c r="N226" i="13"/>
  <c r="C226" i="13"/>
  <c r="M224" i="13"/>
  <c r="R224" i="13" s="1"/>
  <c r="T105" i="13"/>
  <c r="K106" i="13" s="1"/>
  <c r="M106" i="13" s="1"/>
  <c r="R106" i="13" s="1"/>
  <c r="O226" i="13" l="1"/>
  <c r="M225" i="13"/>
  <c r="R225" i="13" s="1"/>
  <c r="K226" i="13"/>
  <c r="J226" i="13"/>
  <c r="S226" i="13"/>
  <c r="L226" i="13"/>
  <c r="B228" i="13"/>
  <c r="N227" i="13"/>
  <c r="V227" i="13"/>
  <c r="W227" i="13"/>
  <c r="G227" i="13"/>
  <c r="X227" i="13" s="1"/>
  <c r="H227" i="13"/>
  <c r="Y227" i="13" s="1"/>
  <c r="C227" i="13"/>
  <c r="P106" i="13"/>
  <c r="U106" i="13" s="1"/>
  <c r="O227" i="13" l="1"/>
  <c r="M226" i="13"/>
  <c r="R226" i="13" s="1"/>
  <c r="K227" i="13"/>
  <c r="S227" i="13"/>
  <c r="J227" i="13"/>
  <c r="L227" i="13"/>
  <c r="B229" i="13"/>
  <c r="N228" i="13"/>
  <c r="W228" i="13"/>
  <c r="G228" i="13"/>
  <c r="X228" i="13" s="1"/>
  <c r="H228" i="13"/>
  <c r="Y228" i="13" s="1"/>
  <c r="V228" i="13"/>
  <c r="C228" i="13"/>
  <c r="T106" i="13"/>
  <c r="K107" i="13" s="1"/>
  <c r="M107" i="13" s="1"/>
  <c r="R107" i="13" s="1"/>
  <c r="S108" i="13" s="1"/>
  <c r="O228" i="13" l="1"/>
  <c r="M227" i="13"/>
  <c r="R227" i="13" s="1"/>
  <c r="S228" i="13" s="1"/>
  <c r="B230" i="13"/>
  <c r="H229" i="13"/>
  <c r="Y229" i="13"/>
  <c r="V229" i="13"/>
  <c r="W229" i="13"/>
  <c r="G229" i="13"/>
  <c r="X229" i="13" s="1"/>
  <c r="N229" i="13"/>
  <c r="C229" i="13"/>
  <c r="K228" i="13"/>
  <c r="J228" i="13"/>
  <c r="L228" i="13"/>
  <c r="P107" i="13"/>
  <c r="O229" i="13" l="1"/>
  <c r="M228" i="13"/>
  <c r="R228" i="13" s="1"/>
  <c r="K229" i="13"/>
  <c r="J229" i="13"/>
  <c r="S229" i="13"/>
  <c r="L229" i="13"/>
  <c r="B231" i="13"/>
  <c r="H230" i="13"/>
  <c r="N230" i="13"/>
  <c r="G230" i="13"/>
  <c r="X230" i="13" s="1"/>
  <c r="V230" i="13"/>
  <c r="W230" i="13"/>
  <c r="Y230" i="13"/>
  <c r="C230" i="13"/>
  <c r="T107" i="13"/>
  <c r="K108" i="13" s="1"/>
  <c r="M108" i="13" s="1"/>
  <c r="R108" i="13" s="1"/>
  <c r="O230" i="13" l="1"/>
  <c r="M229" i="13"/>
  <c r="R229" i="13" s="1"/>
  <c r="B232" i="13"/>
  <c r="G231" i="13"/>
  <c r="X231" i="13" s="1"/>
  <c r="H231" i="13"/>
  <c r="N231" i="13"/>
  <c r="V231" i="13"/>
  <c r="W231" i="13"/>
  <c r="Y231" i="13"/>
  <c r="C231" i="13"/>
  <c r="K230" i="13"/>
  <c r="J230" i="13"/>
  <c r="S230" i="13"/>
  <c r="L230" i="13"/>
  <c r="P108" i="13"/>
  <c r="U108" i="13" s="1"/>
  <c r="O231" i="13" l="1"/>
  <c r="M230" i="13"/>
  <c r="R230" i="13" s="1"/>
  <c r="K231" i="13"/>
  <c r="J231" i="13"/>
  <c r="S231" i="13"/>
  <c r="L231" i="13"/>
  <c r="B233" i="13"/>
  <c r="Y232" i="13"/>
  <c r="G232" i="13"/>
  <c r="X232" i="13" s="1"/>
  <c r="H232" i="13"/>
  <c r="N232" i="13"/>
  <c r="V232" i="13"/>
  <c r="W232" i="13"/>
  <c r="C232" i="13"/>
  <c r="T108" i="13"/>
  <c r="K109" i="13" s="1"/>
  <c r="M109" i="13" s="1"/>
  <c r="R109" i="13" s="1"/>
  <c r="S110" i="13" s="1"/>
  <c r="O232" i="13" l="1"/>
  <c r="B234" i="13"/>
  <c r="N233" i="13"/>
  <c r="V233" i="13"/>
  <c r="W233" i="13"/>
  <c r="H233" i="13"/>
  <c r="Y233" i="13"/>
  <c r="G233" i="13"/>
  <c r="X233" i="13" s="1"/>
  <c r="C233" i="13"/>
  <c r="M231" i="13"/>
  <c r="R231" i="13" s="1"/>
  <c r="S232" i="13" s="1"/>
  <c r="K232" i="13"/>
  <c r="J232" i="13"/>
  <c r="L232" i="13"/>
  <c r="P109" i="13"/>
  <c r="O233" i="13" l="1"/>
  <c r="M232" i="13"/>
  <c r="R232" i="13" s="1"/>
  <c r="K233" i="13"/>
  <c r="J233" i="13"/>
  <c r="S233" i="13"/>
  <c r="L233" i="13"/>
  <c r="B235" i="13"/>
  <c r="H234" i="13"/>
  <c r="N234" i="13"/>
  <c r="G234" i="13"/>
  <c r="X234" i="13" s="1"/>
  <c r="V234" i="13"/>
  <c r="W234" i="13"/>
  <c r="Y234" i="13"/>
  <c r="C234" i="13"/>
  <c r="T109" i="13"/>
  <c r="K110" i="13" s="1"/>
  <c r="M110" i="13" s="1"/>
  <c r="R110" i="13" s="1"/>
  <c r="O234" i="13" l="1"/>
  <c r="M233" i="13"/>
  <c r="R233" i="13" s="1"/>
  <c r="B236" i="13"/>
  <c r="V235" i="13"/>
  <c r="G235" i="13"/>
  <c r="X235" i="13" s="1"/>
  <c r="H235" i="13"/>
  <c r="W235" i="13"/>
  <c r="Y235" i="13"/>
  <c r="N235" i="13"/>
  <c r="C235" i="13"/>
  <c r="K234" i="13"/>
  <c r="J234" i="13"/>
  <c r="S234" i="13"/>
  <c r="L234" i="13"/>
  <c r="P110" i="13"/>
  <c r="U110" i="13" s="1"/>
  <c r="O235" i="13" l="1"/>
  <c r="K235" i="13"/>
  <c r="J235" i="13"/>
  <c r="S235" i="13"/>
  <c r="L235" i="13"/>
  <c r="B237" i="13"/>
  <c r="H236" i="13"/>
  <c r="Y236" i="13"/>
  <c r="G236" i="13"/>
  <c r="X236" i="13" s="1"/>
  <c r="V236" i="13"/>
  <c r="W236" i="13"/>
  <c r="N236" i="13"/>
  <c r="C236" i="13"/>
  <c r="M234" i="13"/>
  <c r="R234" i="13" s="1"/>
  <c r="T110" i="13"/>
  <c r="O236" i="13" l="1"/>
  <c r="B238" i="13"/>
  <c r="W237" i="13"/>
  <c r="Y237" i="13"/>
  <c r="V237" i="13"/>
  <c r="G237" i="13"/>
  <c r="X237" i="13" s="1"/>
  <c r="H237" i="13"/>
  <c r="N237" i="13"/>
  <c r="C237" i="13"/>
  <c r="M235" i="13"/>
  <c r="R235" i="13" s="1"/>
  <c r="S236" i="13" s="1"/>
  <c r="K236" i="13"/>
  <c r="J236" i="13"/>
  <c r="L236" i="13"/>
  <c r="K111" i="13"/>
  <c r="M111" i="13" s="1"/>
  <c r="O237" i="13" l="1"/>
  <c r="M236" i="13"/>
  <c r="R236" i="13" s="1"/>
  <c r="K237" i="13"/>
  <c r="J237" i="13"/>
  <c r="S237" i="13"/>
  <c r="L237" i="13"/>
  <c r="B239" i="13"/>
  <c r="V238" i="13"/>
  <c r="W238" i="13"/>
  <c r="G238" i="13"/>
  <c r="X238" i="13" s="1"/>
  <c r="H238" i="13"/>
  <c r="N238" i="13"/>
  <c r="Y238" i="13"/>
  <c r="C238" i="13"/>
  <c r="R111" i="13"/>
  <c r="S112" i="13" s="1"/>
  <c r="P111" i="13"/>
  <c r="O238" i="13" l="1"/>
  <c r="B240" i="13"/>
  <c r="G239" i="13"/>
  <c r="X239" i="13" s="1"/>
  <c r="Y239" i="13"/>
  <c r="N239" i="13"/>
  <c r="V239" i="13"/>
  <c r="W239" i="13"/>
  <c r="H239" i="13"/>
  <c r="C239" i="13"/>
  <c r="K238" i="13"/>
  <c r="S238" i="13"/>
  <c r="J238" i="13"/>
  <c r="L238" i="13"/>
  <c r="M237" i="13"/>
  <c r="R237" i="13" s="1"/>
  <c r="T111" i="13"/>
  <c r="O239" i="13" l="1"/>
  <c r="M238" i="13"/>
  <c r="R238" i="13" s="1"/>
  <c r="K239" i="13"/>
  <c r="J239" i="13"/>
  <c r="S239" i="13"/>
  <c r="L239" i="13"/>
  <c r="B241" i="13"/>
  <c r="W240" i="13"/>
  <c r="H240" i="13"/>
  <c r="N240" i="13"/>
  <c r="G240" i="13"/>
  <c r="X240" i="13" s="1"/>
  <c r="V240" i="13"/>
  <c r="Y240" i="13"/>
  <c r="C240" i="13"/>
  <c r="K112" i="13"/>
  <c r="M112" i="13" s="1"/>
  <c r="O240" i="13" l="1"/>
  <c r="M239" i="13"/>
  <c r="R239" i="13" s="1"/>
  <c r="S240" i="13" s="1"/>
  <c r="K240" i="13"/>
  <c r="J240" i="13"/>
  <c r="L240" i="13"/>
  <c r="B242" i="13"/>
  <c r="V241" i="13"/>
  <c r="H241" i="13"/>
  <c r="N241" i="13"/>
  <c r="Y241" i="13"/>
  <c r="G241" i="13"/>
  <c r="X241" i="13" s="1"/>
  <c r="W241" i="13"/>
  <c r="C241" i="13"/>
  <c r="R112" i="13"/>
  <c r="P112" i="13"/>
  <c r="U112" i="13" s="1"/>
  <c r="O241" i="13" l="1"/>
  <c r="K241" i="13"/>
  <c r="J241" i="13"/>
  <c r="S241" i="13"/>
  <c r="L241" i="13"/>
  <c r="B243" i="13"/>
  <c r="H242" i="13"/>
  <c r="Y242" i="13"/>
  <c r="G242" i="13"/>
  <c r="X242" i="13" s="1"/>
  <c r="N242" i="13"/>
  <c r="V242" i="13"/>
  <c r="W242" i="13"/>
  <c r="C242" i="13"/>
  <c r="M240" i="13"/>
  <c r="R240" i="13" s="1"/>
  <c r="T112" i="13"/>
  <c r="O242" i="13" l="1"/>
  <c r="M241" i="13"/>
  <c r="R241" i="13" s="1"/>
  <c r="B244" i="13"/>
  <c r="V243" i="13"/>
  <c r="G243" i="13"/>
  <c r="X243" i="13" s="1"/>
  <c r="Y243" i="13"/>
  <c r="N243" i="13"/>
  <c r="W243" i="13"/>
  <c r="H243" i="13"/>
  <c r="C243" i="13"/>
  <c r="K242" i="13"/>
  <c r="S242" i="13"/>
  <c r="J242" i="13"/>
  <c r="L242" i="13"/>
  <c r="K113" i="13"/>
  <c r="M113" i="13" s="1"/>
  <c r="O243" i="13" l="1"/>
  <c r="K243" i="13"/>
  <c r="J243" i="13"/>
  <c r="S243" i="13"/>
  <c r="L243" i="13"/>
  <c r="B245" i="13"/>
  <c r="H244" i="13"/>
  <c r="W244" i="13"/>
  <c r="G244" i="13"/>
  <c r="X244" i="13" s="1"/>
  <c r="V244" i="13"/>
  <c r="Y244" i="13"/>
  <c r="N244" i="13"/>
  <c r="C244" i="13"/>
  <c r="M242" i="13"/>
  <c r="R242" i="13" s="1"/>
  <c r="R113" i="13"/>
  <c r="S114" i="13" s="1"/>
  <c r="P113" i="13"/>
  <c r="O244" i="13" l="1"/>
  <c r="M243" i="13"/>
  <c r="R243" i="13" s="1"/>
  <c r="S244" i="13" s="1"/>
  <c r="B246" i="13"/>
  <c r="V245" i="13"/>
  <c r="N245" i="13"/>
  <c r="G245" i="13"/>
  <c r="X245" i="13" s="1"/>
  <c r="Y245" i="13"/>
  <c r="H245" i="13"/>
  <c r="W245" i="13"/>
  <c r="C245" i="13"/>
  <c r="K244" i="13"/>
  <c r="J244" i="13"/>
  <c r="L244" i="13"/>
  <c r="T113" i="13"/>
  <c r="O245" i="13" l="1"/>
  <c r="M244" i="13"/>
  <c r="R244" i="13" s="1"/>
  <c r="K245" i="13"/>
  <c r="S245" i="13"/>
  <c r="J245" i="13"/>
  <c r="L245" i="13"/>
  <c r="B247" i="13"/>
  <c r="H246" i="13"/>
  <c r="Y246" i="13"/>
  <c r="G246" i="13"/>
  <c r="X246" i="13" s="1"/>
  <c r="N246" i="13"/>
  <c r="V246" i="13"/>
  <c r="W246" i="13"/>
  <c r="C246" i="13"/>
  <c r="K114" i="13"/>
  <c r="M114" i="13" s="1"/>
  <c r="O246" i="13" l="1"/>
  <c r="B248" i="13"/>
  <c r="Y247" i="13"/>
  <c r="G247" i="13"/>
  <c r="X247" i="13" s="1"/>
  <c r="N247" i="13"/>
  <c r="V247" i="13"/>
  <c r="H247" i="13"/>
  <c r="W247" i="13"/>
  <c r="C247" i="13"/>
  <c r="M245" i="13"/>
  <c r="R245" i="13" s="1"/>
  <c r="K246" i="13"/>
  <c r="J246" i="13"/>
  <c r="S246" i="13"/>
  <c r="L246" i="13"/>
  <c r="R114" i="13"/>
  <c r="P114" i="13"/>
  <c r="U114" i="13" s="1"/>
  <c r="O247" i="13" l="1"/>
  <c r="M246" i="13"/>
  <c r="R246" i="13" s="1"/>
  <c r="K247" i="13"/>
  <c r="J247" i="13"/>
  <c r="S247" i="13"/>
  <c r="L247" i="13"/>
  <c r="B249" i="13"/>
  <c r="V248" i="13"/>
  <c r="Y248" i="13"/>
  <c r="H248" i="13"/>
  <c r="N248" i="13"/>
  <c r="G248" i="13"/>
  <c r="X248" i="13" s="1"/>
  <c r="W248" i="13"/>
  <c r="C248" i="13"/>
  <c r="T114" i="13"/>
  <c r="O248" i="13" l="1"/>
  <c r="M247" i="13"/>
  <c r="R247" i="13" s="1"/>
  <c r="S248" i="13" s="1"/>
  <c r="B250" i="13"/>
  <c r="G249" i="13"/>
  <c r="X249" i="13" s="1"/>
  <c r="V249" i="13"/>
  <c r="W249" i="13"/>
  <c r="H249" i="13"/>
  <c r="N249" i="13"/>
  <c r="Y249" i="13"/>
  <c r="C249" i="13"/>
  <c r="K248" i="13"/>
  <c r="J248" i="13"/>
  <c r="L248" i="13"/>
  <c r="K115" i="13"/>
  <c r="M115" i="13" s="1"/>
  <c r="O249" i="13" l="1"/>
  <c r="M248" i="13"/>
  <c r="R248" i="13" s="1"/>
  <c r="K249" i="13"/>
  <c r="S249" i="13"/>
  <c r="J249" i="13"/>
  <c r="L249" i="13"/>
  <c r="B251" i="13"/>
  <c r="Y250" i="13"/>
  <c r="N250" i="13"/>
  <c r="V250" i="13"/>
  <c r="G250" i="13"/>
  <c r="X250" i="13" s="1"/>
  <c r="W250" i="13"/>
  <c r="H250" i="13"/>
  <c r="C250" i="13"/>
  <c r="R115" i="13"/>
  <c r="S116" i="13" s="1"/>
  <c r="P115" i="13"/>
  <c r="O250" i="13" l="1"/>
  <c r="M249" i="13"/>
  <c r="R249" i="13" s="1"/>
  <c r="B252" i="13"/>
  <c r="V251" i="13"/>
  <c r="H251" i="13"/>
  <c r="N251" i="13"/>
  <c r="G251" i="13"/>
  <c r="X251" i="13" s="1"/>
  <c r="W251" i="13"/>
  <c r="Y251" i="13"/>
  <c r="C251" i="13"/>
  <c r="K250" i="13"/>
  <c r="S250" i="13"/>
  <c r="J250" i="13"/>
  <c r="L250" i="13"/>
  <c r="T115" i="13"/>
  <c r="K116" i="13" s="1"/>
  <c r="M116" i="13" s="1"/>
  <c r="R116" i="13" s="1"/>
  <c r="O251" i="13" l="1"/>
  <c r="M250" i="13"/>
  <c r="R250" i="13" s="1"/>
  <c r="K251" i="13"/>
  <c r="J251" i="13"/>
  <c r="S251" i="13"/>
  <c r="L251" i="13"/>
  <c r="B253" i="13"/>
  <c r="H252" i="13"/>
  <c r="G252" i="13"/>
  <c r="N252" i="13"/>
  <c r="W252" i="13"/>
  <c r="X252" i="13"/>
  <c r="Y252" i="13"/>
  <c r="V252" i="13"/>
  <c r="C252" i="13"/>
  <c r="P116" i="13"/>
  <c r="U116" i="13" s="1"/>
  <c r="C52" i="18" s="1"/>
  <c r="O252" i="13" l="1"/>
  <c r="M251" i="13"/>
  <c r="R251" i="13" s="1"/>
  <c r="S252" i="13" s="1"/>
  <c r="B254" i="13"/>
  <c r="W253" i="13"/>
  <c r="G253" i="13"/>
  <c r="X253" i="13" s="1"/>
  <c r="Y253" i="13"/>
  <c r="N253" i="13"/>
  <c r="H253" i="13"/>
  <c r="V253" i="13"/>
  <c r="C253" i="13"/>
  <c r="K252" i="13"/>
  <c r="J252" i="13"/>
  <c r="L252" i="13"/>
  <c r="T116" i="13"/>
  <c r="K117" i="13" s="1"/>
  <c r="M117" i="13" s="1"/>
  <c r="R117" i="13" s="1"/>
  <c r="S118" i="13" s="1"/>
  <c r="O253" i="13" l="1"/>
  <c r="M252" i="13"/>
  <c r="R252" i="13" s="1"/>
  <c r="K253" i="13"/>
  <c r="J253" i="13"/>
  <c r="S253" i="13"/>
  <c r="L253" i="13"/>
  <c r="B255" i="13"/>
  <c r="Y254" i="13"/>
  <c r="N254" i="13"/>
  <c r="G254" i="13"/>
  <c r="X254" i="13" s="1"/>
  <c r="W254" i="13"/>
  <c r="H254" i="13"/>
  <c r="V254" i="13"/>
  <c r="C254" i="13"/>
  <c r="P117" i="13"/>
  <c r="T117" i="13"/>
  <c r="K118" i="13" s="1"/>
  <c r="M118" i="13" s="1"/>
  <c r="R118" i="13" s="1"/>
  <c r="O254" i="13" l="1"/>
  <c r="M253" i="13"/>
  <c r="R253" i="13" s="1"/>
  <c r="B256" i="13"/>
  <c r="W255" i="13"/>
  <c r="G255" i="13"/>
  <c r="X255" i="13" s="1"/>
  <c r="H255" i="13"/>
  <c r="V255" i="13"/>
  <c r="N255" i="13"/>
  <c r="Y255" i="13"/>
  <c r="C255" i="13"/>
  <c r="K254" i="13"/>
  <c r="J254" i="13"/>
  <c r="S254" i="13"/>
  <c r="L254" i="13"/>
  <c r="P118" i="13"/>
  <c r="U118" i="13" s="1"/>
  <c r="O255" i="13" l="1"/>
  <c r="M254" i="13"/>
  <c r="R254" i="13" s="1"/>
  <c r="K255" i="13"/>
  <c r="S255" i="13"/>
  <c r="J255" i="13"/>
  <c r="L255" i="13"/>
  <c r="B257" i="13"/>
  <c r="V256" i="13"/>
  <c r="G256" i="13"/>
  <c r="X256" i="13" s="1"/>
  <c r="H256" i="13"/>
  <c r="W256" i="13"/>
  <c r="N256" i="13"/>
  <c r="Y256" i="13"/>
  <c r="C256" i="13"/>
  <c r="T118" i="13"/>
  <c r="K119" i="13" s="1"/>
  <c r="M119" i="13" s="1"/>
  <c r="R119" i="13" s="1"/>
  <c r="S120" i="13" s="1"/>
  <c r="O256" i="13" l="1"/>
  <c r="M255" i="13"/>
  <c r="R255" i="13" s="1"/>
  <c r="S256" i="13" s="1"/>
  <c r="B258" i="13"/>
  <c r="G257" i="13"/>
  <c r="X257" i="13" s="1"/>
  <c r="W257" i="13"/>
  <c r="Y257" i="13"/>
  <c r="N257" i="13"/>
  <c r="V257" i="13"/>
  <c r="H257" i="13"/>
  <c r="C257" i="13"/>
  <c r="K256" i="13"/>
  <c r="J256" i="13"/>
  <c r="L256" i="13"/>
  <c r="P119" i="13"/>
  <c r="O257" i="13" l="1"/>
  <c r="M256" i="13"/>
  <c r="R256" i="13" s="1"/>
  <c r="K257" i="13"/>
  <c r="S257" i="13"/>
  <c r="J257" i="13"/>
  <c r="L257" i="13"/>
  <c r="B259" i="13"/>
  <c r="N258" i="13"/>
  <c r="V258" i="13"/>
  <c r="W258" i="13"/>
  <c r="G258" i="13"/>
  <c r="X258" i="13" s="1"/>
  <c r="H258" i="13"/>
  <c r="Y258" i="13"/>
  <c r="C258" i="13"/>
  <c r="T119" i="13"/>
  <c r="K120" i="13" s="1"/>
  <c r="M120" i="13" s="1"/>
  <c r="R120" i="13" s="1"/>
  <c r="O258" i="13" l="1"/>
  <c r="M257" i="13"/>
  <c r="R257" i="13" s="1"/>
  <c r="B260" i="13"/>
  <c r="H259" i="13"/>
  <c r="V259" i="13"/>
  <c r="W259" i="13"/>
  <c r="N259" i="13"/>
  <c r="Y259" i="13"/>
  <c r="G259" i="13"/>
  <c r="X259" i="13" s="1"/>
  <c r="C259" i="13"/>
  <c r="K258" i="13"/>
  <c r="J258" i="13"/>
  <c r="S258" i="13"/>
  <c r="L258" i="13"/>
  <c r="P120" i="13"/>
  <c r="O259" i="13" l="1"/>
  <c r="M258" i="13"/>
  <c r="R258" i="13" s="1"/>
  <c r="K259" i="13"/>
  <c r="J259" i="13"/>
  <c r="S259" i="13"/>
  <c r="L259" i="13"/>
  <c r="B261" i="13"/>
  <c r="H260" i="13"/>
  <c r="N260" i="13"/>
  <c r="W260" i="13"/>
  <c r="Y260" i="13"/>
  <c r="G260" i="13"/>
  <c r="X260" i="13" s="1"/>
  <c r="V260" i="13"/>
  <c r="C260" i="13"/>
  <c r="T120" i="13"/>
  <c r="K121" i="13" s="1"/>
  <c r="M121" i="13" s="1"/>
  <c r="R121" i="13" s="1"/>
  <c r="S122" i="13" s="1"/>
  <c r="O260" i="13" l="1"/>
  <c r="M259" i="13"/>
  <c r="R259" i="13" s="1"/>
  <c r="S260" i="13" s="1"/>
  <c r="B262" i="13"/>
  <c r="G261" i="13"/>
  <c r="X261" i="13" s="1"/>
  <c r="Y261" i="13"/>
  <c r="H261" i="13"/>
  <c r="V261" i="13"/>
  <c r="N261" i="13"/>
  <c r="W261" i="13"/>
  <c r="C261" i="13"/>
  <c r="K260" i="13"/>
  <c r="J260" i="13"/>
  <c r="L260" i="13"/>
  <c r="P121" i="13"/>
  <c r="O261" i="13" l="1"/>
  <c r="M260" i="13"/>
  <c r="R260" i="13" s="1"/>
  <c r="K261" i="13"/>
  <c r="J261" i="13"/>
  <c r="S261" i="13"/>
  <c r="L261" i="13"/>
  <c r="B263" i="13"/>
  <c r="V262" i="13"/>
  <c r="W262" i="13"/>
  <c r="H262" i="13"/>
  <c r="Y262" i="13"/>
  <c r="G262" i="13"/>
  <c r="X262" i="13" s="1"/>
  <c r="N262" i="13"/>
  <c r="C262" i="13"/>
  <c r="T121" i="13"/>
  <c r="K122" i="13" s="1"/>
  <c r="M122" i="13" s="1"/>
  <c r="R122" i="13" s="1"/>
  <c r="O262" i="13" l="1"/>
  <c r="M261" i="13"/>
  <c r="R261" i="13" s="1"/>
  <c r="K262" i="13"/>
  <c r="J262" i="13"/>
  <c r="S262" i="13"/>
  <c r="L262" i="13"/>
  <c r="B264" i="13"/>
  <c r="H263" i="13"/>
  <c r="Y263" i="13"/>
  <c r="N263" i="13"/>
  <c r="V263" i="13"/>
  <c r="W263" i="13"/>
  <c r="G263" i="13"/>
  <c r="X263" i="13" s="1"/>
  <c r="C263" i="13"/>
  <c r="P122" i="13"/>
  <c r="O263" i="13" l="1"/>
  <c r="B265" i="13"/>
  <c r="N264" i="13"/>
  <c r="V264" i="13"/>
  <c r="G264" i="13"/>
  <c r="X264" i="13" s="1"/>
  <c r="Y264" i="13"/>
  <c r="W264" i="13"/>
  <c r="H264" i="13"/>
  <c r="C264" i="13"/>
  <c r="M262" i="13"/>
  <c r="R262" i="13" s="1"/>
  <c r="K263" i="13"/>
  <c r="J263" i="13"/>
  <c r="S263" i="13"/>
  <c r="L263" i="13"/>
  <c r="T122" i="13"/>
  <c r="K123" i="13" s="1"/>
  <c r="M123" i="13" s="1"/>
  <c r="R123" i="13" s="1"/>
  <c r="S124" i="13" s="1"/>
  <c r="O264" i="13" l="1"/>
  <c r="M263" i="13"/>
  <c r="R263" i="13" s="1"/>
  <c r="S264" i="13" s="1"/>
  <c r="K264" i="13"/>
  <c r="J264" i="13"/>
  <c r="L264" i="13"/>
  <c r="B266" i="13"/>
  <c r="H265" i="13"/>
  <c r="N265" i="13"/>
  <c r="W265" i="13"/>
  <c r="Y265" i="13"/>
  <c r="G265" i="13"/>
  <c r="X265" i="13" s="1"/>
  <c r="V265" i="13"/>
  <c r="C265" i="13"/>
  <c r="P123" i="13"/>
  <c r="O265" i="13" l="1"/>
  <c r="M264" i="13"/>
  <c r="R264" i="13" s="1"/>
  <c r="K265" i="13"/>
  <c r="S265" i="13"/>
  <c r="J265" i="13"/>
  <c r="L265" i="13"/>
  <c r="B267" i="13"/>
  <c r="V266" i="13"/>
  <c r="W266" i="13"/>
  <c r="H266" i="13"/>
  <c r="Y266" i="13"/>
  <c r="N266" i="13"/>
  <c r="G266" i="13"/>
  <c r="X266" i="13" s="1"/>
  <c r="C266" i="13"/>
  <c r="T123" i="13"/>
  <c r="K124" i="13" s="1"/>
  <c r="M124" i="13" s="1"/>
  <c r="R124" i="13" s="1"/>
  <c r="O266" i="13" l="1"/>
  <c r="M265" i="13"/>
  <c r="R265" i="13" s="1"/>
  <c r="B268" i="13"/>
  <c r="H267" i="13"/>
  <c r="N267" i="13"/>
  <c r="W267" i="13"/>
  <c r="G267" i="13"/>
  <c r="X267" i="13" s="1"/>
  <c r="V267" i="13"/>
  <c r="Y267" i="13"/>
  <c r="C267" i="13"/>
  <c r="K266" i="13"/>
  <c r="J266" i="13"/>
  <c r="S266" i="13"/>
  <c r="L266" i="13"/>
  <c r="P124" i="13"/>
  <c r="O267" i="13" l="1"/>
  <c r="M266" i="13"/>
  <c r="R266" i="13" s="1"/>
  <c r="K267" i="13"/>
  <c r="S267" i="13"/>
  <c r="J267" i="13"/>
  <c r="L267" i="13"/>
  <c r="B269" i="13"/>
  <c r="G268" i="13"/>
  <c r="X268" i="13" s="1"/>
  <c r="H268" i="13"/>
  <c r="V268" i="13"/>
  <c r="N268" i="13"/>
  <c r="W268" i="13"/>
  <c r="Y268" i="13"/>
  <c r="C268" i="13"/>
  <c r="T124" i="13"/>
  <c r="K125" i="13" s="1"/>
  <c r="M125" i="13" s="1"/>
  <c r="R125" i="13" s="1"/>
  <c r="S126" i="13" s="1"/>
  <c r="O268" i="13" l="1"/>
  <c r="M267" i="13"/>
  <c r="R267" i="13" s="1"/>
  <c r="S268" i="13" s="1"/>
  <c r="K268" i="13"/>
  <c r="J268" i="13"/>
  <c r="L268" i="13"/>
  <c r="B270" i="13"/>
  <c r="X269" i="13"/>
  <c r="G269" i="13"/>
  <c r="Y269" i="13"/>
  <c r="N269" i="13"/>
  <c r="W269" i="13"/>
  <c r="H269" i="13"/>
  <c r="V269" i="13"/>
  <c r="C269" i="13"/>
  <c r="P125" i="13"/>
  <c r="O269" i="13" l="1"/>
  <c r="B271" i="13"/>
  <c r="V270" i="13"/>
  <c r="G270" i="13"/>
  <c r="X270" i="13"/>
  <c r="H270" i="13"/>
  <c r="N270" i="13"/>
  <c r="W270" i="13"/>
  <c r="Y270" i="13"/>
  <c r="C270" i="13"/>
  <c r="M268" i="13"/>
  <c r="R268" i="13" s="1"/>
  <c r="K269" i="13"/>
  <c r="J269" i="13"/>
  <c r="S269" i="13"/>
  <c r="L269" i="13"/>
  <c r="T125" i="13"/>
  <c r="K126" i="13" s="1"/>
  <c r="M126" i="13" s="1"/>
  <c r="R126" i="13" s="1"/>
  <c r="O270" i="13" l="1"/>
  <c r="M269" i="13"/>
  <c r="R269" i="13" s="1"/>
  <c r="K270" i="13"/>
  <c r="J270" i="13"/>
  <c r="S270" i="13"/>
  <c r="L270" i="13"/>
  <c r="B272" i="13"/>
  <c r="G271" i="13"/>
  <c r="X271" i="13"/>
  <c r="H271" i="13"/>
  <c r="Y271" i="13"/>
  <c r="N271" i="13"/>
  <c r="V271" i="13"/>
  <c r="W271" i="13"/>
  <c r="C271" i="13"/>
  <c r="P126" i="13"/>
  <c r="T126" i="13"/>
  <c r="K127" i="13" s="1"/>
  <c r="M127" i="13" s="1"/>
  <c r="R127" i="13" s="1"/>
  <c r="S128" i="13" s="1"/>
  <c r="O271" i="13" l="1"/>
  <c r="M270" i="13"/>
  <c r="R270" i="13" s="1"/>
  <c r="B273" i="13"/>
  <c r="H272" i="13"/>
  <c r="N272" i="13"/>
  <c r="W272" i="13"/>
  <c r="G272" i="13"/>
  <c r="V272" i="13"/>
  <c r="X272" i="13"/>
  <c r="Y272" i="13"/>
  <c r="C272" i="13"/>
  <c r="K271" i="13"/>
  <c r="S271" i="13"/>
  <c r="J271" i="13"/>
  <c r="L271" i="13"/>
  <c r="P127" i="13"/>
  <c r="O272" i="13" l="1"/>
  <c r="M271" i="13"/>
  <c r="R271" i="13" s="1"/>
  <c r="S272" i="13" s="1"/>
  <c r="K272" i="13"/>
  <c r="J272" i="13"/>
  <c r="L272" i="13"/>
  <c r="B274" i="13"/>
  <c r="W273" i="13"/>
  <c r="G273" i="13"/>
  <c r="X273" i="13"/>
  <c r="N273" i="13"/>
  <c r="H273" i="13"/>
  <c r="V273" i="13"/>
  <c r="Y273" i="13"/>
  <c r="C273" i="13"/>
  <c r="T127" i="13"/>
  <c r="K128" i="13" s="1"/>
  <c r="M128" i="13" s="1"/>
  <c r="R128" i="13" s="1"/>
  <c r="O273" i="13" l="1"/>
  <c r="M272" i="13"/>
  <c r="R272" i="13" s="1"/>
  <c r="K273" i="13"/>
  <c r="S273" i="13"/>
  <c r="J273" i="13"/>
  <c r="L273" i="13"/>
  <c r="B275" i="13"/>
  <c r="N274" i="13"/>
  <c r="W274" i="13"/>
  <c r="H274" i="13"/>
  <c r="V274" i="13"/>
  <c r="X274" i="13"/>
  <c r="G274" i="13"/>
  <c r="Y274" i="13"/>
  <c r="C274" i="13"/>
  <c r="P128" i="13"/>
  <c r="O274" i="13" l="1"/>
  <c r="M273" i="13"/>
  <c r="R273" i="13" s="1"/>
  <c r="B276" i="13"/>
  <c r="W275" i="13"/>
  <c r="X275" i="13"/>
  <c r="H275" i="13"/>
  <c r="G275" i="13"/>
  <c r="N275" i="13"/>
  <c r="V275" i="13"/>
  <c r="Y275" i="13"/>
  <c r="C275" i="13"/>
  <c r="K274" i="13"/>
  <c r="J274" i="13"/>
  <c r="S274" i="13"/>
  <c r="L274" i="13"/>
  <c r="T128" i="13"/>
  <c r="K129" i="13" s="1"/>
  <c r="M129" i="13" s="1"/>
  <c r="R129" i="13" s="1"/>
  <c r="S130" i="13" s="1"/>
  <c r="O275" i="13" l="1"/>
  <c r="M274" i="13"/>
  <c r="R274" i="13" s="1"/>
  <c r="K275" i="13"/>
  <c r="J275" i="13"/>
  <c r="S275" i="13"/>
  <c r="L275" i="13"/>
  <c r="B277" i="13"/>
  <c r="N276" i="13"/>
  <c r="V276" i="13"/>
  <c r="X276" i="13"/>
  <c r="G276" i="13"/>
  <c r="H276" i="13"/>
  <c r="W276" i="13"/>
  <c r="Y276" i="13"/>
  <c r="C276" i="13"/>
  <c r="P129" i="13"/>
  <c r="O276" i="13" l="1"/>
  <c r="B278" i="13"/>
  <c r="G277" i="13"/>
  <c r="Y277" i="13"/>
  <c r="H277" i="13"/>
  <c r="V277" i="13"/>
  <c r="W277" i="13"/>
  <c r="X277" i="13"/>
  <c r="N277" i="13"/>
  <c r="C277" i="13"/>
  <c r="M275" i="13"/>
  <c r="R275" i="13" s="1"/>
  <c r="S276" i="13" s="1"/>
  <c r="K276" i="13"/>
  <c r="J276" i="13"/>
  <c r="L276" i="13"/>
  <c r="T129" i="13"/>
  <c r="K130" i="13" s="1"/>
  <c r="M130" i="13" s="1"/>
  <c r="R130" i="13" s="1"/>
  <c r="O277" i="13" l="1"/>
  <c r="M276" i="13"/>
  <c r="R276" i="13" s="1"/>
  <c r="K277" i="13"/>
  <c r="S277" i="13"/>
  <c r="J277" i="13"/>
  <c r="L277" i="13"/>
  <c r="B279" i="13"/>
  <c r="W278" i="13"/>
  <c r="X278" i="13"/>
  <c r="H278" i="13"/>
  <c r="Y278" i="13"/>
  <c r="G278" i="13"/>
  <c r="N278" i="13"/>
  <c r="V278" i="13"/>
  <c r="C278" i="13"/>
  <c r="P130" i="13"/>
  <c r="T130" i="13"/>
  <c r="K131" i="13" s="1"/>
  <c r="M131" i="13" s="1"/>
  <c r="R131" i="13" s="1"/>
  <c r="S132" i="13" s="1"/>
  <c r="O278" i="13" l="1"/>
  <c r="M277" i="13"/>
  <c r="R277" i="13" s="1"/>
  <c r="K278" i="13"/>
  <c r="J278" i="13"/>
  <c r="S278" i="13"/>
  <c r="L278" i="13"/>
  <c r="B280" i="13"/>
  <c r="N279" i="13"/>
  <c r="W279" i="13"/>
  <c r="Y279" i="13"/>
  <c r="G279" i="13"/>
  <c r="H279" i="13"/>
  <c r="V279" i="13"/>
  <c r="X279" i="13"/>
  <c r="C279" i="13"/>
  <c r="P131" i="13"/>
  <c r="O279" i="13" l="1"/>
  <c r="B281" i="13"/>
  <c r="X280" i="13"/>
  <c r="G280" i="13"/>
  <c r="Y280" i="13"/>
  <c r="N280" i="13"/>
  <c r="H280" i="13"/>
  <c r="V280" i="13"/>
  <c r="W280" i="13"/>
  <c r="C280" i="13"/>
  <c r="M278" i="13"/>
  <c r="R278" i="13" s="1"/>
  <c r="K279" i="13"/>
  <c r="S279" i="13"/>
  <c r="J279" i="13"/>
  <c r="L279" i="13"/>
  <c r="T131" i="13"/>
  <c r="K132" i="13" s="1"/>
  <c r="M132" i="13" s="1"/>
  <c r="R132" i="13" s="1"/>
  <c r="O280" i="13" l="1"/>
  <c r="K280" i="13"/>
  <c r="J280" i="13"/>
  <c r="L280" i="13"/>
  <c r="M279" i="13"/>
  <c r="R279" i="13" s="1"/>
  <c r="S280" i="13" s="1"/>
  <c r="B282" i="13"/>
  <c r="W281" i="13"/>
  <c r="Y281" i="13"/>
  <c r="G281" i="13"/>
  <c r="H281" i="13"/>
  <c r="N281" i="13"/>
  <c r="V281" i="13"/>
  <c r="X281" i="13"/>
  <c r="C281" i="13"/>
  <c r="P132" i="13"/>
  <c r="O281" i="13" l="1"/>
  <c r="M280" i="13"/>
  <c r="R280" i="13" s="1"/>
  <c r="B283" i="13"/>
  <c r="W282" i="13"/>
  <c r="H282" i="13"/>
  <c r="Y282" i="13"/>
  <c r="V282" i="13"/>
  <c r="X282" i="13"/>
  <c r="G282" i="13"/>
  <c r="N282" i="13"/>
  <c r="C282" i="13"/>
  <c r="K281" i="13"/>
  <c r="J281" i="13"/>
  <c r="S281" i="13"/>
  <c r="L281" i="13"/>
  <c r="T132" i="13"/>
  <c r="K133" i="13" s="1"/>
  <c r="M133" i="13" s="1"/>
  <c r="R133" i="13" s="1"/>
  <c r="S134" i="13" s="1"/>
  <c r="O282" i="13" l="1"/>
  <c r="M281" i="13"/>
  <c r="R281" i="13" s="1"/>
  <c r="K282" i="13"/>
  <c r="J282" i="13"/>
  <c r="S282" i="13"/>
  <c r="L282" i="13"/>
  <c r="B284" i="13"/>
  <c r="N283" i="13"/>
  <c r="V283" i="13"/>
  <c r="W283" i="13"/>
  <c r="X283" i="13"/>
  <c r="Y283" i="13"/>
  <c r="G283" i="13"/>
  <c r="H283" i="13"/>
  <c r="C283" i="13"/>
  <c r="P133" i="13"/>
  <c r="O283" i="13" l="1"/>
  <c r="M282" i="13"/>
  <c r="R282" i="13" s="1"/>
  <c r="K283" i="13"/>
  <c r="J283" i="13"/>
  <c r="S283" i="13"/>
  <c r="L283" i="13"/>
  <c r="B285" i="13"/>
  <c r="W284" i="13"/>
  <c r="G284" i="13"/>
  <c r="Y284" i="13"/>
  <c r="N284" i="13"/>
  <c r="V284" i="13"/>
  <c r="X284" i="13"/>
  <c r="H284" i="13"/>
  <c r="C284" i="13"/>
  <c r="T133" i="13"/>
  <c r="K134" i="13" s="1"/>
  <c r="M134" i="13" s="1"/>
  <c r="R134" i="13" s="1"/>
  <c r="O284" i="13" l="1"/>
  <c r="M283" i="13"/>
  <c r="R283" i="13" s="1"/>
  <c r="S284" i="13" s="1"/>
  <c r="B286" i="13"/>
  <c r="N285" i="13"/>
  <c r="V285" i="13"/>
  <c r="Y285" i="13"/>
  <c r="W285" i="13"/>
  <c r="X285" i="13"/>
  <c r="G285" i="13"/>
  <c r="H285" i="13"/>
  <c r="C285" i="13"/>
  <c r="K284" i="13"/>
  <c r="J284" i="13"/>
  <c r="L284" i="13"/>
  <c r="P134" i="13"/>
  <c r="O285" i="13" l="1"/>
  <c r="K285" i="13"/>
  <c r="S285" i="13"/>
  <c r="J285" i="13"/>
  <c r="L285" i="13"/>
  <c r="M284" i="13"/>
  <c r="R284" i="13" s="1"/>
  <c r="B287" i="13"/>
  <c r="W286" i="13"/>
  <c r="H286" i="13"/>
  <c r="Y286" i="13"/>
  <c r="N286" i="13"/>
  <c r="V286" i="13"/>
  <c r="X286" i="13"/>
  <c r="G286" i="13"/>
  <c r="C286" i="13"/>
  <c r="T134" i="13"/>
  <c r="K135" i="13" s="1"/>
  <c r="M135" i="13" s="1"/>
  <c r="R135" i="13" s="1"/>
  <c r="S136" i="13" s="1"/>
  <c r="O286" i="13" l="1"/>
  <c r="B288" i="13"/>
  <c r="H287" i="13"/>
  <c r="Y287" i="13"/>
  <c r="G287" i="13"/>
  <c r="N287" i="13"/>
  <c r="V287" i="13"/>
  <c r="W287" i="13"/>
  <c r="X287" i="13"/>
  <c r="C287" i="13"/>
  <c r="M285" i="13"/>
  <c r="R285" i="13" s="1"/>
  <c r="K286" i="13"/>
  <c r="J286" i="13"/>
  <c r="S286" i="13"/>
  <c r="L286" i="13"/>
  <c r="P135" i="13"/>
  <c r="O287" i="13" l="1"/>
  <c r="M286" i="13"/>
  <c r="R286" i="13" s="1"/>
  <c r="K287" i="13"/>
  <c r="J287" i="13"/>
  <c r="S287" i="13"/>
  <c r="L287" i="13"/>
  <c r="B289" i="13"/>
  <c r="V288" i="13"/>
  <c r="X288" i="13"/>
  <c r="N288" i="13"/>
  <c r="G288" i="13"/>
  <c r="H288" i="13"/>
  <c r="W288" i="13"/>
  <c r="Y288" i="13"/>
  <c r="C288" i="13"/>
  <c r="T135" i="13"/>
  <c r="K136" i="13" s="1"/>
  <c r="M136" i="13" s="1"/>
  <c r="R136" i="13" s="1"/>
  <c r="O288" i="13" l="1"/>
  <c r="M287" i="13"/>
  <c r="R287" i="13" s="1"/>
  <c r="S288" i="13" s="1"/>
  <c r="B290" i="13"/>
  <c r="H289" i="13"/>
  <c r="X289" i="13"/>
  <c r="N289" i="13"/>
  <c r="Y289" i="13"/>
  <c r="G289" i="13"/>
  <c r="W289" i="13"/>
  <c r="V289" i="13"/>
  <c r="C289" i="13"/>
  <c r="K288" i="13"/>
  <c r="J288" i="13"/>
  <c r="L288" i="13"/>
  <c r="P136" i="13"/>
  <c r="O289" i="13" l="1"/>
  <c r="M288" i="13"/>
  <c r="R288" i="13" s="1"/>
  <c r="K289" i="13"/>
  <c r="J289" i="13"/>
  <c r="S289" i="13"/>
  <c r="L289" i="13"/>
  <c r="B291" i="13"/>
  <c r="N290" i="13"/>
  <c r="V290" i="13"/>
  <c r="W290" i="13"/>
  <c r="G290" i="13"/>
  <c r="X290" i="13"/>
  <c r="Y290" i="13"/>
  <c r="H290" i="13"/>
  <c r="C290" i="13"/>
  <c r="T136" i="13"/>
  <c r="K137" i="13" s="1"/>
  <c r="M137" i="13" s="1"/>
  <c r="R137" i="13" s="1"/>
  <c r="S138" i="13" s="1"/>
  <c r="O290" i="13" l="1"/>
  <c r="B292" i="13"/>
  <c r="W291" i="13"/>
  <c r="H291" i="13"/>
  <c r="Y291" i="13"/>
  <c r="V291" i="13"/>
  <c r="X291" i="13"/>
  <c r="G291" i="13"/>
  <c r="N291" i="13"/>
  <c r="C291" i="13"/>
  <c r="M289" i="13"/>
  <c r="R289" i="13" s="1"/>
  <c r="K290" i="13"/>
  <c r="J290" i="13"/>
  <c r="S290" i="13"/>
  <c r="L290" i="13"/>
  <c r="P137" i="13"/>
  <c r="O291" i="13" l="1"/>
  <c r="M290" i="13"/>
  <c r="R290" i="13" s="1"/>
  <c r="K291" i="13"/>
  <c r="S291" i="13"/>
  <c r="J291" i="13"/>
  <c r="L291" i="13"/>
  <c r="B293" i="13"/>
  <c r="V292" i="13"/>
  <c r="X292" i="13"/>
  <c r="N292" i="13"/>
  <c r="W292" i="13"/>
  <c r="Y292" i="13"/>
  <c r="G292" i="13"/>
  <c r="H292" i="13"/>
  <c r="C292" i="13"/>
  <c r="T137" i="13"/>
  <c r="K138" i="13" s="1"/>
  <c r="M138" i="13" s="1"/>
  <c r="R138" i="13" s="1"/>
  <c r="O292" i="13" l="1"/>
  <c r="M291" i="13"/>
  <c r="R291" i="13" s="1"/>
  <c r="S292" i="13" s="1"/>
  <c r="B294" i="13"/>
  <c r="V293" i="13"/>
  <c r="G293" i="13"/>
  <c r="X293" i="13"/>
  <c r="H293" i="13"/>
  <c r="N293" i="13"/>
  <c r="W293" i="13"/>
  <c r="Y293" i="13"/>
  <c r="C293" i="13"/>
  <c r="K292" i="13"/>
  <c r="J292" i="13"/>
  <c r="L292" i="13"/>
  <c r="P138" i="13"/>
  <c r="O293" i="13" l="1"/>
  <c r="M292" i="13"/>
  <c r="R292" i="13" s="1"/>
  <c r="K293" i="13"/>
  <c r="J293" i="13"/>
  <c r="S293" i="13"/>
  <c r="L293" i="13"/>
  <c r="B295" i="13"/>
  <c r="H294" i="13"/>
  <c r="Y294" i="13"/>
  <c r="G294" i="13"/>
  <c r="N294" i="13"/>
  <c r="V294" i="13"/>
  <c r="W294" i="13"/>
  <c r="X294" i="13"/>
  <c r="C294" i="13"/>
  <c r="T138" i="13"/>
  <c r="K139" i="13" s="1"/>
  <c r="M139" i="13" s="1"/>
  <c r="R139" i="13" s="1"/>
  <c r="S140" i="13" s="1"/>
  <c r="O294" i="13" l="1"/>
  <c r="B296" i="13"/>
  <c r="G295" i="13"/>
  <c r="W295" i="13"/>
  <c r="Y295" i="13"/>
  <c r="N295" i="13"/>
  <c r="H295" i="13"/>
  <c r="V295" i="13"/>
  <c r="X295" i="13"/>
  <c r="C295" i="13"/>
  <c r="M293" i="13"/>
  <c r="R293" i="13" s="1"/>
  <c r="K294" i="13"/>
  <c r="S294" i="13"/>
  <c r="J294" i="13"/>
  <c r="L294" i="13"/>
  <c r="P139" i="13"/>
  <c r="O295" i="13" l="1"/>
  <c r="K295" i="13"/>
  <c r="J295" i="13"/>
  <c r="S295" i="13"/>
  <c r="L295" i="13"/>
  <c r="M294" i="13"/>
  <c r="R294" i="13" s="1"/>
  <c r="B297" i="13"/>
  <c r="X296" i="13"/>
  <c r="H296" i="13"/>
  <c r="W296" i="13"/>
  <c r="G296" i="13"/>
  <c r="Y296" i="13"/>
  <c r="N296" i="13"/>
  <c r="V296" i="13"/>
  <c r="C296" i="13"/>
  <c r="T139" i="13"/>
  <c r="K140" i="13" s="1"/>
  <c r="M140" i="13" s="1"/>
  <c r="R140" i="13" s="1"/>
  <c r="O296" i="13" l="1"/>
  <c r="M295" i="13"/>
  <c r="R295" i="13" s="1"/>
  <c r="S296" i="13" s="1"/>
  <c r="B298" i="13"/>
  <c r="W297" i="13"/>
  <c r="V297" i="13"/>
  <c r="G297" i="13"/>
  <c r="X297" i="13"/>
  <c r="Y297" i="13"/>
  <c r="N297" i="13"/>
  <c r="H297" i="13"/>
  <c r="C297" i="13"/>
  <c r="K296" i="13"/>
  <c r="J296" i="13"/>
  <c r="L296" i="13"/>
  <c r="P140" i="13"/>
  <c r="O297" i="13" l="1"/>
  <c r="M296" i="13"/>
  <c r="R296" i="13" s="1"/>
  <c r="K297" i="13"/>
  <c r="S297" i="13"/>
  <c r="J297" i="13"/>
  <c r="L297" i="13"/>
  <c r="B299" i="13"/>
  <c r="G298" i="13"/>
  <c r="X298" i="13"/>
  <c r="N298" i="13"/>
  <c r="V298" i="13"/>
  <c r="W298" i="13"/>
  <c r="Y298" i="13"/>
  <c r="H298" i="13"/>
  <c r="C298" i="13"/>
  <c r="T140" i="13"/>
  <c r="K141" i="13" s="1"/>
  <c r="M141" i="13" s="1"/>
  <c r="R141" i="13" s="1"/>
  <c r="S142" i="13" s="1"/>
  <c r="O298" i="13" l="1"/>
  <c r="M297" i="13"/>
  <c r="R297" i="13" s="1"/>
  <c r="K298" i="13"/>
  <c r="S298" i="13"/>
  <c r="J298" i="13"/>
  <c r="L298" i="13"/>
  <c r="B300" i="13"/>
  <c r="N299" i="13"/>
  <c r="V299" i="13"/>
  <c r="H299" i="13"/>
  <c r="X299" i="13"/>
  <c r="W299" i="13"/>
  <c r="G299" i="13"/>
  <c r="Y299" i="13"/>
  <c r="C299" i="13"/>
  <c r="P141" i="13"/>
  <c r="O299" i="13" l="1"/>
  <c r="M298" i="13"/>
  <c r="R298" i="13" s="1"/>
  <c r="B301" i="13"/>
  <c r="X300" i="13"/>
  <c r="H300" i="13"/>
  <c r="G300" i="13"/>
  <c r="N300" i="13"/>
  <c r="V300" i="13"/>
  <c r="W300" i="13"/>
  <c r="Y300" i="13"/>
  <c r="C300" i="13"/>
  <c r="K299" i="13"/>
  <c r="S299" i="13"/>
  <c r="J299" i="13"/>
  <c r="L299" i="13"/>
  <c r="T141" i="13"/>
  <c r="K142" i="13" s="1"/>
  <c r="M142" i="13" s="1"/>
  <c r="R142" i="13" s="1"/>
  <c r="O300" i="13" l="1"/>
  <c r="M299" i="13"/>
  <c r="R299" i="13" s="1"/>
  <c r="S300" i="13" s="1"/>
  <c r="K300" i="13"/>
  <c r="J300" i="13"/>
  <c r="L300" i="13"/>
  <c r="B302" i="13"/>
  <c r="N301" i="13"/>
  <c r="V301" i="13"/>
  <c r="G301" i="13"/>
  <c r="Y301" i="13"/>
  <c r="H301" i="13"/>
  <c r="W301" i="13"/>
  <c r="X301" i="13"/>
  <c r="C301" i="13"/>
  <c r="P142" i="13"/>
  <c r="O301" i="13" l="1"/>
  <c r="K301" i="13"/>
  <c r="J301" i="13"/>
  <c r="S301" i="13"/>
  <c r="L301" i="13"/>
  <c r="B303" i="13"/>
  <c r="W302" i="13"/>
  <c r="H302" i="13"/>
  <c r="Y302" i="13"/>
  <c r="X302" i="13"/>
  <c r="N302" i="13"/>
  <c r="G302" i="13"/>
  <c r="V302" i="13"/>
  <c r="C302" i="13"/>
  <c r="M300" i="13"/>
  <c r="R300" i="13" s="1"/>
  <c r="T142" i="13"/>
  <c r="K143" i="13" s="1"/>
  <c r="M143" i="13" s="1"/>
  <c r="R143" i="13" s="1"/>
  <c r="S144" i="13" s="1"/>
  <c r="O302" i="13" l="1"/>
  <c r="M301" i="13"/>
  <c r="R301" i="13" s="1"/>
  <c r="B304" i="13"/>
  <c r="N303" i="13"/>
  <c r="V303" i="13"/>
  <c r="X303" i="13"/>
  <c r="H303" i="13"/>
  <c r="Y303" i="13"/>
  <c r="G303" i="13"/>
  <c r="W303" i="13"/>
  <c r="C303" i="13"/>
  <c r="K302" i="13"/>
  <c r="J302" i="13"/>
  <c r="S302" i="13"/>
  <c r="L302" i="13"/>
  <c r="P143" i="13"/>
  <c r="O303" i="13" l="1"/>
  <c r="M302" i="13"/>
  <c r="R302" i="13" s="1"/>
  <c r="K303" i="13"/>
  <c r="J303" i="13"/>
  <c r="S303" i="13"/>
  <c r="L303" i="13"/>
  <c r="B305" i="13"/>
  <c r="W304" i="13"/>
  <c r="H304" i="13"/>
  <c r="Y304" i="13"/>
  <c r="V304" i="13"/>
  <c r="G304" i="13"/>
  <c r="X304" i="13"/>
  <c r="N304" i="13"/>
  <c r="C304" i="13"/>
  <c r="T143" i="13"/>
  <c r="K144" i="13" s="1"/>
  <c r="M144" i="13" s="1"/>
  <c r="R144" i="13" s="1"/>
  <c r="O304" i="13" l="1"/>
  <c r="M303" i="13"/>
  <c r="R303" i="13" s="1"/>
  <c r="S304" i="13" s="1"/>
  <c r="B306" i="13"/>
  <c r="H305" i="13"/>
  <c r="Y305" i="13"/>
  <c r="V305" i="13"/>
  <c r="W305" i="13"/>
  <c r="X305" i="13"/>
  <c r="G305" i="13"/>
  <c r="N305" i="13"/>
  <c r="C305" i="13"/>
  <c r="K304" i="13"/>
  <c r="J304" i="13"/>
  <c r="L304" i="13"/>
  <c r="P144" i="13"/>
  <c r="O305" i="13" l="1"/>
  <c r="K305" i="13"/>
  <c r="S305" i="13"/>
  <c r="J305" i="13"/>
  <c r="L305" i="13"/>
  <c r="M304" i="13"/>
  <c r="R304" i="13" s="1"/>
  <c r="B307" i="13"/>
  <c r="W306" i="13"/>
  <c r="H306" i="13"/>
  <c r="X306" i="13"/>
  <c r="N306" i="13"/>
  <c r="V306" i="13"/>
  <c r="Y306" i="13"/>
  <c r="G306" i="13"/>
  <c r="C306" i="13"/>
  <c r="T144" i="13"/>
  <c r="K145" i="13" s="1"/>
  <c r="M145" i="13" s="1"/>
  <c r="R145" i="13" s="1"/>
  <c r="S146" i="13" s="1"/>
  <c r="O306" i="13" l="1"/>
  <c r="M305" i="13"/>
  <c r="R305" i="13" s="1"/>
  <c r="K306" i="13"/>
  <c r="J306" i="13"/>
  <c r="S306" i="13"/>
  <c r="L306" i="13"/>
  <c r="B308" i="13"/>
  <c r="G307" i="13"/>
  <c r="W307" i="13"/>
  <c r="Y307" i="13"/>
  <c r="H307" i="13"/>
  <c r="N307" i="13"/>
  <c r="V307" i="13"/>
  <c r="X307" i="13"/>
  <c r="C307" i="13"/>
  <c r="P145" i="13"/>
  <c r="O307" i="13" l="1"/>
  <c r="B309" i="13"/>
  <c r="H308" i="13"/>
  <c r="V308" i="13"/>
  <c r="Y308" i="13"/>
  <c r="N308" i="13"/>
  <c r="G308" i="13"/>
  <c r="W308" i="13"/>
  <c r="X308" i="13"/>
  <c r="C308" i="13"/>
  <c r="M306" i="13"/>
  <c r="R306" i="13" s="1"/>
  <c r="K307" i="13"/>
  <c r="J307" i="13"/>
  <c r="S307" i="13"/>
  <c r="L307" i="13"/>
  <c r="T145" i="13"/>
  <c r="K146" i="13" s="1"/>
  <c r="M146" i="13" s="1"/>
  <c r="R146" i="13" s="1"/>
  <c r="O308" i="13" l="1"/>
  <c r="K308" i="13"/>
  <c r="J308" i="13"/>
  <c r="L308" i="13"/>
  <c r="M307" i="13"/>
  <c r="R307" i="13" s="1"/>
  <c r="S308" i="13" s="1"/>
  <c r="B310" i="13"/>
  <c r="W309" i="13"/>
  <c r="H309" i="13"/>
  <c r="Y309" i="13"/>
  <c r="X309" i="13"/>
  <c r="N309" i="13"/>
  <c r="G309" i="13"/>
  <c r="V309" i="13"/>
  <c r="C309" i="13"/>
  <c r="P146" i="13"/>
  <c r="O309" i="13" l="1"/>
  <c r="M308" i="13"/>
  <c r="R308" i="13" s="1"/>
  <c r="N310" i="13"/>
  <c r="V310" i="13"/>
  <c r="X310" i="13"/>
  <c r="H310" i="13"/>
  <c r="Y310" i="13"/>
  <c r="G310" i="13"/>
  <c r="W310" i="13"/>
  <c r="C310" i="13"/>
  <c r="K309" i="13"/>
  <c r="J309" i="13"/>
  <c r="S309" i="13"/>
  <c r="L309" i="13"/>
  <c r="T146" i="13"/>
  <c r="K147" i="13" s="1"/>
  <c r="M147" i="13" s="1"/>
  <c r="R147" i="13" s="1"/>
  <c r="S148" i="13" s="1"/>
  <c r="O310" i="13" l="1"/>
  <c r="M309" i="13"/>
  <c r="R309" i="13" s="1"/>
  <c r="K310" i="13"/>
  <c r="J310" i="13"/>
  <c r="S310" i="13"/>
  <c r="L30" i="13"/>
  <c r="L310" i="13"/>
  <c r="L180" i="13"/>
  <c r="L190" i="13"/>
  <c r="P147" i="13"/>
  <c r="M310" i="13" l="1"/>
  <c r="R310" i="13" s="1"/>
  <c r="T147" i="13"/>
  <c r="K148" i="13" s="1"/>
  <c r="M148" i="13" s="1"/>
  <c r="R148" i="13" s="1"/>
  <c r="P148" i="13" l="1"/>
  <c r="T148" i="13" l="1"/>
  <c r="K149" i="13" s="1"/>
  <c r="M149" i="13" s="1"/>
  <c r="R149" i="13" s="1"/>
  <c r="S150" i="13" s="1"/>
  <c r="P149" i="13" l="1"/>
  <c r="T149" i="13" l="1"/>
  <c r="K150" i="13" s="1"/>
  <c r="M150" i="13" s="1"/>
  <c r="R150" i="13" s="1"/>
  <c r="P150" i="13" l="1"/>
  <c r="T150" i="13" l="1"/>
  <c r="K151" i="13" s="1"/>
  <c r="M151" i="13" s="1"/>
  <c r="R151" i="13" s="1"/>
  <c r="S152" i="13" s="1"/>
  <c r="P151" i="13" l="1"/>
  <c r="T151" i="13" l="1"/>
  <c r="K152" i="13" s="1"/>
  <c r="M152" i="13" s="1"/>
  <c r="R152" i="13" s="1"/>
  <c r="P152" i="13" l="1"/>
  <c r="T152" i="13" l="1"/>
  <c r="K153" i="13" s="1"/>
  <c r="M153" i="13" s="1"/>
  <c r="R153" i="13" s="1"/>
  <c r="S154" i="13" s="1"/>
  <c r="P153" i="13" l="1"/>
  <c r="T153" i="13" l="1"/>
  <c r="K154" i="13" s="1"/>
  <c r="M154" i="13" s="1"/>
  <c r="R154" i="13" s="1"/>
  <c r="P154" i="13" l="1"/>
  <c r="T154" i="13" l="1"/>
  <c r="K155" i="13" s="1"/>
  <c r="M155" i="13" s="1"/>
  <c r="R155" i="13" s="1"/>
  <c r="S156" i="13" s="1"/>
  <c r="P155" i="13" l="1"/>
  <c r="T155" i="13" l="1"/>
  <c r="K156" i="13" s="1"/>
  <c r="M156" i="13" s="1"/>
  <c r="R156" i="13" s="1"/>
  <c r="P156" i="13" l="1"/>
  <c r="T156" i="13" l="1"/>
  <c r="K157" i="13" s="1"/>
  <c r="M157" i="13" s="1"/>
  <c r="R157" i="13" s="1"/>
  <c r="S158" i="13" s="1"/>
  <c r="P157" i="13" l="1"/>
  <c r="T157" i="13" l="1"/>
  <c r="K158" i="13" s="1"/>
  <c r="M158" i="13" s="1"/>
  <c r="R158" i="13" s="1"/>
  <c r="P158" i="13" l="1"/>
  <c r="T158" i="13" l="1"/>
  <c r="K159" i="13" s="1"/>
  <c r="M159" i="13" s="1"/>
  <c r="R159" i="13" s="1"/>
  <c r="S160" i="13" s="1"/>
  <c r="P159" i="13" l="1"/>
  <c r="T159" i="13" l="1"/>
  <c r="K160" i="13" s="1"/>
  <c r="M160" i="13" s="1"/>
  <c r="R160" i="13" s="1"/>
  <c r="P160" i="13" l="1"/>
  <c r="T160" i="13" l="1"/>
  <c r="K161" i="13" s="1"/>
  <c r="M161" i="13" s="1"/>
  <c r="R161" i="13" s="1"/>
  <c r="S162" i="13" s="1"/>
  <c r="P161" i="13" l="1"/>
  <c r="T161" i="13" l="1"/>
  <c r="K162" i="13" s="1"/>
  <c r="M162" i="13" s="1"/>
  <c r="R162" i="13" s="1"/>
  <c r="P162" i="13" l="1"/>
  <c r="T162" i="13" l="1"/>
  <c r="K163" i="13" s="1"/>
  <c r="M163" i="13" s="1"/>
  <c r="R163" i="13" s="1"/>
  <c r="S164" i="13" s="1"/>
  <c r="P163" i="13" l="1"/>
  <c r="T163" i="13" l="1"/>
  <c r="K164" i="13" s="1"/>
  <c r="M164" i="13" s="1"/>
  <c r="R164" i="13" s="1"/>
  <c r="P164" i="13" l="1"/>
  <c r="T164" i="13" l="1"/>
  <c r="K165" i="13" s="1"/>
  <c r="M165" i="13" s="1"/>
  <c r="R165" i="13" s="1"/>
  <c r="S166" i="13" s="1"/>
  <c r="P165" i="13" l="1"/>
  <c r="T165" i="13" l="1"/>
  <c r="K166" i="13" s="1"/>
  <c r="M166" i="13" s="1"/>
  <c r="R166" i="13" s="1"/>
  <c r="P166" i="13" l="1"/>
  <c r="T166" i="13" l="1"/>
  <c r="K167" i="13" s="1"/>
  <c r="M167" i="13" s="1"/>
  <c r="R167" i="13" s="1"/>
  <c r="S168" i="13" s="1"/>
  <c r="P167" i="13" l="1"/>
  <c r="T167" i="13" l="1"/>
  <c r="K168" i="13" s="1"/>
  <c r="M168" i="13" s="1"/>
  <c r="R168" i="13" s="1"/>
  <c r="P168" i="13" l="1"/>
  <c r="T168" i="13" l="1"/>
  <c r="K169" i="13" s="1"/>
  <c r="M169" i="13" s="1"/>
  <c r="R169" i="13" s="1"/>
  <c r="S170" i="13" s="1"/>
  <c r="P169" i="13" l="1"/>
  <c r="T169" i="13" l="1"/>
  <c r="K170" i="13" s="1"/>
  <c r="M170" i="13" s="1"/>
  <c r="R170" i="13" s="1"/>
  <c r="P170" i="13" l="1"/>
  <c r="T170" i="13" l="1"/>
  <c r="K171" i="13" s="1"/>
  <c r="M171" i="13" s="1"/>
  <c r="R171" i="13" s="1"/>
  <c r="S172" i="13" s="1"/>
  <c r="P171" i="13" l="1"/>
  <c r="T171" i="13" l="1"/>
  <c r="K172" i="13" s="1"/>
  <c r="M172" i="13" s="1"/>
  <c r="R172" i="13" s="1"/>
  <c r="P172" i="13" l="1"/>
  <c r="T172" i="13" l="1"/>
  <c r="K173" i="13" s="1"/>
  <c r="M173" i="13" s="1"/>
  <c r="R173" i="13" s="1"/>
  <c r="S174" i="13" s="1"/>
  <c r="P173" i="13" l="1"/>
  <c r="T173" i="13" l="1"/>
  <c r="K174" i="13" s="1"/>
  <c r="M174" i="13" s="1"/>
  <c r="R174" i="13" s="1"/>
  <c r="P174" i="13" l="1"/>
  <c r="T174" i="13" l="1"/>
  <c r="K175" i="13" s="1"/>
  <c r="M175" i="13" s="1"/>
  <c r="R175" i="13" s="1"/>
  <c r="S176" i="13" s="1"/>
  <c r="P175" i="13" l="1"/>
  <c r="T175" i="13" l="1"/>
  <c r="K176" i="13" s="1"/>
  <c r="M176" i="13" s="1"/>
  <c r="R176" i="13" s="1"/>
  <c r="P176" i="13" l="1"/>
  <c r="T176" i="13" l="1"/>
  <c r="K177" i="13" s="1"/>
  <c r="M177" i="13" s="1"/>
  <c r="R177" i="13" s="1"/>
  <c r="S178" i="13" s="1"/>
  <c r="P177" i="13" l="1"/>
  <c r="T177" i="13" l="1"/>
  <c r="K178" i="13" s="1"/>
  <c r="M178" i="13" s="1"/>
  <c r="R178" i="13" s="1"/>
  <c r="P178" i="13" l="1"/>
  <c r="T178" i="13" l="1"/>
  <c r="K179" i="13" s="1"/>
  <c r="M179" i="13" s="1"/>
  <c r="R179" i="13" s="1"/>
  <c r="S180" i="13" s="1"/>
  <c r="P179" i="13" l="1"/>
  <c r="T179" i="13" l="1"/>
  <c r="K180" i="13" s="1"/>
  <c r="M180" i="13" s="1"/>
  <c r="R180" i="13" s="1"/>
  <c r="P180" i="13" l="1"/>
  <c r="T180" i="13" l="1"/>
  <c r="K181" i="13" s="1"/>
  <c r="M181" i="13" s="1"/>
  <c r="R181" i="13" s="1"/>
  <c r="S182" i="13" s="1"/>
  <c r="P181" i="13" l="1"/>
  <c r="T181" i="13" l="1"/>
  <c r="K182" i="13" s="1"/>
  <c r="M182" i="13" s="1"/>
  <c r="R182" i="13" s="1"/>
  <c r="P182" i="13" l="1"/>
  <c r="T182" i="13" l="1"/>
  <c r="K183" i="13" s="1"/>
  <c r="M183" i="13" s="1"/>
  <c r="R183" i="13" s="1"/>
  <c r="S184" i="13" s="1"/>
  <c r="P183" i="13" l="1"/>
  <c r="T183" i="13" l="1"/>
  <c r="K184" i="13" s="1"/>
  <c r="M184" i="13" s="1"/>
  <c r="R184" i="13" s="1"/>
  <c r="P184" i="13" l="1"/>
  <c r="T184" i="13" l="1"/>
  <c r="K185" i="13" s="1"/>
  <c r="M185" i="13" s="1"/>
  <c r="R185" i="13" s="1"/>
  <c r="S186" i="13" s="1"/>
  <c r="P185" i="13" l="1"/>
  <c r="T185" i="13" l="1"/>
  <c r="K186" i="13" s="1"/>
  <c r="M186" i="13" s="1"/>
  <c r="R186" i="13" s="1"/>
  <c r="P186" i="13" l="1"/>
  <c r="T186" i="13" l="1"/>
  <c r="K187" i="13" s="1"/>
  <c r="M187" i="13" s="1"/>
  <c r="R187" i="13" s="1"/>
  <c r="S188" i="13" s="1"/>
  <c r="P187" i="13" l="1"/>
  <c r="T187" i="13" l="1"/>
  <c r="K188" i="13" s="1"/>
  <c r="M188" i="13" s="1"/>
  <c r="R188" i="13" s="1"/>
  <c r="P188" i="13" l="1"/>
  <c r="T188" i="13" l="1"/>
  <c r="K189" i="13" s="1"/>
  <c r="M189" i="13" s="1"/>
  <c r="R189" i="13" s="1"/>
  <c r="S190" i="13" s="1"/>
  <c r="P189" i="13" l="1"/>
  <c r="T189" i="13" l="1"/>
  <c r="K190" i="13" s="1"/>
  <c r="M190" i="13" s="1"/>
  <c r="R190" i="13" s="1"/>
  <c r="P190" i="13" l="1"/>
  <c r="B3" i="13" l="1"/>
  <c r="T190" i="13"/>
  <c r="A3" i="13" l="1"/>
  <c r="H4" i="18" s="1" a="1"/>
  <c r="H4" i="18" s="1"/>
  <c r="K191" i="13"/>
  <c r="M191" i="13" s="1"/>
  <c r="R191" i="13" l="1"/>
  <c r="S192" i="13" s="1"/>
  <c r="P191" i="13"/>
  <c r="P192" i="13" l="1"/>
  <c r="P193" i="13" s="1"/>
  <c r="P194" i="13" s="1"/>
  <c r="P195" i="13" s="1"/>
  <c r="P196" i="13" s="1"/>
  <c r="P197" i="13" s="1"/>
  <c r="P198" i="13" s="1"/>
  <c r="P199" i="13" s="1"/>
  <c r="P200" i="13" s="1"/>
  <c r="P201" i="13" s="1"/>
  <c r="P202" i="13" s="1"/>
  <c r="P203" i="13" s="1"/>
  <c r="P204" i="13" s="1"/>
  <c r="P205" i="13" s="1"/>
  <c r="P206" i="13" s="1"/>
  <c r="P207" i="13" s="1"/>
  <c r="P208" i="13" s="1"/>
  <c r="P209" i="13" s="1"/>
  <c r="P210" i="13" s="1"/>
  <c r="P211" i="13" s="1"/>
  <c r="P212" i="13" s="1"/>
  <c r="P213" i="13" s="1"/>
  <c r="P214" i="13" s="1"/>
  <c r="P215" i="13" s="1"/>
  <c r="P216" i="13" s="1"/>
  <c r="P217" i="13" s="1"/>
  <c r="P218" i="13" s="1"/>
  <c r="P219" i="13" s="1"/>
  <c r="P220" i="13" s="1"/>
  <c r="P221" i="13" s="1"/>
  <c r="P222" i="13" s="1"/>
  <c r="P223" i="13" s="1"/>
  <c r="P224" i="13" s="1"/>
  <c r="P225" i="13" s="1"/>
  <c r="P226" i="13" s="1"/>
  <c r="P227" i="13" s="1"/>
  <c r="P228" i="13" s="1"/>
  <c r="P229" i="13" s="1"/>
  <c r="P230" i="13" s="1"/>
  <c r="P231" i="13" s="1"/>
  <c r="P232" i="13" s="1"/>
  <c r="P233" i="13" s="1"/>
  <c r="P234" i="13" s="1"/>
  <c r="P235" i="13" s="1"/>
  <c r="P236" i="13" s="1"/>
  <c r="P237" i="13" s="1"/>
  <c r="P238" i="13" s="1"/>
  <c r="P239" i="13" s="1"/>
  <c r="P240" i="13" s="1"/>
  <c r="P241" i="13" s="1"/>
  <c r="P242" i="13" s="1"/>
  <c r="P243" i="13" s="1"/>
  <c r="P244" i="13" s="1"/>
  <c r="P245" i="13" s="1"/>
  <c r="P246" i="13" s="1"/>
  <c r="P247" i="13" s="1"/>
  <c r="P248" i="13" s="1"/>
  <c r="P249" i="13" s="1"/>
  <c r="P250" i="13" s="1"/>
  <c r="P251" i="13" s="1"/>
  <c r="P252" i="13" s="1"/>
  <c r="P253" i="13" s="1"/>
  <c r="P254" i="13" s="1"/>
  <c r="P255" i="13" s="1"/>
  <c r="P256" i="13" s="1"/>
  <c r="P257" i="13" s="1"/>
  <c r="P258" i="13" s="1"/>
  <c r="P259" i="13" s="1"/>
  <c r="P260" i="13" s="1"/>
  <c r="P261" i="13" s="1"/>
  <c r="P262" i="13" s="1"/>
  <c r="P263" i="13" s="1"/>
  <c r="P264" i="13" s="1"/>
  <c r="P265" i="13" s="1"/>
  <c r="P266" i="13" s="1"/>
  <c r="P267" i="13" s="1"/>
  <c r="P268" i="13" s="1"/>
  <c r="P269" i="13" s="1"/>
  <c r="P270" i="13" s="1"/>
  <c r="P271" i="13" s="1"/>
  <c r="P272" i="13" s="1"/>
  <c r="P273" i="13" s="1"/>
  <c r="P274" i="13" s="1"/>
  <c r="P275" i="13" s="1"/>
  <c r="P276" i="13" s="1"/>
  <c r="P277" i="13" s="1"/>
  <c r="P278" i="13" s="1"/>
  <c r="P279" i="13" s="1"/>
  <c r="P280" i="13" s="1"/>
  <c r="P281" i="13" s="1"/>
  <c r="P282" i="13" s="1"/>
  <c r="P283" i="13" s="1"/>
  <c r="P284" i="13" s="1"/>
  <c r="P285" i="13" s="1"/>
  <c r="P286" i="13" s="1"/>
  <c r="P287" i="13" s="1"/>
  <c r="P288" i="13" s="1"/>
  <c r="P289" i="13" s="1"/>
  <c r="P290" i="13" s="1"/>
  <c r="P291" i="13" s="1"/>
  <c r="P292" i="13" s="1"/>
  <c r="P293" i="13" s="1"/>
  <c r="P294" i="13" s="1"/>
  <c r="P295" i="13" s="1"/>
  <c r="P296" i="13" s="1"/>
  <c r="P297" i="13" s="1"/>
  <c r="P298" i="13" s="1"/>
  <c r="P299" i="13" s="1"/>
  <c r="P300" i="13" s="1"/>
  <c r="P301" i="13" s="1"/>
  <c r="P302" i="13" s="1"/>
  <c r="P303" i="13" s="1"/>
  <c r="P304" i="13" s="1"/>
  <c r="P305" i="13" s="1"/>
  <c r="P306" i="13" s="1"/>
  <c r="P307" i="13" s="1"/>
  <c r="P308" i="13" s="1"/>
  <c r="P309" i="13" s="1"/>
  <c r="P310"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tc={243C3B78-B61E-4FDE-8254-435F7127E356}</author>
    <author>tc={4FB20E1B-3986-4B66-A6E7-59F13518CB97}</author>
    <author>tc={427C74BB-2F09-4647-B0CF-33940D067A57}</author>
    <author>tc={4228E5C2-CEF7-497A-B53C-583BA34D5F99}</author>
    <author>tc={02AC9AF5-01A1-4297-AA44-AF669B413D74}</author>
    <author>tc={652FE184-77CF-462B-842F-5E87985AF24D}</author>
    <author>tc={3B7697EE-63E7-463C-A496-3827DAC128B1}</author>
    <author>tc={FE3967C7-0C30-4A9C-B315-1952F8C51EE1}</author>
  </authors>
  <commentList>
    <comment ref="E11" authorId="0" shapeId="0" xr:uid="{243C3B78-B61E-4FDE-8254-435F7127E356}">
      <text>
        <t>[Threaded comment]
Your version of Excel allows you to read this threaded comment; however, any edits to it will get removed if the file is opened in a newer version of Excel. Learn more: https://go.microsoft.com/fwlink/?linkid=870924
Comment:
    2</t>
      </text>
    </comment>
    <comment ref="G11" authorId="1" shapeId="0" xr:uid="{4FB20E1B-3986-4B66-A6E7-59F13518CB97}">
      <text>
        <t>[Threaded comment]
Your version of Excel allows you to read this threaded comment; however, any edits to it will get removed if the file is opened in a newer version of Excel. Learn more: https://go.microsoft.com/fwlink/?linkid=870924
Comment:
    2</t>
      </text>
    </comment>
    <comment ref="E12" authorId="2" shapeId="0" xr:uid="{427C74BB-2F09-4647-B0CF-33940D067A57}">
      <text>
        <t>[Threaded comment]
Your version of Excel allows you to read this threaded comment; however, any edits to it will get removed if the file is opened in a newer version of Excel. Learn more: https://go.microsoft.com/fwlink/?linkid=870924
Comment:
    2</t>
      </text>
    </comment>
    <comment ref="G12" authorId="3" shapeId="0" xr:uid="{4228E5C2-CEF7-497A-B53C-583BA34D5F99}">
      <text>
        <t>[Threaded comment]
Your version of Excel allows you to read this threaded comment; however, any edits to it will get removed if the file is opened in a newer version of Excel. Learn more: https://go.microsoft.com/fwlink/?linkid=870924
Comment:
    2</t>
      </text>
    </comment>
    <comment ref="E15" authorId="4" shapeId="0" xr:uid="{02AC9AF5-01A1-4297-AA44-AF669B413D74}">
      <text>
        <t>[Threaded comment]
Your version of Excel allows you to read this threaded comment; however, any edits to it will get removed if the file is opened in a newer version of Excel. Learn more: https://go.microsoft.com/fwlink/?linkid=870924
Comment:
    3</t>
      </text>
    </comment>
    <comment ref="G15" authorId="5" shapeId="0" xr:uid="{652FE184-77CF-462B-842F-5E87985AF24D}">
      <text>
        <t>[Threaded comment]
Your version of Excel allows you to read this threaded comment; however, any edits to it will get removed if the file is opened in a newer version of Excel. Learn more: https://go.microsoft.com/fwlink/?linkid=870924
Comment:
    3</t>
      </text>
    </comment>
    <comment ref="E16" authorId="6" shapeId="0" xr:uid="{3B7697EE-63E7-463C-A496-3827DAC128B1}">
      <text>
        <t>[Threaded comment]
Your version of Excel allows you to read this threaded comment; however, any edits to it will get removed if the file is opened in a newer version of Excel. Learn more: https://go.microsoft.com/fwlink/?linkid=870924
Comment:
    3</t>
      </text>
    </comment>
    <comment ref="G16" authorId="7" shapeId="0" xr:uid="{FE3967C7-0C30-4A9C-B315-1952F8C51EE1}">
      <text>
        <t>[Threaded comment]
Your version of Excel allows you to read this threaded comment; however, any edits to it will get removed if the file is opened in a newer version of Excel. Learn more: https://go.microsoft.com/fwlink/?linkid=870924
Comment:
    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tc={E371F54D-A859-4D7B-A252-EFC5F404847A}</author>
  </authors>
  <commentList>
    <comment ref="B2" authorId="0" shapeId="0" xr:uid="{E371F54D-A859-4D7B-A252-EFC5F404847A}">
      <text>
        <t>[Threaded comment]
Your version of Excel allows you to read this threaded comment; however, any edits to it will get removed if the file is opened in a newer version of Excel. Learn more: https://go.microsoft.com/fwlink/?linkid=870924
Comment:
    i.e. Test Scenario</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<sst xmlns="http://schemas.openxmlformats.org/spreadsheetml/2006/main" count="488" uniqueCount="296">
  <si>
    <t>Income Base</t>
  </si>
  <si>
    <t>Income Credit</t>
  </si>
  <si>
    <t>—</t>
  </si>
  <si>
    <t>Maximum Annual Withdrawal Amount upon Activation</t>
  </si>
  <si>
    <t xml:space="preserve">Income Credit Base  </t>
  </si>
  <si>
    <t xml:space="preserve">Income Credit    </t>
  </si>
  <si>
    <t xml:space="preserve">Withdrawal Taken  </t>
  </si>
  <si>
    <t xml:space="preserve">Assumed Contract Value </t>
  </si>
  <si>
    <t xml:space="preserve">Anniversary Value  </t>
  </si>
  <si>
    <t xml:space="preserve">Income Base  </t>
  </si>
  <si>
    <t>Protected Income Payment</t>
  </si>
  <si>
    <t>Purchase Payments</t>
  </si>
  <si>
    <t>Activation Time</t>
  </si>
  <si>
    <t>Income Credit Base</t>
  </si>
  <si>
    <t xml:space="preserve">Benefit Effective Date </t>
  </si>
  <si>
    <t>Index</t>
  </si>
  <si>
    <t>Time From Valuation</t>
  </si>
  <si>
    <t>Is Anniversary?</t>
  </si>
  <si>
    <t>Is Activation</t>
  </si>
  <si>
    <t>Is Withdrawal</t>
  </si>
  <si>
    <t>Withdrawal Penalty</t>
  </si>
  <si>
    <t>Withdrawal Haircut Before Activation</t>
  </si>
  <si>
    <t>Withdrawal Haircut After Activation</t>
  </si>
  <si>
    <t>Has a Withdrawal Occurred After Activation</t>
  </si>
  <si>
    <t>Has Income Credit</t>
  </si>
  <si>
    <t>Test</t>
  </si>
  <si>
    <t>Test Name</t>
  </si>
  <si>
    <t>Use Base Case</t>
  </si>
  <si>
    <t>Valuation Date</t>
  </si>
  <si>
    <t>Primary Birthdate</t>
  </si>
  <si>
    <t>Primary Gender</t>
  </si>
  <si>
    <t>Secondary Birthdate</t>
  </si>
  <si>
    <t>Secondary Gender</t>
  </si>
  <si>
    <t xml:space="preserve">Initial Purchase Payment </t>
  </si>
  <si>
    <t>Withdrawal Activation Date</t>
  </si>
  <si>
    <t>Annuity Income Option</t>
  </si>
  <si>
    <t xml:space="preserve">Income Credit Percentage </t>
  </si>
  <si>
    <t>Current Income Base</t>
  </si>
  <si>
    <t>Current Income Base Credit</t>
  </si>
  <si>
    <t>Withdrawal Amount</t>
  </si>
  <si>
    <t>Current Contract Value</t>
  </si>
  <si>
    <t>Base</t>
  </si>
  <si>
    <t>M</t>
  </si>
  <si>
    <t>Stub</t>
  </si>
  <si>
    <t>Age 45</t>
  </si>
  <si>
    <t>Age 55</t>
  </si>
  <si>
    <t>Age 75</t>
  </si>
  <si>
    <t>Age 85</t>
  </si>
  <si>
    <t>Option 2</t>
  </si>
  <si>
    <t>Option 3</t>
  </si>
  <si>
    <t>Wda 1.5</t>
  </si>
  <si>
    <t>Wda 2.5</t>
  </si>
  <si>
    <t>Wda 3.5</t>
  </si>
  <si>
    <t>Wda 5.5</t>
  </si>
  <si>
    <t>Wda 6.5</t>
  </si>
  <si>
    <t>Wda 7.5</t>
  </si>
  <si>
    <t>Joint Diff Age</t>
  </si>
  <si>
    <t>F</t>
  </si>
  <si>
    <t>Joint Same Sex</t>
  </si>
  <si>
    <t>Joint Same Sex Female</t>
  </si>
  <si>
    <t>Inputs</t>
  </si>
  <si>
    <t>Test Cases</t>
  </si>
  <si>
    <t>Current Period</t>
  </si>
  <si>
    <t>Number of Annuitants</t>
  </si>
  <si>
    <t>Is Joint</t>
  </si>
  <si>
    <t xml:space="preserve">Primary Issue Age </t>
  </si>
  <si>
    <t>Secondary Issue Age</t>
  </si>
  <si>
    <t>Minimum Withdrawal Age</t>
  </si>
  <si>
    <t xml:space="preserve">Maximum Annual Withdrawal Percentage </t>
  </si>
  <si>
    <t>Years Left</t>
  </si>
  <si>
    <t>Is Issued</t>
  </si>
  <si>
    <t xml:space="preserve"> </t>
  </si>
  <si>
    <r>
      <t>(3)</t>
    </r>
    <r>
      <rPr>
        <sz val="7"/>
        <color rgb="FF000000"/>
        <rFont val="Times New Roman"/>
        <family val="1"/>
      </rPr>
      <t xml:space="preserve">      </t>
    </r>
    <r>
      <rPr>
        <sz val="8.5"/>
        <color rgb="FF000000"/>
        <rFont val="Times New Roman"/>
        <family val="1"/>
      </rPr>
      <t>If Two Covered Persons are elected, the Protected Income Payment Percentage is 4.00% if the Income Base is increased to a new Higher Anniversary Value on or after the younger Covered Person’s 65</t>
    </r>
    <r>
      <rPr>
        <vertAlign val="superscript"/>
        <sz val="8.5"/>
        <color rgb="FF000000"/>
        <rFont val="Times New Roman"/>
        <family val="1"/>
      </rPr>
      <t>th</t>
    </r>
    <r>
      <rPr>
        <sz val="8.5"/>
        <color rgb="FF000000"/>
        <rFont val="Times New Roman"/>
        <family val="1"/>
      </rPr>
      <t xml:space="preserve"> birthday. </t>
    </r>
  </si>
  <si>
    <r>
      <t>(2)</t>
    </r>
    <r>
      <rPr>
        <sz val="7"/>
        <color rgb="FF000000"/>
        <rFont val="Times New Roman"/>
        <family val="1"/>
      </rPr>
      <t xml:space="preserve">      </t>
    </r>
    <r>
      <rPr>
        <sz val="8.5"/>
        <color rgb="FF000000"/>
        <rFont val="Times New Roman"/>
        <family val="1"/>
      </rPr>
      <t>If One Covered Person is elected, the Protected Income Payment Percentage is 4.00% if the Income Base is increased to a new Higher Anniversary Value on or after the Covered Person’s 65</t>
    </r>
    <r>
      <rPr>
        <vertAlign val="superscript"/>
        <sz val="8.5"/>
        <color rgb="FF000000"/>
        <rFont val="Times New Roman"/>
        <family val="1"/>
      </rPr>
      <t>th</t>
    </r>
    <r>
      <rPr>
        <sz val="8.5"/>
        <color rgb="FF000000"/>
        <rFont val="Times New Roman"/>
        <family val="1"/>
      </rPr>
      <t xml:space="preserve"> birthday. </t>
    </r>
  </si>
  <si>
    <r>
      <t>(1)</t>
    </r>
    <r>
      <rPr>
        <sz val="7"/>
        <color rgb="FF000000"/>
        <rFont val="Times New Roman"/>
        <family val="1"/>
      </rPr>
      <t xml:space="preserve">      </t>
    </r>
    <r>
      <rPr>
        <sz val="8.5"/>
        <color rgb="FF000000"/>
        <rFont val="Times New Roman"/>
        <family val="1"/>
      </rPr>
      <t xml:space="preserve">If there are Two Covered Persons, the age on the Activation Date is based on the age of the younger of the Two Covered Persons. </t>
    </r>
  </si>
  <si>
    <t xml:space="preserve">Two Covered Persons (Age 72 and Older)  </t>
  </si>
  <si>
    <t xml:space="preserve">Two Covered Persons (Age 65 - 71) </t>
  </si>
  <si>
    <t xml:space="preserve">Two Covered Persons (Age 60 - 64) </t>
  </si>
  <si>
    <t xml:space="preserve">Two Covered Persons (Age 50 - 59) </t>
  </si>
  <si>
    <t xml:space="preserve">One Covered Person (Age 72 and Older) </t>
  </si>
  <si>
    <t xml:space="preserve">One Covered Person (Age 65 - 71) </t>
  </si>
  <si>
    <t xml:space="preserve">One Covered Person (Age 60 - 64) </t>
  </si>
  <si>
    <t xml:space="preserve">One Covered Person (Age 50 - 59) </t>
  </si>
  <si>
    <t xml:space="preserve">Percentage </t>
  </si>
  <si>
    <t>UB Age</t>
  </si>
  <si>
    <t>LB Age</t>
  </si>
  <si>
    <t xml:space="preserve">Payment </t>
  </si>
  <si>
    <t xml:space="preserve">Withdrawal </t>
  </si>
  <si>
    <t xml:space="preserve">Income </t>
  </si>
  <si>
    <t xml:space="preserve">Annual </t>
  </si>
  <si>
    <t xml:space="preserve">Protected </t>
  </si>
  <si>
    <t xml:space="preserve">Maximum </t>
  </si>
  <si>
    <t xml:space="preserve">Polaris Income Max Income Option 3 </t>
  </si>
  <si>
    <t xml:space="preserve">Polaris Income Max Income Option 2 </t>
  </si>
  <si>
    <t xml:space="preserve">Polaris Income Max Income Option 1 </t>
  </si>
  <si>
    <r>
      <t>Number of Covered Persons and Age of Covered Person(s) on the Activation Date</t>
    </r>
    <r>
      <rPr>
        <b/>
        <vertAlign val="superscript"/>
        <sz val="9"/>
        <color rgb="FF000000"/>
        <rFont val="Times New Roman"/>
        <family val="1"/>
      </rPr>
      <t>(1)</t>
    </r>
    <r>
      <rPr>
        <b/>
        <sz val="9"/>
        <color rgb="FF000000"/>
        <rFont val="Times New Roman"/>
        <family val="1"/>
      </rPr>
      <t xml:space="preserve"> </t>
    </r>
  </si>
  <si>
    <r>
      <t>The first percentage represents the Maximum Annual Withdrawal Percentage (as defined in the Glossary of Living Benefit Terms in the prospectus)</t>
    </r>
    <r>
      <rPr>
        <sz val="7.5"/>
        <color rgb="FF000000"/>
        <rFont val="Times New Roman"/>
        <family val="1"/>
      </rPr>
      <t xml:space="preserve"> </t>
    </r>
    <r>
      <rPr>
        <sz val="9.5"/>
        <color rgb="FF000000"/>
        <rFont val="Times New Roman"/>
        <family val="1"/>
      </rPr>
      <t xml:space="preserve">and the second percentage represents the Protected Income Payment Percentage (as defined in the Glossary of Living Benefit Terms in the prospectus) for each of the options shown:  </t>
    </r>
  </si>
  <si>
    <r>
      <t>Maximum Annual Withdrawal Percentage and Protected Income Payment Percentage Table</t>
    </r>
    <r>
      <rPr>
        <b/>
        <sz val="10"/>
        <color rgb="FF000000"/>
        <rFont val="Times New Roman"/>
        <family val="1"/>
      </rPr>
      <t xml:space="preserve"> </t>
    </r>
  </si>
  <si>
    <r>
      <t xml:space="preserve">The Income Credit Percentage is </t>
    </r>
    <r>
      <rPr>
        <b/>
        <sz val="10"/>
        <color rgb="FF000000"/>
        <rFont val="Times New Roman"/>
        <family val="1"/>
      </rPr>
      <t>5.25%</t>
    </r>
    <r>
      <rPr>
        <sz val="10"/>
        <color rgb="FF000000"/>
        <rFont val="Times New Roman"/>
        <family val="1"/>
      </rPr>
      <t xml:space="preserve"> (as a percentage of the Income Credit Base). </t>
    </r>
  </si>
  <si>
    <r>
      <t>Income Credit Percentage</t>
    </r>
    <r>
      <rPr>
        <b/>
        <sz val="10"/>
        <color rgb="FF000000"/>
        <rFont val="Times New Roman"/>
        <family val="1"/>
      </rPr>
      <t xml:space="preserve"> </t>
    </r>
  </si>
  <si>
    <t xml:space="preserve">POLARIS INCOME MAX </t>
  </si>
  <si>
    <t>Summary</t>
  </si>
  <si>
    <t>Sum Payments</t>
  </si>
  <si>
    <t>Sum of MAWA and PIP</t>
  </si>
  <si>
    <t>Test Case Names</t>
  </si>
  <si>
    <t>Actual</t>
  </si>
  <si>
    <t>Expected</t>
  </si>
  <si>
    <t>Diff</t>
  </si>
  <si>
    <t>tPxy</t>
  </si>
  <si>
    <t>Symbol2</t>
  </si>
  <si>
    <t>Pxy</t>
  </si>
  <si>
    <t>Symbol</t>
  </si>
  <si>
    <t>Py</t>
  </si>
  <si>
    <t>Px</t>
  </si>
  <si>
    <t>To Age2</t>
  </si>
  <si>
    <t>To Age</t>
  </si>
  <si>
    <t>Survivng t Years</t>
  </si>
  <si>
    <t>Mpx</t>
  </si>
  <si>
    <t>Fpx</t>
  </si>
  <si>
    <t>Mqx</t>
  </si>
  <si>
    <t>Fqx</t>
  </si>
  <si>
    <t>Mix</t>
  </si>
  <si>
    <t>Fix</t>
  </si>
  <si>
    <t>Age</t>
  </si>
  <si>
    <t>px</t>
  </si>
  <si>
    <t>qx</t>
  </si>
  <si>
    <t>lx</t>
  </si>
  <si>
    <t>Male Life Age</t>
  </si>
  <si>
    <t>Female Life Age</t>
  </si>
  <si>
    <t>Male</t>
  </si>
  <si>
    <t>Female</t>
  </si>
  <si>
    <t>Birthday</t>
  </si>
  <si>
    <t>Nearest</t>
  </si>
  <si>
    <t>Joint Life Survivorship</t>
  </si>
  <si>
    <t>Table</t>
  </si>
  <si>
    <t>Period</t>
  </si>
  <si>
    <t>IAM</t>
  </si>
  <si>
    <t>Max Age</t>
  </si>
  <si>
    <t>Partial Year</t>
  </si>
  <si>
    <t>Primary Annuitant Px</t>
  </si>
  <si>
    <t>Secondary Annuitant Py</t>
  </si>
  <si>
    <t>tPx</t>
  </si>
  <si>
    <t>tPy</t>
  </si>
  <si>
    <t>Joint Mortality tPxy for the partial year</t>
  </si>
  <si>
    <t>Last-to-Die Survivorship tPxy</t>
  </si>
  <si>
    <t>Discount Factor</t>
  </si>
  <si>
    <t>Model Inputs</t>
  </si>
  <si>
    <t>Values</t>
  </si>
  <si>
    <t>Effective Annual Interest</t>
  </si>
  <si>
    <t>timeFromValuation</t>
  </si>
  <si>
    <t>Reserve</t>
  </si>
  <si>
    <t>Primary Age</t>
  </si>
  <si>
    <t>Secondary Age</t>
  </si>
  <si>
    <t>When the MAWP is 6.25% and the PIP is 4% then the maximum allowable withdrawl increases then the allowable withdrawal is balanced. They will receive decent payout. Future withdrawals and benefits will increase.</t>
  </si>
  <si>
    <t>See Test Cases Sheet</t>
  </si>
  <si>
    <t>This should look up the withdrawal rate from the WDAge tab using the younger age. The MAW be 6.25% and the PIP will be 4%</t>
  </si>
  <si>
    <t>The Secondary Birthday and Gender are filled. There are two annuitants. The ages are different and values play off the younger of the two</t>
  </si>
  <si>
    <t>This handles the case where two women are the annuitants</t>
  </si>
  <si>
    <t>When the MAWP is 5.75% and the PIP is 4% then the maximum allowable withdrawl increases then the allowable withdrawal is balanced. They will receive decent payout. Future withdrawals and benefits will increase.</t>
  </si>
  <si>
    <t>This should look up the withdrawal rate from the WDAge tab using the younger age. The MAW be 5.75% and the PIP will be 4%</t>
  </si>
  <si>
    <t>This handles the case where two men are the annuitants</t>
  </si>
  <si>
    <t>When the MAWP is 3.5% and the PIP is 3% then the maximum allowable withdrawal then the maximum allowable withdrawal decreases and the allowable withdraw is too high and creates the policy to take excess withdrawals. This will penalize the policy and cause them to get less of payout. The percentage going down will be the future benefits will be decreased. This means the sum of withdrawals benefits and future benefits will decrease as a result</t>
  </si>
  <si>
    <t>This should look up the withdrawal rate from the WDAge tab using the younger age. The MAW be 3.5% and the PIP will be 3%</t>
  </si>
  <si>
    <t>This handles the case where a man and a woman are annuitants</t>
  </si>
  <si>
    <t>When the MAWP increases .5% and the PIP stays steady then the maximum allowable withdrawal increases then the allowable withdrawal is balanced. They will receive decent payout. Future withdrawals and benefits will increase.</t>
  </si>
  <si>
    <t>This should look up the withdrawal rate from the WDAge tab. The MAW will become 6.75% instead of 6.25% and the PIP will remain 4%</t>
  </si>
  <si>
    <t>The Secondary Birthday and Gender must be blank. If there is only one annuitant, then the seondary annuitant should be blank. The age is 65 like the base case. The withdrawals will begin after 7.5 years have passed.</t>
  </si>
  <si>
    <t>This handles the case of someone beginning to withdraw 7.5 years after intitial purchase</t>
  </si>
  <si>
    <t>The Secondary Birthday and Gender must be blank. If there is only one annuitant, then the seondary annuitant should be blank. The age is 65 like the base case. The withdrawals will begin after 6.5 years have passed.</t>
  </si>
  <si>
    <t>This handles the case of someone beginning to withdraw 6.5 years after intitial purchase</t>
  </si>
  <si>
    <t>When the MAWP and the PIP remains steady then the maximum allowable withdrawal increases then the allowable withdrawal is balanced. They will get a decent payout. Future withdrawals and benefits will increase though.</t>
  </si>
  <si>
    <t>This should look up the withdrawal rate from the WDAge tab. The MAW will remain 6.25% and the PIP will remain 4%</t>
  </si>
  <si>
    <t>The Secondary Birthday and Gender must be blank. If there is only one annuitant, then the seondary annuitant should be blank. The age is 65 like the base case. The withdrawals will begin after 5.5 years have passed.</t>
  </si>
  <si>
    <t>This handles the case of someone beginning to withdraw 5.5 years after intitial purchase</t>
  </si>
  <si>
    <t>The Secondary Birthday and Gender must be blank. If there is only one annuitant, then the seondary annuitant should be blank. The age is 65 like the base case. The withdrawals will begin after 3.5 years have passed.</t>
  </si>
  <si>
    <t>This handles the case of someone beginning to withdraw 3.5 years after intitial purchase</t>
  </si>
  <si>
    <t>The Secondary Birthday and Gender must be blank. If there is only one annuitant, then the seondary annuitant should be blank. The age is 65 like the base case. The withdrawals will begin after 2.5 years have passed.</t>
  </si>
  <si>
    <t>This handles the case of someone beginning to withdraw 2.5 years after intitial purchase</t>
  </si>
  <si>
    <t>The Secondary Birthday and Gender must be blank. If there is only one annuitant, then the seondary annuitant should be blank. The age is 65 like the base case. The withdrawals will begin after 1.5 years have passed.</t>
  </si>
  <si>
    <t>This handles the case of someone beginning to withdraw 1.5 years after intitial purchase</t>
  </si>
  <si>
    <t>When the MAWP decreases 1.25% and the PIP increases 1% then the maximum allowable withdrawal decreases but once the contract value hits zero the PIP payments will be higher.</t>
  </si>
  <si>
    <t>This should look up the withdrawal rate from the WDAge tab. The MAW will become 5% instead of 6.25% and the PIP will become 5% instead 4%</t>
  </si>
  <si>
    <t>The Secondary Birthday and Gender must be blank. If there is only one annuitant, then the seondary annuitant should be blank. The withrawal table should follow the values for option 3.</t>
  </si>
  <si>
    <t>This handles the case of someone choosing annuity income option 3</t>
  </si>
  <si>
    <t>The Secondary Birthday and Gender must be blank. If there is only one annuitant, then the seondary annuitant should be blank. The withrawal table should follow the values for option 2.</t>
  </si>
  <si>
    <t>This handles the case of someone choosing annuity income option 2</t>
  </si>
  <si>
    <t>When the MAWP is increased .5% and the PIP remains 4% then the maximum allowable withdrawal increases then the allowable withdrawal is balanced. They will get a decent payout. The risks of waiting are the annuitant is closer to experation. Future withdrawals and benefits will increase though.</t>
  </si>
  <si>
    <t>This should look up the withdrawal rate from the WDAge tab. It should change the MAW from 6.25% to 6.75% and the PIP will remain 4%</t>
  </si>
  <si>
    <t>The Secondary Birthdate and Gender must be blank. If there is only one annuitant, then the secondary annuitant should be blank. The Withdrawal Table of ages, by payment option and number of annuitants. The age should be 85 instead of 65 like the base case</t>
  </si>
  <si>
    <t>This handles the age of 85 which is the towards upper bound of the withdrawal table.</t>
  </si>
  <si>
    <t>The Secondary Birthdate and Gender must be blank. If there is only one annuitant, then the secondary annuitant should be blank. The Withdrawal Table of ages, by payment option and number of annuitants. The age should be 75 instead of 65 like the base case</t>
  </si>
  <si>
    <t>This handles the age of 75 which is the towards upper bound of the withdrawal table.</t>
  </si>
  <si>
    <t>When the MAWP is reduced by 2.25% and PIP percentage is reduced by 1% then the maximum allowable withdrawal decreases then the allowable withdraw is too high and creates the policy to take excess withdrawals. This will penalize the policy and cause them to get less of payout. The percentage going down will be the future benefits will be decreased. This means the sum of withdrawals benefits and future benefits will decrease as a result</t>
  </si>
  <si>
    <t>This should look up the withdrawal rate from the WDAge tab. It should change the MAW from 6.25% to 4% and the PIP percent for 4% to 3%</t>
  </si>
  <si>
    <t>The Secondary Birthdate and Gender must be blank. If there is only one annuitant, then the secondary annuitant should be blank. The Withdrawal Table of ages, by payment option and number of annuitants. The age should be 55 instead of 65 like the base case</t>
  </si>
  <si>
    <t>This handles the age of 55 which is the towards lower bound of the withdrawal table.</t>
  </si>
  <si>
    <t>See Test Cases Tab</t>
  </si>
  <si>
    <t>The Secondary Birthdate and Gender must be blank. If there is only one annuitant, then the secondary annuitant should be blank. The Withdrawal Table of ages, by payment option and number of annuitants. The age should be 45 instead of 65 like the base case</t>
  </si>
  <si>
    <t>This handles the age of 45 which is the lower bound of the withdrawal table.</t>
  </si>
  <si>
    <t>Explained in Appendix D</t>
  </si>
  <si>
    <t>This should exactly match Appendix D</t>
  </si>
  <si>
    <t>The Secondary Birthdate and Gender must be blank. If there is only one annuitant, then the secondary annuitant should be blank. The input values should match appendix D</t>
  </si>
  <si>
    <t>This is the base case described in the prospectus.</t>
  </si>
  <si>
    <t>Differences</t>
  </si>
  <si>
    <t>Expect Result</t>
  </si>
  <si>
    <t>Actual Result</t>
  </si>
  <si>
    <t>Post Condition \ Reason For Difference</t>
  </si>
  <si>
    <t>Test Data</t>
  </si>
  <si>
    <t>Test Step</t>
  </si>
  <si>
    <t>Pre-Condition</t>
  </si>
  <si>
    <t>Test Case</t>
  </si>
  <si>
    <t>Sum of Diff</t>
  </si>
  <si>
    <t>New Columns added to Calculation Table</t>
  </si>
  <si>
    <t>Primary Annuitant t Px</t>
  </si>
  <si>
    <t>Secondary Annuitant t Py</t>
  </si>
  <si>
    <t>Qx table information</t>
  </si>
  <si>
    <t>The Qx table provides information on expected survival times for individuals or couples. It can help an annuitant decide when to withdrawal and when to hold off. You can adjust the age in the table to give yourself an idea on the probabilities a couple will live to a certain age. You can figure out what best works for you and your specific situation.</t>
  </si>
  <si>
    <t>Reserve Actual</t>
  </si>
  <si>
    <t>Reserve Expected</t>
  </si>
  <si>
    <t>Reserve Difference</t>
  </si>
  <si>
    <t>Post Condition\ Reason for Difference (Reserve)</t>
  </si>
  <si>
    <t>When beginning at age 45 a person has plenty of time to live before they die. One might expect them to get eager and withdraw earlier in their life than those who being a plan later on. An affect of running the contract out is begenning PIP early on which can add up the longer that annuitant stays alive. It is 4% for someone who is alone on plan I.</t>
  </si>
  <si>
    <t>When beginning at age 55 a person has plenty of time to live before they die. One might expect them to get eager and withdraw earlier in their life than those who being a plan later on. An affect of running the contract out is begenning PIP early on which can add up the longer that annuitant stays alive. It is 4% for someone who is alone on plan I.</t>
  </si>
  <si>
    <t>Someone who begins the plan at age 75 is probably pushing the limit on time for the plan but also by doing so they can create a large PIP. This money will add up with the possibility of the annuitant living for a long time.</t>
  </si>
  <si>
    <t>Someone who begins the plan at age 85 is probably pushing the limit on time for the plan but also by doing so they can create a large PIP. This money will add up with the possibility of the annuitant living for a long time.</t>
  </si>
  <si>
    <t>When withdrawals beging only 1.5 years after the initial date the contract value can run out faster than if the annuitant waited to do so. One result is faster PIP. This allows the sum of the PIP to accumulate and grow into a large number.</t>
  </si>
  <si>
    <t>When withdrawals beging only 2.5 years after the initial date the contract value can run out faster than if the annuitant waited to do so. One result is faster PIP. This allows the sum of the PIP to accumulate and grow into a large number.</t>
  </si>
  <si>
    <t>When withdrawals beging only 3.5 years after the initial date the contract value can run out faster than if the annuitant waited to do so. One result is faster PIP. This allows the sum of the PIP to accumulate and grow into a large number.</t>
  </si>
  <si>
    <t>Withdrawing after 5.5 years gives the annuitant time to build up an income base to increase their PIP. A risk is waiting to long to build it up being balanced with taking out too much money too early.</t>
  </si>
  <si>
    <t>An annuitant who waits 6.5 years is beggning to push the time they should wait to begin taking out withdrawals. They are losing the balance of time vs the value of waiting to build up more money for an income base. They have less time to collect PIP resulting in a lower number than if they had begun to withdraw sooner.</t>
  </si>
  <si>
    <t>An annuitant who waits 7.5 years is beggning to push the time they should wait to begin taking out withdrawals. They are losing the balance of time vs the value of waiting to build up more money for an income base. They have less time to collect PIP resulting in a lower number than if they had begun to withdraw sooner.</t>
  </si>
  <si>
    <t>When two annuitants of different ages decide to begin their withdrawals the age difference can come into play. How much they will get usually plays off the age of the younger annuitant. They likely had more money to begin with and waited together so they both could benefit from payments. This can result in a late PIP which won't have too pay out as long in other scenarios.</t>
  </si>
  <si>
    <t>A benefit of having two different annuitants is they have more resources to add to the pot at the start. This can lead to more money coming in down the road. They can build a base quickly and drive up the value of their PIP. By doing so they can end up reaping more from the results later on.</t>
  </si>
  <si>
    <t>Turn On Fees</t>
  </si>
  <si>
    <t>Timing</t>
  </si>
  <si>
    <t>Goldman Sachs VIT Government Money Market Fund</t>
  </si>
  <si>
    <t>PIMCO Total Return</t>
  </si>
  <si>
    <t>SA BlackRock VCP Global Multi Asset*</t>
  </si>
  <si>
    <t>SA DFA Ultra Short Bond</t>
  </si>
  <si>
    <t>SA Federated Hermes Corporate Bond</t>
  </si>
  <si>
    <t>SA Fixed Income Index</t>
  </si>
  <si>
    <t>SA Fixed Income Intermediate Index</t>
  </si>
  <si>
    <t>SA Goldman Sachs Global Bond</t>
  </si>
  <si>
    <t>SA Invesco VCP Equity-Income*</t>
  </si>
  <si>
    <t>SA JPMorgan MFS Core Bond</t>
  </si>
  <si>
    <t>SA PIMCO VCP Tactical Balanced*</t>
  </si>
  <si>
    <t>SA Schroders VCP Global Allocation*</t>
  </si>
  <si>
    <t>SA American Funds VCP Managed Allocation*</t>
  </si>
  <si>
    <t>SA T. Rowe Price VCP Balanced*</t>
  </si>
  <si>
    <t>SA VCP Dynamic Allocation</t>
  </si>
  <si>
    <t>SA VCP Dynamic Strategy</t>
  </si>
  <si>
    <t>SA VCP Index Allocation</t>
  </si>
  <si>
    <t>SA Wellington Government and Quality Bond</t>
  </si>
  <si>
    <t>SA Wellington Real Return</t>
  </si>
  <si>
    <t>Elevated Income %</t>
  </si>
  <si>
    <t>Turn on Fees</t>
  </si>
  <si>
    <t>Contract Maintenance Fee</t>
  </si>
  <si>
    <t>Separate Account Charge</t>
  </si>
  <si>
    <t>Beggingi of Period</t>
  </si>
  <si>
    <t>Middle of Period</t>
  </si>
  <si>
    <t>Appendix D Table</t>
  </si>
  <si>
    <t>End of Period</t>
  </si>
  <si>
    <t>Maintenace Fee</t>
  </si>
  <si>
    <t>Rider Fee</t>
  </si>
  <si>
    <t>Total Fee</t>
  </si>
  <si>
    <t>Time Step Frequency</t>
  </si>
  <si>
    <t>The time steps were changed from happening semi-annually to happening quarterly. This is to later help account for the changes in fees that will be added to the model. By doing so this gives us the flexibility necessary to add the changes. We adjusted some of our formulas for given values. We used the vlookup function as well as the right function to fill out the table properly. The payment purchases for example needed the right function to insert 0s into quarterly dates where there were not purchase payments. Also when values needed to match those previous on quarter dates for Assumed Contract Value.</t>
  </si>
  <si>
    <t>Total Revenue</t>
  </si>
  <si>
    <t>A total revenue tab was added to the controls. We have this calculated as the sum of the payments issued to the annuitant. It is the same number that can also be found above the table on the calculations tab.</t>
  </si>
  <si>
    <t>We added three fews, as of now two are active plus a column for the total payement of fees. The maintenance fee is only paid when the contract value is under $75000. This is a fee of $50 paid on the anniversery date. The Seperate Account Fee for our purposes will be calculated quarterly. Thus we take the charge of 1.15% and divide it by four because of the way it is being applied. The Rider fee will be added later. The total fee is simply all these columns added together.</t>
  </si>
  <si>
    <t xml:space="preserve">Number of Covered Persons      </t>
  </si>
  <si>
    <t xml:space="preserve">Initial Annual Fee Rate    </t>
  </si>
  <si>
    <t xml:space="preserve">Maximum Annual Fee Rate     </t>
  </si>
  <si>
    <t xml:space="preserve">Minimum Annual Fee Rate     </t>
  </si>
  <si>
    <t>Maximum Annualized Fee Rate Decrease or Increase Each Benefit Quarter*</t>
  </si>
  <si>
    <t>Lifetime Income Option Change Fee*</t>
  </si>
  <si>
    <t>One Covered Person</t>
  </si>
  <si>
    <t>Two Covered Persons</t>
  </si>
  <si>
    <t>SPX</t>
  </si>
  <si>
    <t>MID</t>
  </si>
  <si>
    <t>RTY</t>
  </si>
  <si>
    <t>EFA</t>
  </si>
  <si>
    <t>AGG</t>
  </si>
  <si>
    <t>INTERSECTION</t>
  </si>
  <si>
    <t>MIN</t>
  </si>
  <si>
    <t>MAX</t>
  </si>
  <si>
    <t>Start Row</t>
  </si>
  <si>
    <t>Dates</t>
  </si>
  <si>
    <t>null</t>
  </si>
  <si>
    <t>Initial Annual Fee Rate</t>
  </si>
  <si>
    <t>Maximum Annual Fee Rate</t>
  </si>
  <si>
    <t>Minimum Annual Fee Rate</t>
  </si>
  <si>
    <t>MinVixDate</t>
  </si>
  <si>
    <t>MaxVixDate</t>
  </si>
  <si>
    <t>VixModulus</t>
  </si>
  <si>
    <t>StartingVixQuarter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</si>
</sst>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1" formatCode="_(* #,##0_);_(* \(#,##0\);_(* &quot;-&quot;_);_(@_)"/>
    <numFmt numFmtId="43" formatCode="_(* #,##0.00_);_(* \(#,##0.00\);_(* &quot;-&quot;??_);_(@_)"/>
    <numFmt numFmtId="164" formatCode="_(* #,##0_);_(* \(#,##0\);_(* &quot;-&quot;??_);_(@_)"/>
    <numFmt numFmtId="165" formatCode="0.0000"/>
    <numFmt numFmtId="166" formatCode="_(* #,##0.000_);_(* \(#,##0.000\);_(* &quot;-&quot;??_);_(@_)"/>
    <numFmt numFmtId="167" formatCode="_(* #,##0.0000_);_(* \(#,##0.0000\);_(* &quot;-&quot;??_);_(@_)"/>
    <numFmt numFmtId="168" formatCode="0.000"/>
    <numFmt numFmtId="169" formatCode="_(* #,##0.0_);_(* \(#,##0.0\);_(* &quot;-&quot;??_);_(@_)"/>
    <numFmt numFmtId="170" formatCode="_(* #,##0.00_);_(* \(#,##0.00\);_(* &quot;-&quot;_);_(@_)"/>
    <numFmt numFmtId="171" formatCode="_(* #,##0_);_(* \(#,##0\);_(* &quot;-&quot;?????_);_(@_)"/>
  </numFmts>
  <fonts count="30" x14ac:knownFonts="1">
    <font>
      <sz val="11"/>
      <color theme="1"/>
      <name val="Calibri"/>
      <family val="2"/>
      <scheme val="minor"/>
    </font>
    <font>
      <sz val="11"/>
      <color theme="1"/>
      <name val="Calibri"/>
      <family val="2"/>
      <scheme val="minor"/>
    </font>
    <font>
      <b/>
      <sz val="11"/>
      <color theme="1"/>
      <name val="Calibri"/>
      <family val="2"/>
      <scheme val="minor"/>
    </font>
    <font>
      <sz val="10"/>
      <color rgb="FF181717"/>
      <name val="Times New Roman"/>
      <family val="1"/>
    </font>
    <font>
      <sz val="14"/>
      <color theme="1"/>
      <name val="Calibri"/>
      <family val="2"/>
      <scheme val="minor"/>
    </font>
    <font>
      <sz val="11"/>
      <name val="Calibri"/>
      <family val="2"/>
      <scheme val="minor"/>
    </font>
    <font>
      <sz val="11"/>
      <color rgb="FF181717"/>
      <name val="Calibri"/>
      <family val="2"/>
      <scheme val="minor"/>
    </font>
    <font>
      <sz val="24"/>
      <color theme="1"/>
      <name val="Calibri"/>
      <family val="2"/>
      <scheme val="minor"/>
    </font>
    <font>
      <b/>
      <sz val="14"/>
      <color theme="1"/>
      <name val="Calibri"/>
      <family val="2"/>
      <scheme val="minor"/>
    </font>
    <font>
      <sz val="11"/>
      <color theme="2"/>
      <name val="Calibri"/>
      <family val="2"/>
      <scheme val="minor"/>
    </font>
    <font>
      <sz val="10"/>
      <color rgb="FF000000"/>
      <name val="Times New Roman"/>
      <family val="1"/>
    </font>
    <font>
      <b/>
      <sz val="10"/>
      <color rgb="FF000000"/>
      <name val="Times New Roman"/>
      <family val="1"/>
    </font>
    <font>
      <sz val="8.5"/>
      <color rgb="FF000000"/>
      <name val="Times New Roman"/>
      <family val="1"/>
    </font>
    <font>
      <sz val="7"/>
      <color rgb="FF000000"/>
      <name val="Times New Roman"/>
      <family val="1"/>
    </font>
    <font>
      <vertAlign val="superscript"/>
      <sz val="8.5"/>
      <color rgb="FF000000"/>
      <name val="Times New Roman"/>
      <family val="1"/>
    </font>
    <font>
      <sz val="9.5"/>
      <color rgb="FF000000"/>
      <name val="Times New Roman"/>
      <family val="1"/>
    </font>
    <font>
      <b/>
      <sz val="9"/>
      <color rgb="FF000000"/>
      <name val="Times New Roman"/>
      <family val="1"/>
    </font>
    <font>
      <b/>
      <sz val="10"/>
      <color rgb="FF181717"/>
      <name val="Times New Roman"/>
      <family val="1"/>
    </font>
    <font>
      <b/>
      <vertAlign val="superscript"/>
      <sz val="9"/>
      <color rgb="FF000000"/>
      <name val="Times New Roman"/>
      <family val="1"/>
    </font>
    <font>
      <sz val="7.5"/>
      <color rgb="FF000000"/>
      <name val="Times New Roman"/>
      <family val="1"/>
    </font>
    <font>
      <b/>
      <u/>
      <sz val="10"/>
      <color rgb="FF000000"/>
      <name val="Times New Roman"/>
      <family val="1"/>
    </font>
    <font>
      <sz val="18"/>
      <color theme="1"/>
      <name val="Calibri"/>
      <family val="2"/>
      <scheme val="minor"/>
    </font>
    <font>
      <b/>
      <sz val="12"/>
      <color theme="1"/>
      <name val="Calibri"/>
      <family val="2"/>
      <scheme val="minor"/>
    </font>
    <font>
      <b/>
      <sz val="16"/>
      <color theme="1"/>
      <name val="Calibri"/>
      <family val="2"/>
      <scheme val="minor"/>
    </font>
    <font>
      <sz val="8"/>
      <name val="Calibri"/>
      <family val="2"/>
      <scheme val="minor"/>
    </font>
    <font>
      <b/>
      <sz val="11"/>
      <name val="Calibri"/>
      <family val="2"/>
      <scheme val="minor"/>
    </font>
    <font>
      <b/>
      <sz val="9"/>
      <color rgb="FF181717"/>
      <name val="Times New Roman"/>
      <family val="1"/>
    </font>
    <font>
      <sz val="9"/>
      <color rgb="FF181717"/>
      <name val="Times New Roman"/>
      <family val="1"/>
    </font>
    <font>
      <sz val="9"/>
      <color rgb="FF181717"/>
      <name val="Segoe UI Symbol"/>
      <family val="2"/>
    </font>
    <font>
      <sz val="11"/>
      <color theme="0" tint="-0.14999847407452621"/>
      <name val="Calibri"/>
      <family val="2"/>
      <scheme val="minor"/>
    </font>
  </fonts>
  <fills count="21">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7"/>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theme="2"/>
        <bgColor indexed="64"/>
      </patternFill>
    </fill>
    <fill>
      <patternFill patternType="solid">
        <fgColor theme="0" tint="-0.249977111117893"/>
        <bgColor indexed="64"/>
      </patternFill>
    </fill>
    <fill>
      <patternFill patternType="solid">
        <fgColor theme="5" tint="0.39997558519241921"/>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bottom style="medium">
        <color rgb="FF000000"/>
      </bottom>
      <diagonal/>
    </border>
    <border>
      <left style="medium">
        <color rgb="FF000000"/>
      </left>
      <right/>
      <top/>
      <bottom style="medium">
        <color rgb="FF000000"/>
      </bottom>
      <diagonal/>
    </border>
    <border>
      <left style="medium">
        <color indexed="64"/>
      </left>
      <right style="medium">
        <color rgb="FF000000"/>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right style="medium">
        <color indexed="64"/>
      </right>
      <top/>
      <bottom style="medium">
        <color rgb="FF000000"/>
      </bottom>
      <diagonal/>
    </border>
    <border>
      <left style="medium">
        <color indexed="64"/>
      </left>
      <right style="medium">
        <color rgb="FF000000"/>
      </right>
      <top/>
      <bottom style="medium">
        <color indexed="64"/>
      </bottom>
      <diagonal/>
    </border>
    <border>
      <left/>
      <right style="medium">
        <color indexed="64"/>
      </right>
      <top/>
      <bottom style="medium">
        <color indexed="64"/>
      </bottom>
      <diagonal/>
    </border>
    <border>
      <left style="thin">
        <color indexed="64"/>
      </left>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medium">
        <color indexed="64"/>
      </left>
      <right/>
      <top style="thin">
        <color theme="9" tint="0.39997558519241921"/>
      </top>
      <bottom style="thin">
        <color theme="9" tint="0.39997558519241921"/>
      </bottom>
      <diagonal/>
    </border>
    <border>
      <left style="medium">
        <color indexed="64"/>
      </left>
      <right/>
      <top style="thin">
        <color theme="9" tint="0.39997558519241921"/>
      </top>
      <bottom style="medium">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thin">
        <color theme="4" tint="0.39997558519241921"/>
      </bottom>
      <diagonal/>
    </border>
    <border>
      <left style="medium">
        <color rgb="FF181717"/>
      </left>
      <right style="medium">
        <color rgb="FF181717"/>
      </right>
      <top/>
      <bottom style="medium">
        <color rgb="FF181717"/>
      </bottom>
      <diagonal/>
    </border>
    <border>
      <left/>
      <right style="medium">
        <color rgb="FF181717"/>
      </right>
      <top/>
      <bottom style="medium">
        <color rgb="FF181717"/>
      </bottom>
      <diagonal/>
    </border>
    <border>
      <left style="medium">
        <color rgb="FF181717"/>
      </left>
      <right style="medium">
        <color rgb="FF181717"/>
      </right>
      <top style="medium">
        <color rgb="FF181717"/>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172">
    <xf numFmtId="0" fontId="0" fillId="0" borderId="0" xfId="0"/>
    <xf numFmtId="10" fontId="0" fillId="0" borderId="0" xfId="0" applyNumberFormat="1"/>
    <xf numFmtId="43" fontId="0" fillId="0" borderId="0" xfId="1" applyFont="1" applyFill="1" applyBorder="1"/>
    <xf numFmtId="0" fontId="0" fillId="0" borderId="0" xfId="0" applyAlignment="1">
      <alignment wrapText="1"/>
    </xf>
    <xf numFmtId="164" fontId="0" fillId="0" borderId="0" xfId="1" applyNumberFormat="1" applyFont="1"/>
    <xf numFmtId="164" fontId="0" fillId="0" borderId="1" xfId="1" applyNumberFormat="1" applyFont="1" applyBorder="1"/>
    <xf numFmtId="164" fontId="0" fillId="0" borderId="0" xfId="0" applyNumberFormat="1"/>
    <xf numFmtId="164" fontId="0" fillId="0" borderId="1" xfId="0" applyNumberFormat="1" applyBorder="1"/>
    <xf numFmtId="43" fontId="0" fillId="0" borderId="1" xfId="1" applyFont="1" applyBorder="1"/>
    <xf numFmtId="43" fontId="0" fillId="0" borderId="0" xfId="1" applyFont="1" applyBorder="1"/>
    <xf numFmtId="164" fontId="3" fillId="0" borderId="1" xfId="1" applyNumberFormat="1" applyFont="1" applyBorder="1" applyAlignment="1">
      <alignment horizontal="center" vertical="center" wrapText="1"/>
    </xf>
    <xf numFmtId="164" fontId="3" fillId="0" borderId="1" xfId="1" applyNumberFormat="1" applyFont="1" applyBorder="1" applyAlignment="1">
      <alignment horizontal="right" vertical="center" wrapText="1"/>
    </xf>
    <xf numFmtId="164" fontId="0" fillId="0" borderId="1" xfId="1" applyNumberFormat="1" applyFont="1" applyBorder="1" applyAlignment="1">
      <alignment horizontal="right"/>
    </xf>
    <xf numFmtId="164" fontId="0" fillId="0" borderId="3" xfId="1" applyNumberFormat="1" applyFont="1" applyBorder="1"/>
    <xf numFmtId="164" fontId="3" fillId="0" borderId="5" xfId="1" applyNumberFormat="1" applyFont="1" applyBorder="1" applyAlignment="1">
      <alignment horizontal="center" vertical="center" wrapText="1"/>
    </xf>
    <xf numFmtId="164" fontId="0" fillId="0" borderId="5" xfId="1" applyNumberFormat="1" applyFont="1" applyBorder="1"/>
    <xf numFmtId="164" fontId="0" fillId="0" borderId="5" xfId="1" applyNumberFormat="1" applyFont="1" applyBorder="1" applyAlignment="1">
      <alignment horizontal="right"/>
    </xf>
    <xf numFmtId="164" fontId="3" fillId="0" borderId="4" xfId="1" applyNumberFormat="1" applyFont="1" applyBorder="1" applyAlignment="1">
      <alignment horizontal="center" vertical="center" wrapText="1"/>
    </xf>
    <xf numFmtId="0" fontId="2" fillId="2" borderId="6" xfId="0" applyFont="1" applyFill="1" applyBorder="1" applyAlignment="1">
      <alignment wrapText="1"/>
    </xf>
    <xf numFmtId="0" fontId="2" fillId="2" borderId="7" xfId="0" applyFont="1" applyFill="1" applyBorder="1" applyAlignment="1">
      <alignment wrapText="1"/>
    </xf>
    <xf numFmtId="164" fontId="0" fillId="3" borderId="1" xfId="0" applyNumberFormat="1" applyFill="1" applyBorder="1"/>
    <xf numFmtId="0" fontId="0" fillId="3" borderId="8" xfId="0" applyFill="1" applyBorder="1"/>
    <xf numFmtId="164" fontId="3" fillId="3" borderId="1" xfId="1" applyNumberFormat="1" applyFont="1" applyFill="1" applyBorder="1" applyAlignment="1">
      <alignment horizontal="center" vertical="center" wrapText="1"/>
    </xf>
    <xf numFmtId="0" fontId="0" fillId="3" borderId="9" xfId="0" applyFill="1" applyBorder="1"/>
    <xf numFmtId="164" fontId="3" fillId="3" borderId="5" xfId="1" applyNumberFormat="1" applyFont="1" applyFill="1" applyBorder="1" applyAlignment="1">
      <alignment horizontal="center" vertical="center" wrapText="1"/>
    </xf>
    <xf numFmtId="0" fontId="2" fillId="0" borderId="0" xfId="0" applyFont="1"/>
    <xf numFmtId="0" fontId="4" fillId="0" borderId="0" xfId="0" applyFont="1"/>
    <xf numFmtId="0" fontId="0" fillId="0" borderId="1" xfId="0" applyBorder="1"/>
    <xf numFmtId="0" fontId="2" fillId="2" borderId="2" xfId="0" applyFont="1" applyFill="1" applyBorder="1" applyAlignment="1">
      <alignment wrapText="1"/>
    </xf>
    <xf numFmtId="0" fontId="0" fillId="0" borderId="12" xfId="0" applyBorder="1"/>
    <xf numFmtId="0" fontId="2" fillId="2" borderId="14" xfId="0" applyFont="1" applyFill="1" applyBorder="1"/>
    <xf numFmtId="0" fontId="2" fillId="2" borderId="15" xfId="0" applyFont="1" applyFill="1" applyBorder="1" applyAlignment="1">
      <alignment wrapText="1"/>
    </xf>
    <xf numFmtId="164" fontId="0" fillId="0" borderId="17" xfId="0" applyNumberFormat="1" applyBorder="1"/>
    <xf numFmtId="0" fontId="2" fillId="2" borderId="14" xfId="0" applyFont="1" applyFill="1" applyBorder="1" applyAlignment="1">
      <alignment horizontal="center"/>
    </xf>
    <xf numFmtId="43" fontId="3" fillId="0" borderId="1" xfId="1" applyFont="1" applyFill="1" applyBorder="1" applyAlignment="1">
      <alignment horizontal="center" vertical="center" wrapText="1"/>
    </xf>
    <xf numFmtId="164" fontId="0" fillId="0" borderId="15" xfId="0" applyNumberFormat="1" applyBorder="1"/>
    <xf numFmtId="0" fontId="5" fillId="0" borderId="0" xfId="0" applyFont="1" applyAlignment="1">
      <alignment wrapText="1"/>
    </xf>
    <xf numFmtId="43" fontId="2" fillId="2" borderId="1" xfId="1" applyFont="1" applyFill="1" applyBorder="1" applyAlignment="1">
      <alignment wrapText="1"/>
    </xf>
    <xf numFmtId="43" fontId="1" fillId="3" borderId="1" xfId="1" applyFont="1" applyFill="1" applyBorder="1" applyAlignment="1">
      <alignment horizontal="left" wrapText="1"/>
    </xf>
    <xf numFmtId="43" fontId="6" fillId="3" borderId="1" xfId="1" applyFont="1" applyFill="1" applyBorder="1" applyAlignment="1">
      <alignment horizontal="left" vertical="center" wrapText="1"/>
    </xf>
    <xf numFmtId="43" fontId="1" fillId="3" borderId="1" xfId="1" applyFont="1" applyFill="1" applyBorder="1" applyAlignment="1">
      <alignment horizontal="left"/>
    </xf>
    <xf numFmtId="165" fontId="0" fillId="0" borderId="1" xfId="0" applyNumberFormat="1" applyBorder="1"/>
    <xf numFmtId="166" fontId="3" fillId="0" borderId="1" xfId="1" applyNumberFormat="1" applyFont="1" applyFill="1" applyBorder="1" applyAlignment="1">
      <alignment horizontal="center" vertical="center" wrapText="1"/>
    </xf>
    <xf numFmtId="14" fontId="0" fillId="0" borderId="0" xfId="0" applyNumberFormat="1"/>
    <xf numFmtId="2" fontId="0" fillId="0" borderId="0" xfId="0" applyNumberFormat="1"/>
    <xf numFmtId="0" fontId="8" fillId="2" borderId="0" xfId="0" applyFont="1" applyFill="1" applyProtection="1">
      <protection hidden="1"/>
    </xf>
    <xf numFmtId="0" fontId="9" fillId="0" borderId="0" xfId="0" applyFont="1"/>
    <xf numFmtId="0" fontId="2" fillId="5" borderId="0" xfId="0" applyFont="1" applyFill="1" applyProtection="1">
      <protection hidden="1"/>
    </xf>
    <xf numFmtId="8" fontId="2" fillId="5" borderId="0" xfId="0" applyNumberFormat="1" applyFont="1" applyFill="1" applyProtection="1">
      <protection hidden="1"/>
    </xf>
    <xf numFmtId="0" fontId="10" fillId="0" borderId="0" xfId="0" applyFont="1" applyAlignment="1">
      <alignment horizontal="center" vertical="center"/>
    </xf>
    <xf numFmtId="0" fontId="11" fillId="0" borderId="0" xfId="0" applyFont="1" applyAlignment="1">
      <alignment vertical="center"/>
    </xf>
    <xf numFmtId="0" fontId="12" fillId="0" borderId="0" xfId="0" applyFont="1" applyAlignment="1">
      <alignment horizontal="left" vertical="center" indent="2"/>
    </xf>
    <xf numFmtId="167" fontId="15" fillId="8" borderId="18" xfId="1" applyNumberFormat="1" applyFont="1" applyFill="1" applyBorder="1" applyAlignment="1">
      <alignment horizontal="center" vertical="center" wrapText="1"/>
    </xf>
    <xf numFmtId="0" fontId="15" fillId="0" borderId="19" xfId="0" applyFont="1" applyBorder="1" applyAlignment="1">
      <alignment vertical="center" wrapText="1"/>
    </xf>
    <xf numFmtId="167" fontId="15" fillId="9" borderId="18" xfId="1" applyNumberFormat="1" applyFont="1" applyFill="1" applyBorder="1" applyAlignment="1">
      <alignment horizontal="center" vertical="center" wrapText="1"/>
    </xf>
    <xf numFmtId="0" fontId="16" fillId="0" borderId="18" xfId="0" applyFont="1" applyBorder="1" applyAlignment="1">
      <alignment horizontal="center" vertical="center" wrapText="1"/>
    </xf>
    <xf numFmtId="0" fontId="16" fillId="0" borderId="20" xfId="0" applyFont="1" applyBorder="1" applyAlignment="1">
      <alignment horizontal="center" vertical="center" wrapText="1"/>
    </xf>
    <xf numFmtId="0" fontId="16" fillId="0" borderId="20" xfId="0" applyFont="1" applyBorder="1" applyAlignment="1">
      <alignment vertical="center" wrapText="1"/>
    </xf>
    <xf numFmtId="0" fontId="16" fillId="0" borderId="24" xfId="0" applyFont="1" applyBorder="1" applyAlignment="1">
      <alignment horizontal="center" vertical="center" wrapText="1"/>
    </xf>
    <xf numFmtId="167" fontId="0" fillId="0" borderId="0" xfId="0" applyNumberFormat="1"/>
    <xf numFmtId="167" fontId="0" fillId="7" borderId="0" xfId="1" applyNumberFormat="1" applyFont="1" applyFill="1"/>
    <xf numFmtId="167" fontId="15" fillId="10" borderId="18" xfId="1" applyNumberFormat="1" applyFont="1" applyFill="1" applyBorder="1" applyAlignment="1">
      <alignment horizontal="center" vertical="center" wrapText="1"/>
    </xf>
    <xf numFmtId="167" fontId="15" fillId="4" borderId="18" xfId="1" applyNumberFormat="1" applyFont="1" applyFill="1" applyBorder="1" applyAlignment="1">
      <alignment horizontal="center" vertical="center" wrapText="1"/>
    </xf>
    <xf numFmtId="167" fontId="15" fillId="11" borderId="18" xfId="1" applyNumberFormat="1" applyFont="1" applyFill="1" applyBorder="1" applyAlignment="1">
      <alignment horizontal="center" vertical="center" wrapText="1"/>
    </xf>
    <xf numFmtId="167" fontId="15" fillId="12" borderId="18" xfId="1" applyNumberFormat="1" applyFont="1" applyFill="1" applyBorder="1" applyAlignment="1">
      <alignment horizontal="center" vertical="center" wrapText="1"/>
    </xf>
    <xf numFmtId="0" fontId="15" fillId="0" borderId="27" xfId="0" applyFont="1" applyBorder="1" applyAlignment="1">
      <alignment vertical="center" wrapText="1"/>
    </xf>
    <xf numFmtId="0" fontId="17" fillId="0" borderId="20" xfId="0" applyFont="1" applyBorder="1" applyAlignment="1">
      <alignment vertical="center" wrapText="1"/>
    </xf>
    <xf numFmtId="0" fontId="15" fillId="13" borderId="28" xfId="0" applyFont="1" applyFill="1" applyBorder="1" applyAlignment="1">
      <alignment vertical="center" wrapText="1"/>
    </xf>
    <xf numFmtId="0" fontId="15" fillId="13" borderId="29" xfId="0" applyFont="1" applyFill="1" applyBorder="1" applyAlignment="1">
      <alignment vertical="center" wrapText="1"/>
    </xf>
    <xf numFmtId="0" fontId="15" fillId="13" borderId="30" xfId="0" applyFont="1" applyFill="1" applyBorder="1" applyAlignment="1">
      <alignment vertical="center" wrapText="1"/>
    </xf>
    <xf numFmtId="0" fontId="15" fillId="13" borderId="31" xfId="0" applyFont="1" applyFill="1" applyBorder="1" applyAlignment="1">
      <alignment vertical="center" wrapText="1"/>
    </xf>
    <xf numFmtId="0" fontId="15" fillId="13" borderId="32" xfId="0" applyFont="1" applyFill="1" applyBorder="1" applyAlignment="1">
      <alignment vertical="center" wrapText="1"/>
    </xf>
    <xf numFmtId="0" fontId="15" fillId="13" borderId="33" xfId="0" applyFont="1" applyFill="1" applyBorder="1" applyAlignment="1">
      <alignment vertical="center" wrapText="1"/>
    </xf>
    <xf numFmtId="0" fontId="15" fillId="14" borderId="18" xfId="0" applyFont="1" applyFill="1" applyBorder="1" applyAlignment="1">
      <alignment vertical="center" wrapText="1"/>
    </xf>
    <xf numFmtId="43" fontId="0" fillId="0" borderId="0" xfId="1" applyFont="1"/>
    <xf numFmtId="0" fontId="2" fillId="15" borderId="1" xfId="0" applyFont="1" applyFill="1" applyBorder="1" applyAlignment="1" applyProtection="1">
      <alignment horizontal="center"/>
      <protection hidden="1"/>
    </xf>
    <xf numFmtId="43" fontId="0" fillId="0" borderId="0" xfId="0" applyNumberFormat="1"/>
    <xf numFmtId="168" fontId="0" fillId="0" borderId="0" xfId="0" applyNumberFormat="1"/>
    <xf numFmtId="0" fontId="2" fillId="0" borderId="0" xfId="0" applyFont="1" applyProtection="1">
      <protection hidden="1"/>
    </xf>
    <xf numFmtId="0" fontId="22" fillId="0" borderId="33" xfId="0" applyFont="1" applyBorder="1"/>
    <xf numFmtId="0" fontId="22" fillId="0" borderId="35" xfId="0" applyFont="1" applyBorder="1"/>
    <xf numFmtId="0" fontId="22" fillId="0" borderId="36" xfId="0" applyFont="1" applyBorder="1"/>
    <xf numFmtId="0" fontId="22" fillId="0" borderId="37" xfId="0" applyFont="1" applyBorder="1"/>
    <xf numFmtId="0" fontId="22" fillId="0" borderId="0" xfId="0" applyFont="1"/>
    <xf numFmtId="0" fontId="22" fillId="0" borderId="38" xfId="0" applyFont="1" applyBorder="1"/>
    <xf numFmtId="0" fontId="22" fillId="0" borderId="39" xfId="0" applyFont="1" applyBorder="1"/>
    <xf numFmtId="0" fontId="22" fillId="0" borderId="40" xfId="0" applyFont="1" applyBorder="1"/>
    <xf numFmtId="0" fontId="22" fillId="0" borderId="41" xfId="0" applyFont="1" applyBorder="1"/>
    <xf numFmtId="0" fontId="2" fillId="8" borderId="15" xfId="0" applyFont="1" applyFill="1" applyBorder="1" applyAlignment="1">
      <alignment wrapText="1"/>
    </xf>
    <xf numFmtId="0" fontId="2" fillId="8" borderId="16" xfId="0" applyFont="1" applyFill="1" applyBorder="1" applyAlignment="1">
      <alignment wrapText="1"/>
    </xf>
    <xf numFmtId="43" fontId="0" fillId="0" borderId="1" xfId="1" applyFont="1" applyFill="1" applyBorder="1"/>
    <xf numFmtId="167" fontId="0" fillId="0" borderId="1" xfId="1" applyNumberFormat="1" applyFont="1" applyFill="1" applyBorder="1"/>
    <xf numFmtId="41" fontId="0" fillId="0" borderId="1" xfId="1" applyNumberFormat="1" applyFont="1" applyBorder="1"/>
    <xf numFmtId="41" fontId="0" fillId="0" borderId="1" xfId="1" applyNumberFormat="1" applyFont="1" applyFill="1" applyBorder="1"/>
    <xf numFmtId="0" fontId="2" fillId="0" borderId="1" xfId="0" applyFont="1" applyBorder="1" applyAlignment="1">
      <alignment wrapText="1"/>
    </xf>
    <xf numFmtId="170" fontId="0" fillId="0" borderId="13" xfId="1" applyNumberFormat="1" applyFont="1" applyBorder="1"/>
    <xf numFmtId="169" fontId="0" fillId="3" borderId="1" xfId="0" applyNumberFormat="1" applyFill="1" applyBorder="1"/>
    <xf numFmtId="8" fontId="0" fillId="0" borderId="1" xfId="1" applyNumberFormat="1" applyFont="1" applyFill="1" applyBorder="1"/>
    <xf numFmtId="8" fontId="0" fillId="0" borderId="15" xfId="1" applyNumberFormat="1" applyFont="1" applyFill="1" applyBorder="1"/>
    <xf numFmtId="8" fontId="0" fillId="0" borderId="1" xfId="0" applyNumberFormat="1" applyBorder="1"/>
    <xf numFmtId="8" fontId="0" fillId="0" borderId="17" xfId="0" applyNumberFormat="1" applyBorder="1"/>
    <xf numFmtId="0" fontId="0" fillId="6" borderId="1" xfId="0" applyFill="1" applyBorder="1"/>
    <xf numFmtId="0" fontId="2" fillId="3" borderId="0" xfId="0" applyFont="1" applyFill="1"/>
    <xf numFmtId="0" fontId="2" fillId="17" borderId="0" xfId="0" applyFont="1" applyFill="1"/>
    <xf numFmtId="43" fontId="0" fillId="0" borderId="0" xfId="1" applyFont="1" applyBorder="1" applyAlignment="1">
      <alignment wrapText="1"/>
    </xf>
    <xf numFmtId="0" fontId="2" fillId="2" borderId="0" xfId="0" applyFont="1" applyFill="1" applyAlignment="1">
      <alignment wrapText="1"/>
    </xf>
    <xf numFmtId="0" fontId="2" fillId="2" borderId="0" xfId="0" applyFont="1" applyFill="1"/>
    <xf numFmtId="0" fontId="0" fillId="16" borderId="1" xfId="0" applyFill="1" applyBorder="1" applyAlignment="1">
      <alignment wrapText="1"/>
    </xf>
    <xf numFmtId="0" fontId="0" fillId="0" borderId="1" xfId="0" applyBorder="1" applyAlignment="1">
      <alignment wrapText="1"/>
    </xf>
    <xf numFmtId="0" fontId="2" fillId="18" borderId="1" xfId="0" applyFont="1" applyFill="1" applyBorder="1"/>
    <xf numFmtId="0" fontId="25" fillId="2" borderId="0" xfId="0" applyFont="1" applyFill="1" applyAlignment="1">
      <alignment wrapText="1"/>
    </xf>
    <xf numFmtId="0" fontId="25" fillId="2" borderId="45" xfId="0" applyFont="1" applyFill="1" applyBorder="1" applyAlignment="1">
      <alignment wrapText="1"/>
    </xf>
    <xf numFmtId="0" fontId="25" fillId="2" borderId="46" xfId="0" applyFont="1" applyFill="1" applyBorder="1" applyAlignment="1">
      <alignment wrapText="1"/>
    </xf>
    <xf numFmtId="0" fontId="5" fillId="0" borderId="44" xfId="0" applyFont="1" applyBorder="1"/>
    <xf numFmtId="0" fontId="5" fillId="0" borderId="42" xfId="0" applyFont="1" applyBorder="1"/>
    <xf numFmtId="14" fontId="5" fillId="0" borderId="42" xfId="0" applyNumberFormat="1" applyFont="1" applyBorder="1"/>
    <xf numFmtId="0" fontId="5" fillId="0" borderId="43" xfId="0" applyFont="1" applyBorder="1"/>
    <xf numFmtId="2" fontId="5" fillId="0" borderId="50" xfId="0" applyNumberFormat="1" applyFont="1" applyBorder="1"/>
    <xf numFmtId="2" fontId="5" fillId="0" borderId="42" xfId="0" applyNumberFormat="1" applyFont="1" applyBorder="1"/>
    <xf numFmtId="2" fontId="5" fillId="0" borderId="43" xfId="0" applyNumberFormat="1" applyFont="1" applyBorder="1"/>
    <xf numFmtId="0" fontId="5" fillId="0" borderId="47" xfId="0" applyFont="1" applyBorder="1"/>
    <xf numFmtId="0" fontId="5" fillId="0" borderId="48" xfId="0" applyFont="1" applyBorder="1"/>
    <xf numFmtId="14" fontId="5" fillId="0" borderId="48" xfId="0" applyNumberFormat="1" applyFont="1" applyBorder="1"/>
    <xf numFmtId="2" fontId="5" fillId="0" borderId="48" xfId="0" applyNumberFormat="1" applyFont="1" applyBorder="1"/>
    <xf numFmtId="2" fontId="5" fillId="0" borderId="49" xfId="0" applyNumberFormat="1" applyFont="1" applyBorder="1"/>
    <xf numFmtId="0" fontId="7" fillId="16" borderId="0" xfId="0" applyFont="1" applyFill="1"/>
    <xf numFmtId="0" fontId="0" fillId="4" borderId="11" xfId="0" applyFill="1" applyBorder="1"/>
    <xf numFmtId="0" fontId="0" fillId="18" borderId="0" xfId="0" applyFill="1" applyAlignment="1">
      <alignment horizontal="center"/>
    </xf>
    <xf numFmtId="0" fontId="0" fillId="16" borderId="10" xfId="0" applyFill="1" applyBorder="1"/>
    <xf numFmtId="8" fontId="0" fillId="0" borderId="0" xfId="1" applyNumberFormat="1" applyFont="1" applyFill="1" applyBorder="1"/>
    <xf numFmtId="164" fontId="0" fillId="0" borderId="15" xfId="1" applyNumberFormat="1" applyFont="1" applyFill="1" applyBorder="1"/>
    <xf numFmtId="164" fontId="0" fillId="0" borderId="0" xfId="1" applyNumberFormat="1" applyFont="1" applyFill="1" applyBorder="1"/>
    <xf numFmtId="171" fontId="2" fillId="8" borderId="15" xfId="0" applyNumberFormat="1" applyFont="1" applyFill="1" applyBorder="1" applyAlignment="1">
      <alignment wrapText="1"/>
    </xf>
    <xf numFmtId="171" fontId="0" fillId="0" borderId="0" xfId="1" applyNumberFormat="1" applyFont="1" applyFill="1" applyBorder="1"/>
    <xf numFmtId="171" fontId="0" fillId="0" borderId="0" xfId="0" applyNumberFormat="1"/>
    <xf numFmtId="0" fontId="2" fillId="15" borderId="13" xfId="0" applyFont="1" applyFill="1" applyBorder="1" applyAlignment="1" applyProtection="1">
      <alignment horizontal="center"/>
      <protection hidden="1"/>
    </xf>
    <xf numFmtId="0" fontId="2" fillId="15" borderId="12" xfId="0" applyFont="1" applyFill="1" applyBorder="1" applyAlignment="1" applyProtection="1">
      <alignment horizontal="center"/>
      <protection hidden="1"/>
    </xf>
    <xf numFmtId="0" fontId="2" fillId="15" borderId="34" xfId="0" applyFont="1" applyFill="1" applyBorder="1" applyAlignment="1" applyProtection="1">
      <alignment horizontal="center"/>
      <protection hidden="1"/>
    </xf>
    <xf numFmtId="0" fontId="2" fillId="15" borderId="0" xfId="0" applyFont="1" applyFill="1" applyAlignment="1" applyProtection="1">
      <alignment horizontal="center"/>
      <protection hidden="1"/>
    </xf>
    <xf numFmtId="0" fontId="21" fillId="6" borderId="0" xfId="0" applyFont="1" applyFill="1" applyAlignment="1">
      <alignment horizontal="center" vertical="center"/>
    </xf>
    <xf numFmtId="0" fontId="2" fillId="18" borderId="0" xfId="0" applyFont="1" applyFill="1" applyAlignment="1">
      <alignment horizontal="center"/>
    </xf>
    <xf numFmtId="0" fontId="0" fillId="19" borderId="0" xfId="0" applyFill="1" applyAlignment="1">
      <alignment horizontal="center"/>
    </xf>
    <xf numFmtId="0" fontId="0" fillId="4" borderId="10" xfId="0" applyFill="1" applyBorder="1" applyAlignment="1">
      <alignment horizontal="center"/>
    </xf>
    <xf numFmtId="0" fontId="0" fillId="18" borderId="0" xfId="0" applyFill="1" applyAlignment="1">
      <alignment horizontal="center"/>
    </xf>
    <xf numFmtId="0" fontId="11" fillId="0" borderId="0" xfId="0" applyFont="1" applyAlignment="1">
      <alignment horizontal="center" vertical="center"/>
    </xf>
    <xf numFmtId="0" fontId="0" fillId="0" borderId="0" xfId="0"/>
    <xf numFmtId="0" fontId="20" fillId="0" borderId="0" xfId="0" applyFont="1" applyAlignment="1">
      <alignment horizontal="center" vertical="center"/>
    </xf>
    <xf numFmtId="0" fontId="10" fillId="0" borderId="0" xfId="0" applyFont="1" applyAlignment="1">
      <alignment horizontal="center" vertical="center"/>
    </xf>
    <xf numFmtId="0" fontId="16" fillId="0" borderId="25" xfId="0" applyFont="1" applyBorder="1" applyAlignment="1">
      <alignment horizontal="center" vertical="center" wrapText="1"/>
    </xf>
    <xf numFmtId="0" fontId="16" fillId="0" borderId="21" xfId="0" applyFont="1" applyBorder="1" applyAlignment="1">
      <alignment horizontal="center" vertical="center" wrapText="1"/>
    </xf>
    <xf numFmtId="0" fontId="16" fillId="0" borderId="19" xfId="0" applyFont="1" applyBorder="1" applyAlignment="1">
      <alignment horizontal="center" vertical="center" wrapText="1"/>
    </xf>
    <xf numFmtId="0" fontId="16" fillId="0" borderId="23" xfId="0" applyFont="1" applyBorder="1" applyAlignment="1">
      <alignment horizontal="center" vertical="center" wrapText="1"/>
    </xf>
    <xf numFmtId="0" fontId="16" fillId="0" borderId="22" xfId="0" applyFont="1" applyBorder="1" applyAlignment="1">
      <alignment horizontal="center" vertical="center" wrapText="1"/>
    </xf>
    <xf numFmtId="0" fontId="15" fillId="0" borderId="26" xfId="0" applyFont="1" applyBorder="1" applyAlignment="1">
      <alignment horizontal="justify" vertical="center"/>
    </xf>
    <xf numFmtId="0" fontId="0" fillId="0" borderId="26" xfId="0" applyBorder="1"/>
    <xf numFmtId="0" fontId="23" fillId="0" borderId="0" xfId="0" applyFont="1" applyAlignment="1">
      <alignment horizontal="center"/>
    </xf>
    <xf numFmtId="0" fontId="0" fillId="0" borderId="0" xfId="0" applyAlignment="1">
      <alignment horizontal="center"/>
    </xf>
    <xf numFmtId="0" fontId="29" fillId="0" borderId="0" xfId="0" applyFont="1"/>
    <xf numFmtId="0" fontId="0" fillId="0" borderId="0" xfId="0"/>
    <xf numFmtId="0" fontId="26" fillId="0" borderId="51" xfId="0" applyFont="1" applyBorder="1" applyAlignment="1">
      <alignment horizontal="left" wrapText="1" indent="1"/>
    </xf>
    <xf numFmtId="0" fontId="0" fillId="0" borderId="52" xfId="0" applyBorder="1" applyAlignment="1">
      <alignment wrapText="1"/>
    </xf>
    <xf numFmtId="0" fontId="26" fillId="0" borderId="52" xfId="0" applyFont="1" applyBorder="1" applyAlignment="1">
      <alignment horizontal="center" vertical="center" wrapText="1"/>
    </xf>
    <xf numFmtId="0" fontId="17" fillId="0" borderId="53" xfId="0" applyFont="1" applyBorder="1" applyAlignment="1">
      <alignment vertical="center" wrapText="1"/>
    </xf>
    <xf numFmtId="0" fontId="27" fillId="0" borderId="51" xfId="0" applyFont="1" applyBorder="1" applyAlignment="1">
      <alignment vertical="center" wrapText="1"/>
    </xf>
    <xf numFmtId="10" fontId="27" fillId="0" borderId="52" xfId="0" applyNumberFormat="1" applyFont="1" applyBorder="1" applyAlignment="1">
      <alignment horizontal="center" vertical="center" wrapText="1"/>
    </xf>
    <xf numFmtId="10" fontId="28" fillId="0" borderId="52" xfId="0" applyNumberFormat="1" applyFont="1" applyBorder="1" applyAlignment="1">
      <alignment horizontal="center" vertical="center" wrapText="1"/>
    </xf>
    <xf numFmtId="10" fontId="3" fillId="0" borderId="54" xfId="0" applyNumberFormat="1" applyFont="1" applyBorder="1" applyAlignment="1">
      <alignment horizontal="center" vertical="center" wrapText="1"/>
    </xf>
    <xf numFmtId="14" fontId="2" fillId="0" borderId="0" xfId="0" applyNumberFormat="1" applyFont="1"/>
    <xf numFmtId="0" fontId="2" fillId="0" borderId="38" xfId="0" applyFont="1" applyBorder="1"/>
    <xf numFmtId="0" fontId="2" fillId="0" borderId="37" xfId="0" applyFont="1" applyBorder="1"/>
    <xf numFmtId="0" fontId="2" fillId="20" borderId="0" xfId="0" applyFont="1" applyFill="1"/>
    <xf numFmtId="8" fontId="2" fillId="20" borderId="0" xfId="0" applyNumberFormat="1" applyFont="1" applyFill="1" applyProtection="1">
      <protection hidden="1"/>
    </xf>
  </cellXfs>
  <cellStyles count="2">
    <cellStyle name="Comma" xfId="1" builtinId="3"/>
    <cellStyle name="Normal" xfId="0" builtinId="0"/>
  </cellStyles>
  <dxfs count="99">
    <dxf>
      <font>
        <b/>
        <i val="0"/>
      </font>
      <fill>
        <patternFill>
          <bgColor rgb="FFFF5050"/>
        </patternFill>
      </fil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protection locked="1" hidden="1"/>
    </dxf>
    <dxf>
      <numFmt numFmtId="164" formatCode="_(* #,##0_);_(* \(#,##0\);_(* &quot;-&quot;??_);_(@_)"/>
      <fill>
        <patternFill patternType="none">
          <fgColor indexed="64"/>
          <bgColor indexed="65"/>
        </patternFill>
      </fill>
    </dxf>
    <dxf>
      <fill>
        <patternFill patternType="none">
          <fgColor indexed="64"/>
          <bgColor indexed="65"/>
        </patternFill>
      </fill>
    </dxf>
    <dxf>
      <numFmt numFmtId="171" formatCode="_(* #,##0_);_(* \(#,##0\);_(* &quot;-&quot;?????_);_(@_)"/>
      <fill>
        <patternFill patternType="none">
          <fgColor indexed="64"/>
          <bgColor indexed="65"/>
        </patternFill>
      </fill>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numFmt numFmtId="12" formatCode="&quot;$&quot;#,##0.00_);[Red]\(&quot;$&quot;#,##0.00\)"/>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numFmt numFmtId="167" formatCode="_(* #,##0.0000_);_(* \(#,##0.0000\);_(* &quot;-&quot;??_);_(@_)"/>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numFmt numFmtId="167" formatCode="_(* #,##0.0000_);_(* \(#,##0.000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_(* #,##0.0000_);_(* \(#,##0.000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_(* #,##0.0000_);_(* \(#,##0.000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5" formatCode="_(* #,##0.00_);_(* \(#,##0.0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70" formatCode="_(* #,##0.00_);_(* \(#,##0.00\);_(* &quot;-&quot;_);_(@_)"/>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4" formatCode="_(* #,##0_);_(* \(#,##0\);_(* &quot;-&quot;??_);_(@_)"/>
      <border diagonalUp="0" diagonalDown="0" outline="0">
        <left style="thin">
          <color indexed="64"/>
        </left>
        <right style="thin">
          <color indexed="64"/>
        </right>
        <top style="thin">
          <color indexed="64"/>
        </top>
        <bottom style="thin">
          <color indexed="64"/>
        </bottom>
      </border>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font>
        <sz val="10"/>
        <color rgb="FF181717"/>
        <name val="Times New Roman"/>
        <family val="1"/>
        <scheme val="none"/>
      </font>
      <numFmt numFmtId="35" formatCode="_(* #,##0.00_);_(* \(#,##0.00\);_(* &quot;-&quot;??_);_(@_)"/>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164" formatCode="_(* #,##0_);_(* \(#,##0\);_(* &quot;-&quot;??_);_(@_)"/>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165" formatCode="0.0000"/>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165" formatCode="0.0000"/>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border diagonalUp="0" diagonalDown="0">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numFmt numFmtId="164" formatCode="_(* #,##0_);_(* \(#,##0\);_(* &quot;-&quot;??_);_(@_)"/>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style="thin">
          <color theme="4" tint="0.39997558519241921"/>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19" formatCode="m/d/yyyy"/>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19" formatCode="m/d/yyyy"/>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19" formatCode="m/d/yyyy"/>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19" formatCode="m/d/yyyy"/>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19" formatCode="m/d/yyyy"/>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style="thin">
          <color theme="4" tint="0.39997558519241921"/>
        </left>
        <right/>
        <top style="thin">
          <color theme="4" tint="0.39997558519241921"/>
        </top>
        <bottom style="thin">
          <color theme="4" tint="0.39997558519241921"/>
        </bottom>
      </border>
    </dxf>
    <dxf>
      <border outline="0">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solid">
          <fgColor indexed="64"/>
          <bgColor rgb="FFFFFF00"/>
        </patternFill>
      </fill>
      <alignment horizontal="general" vertical="bottom" textRotation="0" wrapText="1" indent="0" justifyLastLine="0" shrinkToFit="0" readingOrder="0"/>
    </dxf>
    <dxf>
      <font>
        <b/>
        <i val="0"/>
      </font>
      <fill>
        <patternFill>
          <bgColor theme="7" tint="0.79998168889431442"/>
        </patternFill>
      </fill>
    </dxf>
    <dxf>
      <font>
        <b/>
        <i val="0"/>
      </font>
      <fill>
        <patternFill>
          <bgColor rgb="FFFF0000"/>
        </patternFill>
      </fill>
    </dxf>
    <dxf>
      <font>
        <b/>
        <i val="0"/>
      </font>
      <fill>
        <patternFill>
          <bgColor rgb="FFFF0000"/>
        </patternFill>
      </fill>
    </dxf>
    <dxf>
      <font>
        <b/>
        <i val="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microsoft.com/office/2017/10/relationships/person" Target="persons/perso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4.emf"/><Relationship Id="rId7" Type="http://schemas.openxmlformats.org/officeDocument/2006/relationships/image" Target="../media/image8.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9.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579120</xdr:colOff>
          <xdr:row>1</xdr:row>
          <xdr:rowOff>60960</xdr:rowOff>
        </xdr:from>
        <xdr:to>
          <xdr:col>18</xdr:col>
          <xdr:colOff>114300</xdr:colOff>
          <xdr:row>46</xdr:row>
          <xdr:rowOff>175260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525780</xdr:colOff>
          <xdr:row>1</xdr:row>
          <xdr:rowOff>68580</xdr:rowOff>
        </xdr:from>
        <xdr:to>
          <xdr:col>11</xdr:col>
          <xdr:colOff>373380</xdr:colOff>
          <xdr:row>17</xdr:row>
          <xdr:rowOff>175260</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500-000001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502920</xdr:colOff>
          <xdr:row>18</xdr:row>
          <xdr:rowOff>76200</xdr:rowOff>
        </xdr:from>
        <xdr:to>
          <xdr:col>11</xdr:col>
          <xdr:colOff>350520</xdr:colOff>
          <xdr:row>46</xdr:row>
          <xdr:rowOff>22860</xdr:rowOff>
        </xdr:to>
        <xdr:sp macro="" textlink="">
          <xdr:nvSpPr>
            <xdr:cNvPr id="5122" name="Object 2" hidden="1">
              <a:extLst>
                <a:ext uri="{63B3BB69-23CF-44E3-9099-C40C66FF867C}">
                  <a14:compatExt spid="_x0000_s5122"/>
                </a:ext>
                <a:ext uri="{FF2B5EF4-FFF2-40B4-BE49-F238E27FC236}">
                  <a16:creationId xmlns:a16="http://schemas.microsoft.com/office/drawing/2014/main" id="{00000000-0008-0000-0500-000002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403860</xdr:colOff>
          <xdr:row>48</xdr:row>
          <xdr:rowOff>144780</xdr:rowOff>
        </xdr:from>
        <xdr:to>
          <xdr:col>11</xdr:col>
          <xdr:colOff>251460</xdr:colOff>
          <xdr:row>59</xdr:row>
          <xdr:rowOff>45720</xdr:rowOff>
        </xdr:to>
        <xdr:sp macro="" textlink="">
          <xdr:nvSpPr>
            <xdr:cNvPr id="5123" name="Object 3" hidden="1">
              <a:extLst>
                <a:ext uri="{63B3BB69-23CF-44E3-9099-C40C66FF867C}">
                  <a14:compatExt spid="_x0000_s5123"/>
                </a:ext>
                <a:ext uri="{FF2B5EF4-FFF2-40B4-BE49-F238E27FC236}">
                  <a16:creationId xmlns:a16="http://schemas.microsoft.com/office/drawing/2014/main" id="{00000000-0008-0000-0500-000003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449580</xdr:colOff>
          <xdr:row>63</xdr:row>
          <xdr:rowOff>160020</xdr:rowOff>
        </xdr:from>
        <xdr:to>
          <xdr:col>11</xdr:col>
          <xdr:colOff>297180</xdr:colOff>
          <xdr:row>75</xdr:row>
          <xdr:rowOff>144780</xdr:rowOff>
        </xdr:to>
        <xdr:sp macro="" textlink="">
          <xdr:nvSpPr>
            <xdr:cNvPr id="5124" name="Object 4" hidden="1">
              <a:extLst>
                <a:ext uri="{63B3BB69-23CF-44E3-9099-C40C66FF867C}">
                  <a14:compatExt spid="_x0000_s5124"/>
                </a:ext>
                <a:ext uri="{FF2B5EF4-FFF2-40B4-BE49-F238E27FC236}">
                  <a16:creationId xmlns:a16="http://schemas.microsoft.com/office/drawing/2014/main" id="{00000000-0008-0000-0500-000004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541020</xdr:colOff>
          <xdr:row>79</xdr:row>
          <xdr:rowOff>160020</xdr:rowOff>
        </xdr:from>
        <xdr:to>
          <xdr:col>11</xdr:col>
          <xdr:colOff>388620</xdr:colOff>
          <xdr:row>91</xdr:row>
          <xdr:rowOff>76200</xdr:rowOff>
        </xdr:to>
        <xdr:sp macro="" textlink="">
          <xdr:nvSpPr>
            <xdr:cNvPr id="5125" name="Object 5" hidden="1">
              <a:extLst>
                <a:ext uri="{63B3BB69-23CF-44E3-9099-C40C66FF867C}">
                  <a14:compatExt spid="_x0000_s5125"/>
                </a:ext>
                <a:ext uri="{FF2B5EF4-FFF2-40B4-BE49-F238E27FC236}">
                  <a16:creationId xmlns:a16="http://schemas.microsoft.com/office/drawing/2014/main" id="{00000000-0008-0000-0500-000005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579120</xdr:colOff>
          <xdr:row>94</xdr:row>
          <xdr:rowOff>144780</xdr:rowOff>
        </xdr:from>
        <xdr:to>
          <xdr:col>11</xdr:col>
          <xdr:colOff>426720</xdr:colOff>
          <xdr:row>112</xdr:row>
          <xdr:rowOff>30480</xdr:rowOff>
        </xdr:to>
        <xdr:sp macro="" textlink="">
          <xdr:nvSpPr>
            <xdr:cNvPr id="5126" name="Object 6" hidden="1">
              <a:extLst>
                <a:ext uri="{63B3BB69-23CF-44E3-9099-C40C66FF867C}">
                  <a14:compatExt spid="_x0000_s5126"/>
                </a:ext>
                <a:ext uri="{FF2B5EF4-FFF2-40B4-BE49-F238E27FC236}">
                  <a16:creationId xmlns:a16="http://schemas.microsoft.com/office/drawing/2014/main" id="{00000000-0008-0000-0500-000006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594360</xdr:colOff>
          <xdr:row>116</xdr:row>
          <xdr:rowOff>30480</xdr:rowOff>
        </xdr:from>
        <xdr:to>
          <xdr:col>11</xdr:col>
          <xdr:colOff>441960</xdr:colOff>
          <xdr:row>124</xdr:row>
          <xdr:rowOff>83820</xdr:rowOff>
        </xdr:to>
        <xdr:sp macro="" textlink="">
          <xdr:nvSpPr>
            <xdr:cNvPr id="5127" name="Object 7" hidden="1">
              <a:extLst>
                <a:ext uri="{63B3BB69-23CF-44E3-9099-C40C66FF867C}">
                  <a14:compatExt spid="_x0000_s5127"/>
                </a:ext>
                <a:ext uri="{FF2B5EF4-FFF2-40B4-BE49-F238E27FC236}">
                  <a16:creationId xmlns:a16="http://schemas.microsoft.com/office/drawing/2014/main" id="{00000000-0008-0000-0500-000007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17</xdr:col>
          <xdr:colOff>60960</xdr:colOff>
          <xdr:row>36</xdr:row>
          <xdr:rowOff>121920</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600-000001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556260</xdr:colOff>
          <xdr:row>1</xdr:row>
          <xdr:rowOff>0</xdr:rowOff>
        </xdr:from>
        <xdr:to>
          <xdr:col>15</xdr:col>
          <xdr:colOff>480060</xdr:colOff>
          <xdr:row>36</xdr:row>
          <xdr:rowOff>76200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7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464711e9dc8cfa85/Desktop/Maryville/Boczkaja_Jeffery_W4_Submission2.xlsx" TargetMode="External"/><Relationship Id="rId1" Type="http://schemas.openxmlformats.org/officeDocument/2006/relationships/externalLinkPath" Target="Boczkaja_Jeffery_W4_Submission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19132\Google%20Drive\ExcelAnswerKeys\ExcelRedo\Tweak\Week3\TheModelW3AnswerKey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19132\Google%20Drive\%23201_501%20Excel%20Class\ExcelRedo\Tweak\Week3\TheModelW3AnswerKeyV2_revised%20-No%20Hid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19132\Google%20Drive\ExcelAnswerKeys\ExcelRedo\Tweak\Week1\TheModelW1withAdditionalInf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lossary"/>
      <sheetName val="Calculation D"/>
      <sheetName val="Controls"/>
      <sheetName val="Example Doc"/>
      <sheetName val="How It Works"/>
      <sheetName val="Orders of Operation"/>
      <sheetName val="Test Cases"/>
      <sheetName val="WdAges"/>
      <sheetName val="TestCaseExplinations"/>
      <sheetName val="Qx"/>
      <sheetName val="Boczkaja_Jeffery_W4_Submission2"/>
    </sheetNames>
    <sheetDataSet>
      <sheetData sheetId="0" refreshError="1"/>
      <sheetData sheetId="1" refreshError="1">
        <row r="1">
          <cell r="F1">
            <v>100000</v>
          </cell>
        </row>
        <row r="2">
          <cell r="C2">
            <v>4.5</v>
          </cell>
        </row>
        <row r="3">
          <cell r="C3">
            <v>5.2499999999999998E-2</v>
          </cell>
        </row>
        <row r="6">
          <cell r="C6">
            <v>0.04</v>
          </cell>
        </row>
        <row r="8">
          <cell r="G8">
            <v>100000</v>
          </cell>
          <cell r="H8" t="b">
            <v>1</v>
          </cell>
        </row>
        <row r="9">
          <cell r="G9">
            <v>165000</v>
          </cell>
          <cell r="H9" t="b">
            <v>0</v>
          </cell>
          <cell r="I9">
            <v>0</v>
          </cell>
        </row>
        <row r="10">
          <cell r="G10">
            <v>170000</v>
          </cell>
          <cell r="H10" t="b">
            <v>1</v>
          </cell>
          <cell r="I10">
            <v>170000</v>
          </cell>
        </row>
        <row r="11">
          <cell r="G11">
            <v>255000</v>
          </cell>
          <cell r="H11" t="b">
            <v>0</v>
          </cell>
          <cell r="I11">
            <v>0</v>
          </cell>
        </row>
        <row r="12">
          <cell r="G12">
            <v>287000</v>
          </cell>
          <cell r="H12" t="b">
            <v>1</v>
          </cell>
          <cell r="I12">
            <v>287000</v>
          </cell>
        </row>
        <row r="13">
          <cell r="G13">
            <v>287000</v>
          </cell>
          <cell r="H13" t="b">
            <v>0</v>
          </cell>
          <cell r="I13">
            <v>0</v>
          </cell>
        </row>
        <row r="14">
          <cell r="G14">
            <v>300000</v>
          </cell>
          <cell r="H14" t="b">
            <v>1</v>
          </cell>
          <cell r="I14">
            <v>300000</v>
          </cell>
        </row>
        <row r="15">
          <cell r="G15">
            <v>305000</v>
          </cell>
          <cell r="H15" t="b">
            <v>0</v>
          </cell>
          <cell r="I15">
            <v>0</v>
          </cell>
        </row>
        <row r="16">
          <cell r="G16">
            <v>312000</v>
          </cell>
          <cell r="H16" t="b">
            <v>1</v>
          </cell>
          <cell r="I16">
            <v>312000</v>
          </cell>
        </row>
        <row r="17">
          <cell r="G17">
            <v>302000</v>
          </cell>
          <cell r="H17" t="b">
            <v>0</v>
          </cell>
          <cell r="I17">
            <v>0</v>
          </cell>
        </row>
        <row r="18">
          <cell r="G18">
            <v>305000</v>
          </cell>
          <cell r="H18" t="b">
            <v>1</v>
          </cell>
          <cell r="I18">
            <v>305000</v>
          </cell>
        </row>
        <row r="19">
          <cell r="G19">
            <v>280000</v>
          </cell>
          <cell r="H19" t="b">
            <v>0</v>
          </cell>
          <cell r="I19">
            <v>0</v>
          </cell>
        </row>
        <row r="20">
          <cell r="G20">
            <v>290000</v>
          </cell>
          <cell r="H20" t="b">
            <v>1</v>
          </cell>
          <cell r="I20">
            <v>290000</v>
          </cell>
        </row>
        <row r="21">
          <cell r="G21">
            <v>260000</v>
          </cell>
          <cell r="H21" t="b">
            <v>0</v>
          </cell>
          <cell r="I21">
            <v>0</v>
          </cell>
        </row>
        <row r="22">
          <cell r="G22">
            <v>230000</v>
          </cell>
          <cell r="H22" t="b">
            <v>1</v>
          </cell>
          <cell r="I22">
            <v>230000</v>
          </cell>
        </row>
        <row r="23">
          <cell r="G23">
            <v>230000</v>
          </cell>
          <cell r="H23" t="b">
            <v>0</v>
          </cell>
          <cell r="I23">
            <v>0</v>
          </cell>
        </row>
        <row r="24">
          <cell r="G24">
            <v>150000</v>
          </cell>
          <cell r="H24" t="b">
            <v>1</v>
          </cell>
          <cell r="I24">
            <v>150000</v>
          </cell>
        </row>
        <row r="25">
          <cell r="G25">
            <v>150000</v>
          </cell>
          <cell r="H25" t="b">
            <v>0</v>
          </cell>
          <cell r="I25">
            <v>0</v>
          </cell>
        </row>
        <row r="26">
          <cell r="G26">
            <v>100000</v>
          </cell>
          <cell r="H26" t="b">
            <v>1</v>
          </cell>
          <cell r="I26">
            <v>100000</v>
          </cell>
        </row>
        <row r="27">
          <cell r="G27">
            <v>100000</v>
          </cell>
          <cell r="H27" t="b">
            <v>0</v>
          </cell>
          <cell r="I27">
            <v>0</v>
          </cell>
        </row>
        <row r="28">
          <cell r="G28">
            <v>50000</v>
          </cell>
          <cell r="H28" t="b">
            <v>1</v>
          </cell>
          <cell r="I28">
            <v>50000</v>
          </cell>
        </row>
        <row r="29">
          <cell r="G29">
            <v>50000</v>
          </cell>
          <cell r="H29" t="b">
            <v>0</v>
          </cell>
          <cell r="I29">
            <v>0</v>
          </cell>
        </row>
        <row r="30">
          <cell r="G30">
            <v>0</v>
          </cell>
          <cell r="H30" t="b">
            <v>1</v>
          </cell>
          <cell r="I30">
            <v>0</v>
          </cell>
        </row>
        <row r="31">
          <cell r="G31">
            <v>0</v>
          </cell>
          <cell r="H31" t="b">
            <v>0</v>
          </cell>
        </row>
        <row r="32">
          <cell r="G32">
            <v>0</v>
          </cell>
          <cell r="H32" t="b">
            <v>1</v>
          </cell>
        </row>
        <row r="33">
          <cell r="G33">
            <v>0</v>
          </cell>
          <cell r="H33" t="b">
            <v>0</v>
          </cell>
        </row>
        <row r="34">
          <cell r="G34">
            <v>0</v>
          </cell>
          <cell r="H34" t="b">
            <v>1</v>
          </cell>
        </row>
        <row r="35">
          <cell r="G35">
            <v>0</v>
          </cell>
          <cell r="H35" t="b">
            <v>0</v>
          </cell>
        </row>
        <row r="36">
          <cell r="G36">
            <v>0</v>
          </cell>
          <cell r="H36" t="b">
            <v>1</v>
          </cell>
        </row>
        <row r="37">
          <cell r="G37">
            <v>0</v>
          </cell>
          <cell r="H37" t="b">
            <v>0</v>
          </cell>
        </row>
        <row r="38">
          <cell r="G38">
            <v>0</v>
          </cell>
          <cell r="H38" t="b">
            <v>1</v>
          </cell>
        </row>
        <row r="39">
          <cell r="G39">
            <v>0</v>
          </cell>
          <cell r="H39" t="b">
            <v>0</v>
          </cell>
        </row>
        <row r="40">
          <cell r="G40">
            <v>0</v>
          </cell>
          <cell r="H40" t="b">
            <v>1</v>
          </cell>
        </row>
        <row r="41">
          <cell r="G41">
            <v>0</v>
          </cell>
          <cell r="H41" t="b">
            <v>0</v>
          </cell>
        </row>
        <row r="42">
          <cell r="G42">
            <v>0</v>
          </cell>
          <cell r="H42" t="b">
            <v>1</v>
          </cell>
        </row>
        <row r="43">
          <cell r="G43">
            <v>0</v>
          </cell>
          <cell r="H43" t="b">
            <v>0</v>
          </cell>
        </row>
        <row r="44">
          <cell r="G44">
            <v>0</v>
          </cell>
          <cell r="H44" t="b">
            <v>1</v>
          </cell>
        </row>
        <row r="45">
          <cell r="G45">
            <v>0</v>
          </cell>
          <cell r="H45" t="b">
            <v>0</v>
          </cell>
        </row>
        <row r="46">
          <cell r="G46">
            <v>0</v>
          </cell>
          <cell r="H46" t="b">
            <v>1</v>
          </cell>
        </row>
        <row r="47">
          <cell r="G47">
            <v>0</v>
          </cell>
          <cell r="H47" t="b">
            <v>0</v>
          </cell>
        </row>
        <row r="48">
          <cell r="G48">
            <v>0</v>
          </cell>
          <cell r="H48" t="b">
            <v>1</v>
          </cell>
        </row>
        <row r="49">
          <cell r="G49">
            <v>0</v>
          </cell>
          <cell r="H49" t="b">
            <v>0</v>
          </cell>
        </row>
        <row r="50">
          <cell r="G50">
            <v>0</v>
          </cell>
          <cell r="H50" t="b">
            <v>1</v>
          </cell>
        </row>
        <row r="51">
          <cell r="G51">
            <v>0</v>
          </cell>
          <cell r="H51" t="b">
            <v>0</v>
          </cell>
        </row>
        <row r="52">
          <cell r="G52">
            <v>0</v>
          </cell>
          <cell r="H52" t="b">
            <v>1</v>
          </cell>
        </row>
        <row r="53">
          <cell r="G53">
            <v>0</v>
          </cell>
          <cell r="H53" t="b">
            <v>0</v>
          </cell>
        </row>
        <row r="54">
          <cell r="G54">
            <v>0</v>
          </cell>
          <cell r="H54" t="b">
            <v>1</v>
          </cell>
        </row>
        <row r="55">
          <cell r="G55">
            <v>0</v>
          </cell>
          <cell r="H55" t="b">
            <v>0</v>
          </cell>
        </row>
        <row r="56">
          <cell r="G56">
            <v>0</v>
          </cell>
          <cell r="H56" t="b">
            <v>1</v>
          </cell>
        </row>
        <row r="57">
          <cell r="G57">
            <v>0</v>
          </cell>
          <cell r="H57" t="b">
            <v>0</v>
          </cell>
        </row>
        <row r="58">
          <cell r="G58">
            <v>0</v>
          </cell>
          <cell r="H58" t="b">
            <v>1</v>
          </cell>
        </row>
        <row r="59">
          <cell r="G59">
            <v>0</v>
          </cell>
          <cell r="H59" t="b">
            <v>0</v>
          </cell>
        </row>
        <row r="60">
          <cell r="G60">
            <v>0</v>
          </cell>
          <cell r="H60" t="b">
            <v>1</v>
          </cell>
        </row>
        <row r="61">
          <cell r="G61">
            <v>0</v>
          </cell>
          <cell r="H61" t="b">
            <v>0</v>
          </cell>
        </row>
        <row r="62">
          <cell r="G62">
            <v>0</v>
          </cell>
          <cell r="H62" t="b">
            <v>1</v>
          </cell>
        </row>
        <row r="63">
          <cell r="G63">
            <v>0</v>
          </cell>
          <cell r="H63" t="b">
            <v>0</v>
          </cell>
        </row>
        <row r="64">
          <cell r="G64">
            <v>0</v>
          </cell>
          <cell r="H64" t="b">
            <v>1</v>
          </cell>
        </row>
        <row r="65">
          <cell r="G65">
            <v>0</v>
          </cell>
          <cell r="H65" t="b">
            <v>0</v>
          </cell>
        </row>
        <row r="66">
          <cell r="G66">
            <v>0</v>
          </cell>
          <cell r="H66" t="b">
            <v>1</v>
          </cell>
        </row>
        <row r="67">
          <cell r="G67">
            <v>0</v>
          </cell>
          <cell r="H67" t="b">
            <v>0</v>
          </cell>
        </row>
        <row r="68">
          <cell r="G68">
            <v>0</v>
          </cell>
          <cell r="H68" t="b">
            <v>1</v>
          </cell>
        </row>
        <row r="69">
          <cell r="G69">
            <v>0</v>
          </cell>
          <cell r="H69" t="b">
            <v>0</v>
          </cell>
        </row>
        <row r="70">
          <cell r="G70">
            <v>0</v>
          </cell>
          <cell r="H70" t="b">
            <v>1</v>
          </cell>
        </row>
        <row r="71">
          <cell r="G71">
            <v>0</v>
          </cell>
          <cell r="H71" t="b">
            <v>0</v>
          </cell>
        </row>
        <row r="72">
          <cell r="G72">
            <v>0</v>
          </cell>
          <cell r="H72" t="b">
            <v>1</v>
          </cell>
        </row>
        <row r="73">
          <cell r="G73">
            <v>0</v>
          </cell>
          <cell r="H73" t="b">
            <v>0</v>
          </cell>
        </row>
        <row r="74">
          <cell r="G74">
            <v>0</v>
          </cell>
          <cell r="H74" t="b">
            <v>1</v>
          </cell>
        </row>
        <row r="75">
          <cell r="G75">
            <v>0</v>
          </cell>
          <cell r="H75" t="b">
            <v>0</v>
          </cell>
        </row>
        <row r="76">
          <cell r="G76">
            <v>0</v>
          </cell>
          <cell r="H76" t="b">
            <v>1</v>
          </cell>
        </row>
        <row r="77">
          <cell r="G77">
            <v>0</v>
          </cell>
          <cell r="H77" t="b">
            <v>0</v>
          </cell>
        </row>
        <row r="78">
          <cell r="G78">
            <v>0</v>
          </cell>
          <cell r="H78" t="b">
            <v>1</v>
          </cell>
        </row>
        <row r="79">
          <cell r="G79">
            <v>0</v>
          </cell>
          <cell r="H79" t="b">
            <v>0</v>
          </cell>
        </row>
        <row r="80">
          <cell r="G80">
            <v>0</v>
          </cell>
          <cell r="H80" t="b">
            <v>1</v>
          </cell>
        </row>
        <row r="81">
          <cell r="G81">
            <v>0</v>
          </cell>
          <cell r="H81" t="b">
            <v>0</v>
          </cell>
        </row>
        <row r="82">
          <cell r="G82">
            <v>0</v>
          </cell>
          <cell r="H82" t="b">
            <v>1</v>
          </cell>
        </row>
        <row r="83">
          <cell r="G83">
            <v>0</v>
          </cell>
          <cell r="H83" t="b">
            <v>0</v>
          </cell>
        </row>
        <row r="84">
          <cell r="G84">
            <v>0</v>
          </cell>
          <cell r="H84" t="b">
            <v>1</v>
          </cell>
        </row>
        <row r="85">
          <cell r="G85">
            <v>0</v>
          </cell>
          <cell r="H85" t="b">
            <v>0</v>
          </cell>
        </row>
        <row r="86">
          <cell r="G86">
            <v>0</v>
          </cell>
          <cell r="H86" t="b">
            <v>1</v>
          </cell>
        </row>
        <row r="87">
          <cell r="G87">
            <v>0</v>
          </cell>
          <cell r="H87" t="b">
            <v>0</v>
          </cell>
        </row>
        <row r="88">
          <cell r="G88">
            <v>0</v>
          </cell>
          <cell r="H88" t="b">
            <v>1</v>
          </cell>
        </row>
        <row r="89">
          <cell r="G89">
            <v>0</v>
          </cell>
          <cell r="H89" t="b">
            <v>0</v>
          </cell>
        </row>
        <row r="90">
          <cell r="G90">
            <v>0</v>
          </cell>
          <cell r="H90" t="b">
            <v>1</v>
          </cell>
        </row>
        <row r="91">
          <cell r="G91">
            <v>0</v>
          </cell>
          <cell r="H91" t="b">
            <v>0</v>
          </cell>
        </row>
        <row r="92">
          <cell r="G92">
            <v>0</v>
          </cell>
          <cell r="H92" t="b">
            <v>1</v>
          </cell>
        </row>
        <row r="93">
          <cell r="G93">
            <v>0</v>
          </cell>
          <cell r="H93" t="b">
            <v>0</v>
          </cell>
        </row>
        <row r="94">
          <cell r="G94">
            <v>0</v>
          </cell>
          <cell r="H94" t="b">
            <v>1</v>
          </cell>
        </row>
        <row r="95">
          <cell r="G95">
            <v>0</v>
          </cell>
          <cell r="H95" t="b">
            <v>0</v>
          </cell>
        </row>
        <row r="96">
          <cell r="G96">
            <v>0</v>
          </cell>
          <cell r="H96" t="b">
            <v>1</v>
          </cell>
        </row>
        <row r="97">
          <cell r="G97">
            <v>0</v>
          </cell>
          <cell r="H97" t="b">
            <v>0</v>
          </cell>
        </row>
        <row r="98">
          <cell r="G98">
            <v>0</v>
          </cell>
          <cell r="H98" t="b">
            <v>1</v>
          </cell>
        </row>
        <row r="99">
          <cell r="G99">
            <v>0</v>
          </cell>
          <cell r="H99" t="b">
            <v>0</v>
          </cell>
        </row>
        <row r="100">
          <cell r="G100">
            <v>0</v>
          </cell>
          <cell r="H100" t="b">
            <v>1</v>
          </cell>
        </row>
        <row r="101">
          <cell r="G101">
            <v>0</v>
          </cell>
          <cell r="H101" t="b">
            <v>0</v>
          </cell>
        </row>
        <row r="102">
          <cell r="G102">
            <v>0</v>
          </cell>
          <cell r="H102" t="b">
            <v>1</v>
          </cell>
        </row>
        <row r="103">
          <cell r="G103">
            <v>0</v>
          </cell>
          <cell r="H103" t="b">
            <v>0</v>
          </cell>
        </row>
        <row r="104">
          <cell r="G104">
            <v>0</v>
          </cell>
          <cell r="H104" t="b">
            <v>1</v>
          </cell>
        </row>
        <row r="105">
          <cell r="G105">
            <v>0</v>
          </cell>
          <cell r="H105" t="b">
            <v>0</v>
          </cell>
        </row>
        <row r="106">
          <cell r="G106">
            <v>0</v>
          </cell>
          <cell r="H106" t="b">
            <v>1</v>
          </cell>
        </row>
        <row r="107">
          <cell r="G107">
            <v>0</v>
          </cell>
          <cell r="H107" t="b">
            <v>0</v>
          </cell>
        </row>
        <row r="108">
          <cell r="G108">
            <v>0</v>
          </cell>
          <cell r="H108" t="b">
            <v>1</v>
          </cell>
        </row>
        <row r="109">
          <cell r="G109">
            <v>0</v>
          </cell>
          <cell r="H109" t="b">
            <v>0</v>
          </cell>
        </row>
        <row r="110">
          <cell r="G110">
            <v>0</v>
          </cell>
          <cell r="H110" t="b">
            <v>1</v>
          </cell>
        </row>
        <row r="111">
          <cell r="G111">
            <v>0</v>
          </cell>
          <cell r="H111" t="b">
            <v>0</v>
          </cell>
        </row>
        <row r="112">
          <cell r="G112">
            <v>0</v>
          </cell>
          <cell r="H112" t="b">
            <v>1</v>
          </cell>
        </row>
        <row r="113">
          <cell r="G113">
            <v>0</v>
          </cell>
          <cell r="H113" t="b">
            <v>0</v>
          </cell>
        </row>
        <row r="114">
          <cell r="G114">
            <v>0</v>
          </cell>
          <cell r="H114" t="b">
            <v>1</v>
          </cell>
        </row>
        <row r="115">
          <cell r="G115">
            <v>0</v>
          </cell>
          <cell r="H115" t="b">
            <v>0</v>
          </cell>
        </row>
        <row r="116">
          <cell r="G116">
            <v>0</v>
          </cell>
          <cell r="H116" t="b">
            <v>1</v>
          </cell>
        </row>
        <row r="117">
          <cell r="G117">
            <v>0</v>
          </cell>
          <cell r="H117" t="b">
            <v>0</v>
          </cell>
        </row>
        <row r="118">
          <cell r="G118">
            <v>0</v>
          </cell>
          <cell r="H118" t="b">
            <v>1</v>
          </cell>
        </row>
        <row r="119">
          <cell r="G119">
            <v>0</v>
          </cell>
          <cell r="H119" t="b">
            <v>0</v>
          </cell>
        </row>
        <row r="120">
          <cell r="G120">
            <v>0</v>
          </cell>
          <cell r="H120" t="b">
            <v>1</v>
          </cell>
        </row>
        <row r="121">
          <cell r="G121">
            <v>0</v>
          </cell>
          <cell r="H121" t="b">
            <v>0</v>
          </cell>
        </row>
        <row r="122">
          <cell r="G122">
            <v>0</v>
          </cell>
          <cell r="H122" t="b">
            <v>1</v>
          </cell>
        </row>
        <row r="123">
          <cell r="G123">
            <v>0</v>
          </cell>
          <cell r="H123" t="b">
            <v>0</v>
          </cell>
        </row>
        <row r="124">
          <cell r="G124">
            <v>0</v>
          </cell>
          <cell r="H124" t="b">
            <v>1</v>
          </cell>
        </row>
        <row r="125">
          <cell r="G125">
            <v>0</v>
          </cell>
          <cell r="H125" t="b">
            <v>0</v>
          </cell>
        </row>
        <row r="126">
          <cell r="G126">
            <v>0</v>
          </cell>
          <cell r="H126" t="b">
            <v>1</v>
          </cell>
        </row>
        <row r="127">
          <cell r="G127">
            <v>0</v>
          </cell>
          <cell r="H127" t="b">
            <v>0</v>
          </cell>
        </row>
        <row r="128">
          <cell r="G128">
            <v>0</v>
          </cell>
          <cell r="H128" t="b">
            <v>1</v>
          </cell>
        </row>
        <row r="129">
          <cell r="G129">
            <v>0</v>
          </cell>
          <cell r="H129" t="b">
            <v>0</v>
          </cell>
        </row>
        <row r="130">
          <cell r="G130">
            <v>0</v>
          </cell>
          <cell r="H130" t="b">
            <v>1</v>
          </cell>
        </row>
        <row r="131">
          <cell r="G131">
            <v>0</v>
          </cell>
          <cell r="H131" t="b">
            <v>0</v>
          </cell>
        </row>
        <row r="132">
          <cell r="G132">
            <v>0</v>
          </cell>
          <cell r="H132" t="b">
            <v>1</v>
          </cell>
        </row>
        <row r="133">
          <cell r="G133">
            <v>0</v>
          </cell>
          <cell r="H133" t="b">
            <v>0</v>
          </cell>
        </row>
        <row r="134">
          <cell r="G134">
            <v>0</v>
          </cell>
          <cell r="H134" t="b">
            <v>1</v>
          </cell>
        </row>
        <row r="135">
          <cell r="G135">
            <v>0</v>
          </cell>
          <cell r="H135" t="b">
            <v>0</v>
          </cell>
        </row>
        <row r="136">
          <cell r="G136">
            <v>0</v>
          </cell>
          <cell r="H136" t="b">
            <v>1</v>
          </cell>
        </row>
        <row r="137">
          <cell r="G137">
            <v>0</v>
          </cell>
          <cell r="H137" t="b">
            <v>0</v>
          </cell>
        </row>
        <row r="138">
          <cell r="G138">
            <v>0</v>
          </cell>
          <cell r="H138" t="b">
            <v>1</v>
          </cell>
        </row>
        <row r="139">
          <cell r="G139">
            <v>0</v>
          </cell>
          <cell r="H139" t="b">
            <v>0</v>
          </cell>
        </row>
        <row r="140">
          <cell r="G140">
            <v>0</v>
          </cell>
          <cell r="H140" t="b">
            <v>1</v>
          </cell>
        </row>
        <row r="141">
          <cell r="G141">
            <v>0</v>
          </cell>
          <cell r="H141" t="b">
            <v>0</v>
          </cell>
        </row>
        <row r="142">
          <cell r="G142">
            <v>0</v>
          </cell>
          <cell r="H142" t="b">
            <v>1</v>
          </cell>
        </row>
        <row r="143">
          <cell r="G143">
            <v>0</v>
          </cell>
          <cell r="H143" t="b">
            <v>0</v>
          </cell>
        </row>
        <row r="144">
          <cell r="G144">
            <v>0</v>
          </cell>
          <cell r="H144" t="b">
            <v>1</v>
          </cell>
        </row>
        <row r="145">
          <cell r="G145">
            <v>0</v>
          </cell>
          <cell r="H145" t="b">
            <v>0</v>
          </cell>
        </row>
        <row r="146">
          <cell r="G146">
            <v>0</v>
          </cell>
          <cell r="H146" t="b">
            <v>1</v>
          </cell>
        </row>
        <row r="147">
          <cell r="G147">
            <v>0</v>
          </cell>
          <cell r="H147" t="b">
            <v>0</v>
          </cell>
        </row>
        <row r="148">
          <cell r="G148">
            <v>0</v>
          </cell>
          <cell r="H148" t="b">
            <v>1</v>
          </cell>
        </row>
        <row r="149">
          <cell r="G149">
            <v>0</v>
          </cell>
          <cell r="H149" t="b">
            <v>0</v>
          </cell>
        </row>
        <row r="150">
          <cell r="G150">
            <v>0</v>
          </cell>
          <cell r="H150" t="b">
            <v>1</v>
          </cell>
        </row>
        <row r="151">
          <cell r="G151">
            <v>0</v>
          </cell>
          <cell r="H151" t="b">
            <v>0</v>
          </cell>
        </row>
        <row r="152">
          <cell r="G152">
            <v>0</v>
          </cell>
          <cell r="H152" t="b">
            <v>1</v>
          </cell>
        </row>
        <row r="153">
          <cell r="G153">
            <v>0</v>
          </cell>
          <cell r="H153" t="b">
            <v>0</v>
          </cell>
        </row>
        <row r="154">
          <cell r="G154">
            <v>0</v>
          </cell>
          <cell r="H154" t="b">
            <v>1</v>
          </cell>
        </row>
        <row r="155">
          <cell r="G155">
            <v>0</v>
          </cell>
          <cell r="H155" t="b">
            <v>0</v>
          </cell>
        </row>
        <row r="156">
          <cell r="G156">
            <v>0</v>
          </cell>
          <cell r="H156" t="b">
            <v>1</v>
          </cell>
        </row>
        <row r="157">
          <cell r="G157">
            <v>0</v>
          </cell>
          <cell r="H157" t="b">
            <v>0</v>
          </cell>
        </row>
        <row r="158">
          <cell r="G158">
            <v>0</v>
          </cell>
          <cell r="H158" t="b">
            <v>1</v>
          </cell>
        </row>
        <row r="159">
          <cell r="G159">
            <v>0</v>
          </cell>
          <cell r="H159" t="b">
            <v>0</v>
          </cell>
        </row>
        <row r="160">
          <cell r="G160">
            <v>0</v>
          </cell>
          <cell r="H160" t="b">
            <v>1</v>
          </cell>
        </row>
        <row r="161">
          <cell r="G161">
            <v>0</v>
          </cell>
          <cell r="H161" t="b">
            <v>0</v>
          </cell>
        </row>
        <row r="162">
          <cell r="G162">
            <v>0</v>
          </cell>
          <cell r="H162" t="b">
            <v>1</v>
          </cell>
        </row>
        <row r="163">
          <cell r="G163">
            <v>0</v>
          </cell>
          <cell r="H163" t="b">
            <v>0</v>
          </cell>
        </row>
        <row r="164">
          <cell r="G164">
            <v>0</v>
          </cell>
          <cell r="H164" t="b">
            <v>1</v>
          </cell>
        </row>
        <row r="165">
          <cell r="G165">
            <v>0</v>
          </cell>
          <cell r="H165" t="b">
            <v>0</v>
          </cell>
        </row>
        <row r="166">
          <cell r="G166">
            <v>0</v>
          </cell>
          <cell r="H166" t="b">
            <v>1</v>
          </cell>
        </row>
        <row r="167">
          <cell r="G167">
            <v>0</v>
          </cell>
          <cell r="H167" t="b">
            <v>0</v>
          </cell>
        </row>
        <row r="168">
          <cell r="G168">
            <v>0</v>
          </cell>
          <cell r="H168" t="b">
            <v>1</v>
          </cell>
        </row>
        <row r="169">
          <cell r="G169">
            <v>0</v>
          </cell>
          <cell r="H169" t="b">
            <v>0</v>
          </cell>
        </row>
        <row r="170">
          <cell r="G170">
            <v>0</v>
          </cell>
          <cell r="H170" t="b">
            <v>1</v>
          </cell>
        </row>
        <row r="171">
          <cell r="G171">
            <v>0</v>
          </cell>
          <cell r="H171" t="b">
            <v>0</v>
          </cell>
        </row>
        <row r="172">
          <cell r="G172">
            <v>0</v>
          </cell>
          <cell r="H172" t="b">
            <v>1</v>
          </cell>
        </row>
        <row r="173">
          <cell r="G173">
            <v>0</v>
          </cell>
          <cell r="H173" t="b">
            <v>0</v>
          </cell>
        </row>
        <row r="174">
          <cell r="G174">
            <v>0</v>
          </cell>
          <cell r="H174" t="b">
            <v>1</v>
          </cell>
        </row>
        <row r="175">
          <cell r="G175">
            <v>0</v>
          </cell>
          <cell r="H175" t="b">
            <v>0</v>
          </cell>
        </row>
        <row r="176">
          <cell r="G176">
            <v>0</v>
          </cell>
          <cell r="H176" t="b">
            <v>1</v>
          </cell>
        </row>
        <row r="177">
          <cell r="G177">
            <v>0</v>
          </cell>
          <cell r="H177" t="b">
            <v>0</v>
          </cell>
        </row>
        <row r="178">
          <cell r="G178">
            <v>0</v>
          </cell>
          <cell r="H178" t="b">
            <v>1</v>
          </cell>
        </row>
        <row r="179">
          <cell r="G179">
            <v>0</v>
          </cell>
          <cell r="H179" t="b">
            <v>0</v>
          </cell>
        </row>
        <row r="180">
          <cell r="G180">
            <v>0</v>
          </cell>
          <cell r="H180" t="b">
            <v>1</v>
          </cell>
        </row>
      </sheetData>
      <sheetData sheetId="2" refreshError="1">
        <row r="2">
          <cell r="F2">
            <v>0.05</v>
          </cell>
        </row>
        <row r="34">
          <cell r="O34">
            <v>95325.473432383646</v>
          </cell>
          <cell r="P34">
            <v>95325.473432383646</v>
          </cell>
          <cell r="R34">
            <v>100000</v>
          </cell>
        </row>
        <row r="37">
          <cell r="S37">
            <v>1</v>
          </cell>
        </row>
        <row r="38">
          <cell r="B38">
            <v>1</v>
          </cell>
          <cell r="F38">
            <v>65</v>
          </cell>
          <cell r="S38">
            <v>0</v>
          </cell>
          <cell r="U38">
            <v>0</v>
          </cell>
        </row>
        <row r="39">
          <cell r="B39">
            <v>1</v>
          </cell>
          <cell r="F39">
            <v>65</v>
          </cell>
          <cell r="S39">
            <v>1</v>
          </cell>
          <cell r="U39">
            <v>1</v>
          </cell>
        </row>
        <row r="40">
          <cell r="B40">
            <v>1</v>
          </cell>
          <cell r="F40">
            <v>45</v>
          </cell>
          <cell r="S40">
            <v>2</v>
          </cell>
          <cell r="U40">
            <v>2</v>
          </cell>
        </row>
        <row r="41">
          <cell r="B41">
            <v>1</v>
          </cell>
          <cell r="F41">
            <v>55</v>
          </cell>
          <cell r="S41">
            <v>3</v>
          </cell>
          <cell r="U41">
            <v>3</v>
          </cell>
        </row>
        <row r="42">
          <cell r="B42">
            <v>1</v>
          </cell>
          <cell r="F42">
            <v>75</v>
          </cell>
          <cell r="S42">
            <v>4</v>
          </cell>
          <cell r="U42">
            <v>4</v>
          </cell>
        </row>
        <row r="43">
          <cell r="B43">
            <v>1</v>
          </cell>
          <cell r="F43">
            <v>84</v>
          </cell>
          <cell r="S43">
            <v>5</v>
          </cell>
          <cell r="U43">
            <v>5</v>
          </cell>
        </row>
        <row r="44">
          <cell r="B44">
            <v>1</v>
          </cell>
          <cell r="F44">
            <v>65</v>
          </cell>
          <cell r="S44">
            <v>6</v>
          </cell>
          <cell r="U44">
            <v>6</v>
          </cell>
        </row>
        <row r="45">
          <cell r="B45">
            <v>1</v>
          </cell>
          <cell r="F45">
            <v>65</v>
          </cell>
          <cell r="S45">
            <v>7</v>
          </cell>
          <cell r="U45">
            <v>7</v>
          </cell>
        </row>
        <row r="46">
          <cell r="B46">
            <v>1</v>
          </cell>
          <cell r="F46">
            <v>65</v>
          </cell>
          <cell r="S46">
            <v>8</v>
          </cell>
          <cell r="U46">
            <v>8</v>
          </cell>
        </row>
        <row r="47">
          <cell r="B47">
            <v>1</v>
          </cell>
          <cell r="F47">
            <v>65</v>
          </cell>
          <cell r="S47">
            <v>9</v>
          </cell>
          <cell r="U47">
            <v>9</v>
          </cell>
        </row>
        <row r="48">
          <cell r="B48">
            <v>1</v>
          </cell>
          <cell r="F48">
            <v>65</v>
          </cell>
          <cell r="S48">
            <v>10</v>
          </cell>
          <cell r="U48">
            <v>10</v>
          </cell>
        </row>
        <row r="49">
          <cell r="B49">
            <v>1</v>
          </cell>
          <cell r="F49">
            <v>65</v>
          </cell>
          <cell r="S49">
            <v>11</v>
          </cell>
          <cell r="U49">
            <v>11</v>
          </cell>
        </row>
        <row r="50">
          <cell r="B50">
            <v>1</v>
          </cell>
          <cell r="F50">
            <v>65</v>
          </cell>
          <cell r="S50">
            <v>12</v>
          </cell>
          <cell r="U50">
            <v>12</v>
          </cell>
        </row>
        <row r="51">
          <cell r="B51">
            <v>1</v>
          </cell>
          <cell r="F51">
            <v>65</v>
          </cell>
          <cell r="S51">
            <v>13</v>
          </cell>
          <cell r="U51">
            <v>13</v>
          </cell>
        </row>
        <row r="52">
          <cell r="B52">
            <v>2</v>
          </cell>
          <cell r="F52">
            <v>55</v>
          </cell>
          <cell r="S52">
            <v>14</v>
          </cell>
          <cell r="U52">
            <v>14</v>
          </cell>
        </row>
        <row r="53">
          <cell r="B53">
            <v>2</v>
          </cell>
          <cell r="F53">
            <v>65</v>
          </cell>
          <cell r="S53">
            <v>15</v>
          </cell>
          <cell r="U53">
            <v>15</v>
          </cell>
        </row>
        <row r="54">
          <cell r="B54">
            <v>2</v>
          </cell>
          <cell r="F54">
            <v>80</v>
          </cell>
          <cell r="S54">
            <v>16</v>
          </cell>
          <cell r="U54">
            <v>16</v>
          </cell>
        </row>
        <row r="85">
          <cell r="A85">
            <v>6.25E-2</v>
          </cell>
        </row>
        <row r="86">
          <cell r="A86">
            <v>0.04</v>
          </cell>
        </row>
      </sheetData>
      <sheetData sheetId="3" refreshError="1"/>
      <sheetData sheetId="4" refreshError="1"/>
      <sheetData sheetId="5" refreshError="1"/>
      <sheetData sheetId="6" refreshError="1"/>
      <sheetData sheetId="7" refreshError="1">
        <row r="11">
          <cell r="B11">
            <v>45</v>
          </cell>
          <cell r="C11">
            <v>59</v>
          </cell>
        </row>
        <row r="12">
          <cell r="B12">
            <v>60</v>
          </cell>
          <cell r="C12">
            <v>64</v>
          </cell>
        </row>
        <row r="13">
          <cell r="B13">
            <v>65</v>
          </cell>
          <cell r="C13">
            <v>71</v>
          </cell>
        </row>
        <row r="14">
          <cell r="B14">
            <v>72</v>
          </cell>
          <cell r="C14">
            <v>99</v>
          </cell>
        </row>
        <row r="15">
          <cell r="C15">
            <v>59</v>
          </cell>
        </row>
        <row r="16">
          <cell r="C16">
            <v>64</v>
          </cell>
        </row>
        <row r="17">
          <cell r="C17">
            <v>71</v>
          </cell>
        </row>
        <row r="18">
          <cell r="C18">
            <v>99</v>
          </cell>
        </row>
      </sheetData>
      <sheetData sheetId="8" refreshError="1"/>
      <sheetData sheetId="9" refreshError="1">
        <row r="8">
          <cell r="B8">
            <v>1.621</v>
          </cell>
        </row>
        <row r="9">
          <cell r="B9">
            <v>0.40500000000000003</v>
          </cell>
        </row>
        <row r="10">
          <cell r="B10">
            <v>0.25900000000000001</v>
          </cell>
        </row>
        <row r="11">
          <cell r="B11">
            <v>0.17899999999999999</v>
          </cell>
        </row>
        <row r="12">
          <cell r="B12">
            <v>0.13700000000000001</v>
          </cell>
        </row>
        <row r="13">
          <cell r="B13">
            <v>0.125</v>
          </cell>
        </row>
        <row r="14">
          <cell r="B14">
            <v>0.11700000000000001</v>
          </cell>
        </row>
        <row r="15">
          <cell r="B15">
            <v>0.11</v>
          </cell>
        </row>
        <row r="16">
          <cell r="B16">
            <v>9.5000000000000001E-2</v>
          </cell>
        </row>
        <row r="17">
          <cell r="B17">
            <v>8.7999999999999995E-2</v>
          </cell>
        </row>
        <row r="18">
          <cell r="B18">
            <v>8.5000000000000006E-2</v>
          </cell>
        </row>
        <row r="19">
          <cell r="B19">
            <v>8.5999999999999993E-2</v>
          </cell>
        </row>
        <row r="20">
          <cell r="B20">
            <v>9.4E-2</v>
          </cell>
        </row>
        <row r="21">
          <cell r="B21">
            <v>0.108</v>
          </cell>
        </row>
        <row r="22">
          <cell r="B22">
            <v>0.13100000000000001</v>
          </cell>
        </row>
        <row r="23">
          <cell r="B23">
            <v>0.156</v>
          </cell>
        </row>
        <row r="24">
          <cell r="B24">
            <v>0.17899999999999999</v>
          </cell>
        </row>
        <row r="25">
          <cell r="B25">
            <v>0.19800000000000001</v>
          </cell>
        </row>
        <row r="26">
          <cell r="B26">
            <v>0.21099999999999999</v>
          </cell>
        </row>
        <row r="27">
          <cell r="B27">
            <v>0.221</v>
          </cell>
        </row>
        <row r="28">
          <cell r="B28">
            <v>0.22800000000000001</v>
          </cell>
        </row>
        <row r="29">
          <cell r="B29">
            <v>0.23400000000000001</v>
          </cell>
        </row>
        <row r="30">
          <cell r="B30">
            <v>0.24</v>
          </cell>
        </row>
        <row r="31">
          <cell r="B31">
            <v>0.245</v>
          </cell>
        </row>
        <row r="32">
          <cell r="B32">
            <v>0.247</v>
          </cell>
        </row>
        <row r="33">
          <cell r="B33">
            <v>0.25</v>
          </cell>
        </row>
        <row r="34">
          <cell r="B34">
            <v>0.25600000000000001</v>
          </cell>
        </row>
        <row r="35">
          <cell r="B35">
            <v>0.26100000000000001</v>
          </cell>
        </row>
        <row r="36">
          <cell r="B36">
            <v>0.27</v>
          </cell>
        </row>
        <row r="37">
          <cell r="B37">
            <v>0.28100000000000003</v>
          </cell>
        </row>
        <row r="38">
          <cell r="B38">
            <v>0.3</v>
          </cell>
        </row>
        <row r="39">
          <cell r="B39">
            <v>0.32100000000000001</v>
          </cell>
        </row>
        <row r="40">
          <cell r="B40">
            <v>0.33800000000000002</v>
          </cell>
        </row>
        <row r="41">
          <cell r="B41">
            <v>0.35099999999999998</v>
          </cell>
        </row>
        <row r="42">
          <cell r="B42">
            <v>0.36499999999999999</v>
          </cell>
        </row>
        <row r="43">
          <cell r="B43">
            <v>0.38100000000000001</v>
          </cell>
        </row>
        <row r="44">
          <cell r="B44">
            <v>0.40200000000000002</v>
          </cell>
        </row>
        <row r="45">
          <cell r="B45">
            <v>0.42899999999999999</v>
          </cell>
        </row>
        <row r="46">
          <cell r="B46">
            <v>0.46300000000000002</v>
          </cell>
        </row>
        <row r="47">
          <cell r="B47">
            <v>0.504</v>
          </cell>
        </row>
        <row r="48">
          <cell r="B48">
            <v>0.55200000000000005</v>
          </cell>
        </row>
        <row r="49">
          <cell r="B49">
            <v>0.6</v>
          </cell>
        </row>
        <row r="50">
          <cell r="B50">
            <v>0.65</v>
          </cell>
        </row>
        <row r="51">
          <cell r="B51">
            <v>0.69699999999999995</v>
          </cell>
        </row>
        <row r="52">
          <cell r="B52">
            <v>0.74</v>
          </cell>
        </row>
        <row r="53">
          <cell r="B53">
            <v>0.78</v>
          </cell>
        </row>
        <row r="54">
          <cell r="B54">
            <v>0.82499999999999996</v>
          </cell>
        </row>
        <row r="55">
          <cell r="B55">
            <v>0.88500000000000001</v>
          </cell>
        </row>
        <row r="56">
          <cell r="B56">
            <v>0.96399999999999997</v>
          </cell>
        </row>
        <row r="57">
          <cell r="B57">
            <v>1.0509999999999999</v>
          </cell>
        </row>
        <row r="58">
          <cell r="B58">
            <v>1.161</v>
          </cell>
        </row>
        <row r="59">
          <cell r="B59">
            <v>1.3080000000000001</v>
          </cell>
        </row>
        <row r="60">
          <cell r="B60">
            <v>1.46</v>
          </cell>
        </row>
        <row r="61">
          <cell r="B61">
            <v>1.613</v>
          </cell>
        </row>
        <row r="62">
          <cell r="B62">
            <v>1.774</v>
          </cell>
        </row>
        <row r="63">
          <cell r="B63">
            <v>1.95</v>
          </cell>
        </row>
        <row r="64">
          <cell r="B64">
            <v>2.1539999999999999</v>
          </cell>
        </row>
        <row r="65">
          <cell r="B65">
            <v>2.399</v>
          </cell>
        </row>
        <row r="66">
          <cell r="B66">
            <v>2.7</v>
          </cell>
        </row>
        <row r="67">
          <cell r="B67">
            <v>3.0539999999999998</v>
          </cell>
        </row>
        <row r="68">
          <cell r="B68">
            <v>3.46</v>
          </cell>
        </row>
        <row r="69">
          <cell r="B69">
            <v>3.9159999999999999</v>
          </cell>
        </row>
        <row r="70">
          <cell r="B70">
            <v>4.4089999999999998</v>
          </cell>
        </row>
        <row r="71">
          <cell r="B71">
            <v>4.9329999999999998</v>
          </cell>
        </row>
        <row r="72">
          <cell r="B72">
            <v>5.5069999999999997</v>
          </cell>
        </row>
        <row r="73">
          <cell r="B73">
            <v>6.1459999999999999</v>
          </cell>
        </row>
        <row r="74">
          <cell r="B74">
            <v>6.5510000000000002</v>
          </cell>
        </row>
        <row r="75">
          <cell r="B75">
            <v>7.0389999999999997</v>
          </cell>
        </row>
        <row r="76">
          <cell r="B76">
            <v>7.6280000000000001</v>
          </cell>
        </row>
        <row r="77">
          <cell r="B77">
            <v>8.3109999999999999</v>
          </cell>
        </row>
        <row r="78">
          <cell r="B78">
            <v>9.0739999999999998</v>
          </cell>
        </row>
        <row r="79">
          <cell r="B79">
            <v>9.91</v>
          </cell>
        </row>
        <row r="80">
          <cell r="B80">
            <v>10.827</v>
          </cell>
        </row>
        <row r="81">
          <cell r="B81">
            <v>11.839</v>
          </cell>
        </row>
        <row r="82">
          <cell r="B82">
            <v>12.974</v>
          </cell>
        </row>
        <row r="83">
          <cell r="B83">
            <v>14.282</v>
          </cell>
        </row>
        <row r="84">
          <cell r="B84">
            <v>15.798999999999999</v>
          </cell>
        </row>
        <row r="85">
          <cell r="B85">
            <v>17.55</v>
          </cell>
        </row>
        <row r="86">
          <cell r="B86">
            <v>19.582000000000001</v>
          </cell>
        </row>
        <row r="87">
          <cell r="B87">
            <v>21.97</v>
          </cell>
        </row>
        <row r="88">
          <cell r="B88">
            <v>24.821000000000002</v>
          </cell>
        </row>
        <row r="89">
          <cell r="B89">
            <v>28.350999999999999</v>
          </cell>
        </row>
        <row r="90">
          <cell r="B90">
            <v>32.509</v>
          </cell>
        </row>
        <row r="91">
          <cell r="B91">
            <v>37.329000000000001</v>
          </cell>
        </row>
        <row r="92">
          <cell r="B92">
            <v>42.83</v>
          </cell>
        </row>
        <row r="93">
          <cell r="B93">
            <v>48.997</v>
          </cell>
        </row>
        <row r="94">
          <cell r="B94">
            <v>55.774000000000001</v>
          </cell>
        </row>
        <row r="95">
          <cell r="B95">
            <v>63.14</v>
          </cell>
        </row>
        <row r="96">
          <cell r="B96">
            <v>71.066000000000003</v>
          </cell>
        </row>
        <row r="97">
          <cell r="B97">
            <v>79.501999999999995</v>
          </cell>
        </row>
        <row r="98">
          <cell r="B98">
            <v>88.376999999999995</v>
          </cell>
        </row>
        <row r="99">
          <cell r="B99">
            <v>97.491</v>
          </cell>
        </row>
        <row r="100">
          <cell r="B100">
            <v>107.26900000000001</v>
          </cell>
        </row>
        <row r="101">
          <cell r="B101">
            <v>118.20099999999999</v>
          </cell>
        </row>
        <row r="102">
          <cell r="B102">
            <v>130.96899999999999</v>
          </cell>
        </row>
        <row r="103">
          <cell r="B103">
            <v>146.44900000000001</v>
          </cell>
        </row>
        <row r="104">
          <cell r="B104">
            <v>163.90799999999999</v>
          </cell>
        </row>
        <row r="105">
          <cell r="B105">
            <v>179.69499999999999</v>
          </cell>
        </row>
        <row r="106">
          <cell r="B106">
            <v>196.15100000000001</v>
          </cell>
        </row>
        <row r="107">
          <cell r="B107">
            <v>213.15</v>
          </cell>
        </row>
        <row r="108">
          <cell r="B108">
            <v>230.72200000000001</v>
          </cell>
        </row>
        <row r="109">
          <cell r="B109">
            <v>251.505</v>
          </cell>
        </row>
        <row r="110">
          <cell r="B110">
            <v>273.00700000000001</v>
          </cell>
        </row>
        <row r="111">
          <cell r="B111">
            <v>295.08600000000001</v>
          </cell>
        </row>
        <row r="112">
          <cell r="B112">
            <v>317.59100000000001</v>
          </cell>
        </row>
        <row r="113">
          <cell r="B113">
            <v>340.36200000000002</v>
          </cell>
        </row>
        <row r="114">
          <cell r="B114">
            <v>362.37099999999998</v>
          </cell>
        </row>
        <row r="115">
          <cell r="B115">
            <v>384.113</v>
          </cell>
        </row>
        <row r="116">
          <cell r="B116">
            <v>400</v>
          </cell>
        </row>
        <row r="117">
          <cell r="B117">
            <v>400</v>
          </cell>
        </row>
        <row r="118">
          <cell r="B118">
            <v>400</v>
          </cell>
        </row>
        <row r="119">
          <cell r="B119">
            <v>400</v>
          </cell>
        </row>
        <row r="120">
          <cell r="B120">
            <v>400</v>
          </cell>
        </row>
        <row r="121">
          <cell r="B121">
            <v>400</v>
          </cell>
        </row>
        <row r="122">
          <cell r="B122">
            <v>400</v>
          </cell>
        </row>
        <row r="123">
          <cell r="B123">
            <v>400</v>
          </cell>
        </row>
        <row r="124">
          <cell r="B124">
            <v>400</v>
          </cell>
        </row>
        <row r="125">
          <cell r="B125">
            <v>400</v>
          </cell>
        </row>
        <row r="126">
          <cell r="B126">
            <v>400</v>
          </cell>
        </row>
        <row r="127">
          <cell r="B127">
            <v>400</v>
          </cell>
        </row>
        <row r="128">
          <cell r="B128">
            <v>1000</v>
          </cell>
        </row>
      </sheetData>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Calculation"/>
      <sheetName val="Test Cases"/>
      <sheetName val="WdTables"/>
    </sheetNames>
    <sheetDataSet>
      <sheetData sheetId="0">
        <row r="5">
          <cell r="C5">
            <v>42465</v>
          </cell>
        </row>
        <row r="6">
          <cell r="C6">
            <v>18720</v>
          </cell>
        </row>
        <row r="8">
          <cell r="C8" t="str">
            <v/>
          </cell>
        </row>
        <row r="10">
          <cell r="C10">
            <v>42465</v>
          </cell>
        </row>
        <row r="12">
          <cell r="C12">
            <v>43743</v>
          </cell>
        </row>
        <row r="13">
          <cell r="C13">
            <v>1</v>
          </cell>
        </row>
        <row r="14">
          <cell r="C14">
            <v>5.2499999999999998E-2</v>
          </cell>
        </row>
        <row r="15">
          <cell r="C15">
            <v>100000</v>
          </cell>
        </row>
        <row r="16">
          <cell r="C16">
            <v>100000</v>
          </cell>
        </row>
        <row r="17">
          <cell r="C17">
            <v>19500</v>
          </cell>
        </row>
        <row r="19">
          <cell r="C19">
            <v>0</v>
          </cell>
        </row>
        <row r="20">
          <cell r="C20">
            <v>1</v>
          </cell>
        </row>
        <row r="21">
          <cell r="C21" t="b">
            <v>0</v>
          </cell>
        </row>
        <row r="22">
          <cell r="C22">
            <v>65</v>
          </cell>
        </row>
        <row r="23">
          <cell r="C23" t="str">
            <v/>
          </cell>
        </row>
        <row r="24">
          <cell r="C24">
            <v>65</v>
          </cell>
        </row>
        <row r="25">
          <cell r="C25">
            <v>6.25E-2</v>
          </cell>
        </row>
        <row r="26">
          <cell r="C26">
            <v>0.04</v>
          </cell>
        </row>
        <row r="27">
          <cell r="C27">
            <v>3.4989733059548254</v>
          </cell>
        </row>
      </sheetData>
      <sheetData sheetId="1">
        <row r="6">
          <cell r="U6">
            <v>1462084.888307723</v>
          </cell>
        </row>
        <row r="15">
          <cell r="Z15">
            <v>3.5</v>
          </cell>
        </row>
      </sheetData>
      <sheetData sheetId="2"/>
      <sheetData sheetId="3">
        <row r="11">
          <cell r="B11">
            <v>45</v>
          </cell>
          <cell r="C11">
            <v>59</v>
          </cell>
          <cell r="D11">
            <v>0.04</v>
          </cell>
          <cell r="E11">
            <v>0.03</v>
          </cell>
          <cell r="F11">
            <v>0.04</v>
          </cell>
          <cell r="G11">
            <v>0.03</v>
          </cell>
          <cell r="H11">
            <v>0.03</v>
          </cell>
          <cell r="I11">
            <v>0.03</v>
          </cell>
        </row>
        <row r="12">
          <cell r="B12">
            <v>60</v>
          </cell>
          <cell r="C12">
            <v>64</v>
          </cell>
          <cell r="D12">
            <v>0.05</v>
          </cell>
          <cell r="E12">
            <v>0.03</v>
          </cell>
          <cell r="F12">
            <v>0.05</v>
          </cell>
          <cell r="G12">
            <v>0.03</v>
          </cell>
          <cell r="H12">
            <v>3.5000000000000003E-2</v>
          </cell>
          <cell r="I12">
            <v>3.5000000000000003E-2</v>
          </cell>
        </row>
        <row r="13">
          <cell r="B13">
            <v>65</v>
          </cell>
          <cell r="C13">
            <v>71</v>
          </cell>
          <cell r="D13">
            <v>6.25E-2</v>
          </cell>
          <cell r="E13">
            <v>0.04</v>
          </cell>
          <cell r="F13">
            <v>7.4999999999999997E-2</v>
          </cell>
          <cell r="G13">
            <v>0.03</v>
          </cell>
          <cell r="H13">
            <v>0.05</v>
          </cell>
          <cell r="I13">
            <v>0.05</v>
          </cell>
        </row>
        <row r="14">
          <cell r="B14">
            <v>72</v>
          </cell>
          <cell r="C14">
            <v>99</v>
          </cell>
          <cell r="D14">
            <v>6.7500000000000004E-2</v>
          </cell>
          <cell r="E14">
            <v>0.04</v>
          </cell>
          <cell r="F14">
            <v>0.08</v>
          </cell>
          <cell r="G14">
            <v>0.03</v>
          </cell>
          <cell r="H14">
            <v>5.2499999999999998E-2</v>
          </cell>
          <cell r="I14">
            <v>5.2499999999999998E-2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Calculation"/>
      <sheetName val="Test Cases"/>
      <sheetName val="WdTables"/>
    </sheetNames>
    <sheetDataSet>
      <sheetData sheetId="0">
        <row r="4">
          <cell r="C4" t="b">
            <v>1</v>
          </cell>
        </row>
        <row r="5">
          <cell r="C5">
            <v>42465</v>
          </cell>
        </row>
        <row r="6">
          <cell r="C6">
            <v>18720</v>
          </cell>
        </row>
        <row r="8">
          <cell r="C8" t="str">
            <v/>
          </cell>
        </row>
        <row r="10">
          <cell r="C10">
            <v>42465</v>
          </cell>
        </row>
        <row r="11">
          <cell r="C11">
            <v>100000</v>
          </cell>
        </row>
        <row r="12">
          <cell r="C12">
            <v>44109</v>
          </cell>
        </row>
        <row r="13">
          <cell r="C13">
            <v>1</v>
          </cell>
        </row>
        <row r="14">
          <cell r="C14">
            <v>5.2499999999999998E-2</v>
          </cell>
        </row>
        <row r="15">
          <cell r="C15">
            <v>100000</v>
          </cell>
        </row>
        <row r="16">
          <cell r="C16">
            <v>100000</v>
          </cell>
        </row>
        <row r="17">
          <cell r="C17">
            <v>999</v>
          </cell>
        </row>
        <row r="18">
          <cell r="C18">
            <v>100000</v>
          </cell>
        </row>
        <row r="19">
          <cell r="C19">
            <v>0</v>
          </cell>
        </row>
        <row r="20">
          <cell r="C20">
            <v>1</v>
          </cell>
        </row>
        <row r="21">
          <cell r="C21" t="b">
            <v>0</v>
          </cell>
        </row>
        <row r="22">
          <cell r="C22">
            <v>65</v>
          </cell>
        </row>
        <row r="23">
          <cell r="C23" t="str">
            <v/>
          </cell>
        </row>
        <row r="24">
          <cell r="C24">
            <v>65</v>
          </cell>
        </row>
        <row r="25">
          <cell r="C25">
            <v>6.25E-2</v>
          </cell>
        </row>
        <row r="26">
          <cell r="C26">
            <v>0.04</v>
          </cell>
        </row>
        <row r="27">
          <cell r="C27">
            <v>4.4991789819376029</v>
          </cell>
        </row>
        <row r="29">
          <cell r="C29" t="b">
            <v>0</v>
          </cell>
        </row>
      </sheetData>
      <sheetData sheetId="1">
        <row r="6">
          <cell r="T6">
            <v>1461878.4254432805</v>
          </cell>
        </row>
      </sheetData>
      <sheetData sheetId="2"/>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lossary"/>
      <sheetName val="Homework"/>
      <sheetName val="How It Works"/>
      <sheetName val="Orders of Operation"/>
    </sheetNames>
    <sheetDataSet>
      <sheetData sheetId="0" refreshError="1"/>
      <sheetData sheetId="1" refreshError="1">
        <row r="2">
          <cell r="B2">
            <v>100000</v>
          </cell>
        </row>
        <row r="21">
          <cell r="B21">
            <v>60000</v>
          </cell>
        </row>
        <row r="22">
          <cell r="B22" t="str">
            <v>—</v>
          </cell>
        </row>
      </sheetData>
      <sheetData sheetId="2" refreshError="1"/>
      <sheetData sheetId="3" refreshError="1"/>
    </sheetDataSet>
  </externalBook>
</externalLink>
</file>

<file path=xl/persons/person.xml><?xml version="1.0" encoding="utf-8"?>
<personList xmlns="http://schemas.microsoft.com/office/spreadsheetml/2018/threadedcomments" xmlns:x="http://schemas.openxmlformats.org/spreadsheetml/2006/main">
  <person displayName="Bryon Robidoux" id="{C48D058A-ACBD-4FE6-AB8B-60023675C401}" userId="c06de2f38d2dffe6"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C9A735-F0DB-4947-A9A3-EEB3807AA4A8}" name="TestCases" displayName="TestCases" ref="A1:AL18" totalsRowShown="0" headerRowDxfId="94" dataDxfId="93" tableBorderDxfId="92">
  <autoFilter ref="A1:AL18" xr:uid="{E7A0DD17-F5C6-4D7E-A620-2CF622CA6412}"/>
  <tableColumns count="38">
    <tableColumn id="1" xr3:uid="{A912FE33-64FD-43FF-BC77-832D4B0B5726}" name="Test" dataDxfId="91"/>
    <tableColumn id="2" xr3:uid="{27C24B86-F7EE-4921-98FB-301B16521BEE}" name="Test Name" dataDxfId="90"/>
    <tableColumn id="3" xr3:uid="{9B878A86-F01A-46A5-996C-0B16163110EE}" name="Use Base Case" dataDxfId="89"/>
    <tableColumn id="4" xr3:uid="{389974D8-40BA-4912-81CB-71E007CF00F6}" name="Valuation Date" dataDxfId="88"/>
    <tableColumn id="5" xr3:uid="{5D825F96-A8A8-446F-B5D9-FF2996541D14}" name="Primary Birthdate" dataDxfId="87"/>
    <tableColumn id="6" xr3:uid="{2C5BC6B7-E114-4500-9D6B-DD5C8A5F907A}" name="Primary Gender" dataDxfId="86"/>
    <tableColumn id="7" xr3:uid="{D86779BE-A179-4854-8EE3-9EC4F922FBDE}" name="Secondary Birthdate" dataDxfId="85"/>
    <tableColumn id="8" xr3:uid="{47EDDC5F-E676-4F53-80D2-63363F8412BC}" name="Secondary Gender" dataDxfId="84"/>
    <tableColumn id="9" xr3:uid="{1F100ADD-0B2E-4A5E-B997-486DFC73A344}" name="Benefit Effective Date " dataDxfId="83"/>
    <tableColumn id="10" xr3:uid="{62038AAC-4524-4C3F-9B80-5C27F441938F}" name="Initial Purchase Payment " dataDxfId="82"/>
    <tableColumn id="11" xr3:uid="{CAA9C5D2-1BDA-438B-8F61-16A3BD7B77FF}" name="Withdrawal Activation Date" dataDxfId="81"/>
    <tableColumn id="12" xr3:uid="{DAB85CF7-0FF9-47EF-8B4F-94336E5C777F}" name="Annuity Income Option" dataDxfId="80"/>
    <tableColumn id="13" xr3:uid="{46B2D273-DF66-4C14-80FF-DD2F8C91DBA2}" name="Income Credit Percentage " dataDxfId="79"/>
    <tableColumn id="14" xr3:uid="{CF26EA54-9C41-4BD9-A624-B8124C922107}" name="Current Income Base" dataDxfId="78"/>
    <tableColumn id="15" xr3:uid="{9F44D62E-2C9C-4009-9206-7B9A274018D9}" name="Current Income Base Credit" dataDxfId="77"/>
    <tableColumn id="16" xr3:uid="{1F39FF4B-5075-4555-818E-6924ABD0215E}" name="Withdrawal Amount" dataDxfId="76"/>
    <tableColumn id="17" xr3:uid="{6FE2749D-0663-41F5-9EDE-F22977158A59}" name="Current Contract Value" dataDxfId="75"/>
    <tableColumn id="18" xr3:uid="{143EC895-7D89-4679-9EA6-43BCDF2A816E}" name="Turn On Fees" dataDxfId="74"/>
    <tableColumn id="19" xr3:uid="{9CF8941F-8000-48B0-8904-D1A950EE4AB3}" name="Timing" dataDxfId="73"/>
    <tableColumn id="20" xr3:uid="{A072C7CA-5A89-47C9-8F4A-6008A475D479}" name="Goldman Sachs VIT Government Money Market Fund" dataDxfId="72"/>
    <tableColumn id="21" xr3:uid="{F8306ECB-94FD-4FD5-A9EC-D66D73F9BC1F}" name="PIMCO Total Return" dataDxfId="71"/>
    <tableColumn id="22" xr3:uid="{819FC068-8BF6-4D5D-891B-35378A3CCCA4}" name="SA BlackRock VCP Global Multi Asset*" dataDxfId="70"/>
    <tableColumn id="23" xr3:uid="{0E463651-A2B2-4566-BF6F-F5BC0E01180C}" name="SA DFA Ultra Short Bond" dataDxfId="69"/>
    <tableColumn id="24" xr3:uid="{FF6BB17E-B1BF-431F-9B41-C71CBE93C667}" name="SA Federated Hermes Corporate Bond" dataDxfId="68"/>
    <tableColumn id="25" xr3:uid="{6C8C54CC-964B-4119-8245-DBAEA2DE096B}" name="SA Fixed Income Index" dataDxfId="67"/>
    <tableColumn id="26" xr3:uid="{9E889EA8-5A93-4A0A-8ECD-E7BB8E12BE22}" name="SA Fixed Income Intermediate Index" dataDxfId="66"/>
    <tableColumn id="27" xr3:uid="{0BA9CD02-7677-4A41-A80A-FA9175D90F56}" name="SA Goldman Sachs Global Bond" dataDxfId="65"/>
    <tableColumn id="28" xr3:uid="{A9E0775C-5335-4AFB-A660-5C7407B3D345}" name="SA Invesco VCP Equity-Income*" dataDxfId="64"/>
    <tableColumn id="29" xr3:uid="{85FA639F-B23F-4722-A8F9-004C8A46A5CC}" name="SA JPMorgan MFS Core Bond" dataDxfId="63"/>
    <tableColumn id="30" xr3:uid="{E803BAD4-667A-48C2-B12C-32E2360F38E0}" name="SA PIMCO VCP Tactical Balanced*" dataDxfId="62"/>
    <tableColumn id="31" xr3:uid="{32DB6E11-F62B-465F-B50C-83C301D293F7}" name="SA Schroders VCP Global Allocation*" dataDxfId="61"/>
    <tableColumn id="32" xr3:uid="{93AAD91A-BD22-48AE-B2C0-84B215C7A9C3}" name="SA American Funds VCP Managed Allocation*" dataDxfId="60"/>
    <tableColumn id="33" xr3:uid="{5CA9612A-34EF-4AEC-87E4-360953ACCAB3}" name="SA T. Rowe Price VCP Balanced*" dataDxfId="59"/>
    <tableColumn id="34" xr3:uid="{B67935C5-14AC-47B9-87A9-AA50A9C4D6D6}" name="SA VCP Dynamic Allocation" dataDxfId="58"/>
    <tableColumn id="35" xr3:uid="{F2F6A207-5CC0-433E-9317-071666276A6C}" name="SA VCP Dynamic Strategy" dataDxfId="57"/>
    <tableColumn id="36" xr3:uid="{F90227DF-989A-4504-B9BE-A2B9A48B005B}" name="SA VCP Index Allocation" dataDxfId="56"/>
    <tableColumn id="37" xr3:uid="{172EAE5B-A5B5-4F3E-B39F-49F7714AD95B}" name="SA Wellington Government and Quality Bond" dataDxfId="55"/>
    <tableColumn id="38" xr3:uid="{76A61AF7-F8EF-45F9-A88F-EAF87987A063}" name="SA Wellington Real Return" dataDxfId="5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557BDA-193B-4531-BC44-CCC5D6E21D3C}" name="VaBenefits" displayName="VaBenefits" ref="A7:AH310" totalsRowShown="0" headerRowDxfId="46" dataDxfId="44" headerRowBorderDxfId="45" tableBorderDxfId="43" totalsRowBorderDxfId="42">
  <autoFilter ref="A7:AH310" xr:uid="{71557BDA-193B-4531-BC44-CCC5D6E21D3C}"/>
  <tableColumns count="34">
    <tableColumn id="19" xr3:uid="{C87C3382-B43C-49E7-9AF0-F78851E5BC45}" name="Index" dataDxfId="41">
      <calculatedColumnFormula>A7+1</calculatedColumnFormula>
    </tableColumn>
    <tableColumn id="1" xr3:uid="{A6BF2699-C5A7-4888-851F-AC9C12C238FC}" name="timeFromValuation" dataDxfId="40">
      <calculatedColumnFormula>B7+0.5</calculatedColumnFormula>
    </tableColumn>
    <tableColumn id="13" xr3:uid="{500C68B7-86AF-49AA-8C8F-4DBD0C2187EB}" name="Is Activation" dataDxfId="39">
      <calculatedColumnFormula>AND(VaBenefits[[#This Row],[timeFromValuation]]&gt;=ACT,VaBenefits[[#This Row],[Assumed Contract Value ]]&gt;0)</calculatedColumnFormula>
    </tableColumn>
    <tableColumn id="2" xr3:uid="{27538DE3-C149-452A-AF3A-6A104F062358}" name="Purchase Payments" dataDxfId="38">
      <calculatedColumnFormula>IF(Is_Issued, 0,AS8)</calculatedColumnFormula>
    </tableColumn>
    <tableColumn id="3" xr3:uid="{09BE5C10-85E9-4A07-AF0C-8D4AEFFA6B86}" name="Withdrawal Taken  " dataDxfId="37">
      <calculatedColumnFormula>IF(OR(RIGHT(B8,2)="25",RIGHT(B8,2)="75"),0,VLOOKUP(VaBenefits[[#This Row],[timeFromValuation]],$AR$8:$BA$30,3,FALSE))</calculatedColumnFormula>
    </tableColumn>
    <tableColumn id="4" xr3:uid="{70E954EC-A73D-43FF-A956-12DDC55529F5}" name="Assumed Contract Value " dataDxfId="36">
      <calculatedColumnFormula>IF(OR(RIGHT(B8,2)="25",RIGHT(B8,2)="75"),OFFSET(VaBenefits[[#This Row],[Assumed Contract Value ]],-1,0),VLOOKUP(VaBenefits[[#This Row],[timeFromValuation]],$AR$8:$BA$30,4,FALSE))</calculatedColumnFormula>
    </tableColumn>
    <tableColumn id="30" xr3:uid="{7B2B26D3-F75A-4641-9A59-168941A80B5C}" name="Primary Age" dataDxfId="35"/>
    <tableColumn id="31" xr3:uid="{DB693849-0B4B-4843-BA11-FAEDC7D7DF78}" name="Secondary Age" dataDxfId="34"/>
    <tableColumn id="15" xr3:uid="{7318F8D8-C8C5-472C-B53A-1B691DEBFB6B}" name="Is Withdrawal" dataDxfId="33">
      <calculatedColumnFormula>VaBenefits[[#This Row],[Withdrawal Taken  ]]&gt;0</calculatedColumnFormula>
    </tableColumn>
    <tableColumn id="18" xr3:uid="{6E4997CE-4ADF-4531-8FDF-E04A976BEA05}" name="Withdrawal Haircut Before Activation" dataDxfId="32"/>
    <tableColumn id="17" xr3:uid="{D7FAEEAA-3474-41F3-90DD-AC9A91E286D2}" name="Withdrawal Haircut After Activation" dataDxfId="31"/>
    <tableColumn id="27" xr3:uid="{5C49DEB0-7FA4-44DD-8F6B-65A8B5112BDD}" name="Has a Withdrawal Occurred After Activation" dataDxfId="30"/>
    <tableColumn id="16" xr3:uid="{88556CD0-0AA5-43F4-9950-E30B1416D0AC}" name="Withdrawal Penalty" dataDxfId="29" dataCellStyle="Comma">
      <calculatedColumnFormula>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calculatedColumnFormula>
    </tableColumn>
    <tableColumn id="11" xr3:uid="{E90E2FE6-3E17-406C-820D-2DCA165AB47B}" name="Is Anniversary?" dataDxfId="28">
      <calculatedColumnFormula>IF(VaBenefits[[#This Row],[timeFromValuation]]=0,0, MOD(VaBenefits[[#This Row],[timeFromValuation]],1)=0)</calculatedColumnFormula>
    </tableColumn>
    <tableColumn id="5" xr3:uid="{8C9DF71B-DD78-4B1C-B132-891847600449}" name="Anniversary Value  " dataDxfId="27">
      <calculatedColumnFormula>IF(VaBenefits[[#This Row],[Is Anniversary?]]=TRUE,VaBenefits[[#This Row],[Assumed Contract Value ]],0)</calculatedColumnFormula>
    </tableColumn>
    <tableColumn id="21" xr3:uid="{D1892B7E-962E-41D7-95E6-71316647BA8E}" name="Income Base" dataDxfId="26"/>
    <tableColumn id="6" xr3:uid="{E9BFCDD0-4E42-4040-BA5F-9C2BB7C4994B}" name="Has Income Credit" dataDxfId="25"/>
    <tableColumn id="22" xr3:uid="{43A38FAA-2432-4FCB-B40C-54C094C614C5}" name="Income Credit Base" dataDxfId="24" dataCellStyle="Comma"/>
    <tableColumn id="7" xr3:uid="{564ACD79-F75F-4EA2-888F-FA3A319A22B4}" name="Income Credit" dataDxfId="23">
      <calculatedColumnFormula>IF(VaBenefits[[#This Row],[Is Anniversary?]]=TRUE, VaBenefits[[#This Row],[Income Credit Base]]*ICP,0)</calculatedColumnFormula>
    </tableColumn>
    <tableColumn id="9" xr3:uid="{96E6906C-496E-46D0-9163-B89D76717B77}" name="Maximum Annual Withdrawal Amount upon Activation" dataDxfId="22" dataCellStyle="Comma">
      <calculatedColumnFormula>IF(VaBenefits[[#This Row],[Assumed Contract Value ]]&gt;0,VaBenefits[[#This Row],[Income Base]]*MAWA,0)</calculatedColumnFormula>
    </tableColumn>
    <tableColumn id="10" xr3:uid="{837C5341-ACB0-4894-A7F3-468668806A3A}" name="Protected Income Payment" dataDxfId="21" dataCellStyle="Comma">
      <calculatedColumnFormula>IF(AND(VaBenefits[[#This Row],[Has Income Credit]],VaBenefits[[#This Row],[Is Anniversary?]],VaBenefits[[#This Row],[Joint Mortality tPxy for the partial year]]),VaBenefits[[#This Row],[Income Base]]*PIP,0)</calculatedColumnFormula>
    </tableColumn>
    <tableColumn id="28" xr3:uid="{06A0943D-5204-4769-8ECB-7AAA6FC7C80E}" name="Discount Factor" dataDxfId="20" dataCellStyle="Comma">
      <calculatedColumnFormula>1/(1+InterestRate)^VaBenefits[[#This Row],[timeFromValuation]]</calculatedColumnFormula>
    </tableColumn>
    <tableColumn id="8" xr3:uid="{53D2A19A-DCDE-4D31-A11E-09032DF2B135}" name="Partial Year" dataDxfId="19">
      <calculatedColumnFormula>VaBenefits[[#This Row],[timeFromValuation]]</calculatedColumnFormula>
    </tableColumn>
    <tableColumn id="12" xr3:uid="{0C0FC967-CD17-40B2-BFDA-53343C78867A}" name="Primary Annuitant Px" dataDxfId="18">
      <calculatedColumnFormula>IF(($G$8+VaBenefits[[#This Row],[timeFromValuation]])&lt;=120,VLOOKUP(G8,Table2[],Qx!L$6,FALSE),0)</calculatedColumnFormula>
    </tableColumn>
    <tableColumn id="14" xr3:uid="{2A4D2E4D-84CA-4E7D-8867-303787BC2F02}" name="Secondary Annuitant Py" dataDxfId="17">
      <calculatedColumnFormula>VLOOKUP(H8,Table2[],Qx!M$6,FALSE)</calculatedColumnFormula>
    </tableColumn>
    <tableColumn id="20" xr3:uid="{308F8227-3EEC-4C59-8851-5A75409BC891}" name="tPx" dataDxfId="16">
      <calculatedColumnFormula>PRODUCT($X$8:$X8)</calculatedColumnFormula>
    </tableColumn>
    <tableColumn id="23" xr3:uid="{3B482D98-E0F5-48E9-B8C8-039C68370633}" name="tPy" dataDxfId="15">
      <calculatedColumnFormula>PRODUCT($Y$8:$Y8)</calculatedColumnFormula>
    </tableColumn>
    <tableColumn id="24" xr3:uid="{FFC4BCCC-B655-4123-BDE5-78A05F0F3FC5}" name="Joint Mortality tPxy for the partial year" dataDxfId="14">
      <calculatedColumnFormula>VaBenefits[[#This Row],[Primary Annuitant Px]]+VaBenefits[[#This Row],[Secondary Annuitant Py]]-VaBenefits[[#This Row],[Primary Annuitant Px]]*VaBenefits[[#This Row],[Secondary Annuitant Py]]</calculatedColumnFormula>
    </tableColumn>
    <tableColumn id="25" xr3:uid="{019D3CA5-5127-4329-AF38-A6F3F0DE9684}" name="Last-to-Die Survivorship tPxy" dataDxfId="13">
      <calculatedColumnFormula>PRODUCT($AB$8:$AB8)</calculatedColumnFormula>
    </tableColumn>
    <tableColumn id="29" xr3:uid="{022DD8C4-03AF-44D0-82C8-FE562FB17BA1}" name="Reserve" dataDxfId="12">
      <calculatedColumnFormula>PV(1.03,20,-VaBenefits[[#This Row],[Protected Income Payment]])</calculatedColumnFormula>
    </tableColumn>
    <tableColumn id="26" xr3:uid="{C96F258E-9C35-48BB-B93F-3CB86ACD3243}" name="Maintenace Fee" dataDxfId="11">
      <calculatedColumnFormula>IF((AND(VaBenefits[[#This Row],[Is Anniversary?]],VaBenefits[[#This Row],[Assumed Contract Value ]]&lt;75000)),-50,0)</calculatedColumnFormula>
    </tableColumn>
    <tableColumn id="32" xr3:uid="{68BA7EEE-82C2-46DF-AA09-538EFB6E162F}" name="Separate Account Charge" dataDxfId="10">
      <calculatedColumnFormula>VaBenefits[[#This Row],[Assumed Contract Value ]]*-1.15%/4</calculatedColumnFormula>
    </tableColumn>
    <tableColumn id="33" xr3:uid="{6E859037-FB4F-4641-B2E2-08F31DE03447}" name="Rider Fee" dataDxfId="9"/>
    <tableColumn id="34" xr3:uid="{CABDCEE8-19DA-406B-A8D2-5A45B1968F37}" name="Total Fee" dataDxfId="8">
      <calculatedColumnFormula>VaBenefits[[#This Row],[Maintenace Fee]]+VaBenefits[[#This Row],[Separate Account Charge]]+VaBenefits[[#This Row],[Rider Fee]]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A1B2CDD-1CD9-46EA-A0CD-B4108F00407F}" name="Table2" displayName="Table2" ref="A7:G128" totalsRowShown="0" headerRowDxfId="7">
  <autoFilter ref="A7:G128" xr:uid="{7562FA3B-5D66-44D7-A624-D0EA4E942FF6}"/>
  <tableColumns count="7">
    <tableColumn id="1" xr3:uid="{BFD1A40E-4A09-4DC7-A3DE-A2735867C1AF}" name="Age"/>
    <tableColumn id="2" xr3:uid="{F726F983-4E3B-4FC5-8A94-FD35F7814A62}" name="Fix"/>
    <tableColumn id="3" xr3:uid="{1EA85AD3-9D11-4F34-8D92-23419A2EBDF9}" name="Mix"/>
    <tableColumn id="4" xr3:uid="{50710620-EE7A-4A18-BA08-8856BC144323}" name="Fqx">
      <calculatedColumnFormula>Table2[[#This Row],[Fix]]/MAX(FIx)</calculatedColumnFormula>
    </tableColumn>
    <tableColumn id="5" xr3:uid="{97DD9274-A1FB-44B9-A2AA-220669EE8DD9}" name="Mqx">
      <calculatedColumnFormula>Table2[[#This Row],[Mix]]/MAX(FIx)</calculatedColumnFormula>
    </tableColumn>
    <tableColumn id="6" xr3:uid="{CD8C78E7-3334-47FD-863B-826E7A415EF9}" name="Fpx">
      <calculatedColumnFormula>1-Table2[[#This Row],[Fqx]]</calculatedColumnFormula>
    </tableColumn>
    <tableColumn id="7" xr3:uid="{C3D9A29B-B043-4AFB-BA32-50221F2D5680}" name="Mpx">
      <calculatedColumnFormula>1-Table2[[#This Row],[Mqx]]</calculatedColumnFormula>
    </tableColum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80CE36C-8DCC-439A-B640-31EA9E1FD739}" name="Table3" displayName="Table3" ref="I7:Q78" totalsRowShown="0" headerRowDxfId="6">
  <autoFilter ref="I7:Q78" xr:uid="{9AD28AAC-2136-44B6-A24E-BFB8565D5116}"/>
  <tableColumns count="9">
    <tableColumn id="1" xr3:uid="{419F1A20-718C-4068-B410-577942935EED}" name="Survivng t Years">
      <calculatedColumnFormula>I7+1</calculatedColumnFormula>
    </tableColumn>
    <tableColumn id="2" xr3:uid="{646AF360-FCD9-48D6-B72B-02AD82AC8A97}" name="To Age" dataDxfId="5">
      <calculatedColumnFormula>MIN(Qx!MaxAge,Table3[[#This Row],[Survivng t Years]]+$J$6)</calculatedColumnFormula>
    </tableColumn>
    <tableColumn id="3" xr3:uid="{C43BF3BA-5FB9-46DD-A97B-1EC22AE32D8C}" name="To Age2" dataDxfId="4">
      <calculatedColumnFormula>MIN(Table3[[#This Row],[Survivng t Years]]+$K$6,Qx!MaxAge)</calculatedColumnFormula>
    </tableColumn>
    <tableColumn id="4" xr3:uid="{889464B4-5188-43CD-A00A-42002C100B16}" name="Px" dataDxfId="3">
      <calculatedColumnFormula>VLOOKUP(Table3[[#This Row],[To Age]],$A$8:$G$128,L$6,FALSE)</calculatedColumnFormula>
    </tableColumn>
    <tableColumn id="5" xr3:uid="{D464910D-5F53-4DC6-9600-1DECB8BC3792}" name="Py" dataDxfId="2">
      <calculatedColumnFormula>VLOOKUP(Table3[[#This Row],[To Age2]],$A$8:$G$128,M$6,FALSE)</calculatedColumnFormula>
    </tableColumn>
    <tableColumn id="6" xr3:uid="{5721EC6C-AE4B-4254-BE06-CF050EEDEF82}" name="Symbol">
      <calculatedColumnFormula>"P"&amp;J8&amp;","&amp;K8</calculatedColumnFormula>
    </tableColumn>
    <tableColumn id="7" xr3:uid="{ADDBF591-2AE1-4D33-980A-24AB278324E8}" name="Pxy" dataDxfId="1">
      <calculatedColumnFormula>Table3[[#This Row],[Px]]+Table3[[#This Row],[Py]]-Table3[[#This Row],[Px]]*Table3[[#This Row],[Py]]</calculatedColumnFormula>
    </tableColumn>
    <tableColumn id="8" xr3:uid="{71B8300B-6B0F-45FB-8D64-B60EC797FB78}" name="Symbol2">
      <calculatedColumnFormula>I8+1&amp;" P"&amp;$J$8&amp;","&amp;$K$8</calculatedColumnFormula>
    </tableColumn>
    <tableColumn id="9" xr3:uid="{42F13689-C359-4739-BAA6-8EB81C1A8100}" name="tPxy">
      <calculatedColumnFormula>PRODUCT($O$8:$O8)</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1" dT="2020-12-19T22:29:29.51" personId="{C48D058A-ACBD-4FE6-AB8B-60023675C401}" id="{243C3B78-B61E-4FDE-8254-435F7127E356}">
    <text>2</text>
  </threadedComment>
  <threadedComment ref="G11" dT="2020-12-19T22:29:29.51" personId="{C48D058A-ACBD-4FE6-AB8B-60023675C401}" id="{4FB20E1B-3986-4B66-A6E7-59F13518CB97}">
    <text>2</text>
  </threadedComment>
  <threadedComment ref="E12" dT="2020-12-19T22:29:29.51" personId="{C48D058A-ACBD-4FE6-AB8B-60023675C401}" id="{427C74BB-2F09-4647-B0CF-33940D067A57}">
    <text>2</text>
  </threadedComment>
  <threadedComment ref="G12" dT="2020-12-19T22:29:29.51" personId="{C48D058A-ACBD-4FE6-AB8B-60023675C401}" id="{4228E5C2-CEF7-497A-B53C-583BA34D5F99}">
    <text>2</text>
  </threadedComment>
  <threadedComment ref="E15" dT="2020-12-19T22:31:23.93" personId="{C48D058A-ACBD-4FE6-AB8B-60023675C401}" id="{02AC9AF5-01A1-4297-AA44-AF669B413D74}">
    <text>3</text>
  </threadedComment>
  <threadedComment ref="G15" dT="2020-12-19T22:31:23.93" personId="{C48D058A-ACBD-4FE6-AB8B-60023675C401}" id="{652FE184-77CF-462B-842F-5E87985AF24D}">
    <text>3</text>
  </threadedComment>
  <threadedComment ref="E16" dT="2020-12-19T22:31:23.93" personId="{C48D058A-ACBD-4FE6-AB8B-60023675C401}" id="{3B7697EE-63E7-463C-A496-3827DAC128B1}">
    <text>3</text>
  </threadedComment>
  <threadedComment ref="G16" dT="2020-12-19T22:31:23.93" personId="{C48D058A-ACBD-4FE6-AB8B-60023675C401}" id="{FE3967C7-0C30-4A9C-B315-1952F8C51EE1}">
    <text>3</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1-02-23T02:24:36.05" personId="{C48D058A-ACBD-4FE6-AB8B-60023675C401}" id="{E371F54D-A859-4D7B-A252-EFC5F404847A}">
    <text>i.e. Test Scenario</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image" Target="../media/image4.emf"/><Relationship Id="rId13" Type="http://schemas.openxmlformats.org/officeDocument/2006/relationships/package" Target="../embeddings/Microsoft_Word_Document6.docx"/><Relationship Id="rId3" Type="http://schemas.openxmlformats.org/officeDocument/2006/relationships/package" Target="../embeddings/Microsoft_Word_Document1.docx"/><Relationship Id="rId7" Type="http://schemas.openxmlformats.org/officeDocument/2006/relationships/package" Target="../embeddings/Microsoft_Word_Document3.docx"/><Relationship Id="rId12" Type="http://schemas.openxmlformats.org/officeDocument/2006/relationships/image" Target="../media/image6.emf"/><Relationship Id="rId2" Type="http://schemas.openxmlformats.org/officeDocument/2006/relationships/vmlDrawing" Target="../drawings/vmlDrawing3.vml"/><Relationship Id="rId16" Type="http://schemas.openxmlformats.org/officeDocument/2006/relationships/image" Target="../media/image8.emf"/><Relationship Id="rId1" Type="http://schemas.openxmlformats.org/officeDocument/2006/relationships/drawing" Target="../drawings/drawing2.xml"/><Relationship Id="rId6" Type="http://schemas.openxmlformats.org/officeDocument/2006/relationships/image" Target="../media/image3.emf"/><Relationship Id="rId11" Type="http://schemas.openxmlformats.org/officeDocument/2006/relationships/package" Target="../embeddings/Microsoft_Word_Document5.docx"/><Relationship Id="rId5" Type="http://schemas.openxmlformats.org/officeDocument/2006/relationships/package" Target="../embeddings/Microsoft_Word_Document2.docx"/><Relationship Id="rId15" Type="http://schemas.openxmlformats.org/officeDocument/2006/relationships/package" Target="../embeddings/Microsoft_Word_Document7.docx"/><Relationship Id="rId10" Type="http://schemas.openxmlformats.org/officeDocument/2006/relationships/image" Target="../media/image5.emf"/><Relationship Id="rId4" Type="http://schemas.openxmlformats.org/officeDocument/2006/relationships/image" Target="../media/image2.emf"/><Relationship Id="rId9" Type="http://schemas.openxmlformats.org/officeDocument/2006/relationships/package" Target="../embeddings/Microsoft_Word_Document4.docx"/><Relationship Id="rId14" Type="http://schemas.openxmlformats.org/officeDocument/2006/relationships/image" Target="../media/image7.emf"/></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openxmlformats.org/officeDocument/2006/relationships/image" Target="../media/image9.emf"/><Relationship Id="rId4" Type="http://schemas.openxmlformats.org/officeDocument/2006/relationships/package" Target="../embeddings/Microsoft_Word_Document8.docx"/></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openxmlformats.org/officeDocument/2006/relationships/image" Target="../media/image10.emf"/><Relationship Id="rId4" Type="http://schemas.openxmlformats.org/officeDocument/2006/relationships/package" Target="../embeddings/Microsoft_Word_Document9.docx"/></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302F-7D29-42AA-B5FE-A74E5682621C}">
  <sheetPr>
    <tabColor theme="5" tint="0.79998168889431442"/>
  </sheetPr>
  <dimension ref="A1"/>
  <sheetViews>
    <sheetView topLeftCell="A23" workbookViewId="0">
      <selection activeCell="S25" sqref="S25"/>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2049" r:id="rId4">
          <objectPr defaultSize="0" r:id="rId5">
            <anchor moveWithCells="1">
              <from>
                <xdr:col>0</xdr:col>
                <xdr:colOff>579120</xdr:colOff>
                <xdr:row>1</xdr:row>
                <xdr:rowOff>60960</xdr:rowOff>
              </from>
              <to>
                <xdr:col>18</xdr:col>
                <xdr:colOff>114300</xdr:colOff>
                <xdr:row>46</xdr:row>
                <xdr:rowOff>175260</xdr:rowOff>
              </to>
            </anchor>
          </objectPr>
        </oleObject>
      </mc:Choice>
      <mc:Fallback>
        <oleObject progId="Word.Document.12"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B927D-090B-4EE8-9A7C-E87E88E39CF2}">
  <dimension ref="A1:O61"/>
  <sheetViews>
    <sheetView tabSelected="1" topLeftCell="A38" workbookViewId="0">
      <selection activeCell="C52" sqref="C52"/>
    </sheetView>
  </sheetViews>
  <sheetFormatPr defaultRowHeight="14.4" x14ac:dyDescent="0.3"/>
  <cols>
    <col min="1" max="1" width="3.109375" bestFit="1" customWidth="1"/>
    <col min="2" max="2" width="64.77734375" bestFit="1" customWidth="1"/>
    <col min="3" max="3" width="14.5546875" customWidth="1"/>
    <col min="5" max="5" width="21.33203125" bestFit="1" customWidth="1"/>
    <col min="8" max="8" width="16" bestFit="1" customWidth="1"/>
    <col min="9" max="9" width="13.33203125" bestFit="1" customWidth="1"/>
    <col min="10" max="10" width="13.33203125" customWidth="1"/>
    <col min="11" max="11" width="11.5546875" bestFit="1" customWidth="1"/>
    <col min="12" max="12" width="11.5546875" customWidth="1"/>
    <col min="13" max="13" width="14.33203125" bestFit="1" customWidth="1"/>
    <col min="14" max="14" width="12" bestFit="1" customWidth="1"/>
    <col min="15" max="15" width="14.77734375" customWidth="1"/>
  </cols>
  <sheetData>
    <row r="1" spans="1:15" x14ac:dyDescent="0.3">
      <c r="A1" s="46">
        <f>_xlfn.XMATCH(C1,TestCases[Test Name],0)</f>
        <v>1</v>
      </c>
      <c r="B1" s="46">
        <v>1</v>
      </c>
      <c r="C1" s="46" t="str">
        <f>C3</f>
        <v>Base</v>
      </c>
      <c r="E1" s="101" t="s">
        <v>146</v>
      </c>
      <c r="F1" s="101" t="s">
        <v>147</v>
      </c>
      <c r="I1" s="102" t="s">
        <v>102</v>
      </c>
      <c r="J1" s="102" t="s">
        <v>150</v>
      </c>
      <c r="K1" s="102" t="s">
        <v>102</v>
      </c>
      <c r="L1" s="102" t="s">
        <v>150</v>
      </c>
      <c r="M1" s="102" t="s">
        <v>102</v>
      </c>
      <c r="N1" s="102" t="s">
        <v>150</v>
      </c>
    </row>
    <row r="2" spans="1:15" ht="18" x14ac:dyDescent="0.35">
      <c r="B2" s="45" t="s">
        <v>60</v>
      </c>
      <c r="C2" s="45" t="s">
        <v>61</v>
      </c>
      <c r="E2" s="27" t="s">
        <v>148</v>
      </c>
      <c r="F2" s="27">
        <v>0.05</v>
      </c>
      <c r="H2" s="137" t="s">
        <v>103</v>
      </c>
      <c r="I2" s="138"/>
      <c r="J2" s="138"/>
      <c r="K2" s="138"/>
      <c r="L2" s="138"/>
      <c r="M2" s="138"/>
      <c r="N2" s="138"/>
      <c r="O2" s="138"/>
    </row>
    <row r="3" spans="1:15" x14ac:dyDescent="0.3">
      <c r="A3" s="46">
        <v>2</v>
      </c>
      <c r="B3" t="s">
        <v>26</v>
      </c>
      <c r="C3" t="s">
        <v>41</v>
      </c>
      <c r="H3" s="75" t="s">
        <v>104</v>
      </c>
      <c r="I3" s="135" t="s">
        <v>105</v>
      </c>
      <c r="J3" s="136"/>
      <c r="K3" s="135" t="s">
        <v>106</v>
      </c>
      <c r="L3" s="136"/>
      <c r="M3" s="137" t="s">
        <v>107</v>
      </c>
      <c r="N3" s="138"/>
      <c r="O3" s="138"/>
    </row>
    <row r="4" spans="1:15" x14ac:dyDescent="0.3">
      <c r="A4" s="46">
        <f>A3+1</f>
        <v>3</v>
      </c>
      <c r="B4" t="s">
        <v>27</v>
      </c>
      <c r="C4" t="b" cm="1">
        <f t="array" ref="C4">INDEX(TestCases[],$A$1,$A4)</f>
        <v>1</v>
      </c>
      <c r="H4" s="74" cm="1">
        <f t="array" aca="1" ref="H4" ca="1">INDEX(Calculation!$A$3:$F$3,1,$B$1)</f>
        <v>976726.64302227902</v>
      </c>
      <c r="I4" s="74">
        <v>1</v>
      </c>
      <c r="J4" s="74">
        <v>2</v>
      </c>
      <c r="M4" s="76" t="e">
        <f>SUM(M5:M21)</f>
        <v>#N/A</v>
      </c>
      <c r="N4">
        <f>SUM(N5:N21)</f>
        <v>6113695.6026898567</v>
      </c>
      <c r="O4" t="s">
        <v>211</v>
      </c>
    </row>
    <row r="5" spans="1:15" x14ac:dyDescent="0.3">
      <c r="A5" s="46">
        <f t="shared" ref="A5:A18" si="0">A4+1</f>
        <v>4</v>
      </c>
      <c r="B5" t="s">
        <v>28</v>
      </c>
      <c r="C5" s="43" cm="1">
        <f t="array" ref="C5">INDEX(TestCases[],$A$1,$A5)</f>
        <v>42465</v>
      </c>
      <c r="H5" s="74" t="s">
        <v>41</v>
      </c>
      <c r="I5" s="74">
        <f t="dataTable" ref="I5:I21" dt2D="1" dtr="1" r1="B1" r2="C1" ca="1"/>
        <v>976726.64302227902</v>
      </c>
      <c r="J5" s="74">
        <f>2.35*L5</f>
        <v>692917.2635</v>
      </c>
      <c r="K5" s="74">
        <v>393942.28502718301</v>
      </c>
      <c r="L5" s="74">
        <v>294858.40999999997</v>
      </c>
      <c r="M5" s="76">
        <f>I5-K5</f>
        <v>582784.35799509601</v>
      </c>
      <c r="N5" s="76">
        <f>J5-L5</f>
        <v>398058.85350000003</v>
      </c>
      <c r="O5" s="76">
        <f>M5+N5</f>
        <v>980843.2114950961</v>
      </c>
    </row>
    <row r="6" spans="1:15" x14ac:dyDescent="0.3">
      <c r="A6" s="46">
        <f t="shared" si="0"/>
        <v>5</v>
      </c>
      <c r="B6" t="s">
        <v>29</v>
      </c>
      <c r="C6" s="43" cm="1">
        <f t="array" ref="C6">INDEX(TestCases[],$A$1,$A6)</f>
        <v>18720</v>
      </c>
      <c r="H6" s="74" t="s">
        <v>43</v>
      </c>
      <c r="I6" s="74" t="e">
        <v>#N/A</v>
      </c>
      <c r="J6" s="74">
        <f t="shared" ref="J6:J21" si="1">2.35*L6</f>
        <v>665729.48473027896</v>
      </c>
      <c r="K6" s="74">
        <v>378485.29890312848</v>
      </c>
      <c r="L6" s="74">
        <f>K6*0.748481231</f>
        <v>283289.14243841654</v>
      </c>
      <c r="M6" s="76" t="e">
        <f t="shared" ref="M6:M21" si="2">I6-K6</f>
        <v>#N/A</v>
      </c>
      <c r="N6" s="76">
        <f t="shared" ref="N6:N21" si="3">J6-L6</f>
        <v>382440.34229186241</v>
      </c>
      <c r="O6" s="76" t="e">
        <f t="shared" ref="O6:O21" si="4">M6+N6</f>
        <v>#N/A</v>
      </c>
    </row>
    <row r="7" spans="1:15" x14ac:dyDescent="0.3">
      <c r="A7" s="46">
        <f t="shared" si="0"/>
        <v>6</v>
      </c>
      <c r="B7" t="s">
        <v>30</v>
      </c>
      <c r="C7" t="str" cm="1">
        <f t="array" ref="C7">INDEX(TestCases[],$A$1,$A7)</f>
        <v>M</v>
      </c>
      <c r="H7" s="74" t="s">
        <v>44</v>
      </c>
      <c r="I7" s="74">
        <v>721518.3984282444</v>
      </c>
      <c r="J7" s="74">
        <f t="shared" si="1"/>
        <v>466411.57559223135</v>
      </c>
      <c r="K7" s="74">
        <v>265167.65240077372</v>
      </c>
      <c r="L7" s="74">
        <f t="shared" ref="L7:L21" si="5">K7*0.748481231</f>
        <v>198473.01089031121</v>
      </c>
      <c r="M7" s="76">
        <f t="shared" si="2"/>
        <v>456350.74602747068</v>
      </c>
      <c r="N7" s="76">
        <f t="shared" si="3"/>
        <v>267938.56470192014</v>
      </c>
      <c r="O7" s="76">
        <f t="shared" si="4"/>
        <v>724289.31072939083</v>
      </c>
    </row>
    <row r="8" spans="1:15" x14ac:dyDescent="0.3">
      <c r="A8" s="46">
        <f t="shared" si="0"/>
        <v>7</v>
      </c>
      <c r="B8" t="s">
        <v>31</v>
      </c>
      <c r="C8" t="str" cm="1">
        <f t="array" ref="C8">_xlfn.LET(_xlpm.value,INDEX(TestCases[],$A$1,$A8),IF(ISBLANK(_xlpm.value),"",_xlpm.value))</f>
        <v/>
      </c>
      <c r="H8" s="74" t="s">
        <v>45</v>
      </c>
      <c r="I8" s="74">
        <v>802823.32596875832</v>
      </c>
      <c r="J8" s="74">
        <f t="shared" si="1"/>
        <v>467348.82281260635</v>
      </c>
      <c r="K8" s="74">
        <v>265700.50290910515</v>
      </c>
      <c r="L8" s="74">
        <f t="shared" si="5"/>
        <v>198871.8394947261</v>
      </c>
      <c r="M8" s="76">
        <f t="shared" si="2"/>
        <v>537122.82305965316</v>
      </c>
      <c r="N8" s="76">
        <f t="shared" si="3"/>
        <v>268476.98331788025</v>
      </c>
      <c r="O8" s="76">
        <f t="shared" si="4"/>
        <v>805599.80637753336</v>
      </c>
    </row>
    <row r="9" spans="1:15" x14ac:dyDescent="0.3">
      <c r="A9" s="46">
        <f t="shared" si="0"/>
        <v>8</v>
      </c>
      <c r="B9" t="s">
        <v>32</v>
      </c>
      <c r="C9" t="str" cm="1">
        <f t="array" ref="C9">_xlfn.LET(_xlpm.value,INDEX(TestCases[],$A$1,$A9),IF(ISBLANK(_xlpm.value),"",_xlpm.value))</f>
        <v/>
      </c>
      <c r="H9" s="74" t="s">
        <v>46</v>
      </c>
      <c r="I9" s="74">
        <v>1036706.8731421735</v>
      </c>
      <c r="J9" s="74">
        <f t="shared" si="1"/>
        <v>714886.80385154055</v>
      </c>
      <c r="K9" s="74">
        <v>406432.57035141822</v>
      </c>
      <c r="L9" s="74">
        <f t="shared" si="5"/>
        <v>304207.15057512361</v>
      </c>
      <c r="M9" s="76">
        <f t="shared" si="2"/>
        <v>630274.30279075529</v>
      </c>
      <c r="N9" s="76">
        <f t="shared" si="3"/>
        <v>410679.65327641694</v>
      </c>
      <c r="O9" s="76">
        <f t="shared" si="4"/>
        <v>1040953.9560671722</v>
      </c>
    </row>
    <row r="10" spans="1:15" x14ac:dyDescent="0.3">
      <c r="A10" s="46">
        <f t="shared" si="0"/>
        <v>9</v>
      </c>
      <c r="B10" t="s">
        <v>14</v>
      </c>
      <c r="C10" s="43" cm="1">
        <f t="array" ref="C10">INDEX(TestCases[],$A$1,$A10)</f>
        <v>42465</v>
      </c>
      <c r="H10" s="74" t="s">
        <v>47</v>
      </c>
      <c r="I10" s="74">
        <v>1209529.148547142</v>
      </c>
      <c r="J10" s="74">
        <f t="shared" si="1"/>
        <v>746715.58137139131</v>
      </c>
      <c r="K10" s="74">
        <v>424528.09510980058</v>
      </c>
      <c r="L10" s="74">
        <f t="shared" si="5"/>
        <v>317751.31122186861</v>
      </c>
      <c r="M10" s="76">
        <f t="shared" si="2"/>
        <v>785001.05343734147</v>
      </c>
      <c r="N10" s="76">
        <f t="shared" si="3"/>
        <v>428964.27014952269</v>
      </c>
      <c r="O10" s="76">
        <f t="shared" si="4"/>
        <v>1213965.3235868642</v>
      </c>
    </row>
    <row r="11" spans="1:15" x14ac:dyDescent="0.3">
      <c r="A11" s="46">
        <f t="shared" si="0"/>
        <v>10</v>
      </c>
      <c r="B11" t="s">
        <v>33</v>
      </c>
      <c r="C11" cm="1">
        <f t="array" ref="C11">INDEX(TestCases[],$A$1,$A11)</f>
        <v>100000</v>
      </c>
      <c r="H11" s="74" t="s">
        <v>48</v>
      </c>
      <c r="I11" s="74">
        <v>1099459.9131343048</v>
      </c>
      <c r="J11" s="74">
        <f t="shared" si="1"/>
        <v>802946.47035407473</v>
      </c>
      <c r="K11" s="74">
        <v>456496.88320219255</v>
      </c>
      <c r="L11" s="74">
        <f t="shared" si="5"/>
        <v>341679.34908684029</v>
      </c>
      <c r="M11" s="76">
        <f t="shared" si="2"/>
        <v>642963.0299321122</v>
      </c>
      <c r="N11" s="76">
        <f t="shared" si="3"/>
        <v>461267.12126723444</v>
      </c>
      <c r="O11" s="76">
        <f t="shared" si="4"/>
        <v>1104230.1511993466</v>
      </c>
    </row>
    <row r="12" spans="1:15" x14ac:dyDescent="0.3">
      <c r="A12" s="46">
        <f t="shared" si="0"/>
        <v>11</v>
      </c>
      <c r="B12" t="s">
        <v>34</v>
      </c>
      <c r="C12" s="43" cm="1">
        <f t="array" ref="C12">INDEX(TestCases[],$A$1,$A12)</f>
        <v>44109</v>
      </c>
      <c r="H12" s="74" t="s">
        <v>49</v>
      </c>
      <c r="I12" s="74">
        <v>838692.35804259044</v>
      </c>
      <c r="J12" s="74">
        <f t="shared" si="1"/>
        <v>528143.15433026559</v>
      </c>
      <c r="K12" s="74">
        <v>300263.73206426203</v>
      </c>
      <c r="L12" s="74">
        <f t="shared" si="5"/>
        <v>224741.76780011301</v>
      </c>
      <c r="M12" s="76">
        <f t="shared" si="2"/>
        <v>538428.6259783284</v>
      </c>
      <c r="N12" s="76">
        <f t="shared" si="3"/>
        <v>303401.38653015258</v>
      </c>
      <c r="O12" s="76">
        <f t="shared" si="4"/>
        <v>841830.01250848104</v>
      </c>
    </row>
    <row r="13" spans="1:15" x14ac:dyDescent="0.3">
      <c r="A13" s="46">
        <f t="shared" si="0"/>
        <v>12</v>
      </c>
      <c r="B13" t="s">
        <v>35</v>
      </c>
      <c r="C13" cm="1">
        <f t="array" ref="C13">INDEX(TestCases[],$A$1,$A13)</f>
        <v>1</v>
      </c>
      <c r="H13" s="74" t="s">
        <v>50</v>
      </c>
      <c r="I13" s="74">
        <v>962136.79028044897</v>
      </c>
      <c r="J13" s="74">
        <f t="shared" si="1"/>
        <v>668387.97651381325</v>
      </c>
      <c r="K13" s="74">
        <v>379996.72370915185</v>
      </c>
      <c r="L13" s="74">
        <f t="shared" si="5"/>
        <v>284420.41553779284</v>
      </c>
      <c r="M13" s="76">
        <f t="shared" si="2"/>
        <v>582140.06657129712</v>
      </c>
      <c r="N13" s="76">
        <f t="shared" si="3"/>
        <v>383967.56097602041</v>
      </c>
      <c r="O13" s="76">
        <f t="shared" si="4"/>
        <v>966107.62754731753</v>
      </c>
    </row>
    <row r="14" spans="1:15" x14ac:dyDescent="0.3">
      <c r="A14" s="46">
        <f t="shared" si="0"/>
        <v>13</v>
      </c>
      <c r="B14" t="s">
        <v>36</v>
      </c>
      <c r="C14" cm="1">
        <f t="array" ref="C14">INDEX(TestCases[],$A$1,$A14)</f>
        <v>5.2499999999999998E-2</v>
      </c>
      <c r="H14" s="74" t="s">
        <v>51</v>
      </c>
      <c r="I14" s="74">
        <v>1084550.103236276</v>
      </c>
      <c r="J14" s="74">
        <f t="shared" si="1"/>
        <v>711127.01880093664</v>
      </c>
      <c r="K14" s="74">
        <v>404295.0304026418</v>
      </c>
      <c r="L14" s="74">
        <f t="shared" si="5"/>
        <v>302607.24204295175</v>
      </c>
      <c r="M14" s="76">
        <f t="shared" si="2"/>
        <v>680255.07283363421</v>
      </c>
      <c r="N14" s="76">
        <f t="shared" si="3"/>
        <v>408519.77675798489</v>
      </c>
      <c r="O14" s="76">
        <f t="shared" si="4"/>
        <v>1088774.8495916191</v>
      </c>
    </row>
    <row r="15" spans="1:15" x14ac:dyDescent="0.3">
      <c r="A15" s="46">
        <f t="shared" si="0"/>
        <v>14</v>
      </c>
      <c r="B15" t="s">
        <v>37</v>
      </c>
      <c r="C15" cm="1">
        <f t="array" ref="C15">INDEX(TestCases[],$A$1,$A15)</f>
        <v>100000</v>
      </c>
      <c r="H15" s="74" t="s">
        <v>52</v>
      </c>
      <c r="I15" s="74">
        <v>957779.52278380492</v>
      </c>
      <c r="J15" s="74">
        <f t="shared" si="1"/>
        <v>666749.07160735386</v>
      </c>
      <c r="K15" s="74">
        <v>379064.96174333419</v>
      </c>
      <c r="L15" s="74">
        <f t="shared" si="5"/>
        <v>283723.00919461867</v>
      </c>
      <c r="M15" s="76">
        <f t="shared" si="2"/>
        <v>578714.56104047073</v>
      </c>
      <c r="N15" s="76">
        <f t="shared" si="3"/>
        <v>383026.06241273519</v>
      </c>
      <c r="O15" s="76">
        <f t="shared" si="4"/>
        <v>961740.62345320592</v>
      </c>
    </row>
    <row r="16" spans="1:15" x14ac:dyDescent="0.3">
      <c r="A16" s="46">
        <f t="shared" si="0"/>
        <v>15</v>
      </c>
      <c r="B16" t="s">
        <v>38</v>
      </c>
      <c r="C16" cm="1">
        <f t="array" ref="C16">INDEX(TestCases[],$A$1,$A16)</f>
        <v>100000</v>
      </c>
      <c r="H16" s="74" t="s">
        <v>53</v>
      </c>
      <c r="I16" s="74">
        <v>961920.11491257441</v>
      </c>
      <c r="J16" s="74">
        <f t="shared" si="1"/>
        <v>701615.53054639429</v>
      </c>
      <c r="K16" s="74">
        <v>398887.4909176022</v>
      </c>
      <c r="L16" s="74">
        <f t="shared" si="5"/>
        <v>298559.80023250822</v>
      </c>
      <c r="M16" s="76">
        <f t="shared" si="2"/>
        <v>563032.62399497221</v>
      </c>
      <c r="N16" s="76">
        <f t="shared" si="3"/>
        <v>403055.73031388607</v>
      </c>
      <c r="O16" s="76">
        <f t="shared" si="4"/>
        <v>966088.35430885828</v>
      </c>
    </row>
    <row r="17" spans="1:15" x14ac:dyDescent="0.3">
      <c r="A17" s="46">
        <f t="shared" si="0"/>
        <v>16</v>
      </c>
      <c r="B17" t="s">
        <v>39</v>
      </c>
      <c r="C17" cm="1">
        <f t="array" ref="C17">INDEX(TestCases[],$A$1,$A17)</f>
        <v>999</v>
      </c>
      <c r="H17" s="74" t="s">
        <v>54</v>
      </c>
      <c r="I17" s="74">
        <v>944677.75202230038</v>
      </c>
      <c r="J17" s="74">
        <f t="shared" si="1"/>
        <v>578962.36926438019</v>
      </c>
      <c r="K17" s="74">
        <v>329155.83643328137</v>
      </c>
      <c r="L17" s="74">
        <f t="shared" si="5"/>
        <v>246366.96564441707</v>
      </c>
      <c r="M17" s="76">
        <f t="shared" si="2"/>
        <v>615521.91558901896</v>
      </c>
      <c r="N17" s="76">
        <f t="shared" si="3"/>
        <v>332595.40361996309</v>
      </c>
      <c r="O17" s="76">
        <f t="shared" si="4"/>
        <v>948117.31920898205</v>
      </c>
    </row>
    <row r="18" spans="1:15" x14ac:dyDescent="0.3">
      <c r="A18" s="46">
        <f t="shared" si="0"/>
        <v>17</v>
      </c>
      <c r="B18" t="s">
        <v>40</v>
      </c>
      <c r="C18" cm="1">
        <f t="array" ref="C18">INDEX(TestCases[],$A$1,$A18)</f>
        <v>100000</v>
      </c>
      <c r="H18" s="74" t="s">
        <v>55</v>
      </c>
      <c r="I18" s="74">
        <v>921198.70479769539</v>
      </c>
      <c r="J18" s="74">
        <f t="shared" si="1"/>
        <v>609167.47431027459</v>
      </c>
      <c r="K18" s="74">
        <v>346328.25927756552</v>
      </c>
      <c r="L18" s="74">
        <f t="shared" si="5"/>
        <v>259220.20183415941</v>
      </c>
      <c r="M18" s="76">
        <f t="shared" si="2"/>
        <v>574870.44552012987</v>
      </c>
      <c r="N18" s="76">
        <f t="shared" si="3"/>
        <v>349947.27247611515</v>
      </c>
      <c r="O18" s="76">
        <f t="shared" si="4"/>
        <v>924817.71799624502</v>
      </c>
    </row>
    <row r="19" spans="1:15" x14ac:dyDescent="0.3">
      <c r="B19" t="s">
        <v>255</v>
      </c>
      <c r="C19" t="b">
        <v>0</v>
      </c>
      <c r="H19" s="74" t="s">
        <v>56</v>
      </c>
      <c r="I19" s="74">
        <v>553507.45516276872</v>
      </c>
      <c r="J19" s="74">
        <f t="shared" si="1"/>
        <v>371584.28566603229</v>
      </c>
      <c r="K19" s="74">
        <v>211255.76176785058</v>
      </c>
      <c r="L19" s="74">
        <f t="shared" si="5"/>
        <v>158120.97262384353</v>
      </c>
      <c r="M19" s="76">
        <f t="shared" si="2"/>
        <v>342251.69339491811</v>
      </c>
      <c r="N19" s="76">
        <f t="shared" si="3"/>
        <v>213463.31304218876</v>
      </c>
      <c r="O19" s="76">
        <f t="shared" si="4"/>
        <v>555715.00643710687</v>
      </c>
    </row>
    <row r="20" spans="1:15" x14ac:dyDescent="0.3">
      <c r="B20" t="s">
        <v>234</v>
      </c>
      <c r="C20">
        <v>0.5</v>
      </c>
      <c r="H20" s="74" t="s">
        <v>58</v>
      </c>
      <c r="I20" s="74">
        <v>906517.97015258716</v>
      </c>
      <c r="J20" s="74">
        <f t="shared" si="1"/>
        <v>608172.43479037448</v>
      </c>
      <c r="K20" s="74">
        <v>345762.55227682722</v>
      </c>
      <c r="L20" s="74">
        <f t="shared" si="5"/>
        <v>258796.78076186148</v>
      </c>
      <c r="M20" s="76">
        <f t="shared" si="2"/>
        <v>560755.41787576</v>
      </c>
      <c r="N20" s="76">
        <f t="shared" si="3"/>
        <v>349375.654028513</v>
      </c>
      <c r="O20" s="76">
        <f t="shared" si="4"/>
        <v>910131.07190427301</v>
      </c>
    </row>
    <row r="21" spans="1:15" x14ac:dyDescent="0.3">
      <c r="B21" t="s">
        <v>235</v>
      </c>
      <c r="C21">
        <v>0</v>
      </c>
      <c r="H21" s="74" t="s">
        <v>59</v>
      </c>
      <c r="I21" s="74">
        <v>1111559.1469201138</v>
      </c>
      <c r="J21" s="74">
        <f t="shared" si="1"/>
        <v>641493.69404780085</v>
      </c>
      <c r="K21" s="74">
        <v>364706.59345142724</v>
      </c>
      <c r="L21" s="74">
        <f t="shared" si="5"/>
        <v>272976.04002034076</v>
      </c>
      <c r="M21" s="76">
        <f t="shared" si="2"/>
        <v>746852.55346868653</v>
      </c>
      <c r="N21" s="76">
        <f t="shared" si="3"/>
        <v>368517.65402746008</v>
      </c>
      <c r="O21" s="76">
        <f t="shared" si="4"/>
        <v>1115370.2074961467</v>
      </c>
    </row>
    <row r="22" spans="1:15" x14ac:dyDescent="0.3">
      <c r="B22" t="s">
        <v>236</v>
      </c>
      <c r="C22">
        <v>0</v>
      </c>
    </row>
    <row r="23" spans="1:15" x14ac:dyDescent="0.3">
      <c r="B23" t="s">
        <v>237</v>
      </c>
      <c r="C23">
        <v>0</v>
      </c>
    </row>
    <row r="24" spans="1:15" x14ac:dyDescent="0.3">
      <c r="B24" t="s">
        <v>238</v>
      </c>
      <c r="C24">
        <v>0</v>
      </c>
    </row>
    <row r="25" spans="1:15" x14ac:dyDescent="0.3">
      <c r="B25" t="s">
        <v>240</v>
      </c>
      <c r="C25">
        <v>0</v>
      </c>
    </row>
    <row r="26" spans="1:15" x14ac:dyDescent="0.3">
      <c r="B26" t="s">
        <v>241</v>
      </c>
      <c r="C26">
        <v>0</v>
      </c>
    </row>
    <row r="27" spans="1:15" x14ac:dyDescent="0.3">
      <c r="B27" t="s">
        <v>242</v>
      </c>
      <c r="C27">
        <v>0</v>
      </c>
    </row>
    <row r="28" spans="1:15" x14ac:dyDescent="0.3">
      <c r="B28" t="s">
        <v>243</v>
      </c>
      <c r="C28">
        <v>0</v>
      </c>
    </row>
    <row r="29" spans="1:15" x14ac:dyDescent="0.3">
      <c r="B29" t="s">
        <v>244</v>
      </c>
      <c r="C29">
        <v>0</v>
      </c>
    </row>
    <row r="30" spans="1:15" x14ac:dyDescent="0.3">
      <c r="B30" t="s">
        <v>245</v>
      </c>
      <c r="C30">
        <v>0</v>
      </c>
    </row>
    <row r="31" spans="1:15" x14ac:dyDescent="0.3">
      <c r="B31" t="s">
        <v>246</v>
      </c>
      <c r="C31">
        <v>0</v>
      </c>
    </row>
    <row r="32" spans="1:15" x14ac:dyDescent="0.3">
      <c r="B32" t="s">
        <v>247</v>
      </c>
      <c r="C32">
        <v>0.1</v>
      </c>
    </row>
    <row r="33" spans="2:3" x14ac:dyDescent="0.3">
      <c r="B33" t="s">
        <v>248</v>
      </c>
      <c r="C33">
        <v>0.1</v>
      </c>
    </row>
    <row r="34" spans="2:3" x14ac:dyDescent="0.3">
      <c r="B34" t="s">
        <v>249</v>
      </c>
      <c r="C34">
        <v>0.1</v>
      </c>
    </row>
    <row r="35" spans="2:3" x14ac:dyDescent="0.3">
      <c r="B35" t="s">
        <v>250</v>
      </c>
      <c r="C35">
        <v>0.1</v>
      </c>
    </row>
    <row r="36" spans="2:3" x14ac:dyDescent="0.3">
      <c r="B36" t="s">
        <v>251</v>
      </c>
      <c r="C36">
        <v>0.1</v>
      </c>
    </row>
    <row r="37" spans="2:3" x14ac:dyDescent="0.3">
      <c r="B37" t="s">
        <v>252</v>
      </c>
      <c r="C37">
        <v>0</v>
      </c>
    </row>
    <row r="38" spans="2:3" x14ac:dyDescent="0.3">
      <c r="B38" t="s">
        <v>252</v>
      </c>
      <c r="C38">
        <v>0</v>
      </c>
    </row>
    <row r="39" spans="2:3" x14ac:dyDescent="0.3">
      <c r="B39" s="47" t="s">
        <v>62</v>
      </c>
      <c r="C39">
        <f>YEARFRAC(Issue_Date,Valuation_Date)</f>
        <v>0</v>
      </c>
    </row>
    <row r="40" spans="2:3" x14ac:dyDescent="0.3">
      <c r="B40" s="48" t="s">
        <v>63</v>
      </c>
      <c r="C40">
        <f>IF(SecondaryBirthdate="",1,2)</f>
        <v>1</v>
      </c>
    </row>
    <row r="41" spans="2:3" x14ac:dyDescent="0.3">
      <c r="B41" s="47" t="s">
        <v>64</v>
      </c>
      <c r="C41" t="b">
        <f>AnnCount=2</f>
        <v>0</v>
      </c>
    </row>
    <row r="42" spans="2:3" x14ac:dyDescent="0.3">
      <c r="B42" s="48" t="s">
        <v>65</v>
      </c>
      <c r="C42">
        <f>INT(YEARFRAC(PrimaryBirthdate,Valuation_Date))</f>
        <v>65</v>
      </c>
    </row>
    <row r="43" spans="2:3" x14ac:dyDescent="0.3">
      <c r="B43" s="48" t="s">
        <v>66</v>
      </c>
      <c r="C43" t="str">
        <f>IF(Is_Joint,YEARFRAC(SecondaryBirthdate,Valuation_Date),"")</f>
        <v/>
      </c>
    </row>
    <row r="44" spans="2:3" x14ac:dyDescent="0.3">
      <c r="B44" s="47" t="s">
        <v>67</v>
      </c>
      <c r="C44">
        <f>IF(Is_Joint,MIN(SecondaryIssueAge,PrimaryIssueAge),PrimaryIssueAge)</f>
        <v>65</v>
      </c>
    </row>
    <row r="45" spans="2:3" x14ac:dyDescent="0.3">
      <c r="B45" s="48" t="s">
        <v>68</v>
      </c>
      <c r="C45" s="60" cm="1">
        <f t="array" aca="1" ref="C45" ca="1">_xlfn.LET(_xlpm.ageRow,MATCH(MidWdAge,OFFSET(LbWdAgesPrimaryPer,(AnnCount-1)*4,0),1),_xlpm.wdRange, OFFSET(WithdrawalPercentages,(AnnCount-1)*4,(IncomeOption-1)*2),_xlpm.pipOffset,0,INDEX(_xlpm.wdRange,_xlpm.ageRow,1+_xlpm.pipOffset))</f>
        <v>6.25E-2</v>
      </c>
    </row>
    <row r="46" spans="2:3" x14ac:dyDescent="0.3">
      <c r="B46" s="48" t="s">
        <v>10</v>
      </c>
      <c r="C46" s="60" cm="1">
        <f t="array" aca="1" ref="C46" ca="1">_xlfn.LET(_xlpm.ageRow,MATCH(MidWdAge,OFFSET(LbWdAgesPrimaryPer,(AnnCount-1)*4,0),1),_xlpm.wdRange, OFFSET(WithdrawalPercentages,(AnnCount-1)*4,(IncomeOption-1)*2),_xlpm.pipOffset,1,INDEX(_xlpm.wdRange,_xlpm.ageRow,1+_xlpm.pipOffset))</f>
        <v>0.04</v>
      </c>
    </row>
    <row r="47" spans="2:3" x14ac:dyDescent="0.3">
      <c r="B47" s="48" t="s">
        <v>12</v>
      </c>
      <c r="C47">
        <f>YEARFRAC(Valuation_Date,WithdrawalDate)</f>
        <v>4.5</v>
      </c>
    </row>
    <row r="48" spans="2:3" x14ac:dyDescent="0.3">
      <c r="B48" s="48" t="s">
        <v>69</v>
      </c>
      <c r="C48">
        <f>120-MidWdAge</f>
        <v>55</v>
      </c>
    </row>
    <row r="49" spans="2:3" x14ac:dyDescent="0.3">
      <c r="B49" s="47" t="s">
        <v>70</v>
      </c>
      <c r="C49" t="b">
        <f>Valuation_Date&gt;Issue_Date</f>
        <v>0</v>
      </c>
    </row>
    <row r="50" spans="2:3" x14ac:dyDescent="0.3">
      <c r="B50" s="48" t="s">
        <v>256</v>
      </c>
      <c r="C50" t="b">
        <f>AccountValue&lt;75000</f>
        <v>0</v>
      </c>
    </row>
    <row r="51" spans="2:3" x14ac:dyDescent="0.3">
      <c r="B51" s="48" t="s">
        <v>257</v>
      </c>
      <c r="C51">
        <f>0.0115*AccountValue</f>
        <v>1150</v>
      </c>
    </row>
    <row r="52" spans="2:3" x14ac:dyDescent="0.3">
      <c r="B52" s="48" t="s">
        <v>267</v>
      </c>
      <c r="C52">
        <f ca="1">SUM(VaBenefits[[Maximum Annual Withdrawal Amount upon Activation]:[Protected Income Payment]])</f>
        <v>976726.64302227902</v>
      </c>
    </row>
    <row r="53" spans="2:3" x14ac:dyDescent="0.3">
      <c r="B53" s="170" t="s">
        <v>289</v>
      </c>
      <c r="C53">
        <f>IF(SecondaryBirthdate=0,InitialAnnFeeRate1,InitialAnnFeeRate2)</f>
        <v>1.2500000000000001E-2</v>
      </c>
    </row>
    <row r="54" spans="2:3" x14ac:dyDescent="0.3">
      <c r="B54" s="171" t="s">
        <v>290</v>
      </c>
      <c r="C54">
        <f>IF(SecondaryBirthdate=0,MaxAnnFeeRate1,MaxAnnFeeRate2)</f>
        <v>2.5000000000000001E-2</v>
      </c>
    </row>
    <row r="55" spans="2:3" x14ac:dyDescent="0.3">
      <c r="B55" s="171" t="s">
        <v>291</v>
      </c>
      <c r="C55">
        <f>IF(SecondaryBirthdate=0,MinAnnFeeRate1,MinAnnFeeRate2)</f>
        <v>6.0000000000000001E-3</v>
      </c>
    </row>
    <row r="56" spans="2:3" x14ac:dyDescent="0.3">
      <c r="B56" s="171" t="s">
        <v>274</v>
      </c>
      <c r="C56">
        <f>IF(SecondaryBirthdate=0,MaxRateChange1,MaxRateChange2)</f>
        <v>4.0000000000000001E-3</v>
      </c>
    </row>
    <row r="57" spans="2:3" x14ac:dyDescent="0.3">
      <c r="B57" s="171" t="s">
        <v>275</v>
      </c>
      <c r="C57">
        <f>IF(SecondaryBirthdate=0,LifetimeChangeFee1,LifetimeChangeFee2)</f>
        <v>2.5000000000000001E-3</v>
      </c>
    </row>
    <row r="58" spans="2:3" x14ac:dyDescent="0.3">
      <c r="B58" s="171" t="s">
        <v>292</v>
      </c>
      <c r="C58" s="43">
        <f>'^Vix'!F5</f>
        <v>37893</v>
      </c>
    </row>
    <row r="59" spans="2:3" x14ac:dyDescent="0.3">
      <c r="B59" s="171" t="s">
        <v>293</v>
      </c>
      <c r="C59" s="43">
        <f>'^Vix'!F4350</f>
        <v>44196</v>
      </c>
    </row>
    <row r="60" spans="2:3" x14ac:dyDescent="0.3">
      <c r="B60" s="171" t="s">
        <v>294</v>
      </c>
      <c r="C60">
        <f>ROWS('^Vix'!F5:K4350)</f>
        <v>4346</v>
      </c>
    </row>
    <row r="61" spans="2:3" x14ac:dyDescent="0.3">
      <c r="B61" s="171" t="s">
        <v>295</v>
      </c>
    </row>
  </sheetData>
  <mergeCells count="4">
    <mergeCell ref="I3:J3"/>
    <mergeCell ref="K3:L3"/>
    <mergeCell ref="M3:O3"/>
    <mergeCell ref="H2:O2"/>
  </mergeCells>
  <conditionalFormatting sqref="M5:M21">
    <cfRule type="cellIs" dxfId="98" priority="3" operator="notEqual">
      <formula>0</formula>
    </cfRule>
  </conditionalFormatting>
  <conditionalFormatting sqref="N5:N21">
    <cfRule type="cellIs" dxfId="97" priority="2" operator="notEqual">
      <formula>0</formula>
    </cfRule>
  </conditionalFormatting>
  <conditionalFormatting sqref="O5:O21">
    <cfRule type="cellIs" dxfId="96" priority="1" operator="notEqual">
      <formula>0</formula>
    </cfRule>
  </conditionalFormatting>
  <dataValidations count="2">
    <dataValidation type="list" allowBlank="1" showInputMessage="1" showErrorMessage="1" sqref="C3" xr:uid="{01D3EDD7-8C04-46A8-B630-F95CEF5A3643}">
      <formula1>INDIRECT("TestCases[Test Name]")</formula1>
    </dataValidation>
    <dataValidation type="list" allowBlank="1" showInputMessage="1" showErrorMessage="1" sqref="C20" xr:uid="{3709AF05-CB87-4469-AEAF-3C6D39B71A71}">
      <formula1>".25,.5"</formula1>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7C0EF-0CE9-4C6C-A434-58916076E486}">
  <sheetPr>
    <tabColor rgb="FF00B050"/>
  </sheetPr>
  <dimension ref="A1:AL18"/>
  <sheetViews>
    <sheetView topLeftCell="O1" workbookViewId="0">
      <selection activeCell="S3" sqref="S3"/>
    </sheetView>
  </sheetViews>
  <sheetFormatPr defaultRowHeight="14.4" x14ac:dyDescent="0.3"/>
  <cols>
    <col min="2" max="2" width="21.5546875" bestFit="1" customWidth="1"/>
    <col min="3" max="3" width="15.6640625" customWidth="1"/>
    <col min="4" max="4" width="16.33203125" customWidth="1"/>
    <col min="5" max="5" width="18.6640625" customWidth="1"/>
    <col min="6" max="6" width="17.109375" customWidth="1"/>
    <col min="7" max="7" width="21" customWidth="1"/>
    <col min="8" max="8" width="19.44140625" customWidth="1"/>
    <col min="9" max="9" width="23" customWidth="1"/>
    <col min="10" max="10" width="25.44140625" customWidth="1"/>
    <col min="11" max="11" width="27.5546875" customWidth="1"/>
    <col min="12" max="12" width="23.6640625" customWidth="1"/>
    <col min="13" max="13" width="26.44140625" customWidth="1"/>
    <col min="14" max="14" width="21.44140625" customWidth="1"/>
    <col min="15" max="15" width="27.33203125" customWidth="1"/>
    <col min="16" max="16" width="21.109375" customWidth="1"/>
    <col min="17" max="17" width="23.33203125" customWidth="1"/>
  </cols>
  <sheetData>
    <row r="1" spans="1:38" ht="115.8" thickBot="1" x14ac:dyDescent="0.35">
      <c r="A1" s="110" t="s">
        <v>25</v>
      </c>
      <c r="B1" s="110" t="s">
        <v>26</v>
      </c>
      <c r="C1" s="110" t="s">
        <v>27</v>
      </c>
      <c r="D1" s="110" t="s">
        <v>28</v>
      </c>
      <c r="E1" s="110" t="s">
        <v>29</v>
      </c>
      <c r="F1" s="110" t="s">
        <v>30</v>
      </c>
      <c r="G1" s="110" t="s">
        <v>31</v>
      </c>
      <c r="H1" s="110" t="s">
        <v>32</v>
      </c>
      <c r="I1" s="110" t="s">
        <v>14</v>
      </c>
      <c r="J1" s="110" t="s">
        <v>33</v>
      </c>
      <c r="K1" s="110" t="s">
        <v>34</v>
      </c>
      <c r="L1" s="110" t="s">
        <v>35</v>
      </c>
      <c r="M1" s="110" t="s">
        <v>36</v>
      </c>
      <c r="N1" s="110" t="s">
        <v>37</v>
      </c>
      <c r="O1" s="110" t="s">
        <v>38</v>
      </c>
      <c r="P1" s="110" t="s">
        <v>39</v>
      </c>
      <c r="Q1" s="110" t="s">
        <v>40</v>
      </c>
      <c r="R1" s="110" t="s">
        <v>233</v>
      </c>
      <c r="S1" s="110" t="s">
        <v>234</v>
      </c>
      <c r="T1" s="111" t="s">
        <v>235</v>
      </c>
      <c r="U1" s="111" t="s">
        <v>236</v>
      </c>
      <c r="V1" s="111" t="s">
        <v>237</v>
      </c>
      <c r="W1" s="111" t="s">
        <v>238</v>
      </c>
      <c r="X1" s="111" t="s">
        <v>239</v>
      </c>
      <c r="Y1" s="111" t="s">
        <v>240</v>
      </c>
      <c r="Z1" s="111" t="s">
        <v>241</v>
      </c>
      <c r="AA1" s="111" t="s">
        <v>242</v>
      </c>
      <c r="AB1" s="111" t="s">
        <v>243</v>
      </c>
      <c r="AC1" s="111" t="s">
        <v>244</v>
      </c>
      <c r="AD1" s="111" t="s">
        <v>245</v>
      </c>
      <c r="AE1" s="111" t="s">
        <v>246</v>
      </c>
      <c r="AF1" s="111" t="s">
        <v>247</v>
      </c>
      <c r="AG1" s="111" t="s">
        <v>248</v>
      </c>
      <c r="AH1" s="111" t="s">
        <v>249</v>
      </c>
      <c r="AI1" s="111" t="s">
        <v>250</v>
      </c>
      <c r="AJ1" s="111" t="s">
        <v>251</v>
      </c>
      <c r="AK1" s="111" t="s">
        <v>252</v>
      </c>
      <c r="AL1" s="112" t="s">
        <v>253</v>
      </c>
    </row>
    <row r="2" spans="1:38" x14ac:dyDescent="0.3">
      <c r="A2" s="113">
        <v>0</v>
      </c>
      <c r="B2" s="114" t="s">
        <v>41</v>
      </c>
      <c r="C2" s="114" t="b">
        <v>1</v>
      </c>
      <c r="D2" s="115">
        <v>42465</v>
      </c>
      <c r="E2" s="115">
        <v>18720</v>
      </c>
      <c r="F2" s="114" t="s">
        <v>42</v>
      </c>
      <c r="G2" s="114"/>
      <c r="H2" s="114"/>
      <c r="I2" s="115">
        <v>42465</v>
      </c>
      <c r="J2" s="114">
        <v>100000</v>
      </c>
      <c r="K2" s="115">
        <v>44109</v>
      </c>
      <c r="L2" s="114">
        <v>1</v>
      </c>
      <c r="M2" s="114">
        <v>5.2499999999999998E-2</v>
      </c>
      <c r="N2" s="114">
        <v>100000</v>
      </c>
      <c r="O2" s="114">
        <v>100000</v>
      </c>
      <c r="P2" s="114">
        <v>999</v>
      </c>
      <c r="Q2" s="116">
        <v>100000</v>
      </c>
      <c r="R2" s="117" t="b">
        <v>0</v>
      </c>
      <c r="S2" s="117">
        <v>0.5</v>
      </c>
      <c r="T2" s="117">
        <v>0</v>
      </c>
      <c r="U2" s="117">
        <v>0.5</v>
      </c>
      <c r="V2" s="117">
        <v>0</v>
      </c>
      <c r="W2" s="117">
        <v>0</v>
      </c>
      <c r="X2" s="117">
        <v>0</v>
      </c>
      <c r="Y2" s="117">
        <v>0</v>
      </c>
      <c r="Z2" s="117">
        <v>0</v>
      </c>
      <c r="AA2" s="117">
        <v>0</v>
      </c>
      <c r="AB2" s="117">
        <v>0</v>
      </c>
      <c r="AC2" s="117">
        <v>0</v>
      </c>
      <c r="AD2" s="117">
        <v>0</v>
      </c>
      <c r="AE2" s="117">
        <v>0</v>
      </c>
      <c r="AF2" s="117">
        <v>0.1</v>
      </c>
      <c r="AG2" s="117">
        <v>0.1</v>
      </c>
      <c r="AH2" s="117">
        <v>0.1</v>
      </c>
      <c r="AI2" s="117">
        <v>0.1</v>
      </c>
      <c r="AJ2" s="117">
        <v>0.1</v>
      </c>
      <c r="AK2" s="117">
        <v>0</v>
      </c>
      <c r="AL2" s="117">
        <v>0</v>
      </c>
    </row>
    <row r="3" spans="1:38" x14ac:dyDescent="0.3">
      <c r="A3" s="113">
        <v>1</v>
      </c>
      <c r="B3" s="114" t="s">
        <v>254</v>
      </c>
      <c r="C3" s="114" t="b">
        <v>0</v>
      </c>
      <c r="D3" s="115">
        <v>42465</v>
      </c>
      <c r="E3" s="115">
        <v>18720</v>
      </c>
      <c r="F3" s="114" t="s">
        <v>42</v>
      </c>
      <c r="G3" s="114"/>
      <c r="H3" s="114"/>
      <c r="I3" s="115">
        <v>42465</v>
      </c>
      <c r="J3" s="114">
        <v>762282.17661630618</v>
      </c>
      <c r="K3" s="115">
        <v>44109</v>
      </c>
      <c r="L3" s="114">
        <v>1</v>
      </c>
      <c r="M3" s="114">
        <v>5.2499999999999998E-2</v>
      </c>
      <c r="N3" s="118">
        <v>95325.473432383646</v>
      </c>
      <c r="O3" s="118">
        <v>95325.473432383646</v>
      </c>
      <c r="P3" s="118">
        <v>4221.541103677775</v>
      </c>
      <c r="Q3" s="116">
        <v>100000</v>
      </c>
      <c r="R3" s="118" t="b">
        <v>1</v>
      </c>
      <c r="S3" s="118">
        <v>0.25</v>
      </c>
      <c r="T3" s="118">
        <v>0</v>
      </c>
      <c r="U3" s="118">
        <v>0.5</v>
      </c>
      <c r="V3" s="118">
        <v>0</v>
      </c>
      <c r="W3" s="118">
        <v>0</v>
      </c>
      <c r="X3" s="118">
        <v>0</v>
      </c>
      <c r="Y3" s="118">
        <v>0</v>
      </c>
      <c r="Z3" s="118">
        <v>0</v>
      </c>
      <c r="AA3" s="118">
        <v>0</v>
      </c>
      <c r="AB3" s="118">
        <v>0</v>
      </c>
      <c r="AC3" s="118">
        <v>0</v>
      </c>
      <c r="AD3" s="118">
        <v>0</v>
      </c>
      <c r="AE3" s="118">
        <v>0</v>
      </c>
      <c r="AF3" s="118">
        <v>0.1</v>
      </c>
      <c r="AG3" s="118">
        <v>0.1</v>
      </c>
      <c r="AH3" s="118">
        <v>0.1</v>
      </c>
      <c r="AI3" s="118">
        <v>0.1</v>
      </c>
      <c r="AJ3" s="118">
        <v>0.1</v>
      </c>
      <c r="AK3" s="118">
        <v>0</v>
      </c>
      <c r="AL3" s="118">
        <v>0</v>
      </c>
    </row>
    <row r="4" spans="1:38" x14ac:dyDescent="0.3">
      <c r="A4" s="113">
        <v>2</v>
      </c>
      <c r="B4" s="114" t="s">
        <v>44</v>
      </c>
      <c r="C4" s="114" t="b">
        <v>0</v>
      </c>
      <c r="D4" s="115">
        <v>42465</v>
      </c>
      <c r="E4" s="115">
        <v>26020</v>
      </c>
      <c r="F4" s="114" t="s">
        <v>42</v>
      </c>
      <c r="G4" s="114"/>
      <c r="H4" s="114"/>
      <c r="I4" s="115">
        <v>42465</v>
      </c>
      <c r="J4" s="118">
        <v>152456.43532326125</v>
      </c>
      <c r="K4" s="115">
        <v>44109</v>
      </c>
      <c r="L4" s="114">
        <v>1</v>
      </c>
      <c r="M4" s="114">
        <v>5.2499999999999998E-2</v>
      </c>
      <c r="N4" s="118">
        <v>152456.43532326125</v>
      </c>
      <c r="O4" s="118">
        <v>152456.43532326125</v>
      </c>
      <c r="P4" s="118">
        <v>8114.6383236774336</v>
      </c>
      <c r="Q4" s="119">
        <v>152456.43532326125</v>
      </c>
      <c r="R4" s="118" t="b">
        <v>1</v>
      </c>
      <c r="S4" s="118">
        <v>0.25</v>
      </c>
      <c r="T4" s="118">
        <f>1/19</f>
        <v>5.2631578947368418E-2</v>
      </c>
      <c r="U4" s="118">
        <f t="shared" ref="U4:AL4" si="0">1/19</f>
        <v>5.2631578947368418E-2</v>
      </c>
      <c r="V4" s="118">
        <f t="shared" si="0"/>
        <v>5.2631578947368418E-2</v>
      </c>
      <c r="W4" s="118">
        <f t="shared" si="0"/>
        <v>5.2631578947368418E-2</v>
      </c>
      <c r="X4" s="118">
        <f t="shared" si="0"/>
        <v>5.2631578947368418E-2</v>
      </c>
      <c r="Y4" s="118">
        <f t="shared" si="0"/>
        <v>5.2631578947368418E-2</v>
      </c>
      <c r="Z4" s="118">
        <f t="shared" si="0"/>
        <v>5.2631578947368418E-2</v>
      </c>
      <c r="AA4" s="118">
        <f t="shared" si="0"/>
        <v>5.2631578947368418E-2</v>
      </c>
      <c r="AB4" s="118">
        <f t="shared" si="0"/>
        <v>5.2631578947368418E-2</v>
      </c>
      <c r="AC4" s="118">
        <f t="shared" si="0"/>
        <v>5.2631578947368418E-2</v>
      </c>
      <c r="AD4" s="118">
        <f t="shared" si="0"/>
        <v>5.2631578947368418E-2</v>
      </c>
      <c r="AE4" s="118">
        <f t="shared" si="0"/>
        <v>5.2631578947368418E-2</v>
      </c>
      <c r="AF4" s="118">
        <f t="shared" si="0"/>
        <v>5.2631578947368418E-2</v>
      </c>
      <c r="AG4" s="118">
        <f t="shared" si="0"/>
        <v>5.2631578947368418E-2</v>
      </c>
      <c r="AH4" s="118">
        <f t="shared" si="0"/>
        <v>5.2631578947368418E-2</v>
      </c>
      <c r="AI4" s="118">
        <f t="shared" si="0"/>
        <v>5.2631578947368418E-2</v>
      </c>
      <c r="AJ4" s="118">
        <f t="shared" si="0"/>
        <v>5.2631578947368418E-2</v>
      </c>
      <c r="AK4" s="118">
        <f t="shared" si="0"/>
        <v>5.2631578947368418E-2</v>
      </c>
      <c r="AL4" s="118">
        <f t="shared" si="0"/>
        <v>5.2631578947368418E-2</v>
      </c>
    </row>
    <row r="5" spans="1:38" x14ac:dyDescent="0.3">
      <c r="A5" s="113">
        <v>3</v>
      </c>
      <c r="B5" s="114" t="s">
        <v>45</v>
      </c>
      <c r="C5" s="114" t="b">
        <v>0</v>
      </c>
      <c r="D5" s="115">
        <v>42465</v>
      </c>
      <c r="E5" s="115">
        <v>22370</v>
      </c>
      <c r="F5" s="114" t="s">
        <v>42</v>
      </c>
      <c r="G5" s="114"/>
      <c r="H5" s="114"/>
      <c r="I5" s="115">
        <v>42465</v>
      </c>
      <c r="J5" s="118">
        <v>182203.00216090496</v>
      </c>
      <c r="K5" s="115">
        <v>44109</v>
      </c>
      <c r="L5" s="114">
        <v>1</v>
      </c>
      <c r="M5" s="114">
        <v>5.2499999999999998E-2</v>
      </c>
      <c r="N5" s="118">
        <v>182203.00216090496</v>
      </c>
      <c r="O5" s="118">
        <v>182203.00216090496</v>
      </c>
      <c r="P5" s="118">
        <v>14523.798553991892</v>
      </c>
      <c r="Q5" s="119">
        <v>182203.00216090496</v>
      </c>
      <c r="R5" s="118" t="b">
        <v>1</v>
      </c>
      <c r="S5" s="118">
        <v>0.25</v>
      </c>
      <c r="T5" s="118">
        <v>0</v>
      </c>
      <c r="U5" s="118">
        <v>0.5</v>
      </c>
      <c r="V5" s="118">
        <v>0.05</v>
      </c>
      <c r="W5" s="118">
        <v>0</v>
      </c>
      <c r="X5" s="118">
        <v>0</v>
      </c>
      <c r="Y5" s="118">
        <v>0</v>
      </c>
      <c r="Z5" s="118">
        <v>0</v>
      </c>
      <c r="AA5" s="118">
        <v>0</v>
      </c>
      <c r="AB5" s="118">
        <v>0.05</v>
      </c>
      <c r="AC5" s="118">
        <v>0</v>
      </c>
      <c r="AD5" s="118">
        <v>0.05</v>
      </c>
      <c r="AE5" s="118">
        <v>0.05</v>
      </c>
      <c r="AF5" s="118">
        <v>0.05</v>
      </c>
      <c r="AG5" s="118">
        <v>0.05</v>
      </c>
      <c r="AH5" s="118">
        <v>0.05</v>
      </c>
      <c r="AI5" s="118">
        <v>0.05</v>
      </c>
      <c r="AJ5" s="118">
        <v>0.05</v>
      </c>
      <c r="AK5" s="118">
        <v>0</v>
      </c>
      <c r="AL5" s="118">
        <v>0.05</v>
      </c>
    </row>
    <row r="6" spans="1:38" x14ac:dyDescent="0.3">
      <c r="A6" s="113">
        <v>4</v>
      </c>
      <c r="B6" s="114" t="s">
        <v>46</v>
      </c>
      <c r="C6" s="114" t="b">
        <v>0</v>
      </c>
      <c r="D6" s="115">
        <v>42465</v>
      </c>
      <c r="E6" s="115">
        <v>15070</v>
      </c>
      <c r="F6" s="114" t="s">
        <v>42</v>
      </c>
      <c r="G6" s="114"/>
      <c r="H6" s="114"/>
      <c r="I6" s="115">
        <v>42465</v>
      </c>
      <c r="J6" s="118">
        <v>69184.946238427947</v>
      </c>
      <c r="K6" s="115">
        <v>44109</v>
      </c>
      <c r="L6" s="114">
        <v>1</v>
      </c>
      <c r="M6" s="114">
        <v>5.2499999999999998E-2</v>
      </c>
      <c r="N6" s="118">
        <v>69184.946238427947</v>
      </c>
      <c r="O6" s="118">
        <v>69184.946238427947</v>
      </c>
      <c r="P6" s="118">
        <v>8143.3285014251214</v>
      </c>
      <c r="Q6" s="119">
        <v>69184.946238427947</v>
      </c>
      <c r="R6" s="118" t="b">
        <v>1</v>
      </c>
      <c r="S6" s="118">
        <v>0.25</v>
      </c>
      <c r="T6" s="118">
        <v>0</v>
      </c>
      <c r="U6" s="118">
        <v>0</v>
      </c>
      <c r="V6" s="118">
        <v>0</v>
      </c>
      <c r="W6" s="118">
        <v>0.25</v>
      </c>
      <c r="X6" s="118">
        <v>0</v>
      </c>
      <c r="Y6" s="118">
        <v>0.25</v>
      </c>
      <c r="Z6" s="118">
        <v>0</v>
      </c>
      <c r="AA6" s="118">
        <v>0</v>
      </c>
      <c r="AB6" s="118">
        <v>0</v>
      </c>
      <c r="AC6" s="118">
        <v>0</v>
      </c>
      <c r="AD6" s="118">
        <v>0</v>
      </c>
      <c r="AE6" s="118">
        <v>0</v>
      </c>
      <c r="AF6" s="118">
        <v>0.1</v>
      </c>
      <c r="AG6" s="118">
        <v>0.1</v>
      </c>
      <c r="AH6" s="118">
        <v>0.1</v>
      </c>
      <c r="AI6" s="118">
        <v>0.1</v>
      </c>
      <c r="AJ6" s="118">
        <v>0.1</v>
      </c>
      <c r="AK6" s="118">
        <v>0</v>
      </c>
      <c r="AL6" s="118">
        <v>0</v>
      </c>
    </row>
    <row r="7" spans="1:38" x14ac:dyDescent="0.3">
      <c r="A7" s="113">
        <v>5</v>
      </c>
      <c r="B7" s="114" t="s">
        <v>47</v>
      </c>
      <c r="C7" s="114" t="b">
        <v>0</v>
      </c>
      <c r="D7" s="115">
        <v>42465</v>
      </c>
      <c r="E7" s="115">
        <v>11420</v>
      </c>
      <c r="F7" s="114" t="s">
        <v>42</v>
      </c>
      <c r="G7" s="114"/>
      <c r="H7" s="114"/>
      <c r="I7" s="115">
        <v>42465</v>
      </c>
      <c r="J7" s="118">
        <v>150298.66258566288</v>
      </c>
      <c r="K7" s="115">
        <v>44109</v>
      </c>
      <c r="L7" s="114">
        <v>1</v>
      </c>
      <c r="M7" s="114">
        <v>5.2499999999999998E-2</v>
      </c>
      <c r="N7" s="118">
        <v>150298.66258566288</v>
      </c>
      <c r="O7" s="118">
        <v>150298.66258566288</v>
      </c>
      <c r="P7" s="118">
        <v>13684.105061322096</v>
      </c>
      <c r="Q7" s="119">
        <v>150298.66258566288</v>
      </c>
      <c r="R7" s="118" t="b">
        <v>1</v>
      </c>
      <c r="S7" s="118">
        <v>0.25</v>
      </c>
      <c r="T7" s="118">
        <v>0</v>
      </c>
      <c r="U7" s="118">
        <v>0</v>
      </c>
      <c r="V7" s="118">
        <v>0</v>
      </c>
      <c r="W7" s="118">
        <v>0</v>
      </c>
      <c r="X7" s="118">
        <v>0</v>
      </c>
      <c r="Y7" s="118">
        <v>0</v>
      </c>
      <c r="Z7" s="118">
        <v>0</v>
      </c>
      <c r="AA7" s="118">
        <v>0</v>
      </c>
      <c r="AB7" s="118">
        <v>0</v>
      </c>
      <c r="AC7" s="118">
        <v>0</v>
      </c>
      <c r="AD7" s="118">
        <v>0</v>
      </c>
      <c r="AE7" s="118">
        <v>0.5</v>
      </c>
      <c r="AF7" s="118">
        <v>0.1</v>
      </c>
      <c r="AG7" s="118">
        <v>0.1</v>
      </c>
      <c r="AH7" s="118">
        <v>0.1</v>
      </c>
      <c r="AI7" s="118">
        <v>0.1</v>
      </c>
      <c r="AJ7" s="118">
        <v>0.1</v>
      </c>
      <c r="AK7" s="118">
        <v>0</v>
      </c>
      <c r="AL7" s="118">
        <v>0</v>
      </c>
    </row>
    <row r="8" spans="1:38" x14ac:dyDescent="0.3">
      <c r="A8" s="113">
        <v>6</v>
      </c>
      <c r="B8" s="114" t="s">
        <v>48</v>
      </c>
      <c r="C8" s="114" t="b">
        <v>0</v>
      </c>
      <c r="D8" s="115">
        <v>42465</v>
      </c>
      <c r="E8" s="115">
        <v>18720</v>
      </c>
      <c r="F8" s="114" t="s">
        <v>42</v>
      </c>
      <c r="G8" s="114"/>
      <c r="H8" s="114"/>
      <c r="I8" s="115">
        <v>42465</v>
      </c>
      <c r="J8" s="118">
        <v>105606.93882617053</v>
      </c>
      <c r="K8" s="115">
        <v>44109</v>
      </c>
      <c r="L8" s="114">
        <v>2</v>
      </c>
      <c r="M8" s="114">
        <v>5.2499999999999998E-2</v>
      </c>
      <c r="N8" s="118">
        <v>105606.93882617053</v>
      </c>
      <c r="O8" s="118">
        <v>105606.93882617053</v>
      </c>
      <c r="P8" s="118">
        <v>10085.128879183343</v>
      </c>
      <c r="Q8" s="119">
        <v>105606.93882617053</v>
      </c>
      <c r="R8" s="118" t="b">
        <v>1</v>
      </c>
      <c r="S8" s="118">
        <v>0.25</v>
      </c>
      <c r="T8" s="118">
        <v>0</v>
      </c>
      <c r="U8" s="118">
        <v>0</v>
      </c>
      <c r="V8" s="118">
        <v>0</v>
      </c>
      <c r="W8" s="118">
        <v>0</v>
      </c>
      <c r="X8" s="118">
        <v>0</v>
      </c>
      <c r="Y8" s="118">
        <v>0</v>
      </c>
      <c r="Z8" s="118">
        <v>0</v>
      </c>
      <c r="AA8" s="118">
        <v>0</v>
      </c>
      <c r="AB8" s="118">
        <v>0</v>
      </c>
      <c r="AC8" s="118">
        <v>0</v>
      </c>
      <c r="AD8" s="118">
        <v>0.5</v>
      </c>
      <c r="AE8" s="118">
        <v>0</v>
      </c>
      <c r="AF8" s="118">
        <v>0.1</v>
      </c>
      <c r="AG8" s="118">
        <v>0.1</v>
      </c>
      <c r="AH8" s="118">
        <v>0.1</v>
      </c>
      <c r="AI8" s="118">
        <v>0.1</v>
      </c>
      <c r="AJ8" s="118">
        <v>0.1</v>
      </c>
      <c r="AK8" s="118">
        <v>0</v>
      </c>
      <c r="AL8" s="118">
        <v>0</v>
      </c>
    </row>
    <row r="9" spans="1:38" x14ac:dyDescent="0.3">
      <c r="A9" s="113">
        <v>7</v>
      </c>
      <c r="B9" s="114" t="s">
        <v>49</v>
      </c>
      <c r="C9" s="114" t="b">
        <v>0</v>
      </c>
      <c r="D9" s="115">
        <v>42465</v>
      </c>
      <c r="E9" s="115">
        <v>18720</v>
      </c>
      <c r="F9" s="114" t="s">
        <v>42</v>
      </c>
      <c r="G9" s="114"/>
      <c r="H9" s="114"/>
      <c r="I9" s="115">
        <v>42465</v>
      </c>
      <c r="J9" s="118">
        <v>42427.11718072473</v>
      </c>
      <c r="K9" s="115">
        <v>44109</v>
      </c>
      <c r="L9" s="114">
        <v>3</v>
      </c>
      <c r="M9" s="114">
        <v>5.2499999999999998E-2</v>
      </c>
      <c r="N9" s="118">
        <v>42427.11718072473</v>
      </c>
      <c r="O9" s="118">
        <v>42427.11718072473</v>
      </c>
      <c r="P9" s="118">
        <v>5578.9796538104865</v>
      </c>
      <c r="Q9" s="119">
        <v>42427.11718072473</v>
      </c>
      <c r="R9" s="118" t="b">
        <v>1</v>
      </c>
      <c r="S9" s="118">
        <v>0.25</v>
      </c>
      <c r="T9" s="118">
        <v>0</v>
      </c>
      <c r="U9" s="118">
        <v>0</v>
      </c>
      <c r="V9" s="118">
        <v>0</v>
      </c>
      <c r="W9" s="118">
        <v>0</v>
      </c>
      <c r="X9" s="118">
        <v>0</v>
      </c>
      <c r="Y9" s="118">
        <v>0</v>
      </c>
      <c r="Z9" s="118">
        <v>0</v>
      </c>
      <c r="AA9" s="118">
        <v>0</v>
      </c>
      <c r="AB9" s="118">
        <v>0</v>
      </c>
      <c r="AC9" s="118">
        <v>0.5</v>
      </c>
      <c r="AD9" s="118">
        <v>0</v>
      </c>
      <c r="AE9" s="118">
        <v>0</v>
      </c>
      <c r="AF9" s="118">
        <v>0.1</v>
      </c>
      <c r="AG9" s="118">
        <v>0.1</v>
      </c>
      <c r="AH9" s="118">
        <v>0.1</v>
      </c>
      <c r="AI9" s="118">
        <v>0.1</v>
      </c>
      <c r="AJ9" s="118">
        <v>0.1</v>
      </c>
      <c r="AK9" s="118">
        <v>0</v>
      </c>
      <c r="AL9" s="118">
        <v>0</v>
      </c>
    </row>
    <row r="10" spans="1:38" x14ac:dyDescent="0.3">
      <c r="A10" s="113">
        <v>8</v>
      </c>
      <c r="B10" s="114" t="s">
        <v>50</v>
      </c>
      <c r="C10" s="114" t="b">
        <v>0</v>
      </c>
      <c r="D10" s="115">
        <v>42465</v>
      </c>
      <c r="E10" s="115">
        <v>18720</v>
      </c>
      <c r="F10" s="114" t="s">
        <v>42</v>
      </c>
      <c r="G10" s="114"/>
      <c r="H10" s="114"/>
      <c r="I10" s="115">
        <v>42465</v>
      </c>
      <c r="J10" s="118">
        <v>47603.469194453544</v>
      </c>
      <c r="K10" s="115">
        <v>43013</v>
      </c>
      <c r="L10" s="114">
        <v>1</v>
      </c>
      <c r="M10" s="114">
        <v>5.2499999999999998E-2</v>
      </c>
      <c r="N10" s="118">
        <v>47603.469194453544</v>
      </c>
      <c r="O10" s="118">
        <v>47603.469194453544</v>
      </c>
      <c r="P10" s="118">
        <v>18541.617782629564</v>
      </c>
      <c r="Q10" s="119">
        <v>47603.469194453544</v>
      </c>
      <c r="R10" s="118" t="b">
        <v>1</v>
      </c>
      <c r="S10" s="118">
        <v>0.25</v>
      </c>
      <c r="T10" s="118">
        <v>0</v>
      </c>
      <c r="U10" s="118">
        <v>0</v>
      </c>
      <c r="V10" s="118">
        <v>0</v>
      </c>
      <c r="W10" s="118">
        <v>0</v>
      </c>
      <c r="X10" s="118">
        <v>0</v>
      </c>
      <c r="Y10" s="118">
        <v>0</v>
      </c>
      <c r="Z10" s="118">
        <v>0</v>
      </c>
      <c r="AA10" s="118">
        <v>0</v>
      </c>
      <c r="AB10" s="118">
        <v>0.5</v>
      </c>
      <c r="AC10" s="118">
        <v>0</v>
      </c>
      <c r="AD10" s="118">
        <v>0</v>
      </c>
      <c r="AE10" s="118">
        <v>0</v>
      </c>
      <c r="AF10" s="118">
        <v>0.1</v>
      </c>
      <c r="AG10" s="118">
        <v>0.1</v>
      </c>
      <c r="AH10" s="118">
        <v>0.1</v>
      </c>
      <c r="AI10" s="118">
        <v>0.1</v>
      </c>
      <c r="AJ10" s="118">
        <v>0.1</v>
      </c>
      <c r="AK10" s="118">
        <v>0</v>
      </c>
      <c r="AL10" s="118">
        <v>0</v>
      </c>
    </row>
    <row r="11" spans="1:38" x14ac:dyDescent="0.3">
      <c r="A11" s="113">
        <v>9</v>
      </c>
      <c r="B11" s="114" t="s">
        <v>51</v>
      </c>
      <c r="C11" s="114" t="b">
        <v>0</v>
      </c>
      <c r="D11" s="115">
        <v>42465</v>
      </c>
      <c r="E11" s="115">
        <v>18720</v>
      </c>
      <c r="F11" s="114" t="s">
        <v>42</v>
      </c>
      <c r="G11" s="114"/>
      <c r="H11" s="114"/>
      <c r="I11" s="115">
        <v>42465</v>
      </c>
      <c r="J11" s="118">
        <v>157110.87938977685</v>
      </c>
      <c r="K11" s="115">
        <v>43378</v>
      </c>
      <c r="L11" s="114">
        <v>1</v>
      </c>
      <c r="M11" s="114">
        <v>5.2499999999999998E-2</v>
      </c>
      <c r="N11" s="118">
        <v>157110.87938977685</v>
      </c>
      <c r="O11" s="118">
        <v>157110.87938977685</v>
      </c>
      <c r="P11" s="118">
        <v>12472.756690167882</v>
      </c>
      <c r="Q11" s="119">
        <v>157110.87938977685</v>
      </c>
      <c r="R11" s="118" t="b">
        <v>1</v>
      </c>
      <c r="S11" s="118">
        <v>0.25</v>
      </c>
      <c r="T11" s="118">
        <v>0</v>
      </c>
      <c r="U11" s="118">
        <v>0</v>
      </c>
      <c r="V11" s="118">
        <v>0</v>
      </c>
      <c r="W11" s="118">
        <v>0</v>
      </c>
      <c r="X11" s="118">
        <v>0</v>
      </c>
      <c r="Y11" s="118">
        <v>0</v>
      </c>
      <c r="Z11" s="118">
        <v>0</v>
      </c>
      <c r="AA11" s="118">
        <v>0.5</v>
      </c>
      <c r="AB11" s="118">
        <v>0</v>
      </c>
      <c r="AC11" s="118">
        <v>0</v>
      </c>
      <c r="AD11" s="118">
        <v>0</v>
      </c>
      <c r="AE11" s="118">
        <v>0</v>
      </c>
      <c r="AF11" s="118">
        <v>0.1</v>
      </c>
      <c r="AG11" s="118">
        <v>0.1</v>
      </c>
      <c r="AH11" s="118">
        <v>0.1</v>
      </c>
      <c r="AI11" s="118">
        <v>0.1</v>
      </c>
      <c r="AJ11" s="118">
        <v>0.1</v>
      </c>
      <c r="AK11" s="118">
        <v>0</v>
      </c>
      <c r="AL11" s="118">
        <v>0</v>
      </c>
    </row>
    <row r="12" spans="1:38" x14ac:dyDescent="0.3">
      <c r="A12" s="113">
        <v>10</v>
      </c>
      <c r="B12" s="114" t="s">
        <v>52</v>
      </c>
      <c r="C12" s="114" t="b">
        <v>0</v>
      </c>
      <c r="D12" s="115">
        <v>42465</v>
      </c>
      <c r="E12" s="115">
        <v>18720</v>
      </c>
      <c r="F12" s="114" t="s">
        <v>42</v>
      </c>
      <c r="G12" s="114"/>
      <c r="H12" s="114"/>
      <c r="I12" s="115">
        <v>42465</v>
      </c>
      <c r="J12" s="118">
        <v>28106.899207877428</v>
      </c>
      <c r="K12" s="115">
        <v>43743</v>
      </c>
      <c r="L12" s="114">
        <v>1</v>
      </c>
      <c r="M12" s="114">
        <v>5.2499999999999998E-2</v>
      </c>
      <c r="N12" s="118">
        <v>28106.899207877428</v>
      </c>
      <c r="O12" s="118">
        <v>28106.899207877428</v>
      </c>
      <c r="P12" s="118">
        <v>3862.4017537345594</v>
      </c>
      <c r="Q12" s="119">
        <v>28106.899207877428</v>
      </c>
      <c r="R12" s="118" t="b">
        <v>1</v>
      </c>
      <c r="S12" s="118">
        <v>0.25</v>
      </c>
      <c r="T12" s="118">
        <v>0</v>
      </c>
      <c r="U12" s="118">
        <v>0</v>
      </c>
      <c r="V12" s="118">
        <v>0</v>
      </c>
      <c r="W12" s="118">
        <v>0</v>
      </c>
      <c r="X12" s="118">
        <v>0</v>
      </c>
      <c r="Y12" s="118">
        <v>0</v>
      </c>
      <c r="Z12" s="118">
        <v>0.5</v>
      </c>
      <c r="AA12" s="118">
        <v>0</v>
      </c>
      <c r="AB12" s="118">
        <v>0</v>
      </c>
      <c r="AC12" s="118">
        <v>0</v>
      </c>
      <c r="AD12" s="118">
        <v>0</v>
      </c>
      <c r="AE12" s="118">
        <v>0</v>
      </c>
      <c r="AF12" s="118">
        <v>0.1</v>
      </c>
      <c r="AG12" s="118">
        <v>0.1</v>
      </c>
      <c r="AH12" s="118">
        <v>0.1</v>
      </c>
      <c r="AI12" s="118">
        <v>0.1</v>
      </c>
      <c r="AJ12" s="118">
        <v>0.1</v>
      </c>
      <c r="AK12" s="118">
        <v>0</v>
      </c>
      <c r="AL12" s="118">
        <v>0</v>
      </c>
    </row>
    <row r="13" spans="1:38" x14ac:dyDescent="0.3">
      <c r="A13" s="113">
        <v>11</v>
      </c>
      <c r="B13" s="114" t="s">
        <v>53</v>
      </c>
      <c r="C13" s="114" t="b">
        <v>0</v>
      </c>
      <c r="D13" s="115">
        <v>42465</v>
      </c>
      <c r="E13" s="115">
        <v>18720</v>
      </c>
      <c r="F13" s="114" t="s">
        <v>42</v>
      </c>
      <c r="G13" s="114"/>
      <c r="H13" s="114"/>
      <c r="I13" s="115">
        <v>42465</v>
      </c>
      <c r="J13" s="118">
        <v>96931.426475781816</v>
      </c>
      <c r="K13" s="115">
        <v>44474</v>
      </c>
      <c r="L13" s="114">
        <v>1</v>
      </c>
      <c r="M13" s="114">
        <v>5.2499999999999998E-2</v>
      </c>
      <c r="N13" s="118">
        <v>96931.426475781816</v>
      </c>
      <c r="O13" s="118">
        <v>96931.426475781816</v>
      </c>
      <c r="P13" s="118">
        <v>1796.8830721520278</v>
      </c>
      <c r="Q13" s="119">
        <v>96931.426475781816</v>
      </c>
      <c r="R13" s="118" t="b">
        <v>1</v>
      </c>
      <c r="S13" s="118">
        <v>0.25</v>
      </c>
      <c r="T13" s="118">
        <v>0</v>
      </c>
      <c r="U13" s="118">
        <v>0</v>
      </c>
      <c r="V13" s="118">
        <v>0</v>
      </c>
      <c r="W13" s="118">
        <v>0</v>
      </c>
      <c r="X13" s="118">
        <v>0</v>
      </c>
      <c r="Y13" s="118">
        <v>0.5</v>
      </c>
      <c r="Z13" s="118">
        <v>0</v>
      </c>
      <c r="AA13" s="118">
        <v>0</v>
      </c>
      <c r="AB13" s="118">
        <v>0</v>
      </c>
      <c r="AC13" s="118">
        <v>0</v>
      </c>
      <c r="AD13" s="118">
        <v>0</v>
      </c>
      <c r="AE13" s="118">
        <v>0</v>
      </c>
      <c r="AF13" s="118">
        <v>0.1</v>
      </c>
      <c r="AG13" s="118">
        <v>0.1</v>
      </c>
      <c r="AH13" s="118">
        <v>0.1</v>
      </c>
      <c r="AI13" s="118">
        <v>0.1</v>
      </c>
      <c r="AJ13" s="118">
        <v>0.1</v>
      </c>
      <c r="AK13" s="118">
        <v>0</v>
      </c>
      <c r="AL13" s="118">
        <v>0</v>
      </c>
    </row>
    <row r="14" spans="1:38" x14ac:dyDescent="0.3">
      <c r="A14" s="113">
        <v>12</v>
      </c>
      <c r="B14" s="114" t="s">
        <v>54</v>
      </c>
      <c r="C14" s="114" t="b">
        <v>0</v>
      </c>
      <c r="D14" s="115">
        <v>42465</v>
      </c>
      <c r="E14" s="115">
        <v>18720</v>
      </c>
      <c r="F14" s="114" t="s">
        <v>42</v>
      </c>
      <c r="G14" s="114"/>
      <c r="H14" s="114"/>
      <c r="I14" s="115">
        <v>42465</v>
      </c>
      <c r="J14" s="118">
        <v>92382.669600073219</v>
      </c>
      <c r="K14" s="115">
        <v>44839</v>
      </c>
      <c r="L14" s="114">
        <v>1</v>
      </c>
      <c r="M14" s="114">
        <v>5.2499999999999998E-2</v>
      </c>
      <c r="N14" s="118">
        <v>92382.669600073219</v>
      </c>
      <c r="O14" s="118">
        <v>92382.669600073219</v>
      </c>
      <c r="P14" s="118">
        <v>24938.25284851898</v>
      </c>
      <c r="Q14" s="119">
        <v>92382.669600073219</v>
      </c>
      <c r="R14" s="118" t="b">
        <v>1</v>
      </c>
      <c r="S14" s="118">
        <v>0.25</v>
      </c>
      <c r="T14" s="118">
        <v>0</v>
      </c>
      <c r="U14" s="118">
        <v>0</v>
      </c>
      <c r="V14" s="118">
        <v>0</v>
      </c>
      <c r="W14" s="118">
        <v>0</v>
      </c>
      <c r="X14" s="118">
        <v>0.5</v>
      </c>
      <c r="Y14" s="118">
        <v>0</v>
      </c>
      <c r="Z14" s="118">
        <v>0</v>
      </c>
      <c r="AA14" s="118">
        <v>0</v>
      </c>
      <c r="AB14" s="118">
        <v>0</v>
      </c>
      <c r="AC14" s="118">
        <v>0</v>
      </c>
      <c r="AD14" s="118">
        <v>0</v>
      </c>
      <c r="AE14" s="118">
        <v>0</v>
      </c>
      <c r="AF14" s="118">
        <v>0.1</v>
      </c>
      <c r="AG14" s="118">
        <v>0.1</v>
      </c>
      <c r="AH14" s="118">
        <v>0.1</v>
      </c>
      <c r="AI14" s="118">
        <v>0.1</v>
      </c>
      <c r="AJ14" s="118">
        <v>0.1</v>
      </c>
      <c r="AK14" s="118">
        <v>0</v>
      </c>
      <c r="AL14" s="118">
        <v>0</v>
      </c>
    </row>
    <row r="15" spans="1:38" x14ac:dyDescent="0.3">
      <c r="A15" s="113">
        <v>13</v>
      </c>
      <c r="B15" s="114" t="s">
        <v>55</v>
      </c>
      <c r="C15" s="114" t="b">
        <v>0</v>
      </c>
      <c r="D15" s="115">
        <v>42465</v>
      </c>
      <c r="E15" s="115">
        <v>18720</v>
      </c>
      <c r="F15" s="114" t="s">
        <v>42</v>
      </c>
      <c r="G15" s="114"/>
      <c r="H15" s="114"/>
      <c r="I15" s="115">
        <v>42465</v>
      </c>
      <c r="J15" s="118">
        <v>58832.783356219523</v>
      </c>
      <c r="K15" s="115">
        <v>45204</v>
      </c>
      <c r="L15" s="114">
        <v>1</v>
      </c>
      <c r="M15" s="114">
        <v>5.2499999999999998E-2</v>
      </c>
      <c r="N15" s="118">
        <v>58832.783356219523</v>
      </c>
      <c r="O15" s="118">
        <v>58832.783356219523</v>
      </c>
      <c r="P15" s="118">
        <v>19049.832245647714</v>
      </c>
      <c r="Q15" s="119">
        <v>58832.783356219523</v>
      </c>
      <c r="R15" s="118" t="b">
        <v>1</v>
      </c>
      <c r="S15" s="118">
        <v>0.25</v>
      </c>
      <c r="T15" s="118">
        <v>0</v>
      </c>
      <c r="U15" s="118">
        <v>0</v>
      </c>
      <c r="V15" s="118">
        <v>0</v>
      </c>
      <c r="W15" s="118">
        <v>0.5</v>
      </c>
      <c r="X15" s="118">
        <v>0</v>
      </c>
      <c r="Y15" s="118">
        <v>0</v>
      </c>
      <c r="Z15" s="118">
        <v>0</v>
      </c>
      <c r="AA15" s="118">
        <v>0</v>
      </c>
      <c r="AB15" s="118">
        <v>0</v>
      </c>
      <c r="AC15" s="118">
        <v>0</v>
      </c>
      <c r="AD15" s="118">
        <v>0</v>
      </c>
      <c r="AE15" s="118">
        <v>0</v>
      </c>
      <c r="AF15" s="118">
        <v>0.1</v>
      </c>
      <c r="AG15" s="118">
        <v>0.1</v>
      </c>
      <c r="AH15" s="118">
        <v>0.1</v>
      </c>
      <c r="AI15" s="118">
        <v>0.1</v>
      </c>
      <c r="AJ15" s="118">
        <v>0.1</v>
      </c>
      <c r="AK15" s="118">
        <v>0</v>
      </c>
      <c r="AL15" s="118">
        <v>0</v>
      </c>
    </row>
    <row r="16" spans="1:38" x14ac:dyDescent="0.3">
      <c r="A16" s="113">
        <v>14</v>
      </c>
      <c r="B16" s="114" t="s">
        <v>56</v>
      </c>
      <c r="C16" s="114" t="b">
        <v>0</v>
      </c>
      <c r="D16" s="115">
        <v>42465</v>
      </c>
      <c r="E16" s="115">
        <v>22370</v>
      </c>
      <c r="F16" s="114" t="s">
        <v>42</v>
      </c>
      <c r="G16" s="115">
        <v>18805</v>
      </c>
      <c r="H16" s="114" t="s">
        <v>57</v>
      </c>
      <c r="I16" s="115">
        <v>42465</v>
      </c>
      <c r="J16" s="118">
        <v>77254.968706246742</v>
      </c>
      <c r="K16" s="115">
        <v>44109</v>
      </c>
      <c r="L16" s="114">
        <v>1</v>
      </c>
      <c r="M16" s="114">
        <v>5.2499999999999998E-2</v>
      </c>
      <c r="N16" s="118">
        <v>77254.968706246742</v>
      </c>
      <c r="O16" s="118">
        <v>77254.968706246742</v>
      </c>
      <c r="P16" s="118">
        <v>8328.878719952414</v>
      </c>
      <c r="Q16" s="119">
        <v>77254.968706246742</v>
      </c>
      <c r="R16" s="118" t="b">
        <v>1</v>
      </c>
      <c r="S16" s="118">
        <v>0.25</v>
      </c>
      <c r="T16" s="118">
        <v>0</v>
      </c>
      <c r="U16" s="118">
        <v>0</v>
      </c>
      <c r="V16" s="118">
        <v>0.5</v>
      </c>
      <c r="W16" s="118">
        <v>0</v>
      </c>
      <c r="X16" s="118">
        <v>0</v>
      </c>
      <c r="Y16" s="118">
        <v>0</v>
      </c>
      <c r="Z16" s="118">
        <v>0</v>
      </c>
      <c r="AA16" s="118">
        <v>0</v>
      </c>
      <c r="AB16" s="118">
        <v>0</v>
      </c>
      <c r="AC16" s="118">
        <v>0</v>
      </c>
      <c r="AD16" s="118">
        <v>0</v>
      </c>
      <c r="AE16" s="118">
        <v>0</v>
      </c>
      <c r="AF16" s="118">
        <v>0.1</v>
      </c>
      <c r="AG16" s="118">
        <v>0.1</v>
      </c>
      <c r="AH16" s="118">
        <v>0.1</v>
      </c>
      <c r="AI16" s="118">
        <v>0.1</v>
      </c>
      <c r="AJ16" s="118">
        <v>0.1</v>
      </c>
      <c r="AK16" s="118">
        <v>0</v>
      </c>
      <c r="AL16" s="118">
        <v>0</v>
      </c>
    </row>
    <row r="17" spans="1:38" x14ac:dyDescent="0.3">
      <c r="A17" s="113">
        <v>15</v>
      </c>
      <c r="B17" s="114" t="s">
        <v>58</v>
      </c>
      <c r="C17" s="114" t="b">
        <v>0</v>
      </c>
      <c r="D17" s="115">
        <v>42465</v>
      </c>
      <c r="E17" s="115">
        <v>18720</v>
      </c>
      <c r="F17" s="114" t="s">
        <v>42</v>
      </c>
      <c r="G17" s="115">
        <v>15171</v>
      </c>
      <c r="H17" s="114" t="s">
        <v>42</v>
      </c>
      <c r="I17" s="115">
        <v>42465</v>
      </c>
      <c r="J17" s="118">
        <v>102897.29750340692</v>
      </c>
      <c r="K17" s="115">
        <v>44109</v>
      </c>
      <c r="L17" s="114">
        <v>1</v>
      </c>
      <c r="M17" s="114">
        <v>5.2499999999999998E-2</v>
      </c>
      <c r="N17" s="118">
        <v>102897.29750340692</v>
      </c>
      <c r="O17" s="118">
        <v>102897.29750340692</v>
      </c>
      <c r="P17" s="118">
        <v>17308.417559792819</v>
      </c>
      <c r="Q17" s="119">
        <v>102897.29750340692</v>
      </c>
      <c r="R17" s="118" t="b">
        <v>1</v>
      </c>
      <c r="S17" s="118">
        <v>0.25</v>
      </c>
      <c r="T17" s="118">
        <v>0</v>
      </c>
      <c r="U17" s="118">
        <v>0.5</v>
      </c>
      <c r="V17" s="118">
        <v>0</v>
      </c>
      <c r="W17" s="118">
        <v>0</v>
      </c>
      <c r="X17" s="118">
        <v>0</v>
      </c>
      <c r="Y17" s="118">
        <v>0</v>
      </c>
      <c r="Z17" s="118">
        <v>0</v>
      </c>
      <c r="AA17" s="118">
        <v>0</v>
      </c>
      <c r="AB17" s="118">
        <v>0</v>
      </c>
      <c r="AC17" s="118">
        <v>0</v>
      </c>
      <c r="AD17" s="118">
        <v>0</v>
      </c>
      <c r="AE17" s="118">
        <v>0</v>
      </c>
      <c r="AF17" s="118">
        <v>0.1</v>
      </c>
      <c r="AG17" s="118">
        <v>0.1</v>
      </c>
      <c r="AH17" s="118">
        <v>0.1</v>
      </c>
      <c r="AI17" s="118">
        <v>0.1</v>
      </c>
      <c r="AJ17" s="118">
        <v>0.1</v>
      </c>
      <c r="AK17" s="118">
        <v>0</v>
      </c>
      <c r="AL17" s="118">
        <v>0</v>
      </c>
    </row>
    <row r="18" spans="1:38" x14ac:dyDescent="0.3">
      <c r="A18" s="120">
        <v>16</v>
      </c>
      <c r="B18" s="121" t="s">
        <v>59</v>
      </c>
      <c r="C18" s="121" t="b">
        <v>0</v>
      </c>
      <c r="D18" s="122">
        <v>42465</v>
      </c>
      <c r="E18" s="122">
        <v>13245</v>
      </c>
      <c r="F18" s="121" t="s">
        <v>57</v>
      </c>
      <c r="G18" s="122">
        <v>13244</v>
      </c>
      <c r="H18" s="121" t="s">
        <v>57</v>
      </c>
      <c r="I18" s="122">
        <v>42465</v>
      </c>
      <c r="J18" s="123">
        <v>146058.38404748004</v>
      </c>
      <c r="K18" s="122">
        <v>44109</v>
      </c>
      <c r="L18" s="121">
        <v>1</v>
      </c>
      <c r="M18" s="121">
        <v>5.2499999999999998E-2</v>
      </c>
      <c r="N18" s="123">
        <v>146058.38404748004</v>
      </c>
      <c r="O18" s="123">
        <v>146058.38404748004</v>
      </c>
      <c r="P18" s="123">
        <v>23365.275131770417</v>
      </c>
      <c r="Q18" s="124">
        <v>146058.38404748004</v>
      </c>
      <c r="R18" s="123" t="b">
        <v>1</v>
      </c>
      <c r="S18" s="123">
        <v>0.25</v>
      </c>
      <c r="T18" s="123">
        <v>0.5</v>
      </c>
      <c r="U18" s="123">
        <v>0</v>
      </c>
      <c r="V18" s="123">
        <v>0</v>
      </c>
      <c r="W18" s="123">
        <v>0</v>
      </c>
      <c r="X18" s="123">
        <v>0</v>
      </c>
      <c r="Y18" s="123">
        <v>0</v>
      </c>
      <c r="Z18" s="123">
        <v>0</v>
      </c>
      <c r="AA18" s="123">
        <v>0</v>
      </c>
      <c r="AB18" s="123">
        <v>0</v>
      </c>
      <c r="AC18" s="123">
        <v>0</v>
      </c>
      <c r="AD18" s="123">
        <v>0</v>
      </c>
      <c r="AE18" s="123">
        <v>0</v>
      </c>
      <c r="AF18" s="123">
        <v>0.1</v>
      </c>
      <c r="AG18" s="123">
        <v>0.1</v>
      </c>
      <c r="AH18" s="123">
        <v>0.1</v>
      </c>
      <c r="AI18" s="123">
        <v>0.1</v>
      </c>
      <c r="AJ18" s="123">
        <v>0.1</v>
      </c>
      <c r="AK18" s="123">
        <v>0</v>
      </c>
      <c r="AL18" s="123">
        <v>0</v>
      </c>
    </row>
  </sheetData>
  <conditionalFormatting sqref="T1:AL1">
    <cfRule type="containsText" dxfId="95" priority="1" operator="containsText" text="VCP">
      <formula>NOT(ISERROR(SEARCH("VCP",T1)))</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514F5-B572-4B40-A28E-1EE9F560A0DB}">
  <dimension ref="A1:BN350"/>
  <sheetViews>
    <sheetView zoomScale="90" zoomScaleNormal="90" workbookViewId="0">
      <selection activeCell="A3" sqref="A3"/>
    </sheetView>
  </sheetViews>
  <sheetFormatPr defaultRowHeight="14.4" outlineLevelCol="1" x14ac:dyDescent="0.3"/>
  <cols>
    <col min="1" max="1" width="23" customWidth="1"/>
    <col min="2" max="2" width="23.6640625" customWidth="1"/>
    <col min="3" max="3" width="18" customWidth="1"/>
    <col min="4" max="4" width="16.44140625" customWidth="1"/>
    <col min="5" max="5" width="12" customWidth="1"/>
    <col min="6" max="6" width="12.5546875" customWidth="1"/>
    <col min="7" max="7" width="18" customWidth="1"/>
    <col min="8" max="8" width="15.5546875" customWidth="1" outlineLevel="1"/>
    <col min="9" max="10" width="15.33203125" customWidth="1" outlineLevel="1"/>
    <col min="11" max="11" width="18" customWidth="1"/>
    <col min="12" max="13" width="12.5546875" customWidth="1"/>
    <col min="14" max="15" width="22.109375" customWidth="1"/>
    <col min="16" max="16" width="15.6640625" customWidth="1"/>
    <col min="17" max="17" width="17" customWidth="1"/>
    <col min="18" max="18" width="19.109375" customWidth="1"/>
    <col min="19" max="20" width="13.5546875" customWidth="1"/>
    <col min="21" max="21" width="11.6640625" bestFit="1" customWidth="1"/>
    <col min="22" max="22" width="14.21875" bestFit="1" customWidth="1"/>
    <col min="23" max="23" width="8.5546875" bestFit="1" customWidth="1"/>
    <col min="24" max="24" width="8.33203125" bestFit="1" customWidth="1"/>
    <col min="25" max="25" width="12.6640625" customWidth="1"/>
    <col min="26" max="26" width="18" customWidth="1"/>
    <col min="27" max="27" width="17.109375" customWidth="1"/>
    <col min="28" max="28" width="15.6640625" bestFit="1" customWidth="1"/>
    <col min="29" max="29" width="11.44140625" bestFit="1" customWidth="1"/>
    <col min="30" max="31" width="11.44140625" customWidth="1"/>
    <col min="32" max="32" width="15.6640625" bestFit="1" customWidth="1"/>
    <col min="33" max="34" width="11.44140625" customWidth="1"/>
    <col min="35" max="35" width="10.5546875" bestFit="1" customWidth="1"/>
    <col min="36" max="38" width="10.5546875" customWidth="1"/>
    <col min="39" max="39" width="12" customWidth="1"/>
    <col min="40" max="40" width="10.5546875" customWidth="1"/>
    <col min="41" max="41" width="12" customWidth="1"/>
    <col min="42" max="44" width="10.5546875" customWidth="1"/>
    <col min="45" max="45" width="11.88671875" customWidth="1"/>
    <col min="46" max="46" width="11.5546875" bestFit="1" customWidth="1"/>
    <col min="47" max="52" width="10.5546875" customWidth="1"/>
    <col min="53" max="53" width="12.88671875" customWidth="1"/>
    <col min="54" max="55" width="11.5546875" bestFit="1" customWidth="1"/>
    <col min="56" max="56" width="10.5546875" bestFit="1" customWidth="1"/>
    <col min="57" max="57" width="13.6640625" customWidth="1"/>
    <col min="58" max="58" width="11.88671875" customWidth="1"/>
  </cols>
  <sheetData>
    <row r="1" spans="1:66" ht="23.4" x14ac:dyDescent="0.3">
      <c r="A1" s="139" t="s">
        <v>101</v>
      </c>
      <c r="B1" s="139"/>
      <c r="C1" s="25"/>
    </row>
    <row r="2" spans="1:66" ht="18" x14ac:dyDescent="0.35">
      <c r="A2" t="s">
        <v>102</v>
      </c>
      <c r="B2" t="s">
        <v>150</v>
      </c>
      <c r="C2" s="25"/>
      <c r="D2" s="26"/>
    </row>
    <row r="3" spans="1:66" x14ac:dyDescent="0.3">
      <c r="A3" s="74">
        <f ca="1">SUM(VaBenefits[[Maximum Annual Withdrawal Amount upon Activation]:[Protected Income Payment]])</f>
        <v>976726.64302227902</v>
      </c>
      <c r="B3" s="44">
        <f ca="1">SUM(Reserves)</f>
        <v>7048.5386984230381</v>
      </c>
      <c r="C3" s="25"/>
      <c r="D3" s="1"/>
    </row>
    <row r="4" spans="1:66" x14ac:dyDescent="0.3">
      <c r="C4" s="25"/>
    </row>
    <row r="5" spans="1:66" ht="15" customHeight="1" thickBot="1" x14ac:dyDescent="0.65">
      <c r="B5" s="25"/>
      <c r="C5" s="25"/>
      <c r="D5" s="1"/>
      <c r="N5" s="6"/>
      <c r="O5" s="6"/>
      <c r="V5" s="125"/>
      <c r="W5" s="125"/>
      <c r="X5" s="125"/>
      <c r="Y5" s="125"/>
    </row>
    <row r="6" spans="1:66" ht="15" customHeight="1" thickBot="1" x14ac:dyDescent="0.35">
      <c r="B6" s="140" t="s">
        <v>258</v>
      </c>
      <c r="C6" s="140"/>
      <c r="D6" s="140"/>
      <c r="E6" s="140"/>
      <c r="F6" s="140"/>
      <c r="G6" s="140"/>
      <c r="H6" s="140"/>
      <c r="I6" s="140"/>
      <c r="J6" s="140"/>
      <c r="K6" s="140"/>
      <c r="L6" s="140"/>
      <c r="M6" s="140"/>
      <c r="N6" s="140"/>
      <c r="O6" s="140"/>
      <c r="P6" s="141" t="s">
        <v>259</v>
      </c>
      <c r="Q6" s="141"/>
      <c r="R6" s="141"/>
      <c r="S6" s="141"/>
      <c r="T6" s="141"/>
      <c r="U6" s="141"/>
      <c r="V6" s="143" t="s">
        <v>261</v>
      </c>
      <c r="W6" s="143"/>
      <c r="X6" s="143"/>
      <c r="Y6" s="143"/>
      <c r="Z6" s="143"/>
      <c r="AA6" s="143"/>
      <c r="AB6" s="143"/>
      <c r="AC6" s="143"/>
      <c r="AD6" s="143"/>
      <c r="AE6" s="127"/>
      <c r="AF6" s="127"/>
      <c r="AG6" s="127"/>
      <c r="AH6" s="127"/>
      <c r="AI6" s="128"/>
      <c r="AJ6" s="142" t="s">
        <v>260</v>
      </c>
      <c r="AK6" s="142"/>
      <c r="AL6" s="142"/>
      <c r="AM6" s="142"/>
      <c r="AN6" s="142"/>
      <c r="AO6" s="142"/>
      <c r="AP6" s="142"/>
      <c r="AQ6" s="126"/>
    </row>
    <row r="7" spans="1:66" ht="71.25" customHeight="1" x14ac:dyDescent="0.3">
      <c r="A7" s="31" t="s">
        <v>15</v>
      </c>
      <c r="B7" s="30" t="s">
        <v>149</v>
      </c>
      <c r="C7" s="33" t="s">
        <v>18</v>
      </c>
      <c r="D7" s="31" t="s">
        <v>11</v>
      </c>
      <c r="E7" s="31" t="s">
        <v>6</v>
      </c>
      <c r="F7" s="31" t="s">
        <v>7</v>
      </c>
      <c r="G7" s="31" t="s">
        <v>151</v>
      </c>
      <c r="H7" s="31" t="s">
        <v>152</v>
      </c>
      <c r="I7" s="88" t="s">
        <v>19</v>
      </c>
      <c r="J7" s="88" t="s">
        <v>21</v>
      </c>
      <c r="K7" s="88" t="s">
        <v>22</v>
      </c>
      <c r="L7" s="88" t="s">
        <v>23</v>
      </c>
      <c r="M7" s="88" t="s">
        <v>20</v>
      </c>
      <c r="N7" s="88" t="s">
        <v>17</v>
      </c>
      <c r="O7" s="88" t="s">
        <v>8</v>
      </c>
      <c r="P7" s="88" t="s">
        <v>0</v>
      </c>
      <c r="Q7" s="88" t="s">
        <v>24</v>
      </c>
      <c r="R7" s="88" t="s">
        <v>13</v>
      </c>
      <c r="S7" s="88" t="s">
        <v>1</v>
      </c>
      <c r="T7" s="88" t="s">
        <v>3</v>
      </c>
      <c r="U7" s="89" t="s">
        <v>10</v>
      </c>
      <c r="V7" s="88" t="s">
        <v>145</v>
      </c>
      <c r="W7" s="88" t="s">
        <v>138</v>
      </c>
      <c r="X7" s="88" t="s">
        <v>139</v>
      </c>
      <c r="Y7" s="88" t="s">
        <v>140</v>
      </c>
      <c r="Z7" s="88" t="s">
        <v>141</v>
      </c>
      <c r="AA7" s="88" t="s">
        <v>142</v>
      </c>
      <c r="AB7" s="88" t="s">
        <v>143</v>
      </c>
      <c r="AC7" s="88" t="s">
        <v>144</v>
      </c>
      <c r="AD7" s="88" t="s">
        <v>150</v>
      </c>
      <c r="AE7" s="88" t="s">
        <v>262</v>
      </c>
      <c r="AF7" s="132" t="s">
        <v>257</v>
      </c>
      <c r="AG7" s="88" t="s">
        <v>263</v>
      </c>
      <c r="AH7" s="88" t="s">
        <v>264</v>
      </c>
      <c r="AI7" s="94"/>
      <c r="AJ7" s="37" t="s">
        <v>16</v>
      </c>
      <c r="AK7" s="37" t="s">
        <v>8</v>
      </c>
      <c r="AL7" s="37" t="s">
        <v>9</v>
      </c>
      <c r="AM7" s="37" t="s">
        <v>4</v>
      </c>
      <c r="AN7" s="37" t="s">
        <v>5</v>
      </c>
      <c r="AO7" s="37" t="s">
        <v>3</v>
      </c>
      <c r="AP7" s="37" t="s">
        <v>10</v>
      </c>
      <c r="AQ7" s="36"/>
      <c r="AR7" s="28" t="s">
        <v>16</v>
      </c>
      <c r="AS7" s="18" t="s">
        <v>11</v>
      </c>
      <c r="AT7" s="18" t="s">
        <v>6</v>
      </c>
      <c r="AU7" s="18" t="s">
        <v>7</v>
      </c>
      <c r="AV7" s="18" t="s">
        <v>8</v>
      </c>
      <c r="AW7" s="18" t="s">
        <v>9</v>
      </c>
      <c r="AX7" s="18" t="s">
        <v>4</v>
      </c>
      <c r="AY7" s="18" t="s">
        <v>5</v>
      </c>
      <c r="AZ7" s="18" t="s">
        <v>3</v>
      </c>
      <c r="BA7" s="19" t="s">
        <v>10</v>
      </c>
      <c r="BB7" s="3"/>
      <c r="BC7" s="3"/>
      <c r="BD7" s="3"/>
      <c r="BE7" s="3"/>
      <c r="BF7" s="3"/>
      <c r="BG7" s="3"/>
      <c r="BI7" s="3" t="s">
        <v>8</v>
      </c>
      <c r="BJ7" s="3" t="s">
        <v>9</v>
      </c>
      <c r="BK7" s="3" t="s">
        <v>4</v>
      </c>
      <c r="BL7" s="3" t="s">
        <v>5</v>
      </c>
      <c r="BM7" s="3" t="s">
        <v>3</v>
      </c>
      <c r="BN7" s="3" t="s">
        <v>10</v>
      </c>
    </row>
    <row r="8" spans="1:66" x14ac:dyDescent="0.3">
      <c r="A8" s="35">
        <v>0</v>
      </c>
      <c r="B8" s="29">
        <f>AR8</f>
        <v>0</v>
      </c>
      <c r="C8" s="29" t="b">
        <f ca="1">AND(VaBenefits[[#This Row],[timeFromValuation]]&gt;=ACT,VaBenefits[[#This Row],[Assumed Contract Value ]]&gt;0)</f>
        <v>0</v>
      </c>
      <c r="D8" s="20">
        <f>IF(OR(RIGHT(B8,2)="25",RIGHT(B8,2)="75"),0,VLOOKUP(VaBenefits[[#This Row],[timeFromValuation]],$AR$8:$BA$30,2,FALSE))</f>
        <v>100000</v>
      </c>
      <c r="E8" s="20">
        <f>IF(OR(RIGHT(B8,2)="25",RIGHT(B8,2)="75"),0,VLOOKUP(VaBenefits[[#This Row],[timeFromValuation]],$AR$8:$BA$30,3,FALSE))</f>
        <v>0</v>
      </c>
      <c r="F8" s="20">
        <f ca="1">IF(OR(RIGHT(B8,2)="25",RIGHT(B8,2)="75"),OFFSET(VaBenefits[[#This Row],[Assumed Contract Value ]],-1,0),VLOOKUP(VaBenefits[[#This Row],[timeFromValuation]],$AR$8:$BA$30,4,FALSE))</f>
        <v>100000</v>
      </c>
      <c r="G8" s="20">
        <v>55</v>
      </c>
      <c r="H8" s="20">
        <v>65</v>
      </c>
      <c r="I8" s="27" t="b">
        <f>VaBenefits[[#This Row],[Withdrawal Taken  ]]&gt;0</f>
        <v>0</v>
      </c>
      <c r="J8" s="41">
        <v>0</v>
      </c>
      <c r="K8" s="41">
        <v>0</v>
      </c>
      <c r="L8" s="27" t="b">
        <f ca="1">AND(VaBenefits[[#This Row],[Is Activation]],SUMIFS($E8:$E$8,$C8:$C$8,TRUE)&gt;0)</f>
        <v>0</v>
      </c>
      <c r="M8" s="34">
        <f>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 s="7">
        <f>IF(VaBenefits[[#This Row],[timeFromValuation]]=0,0, MOD(VaBenefits[[#This Row],[timeFromValuation]],1)=0)</f>
        <v>0</v>
      </c>
      <c r="O8" s="7">
        <f>IF(VaBenefits[[#This Row],[Is Anniversary?]]=TRUE,VaBenefits[[#This Row],[Assumed Contract Value ]],0)</f>
        <v>0</v>
      </c>
      <c r="P8" s="7">
        <f>StartingIncomeBase</f>
        <v>100000</v>
      </c>
      <c r="Q8" s="7" t="b">
        <v>0</v>
      </c>
      <c r="R8" s="7">
        <f>StartingIncomeCreditBase</f>
        <v>100000</v>
      </c>
      <c r="S8" s="7">
        <v>0</v>
      </c>
      <c r="T8" s="5">
        <f ca="1">IF(VaBenefits[[#This Row],[Assumed Contract Value ]]&gt;0,VaBenefits[[#This Row],[Income Base]]*MAWA,0)</f>
        <v>6250</v>
      </c>
      <c r="U8" s="95">
        <f>IF(AND(VaBenefits[[#This Row],[Has Income Credit]],VaBenefits[[#This Row],[Is Anniversary?]],VaBenefits[[#This Row],[Joint Mortality tPxy for the partial year]]),VaBenefits[[#This Row],[Income Base]]*PIP,0)</f>
        <v>0</v>
      </c>
      <c r="V8" s="8">
        <f>1/(1+InterestRate)^VaBenefits[[#This Row],[timeFromValuation]]</f>
        <v>1</v>
      </c>
      <c r="W8" s="90">
        <f>VaBenefits[[#This Row],[timeFromValuation]]</f>
        <v>0</v>
      </c>
      <c r="X8" s="91">
        <f>IF(($G$8+VaBenefits[[#This Row],[timeFromValuation]])&lt;=120,VLOOKUP(G8,Table2[],Qx!L$6,FALSE),0)</f>
        <v>0.99804999999999999</v>
      </c>
      <c r="Y8" s="91">
        <f>IF(($H$8+VaBenefits[[#This Row],[timeFromValuation]])&lt;=120,VLOOKUP(H8,Table2[],Qx!M$6,FALSE),0)</f>
        <v>0.99189400000000005</v>
      </c>
      <c r="Z8" s="91">
        <f>PRODUCT($X$8:$X8)</f>
        <v>0.99804999999999999</v>
      </c>
      <c r="AA8" s="91">
        <f>PRODUCT($Y$8:$Y8)</f>
        <v>0.99189400000000005</v>
      </c>
      <c r="AB8" s="91">
        <f>VaBenefits[[#This Row],[Primary Annuitant Px]]+VaBenefits[[#This Row],[Secondary Annuitant Py]]-VaBenefits[[#This Row],[Primary Annuitant Px]]*VaBenefits[[#This Row],[Secondary Annuitant Py]]</f>
        <v>0.99998419329999988</v>
      </c>
      <c r="AC8" s="91">
        <f>PRODUCT($AB$8:$AB8)</f>
        <v>0.99998419329999988</v>
      </c>
      <c r="AD8" s="98">
        <f>PV(1.03,20,-VaBenefits[[#This Row],[Protected Income Payment]])</f>
        <v>0</v>
      </c>
      <c r="AE8" s="130">
        <f ca="1">IF((AND(VaBenefits[[#This Row],[Is Anniversary?]],VaBenefits[[#This Row],[Assumed Contract Value ]]&lt;75000)),-50,0)</f>
        <v>0</v>
      </c>
      <c r="AF8" s="133">
        <f ca="1">VaBenefits[[#This Row],[Assumed Contract Value ]]*-1.15%/4</f>
        <v>-287.5</v>
      </c>
      <c r="AG8" s="129">
        <v>0</v>
      </c>
      <c r="AH8" s="131">
        <f ca="1">VaBenefits[[#This Row],[Maintenace Fee]]+VaBenefits[[#This Row],[Separate Account Charge]]+VaBenefits[[#This Row],[Rider Fee]]</f>
        <v>-287.5</v>
      </c>
      <c r="AI8" s="2"/>
      <c r="AJ8" s="38">
        <v>0</v>
      </c>
      <c r="AK8" s="8">
        <f>VaBenefits[[#This Row],[Anniversary Value  ]]-AV8</f>
        <v>0</v>
      </c>
      <c r="AL8" s="8">
        <f>VaBenefits[[#This Row],[Income Base]]-AW8</f>
        <v>0</v>
      </c>
      <c r="AM8" s="8">
        <f>VaBenefits[[#This Row],[Income Credit Base]]-AX8</f>
        <v>0</v>
      </c>
      <c r="AN8" s="8">
        <f>VaBenefits[[#This Row],[Income Credit]]-AY8</f>
        <v>0</v>
      </c>
      <c r="AO8" s="8">
        <f ca="1">VaBenefits[[#This Row],[Maximum Annual Withdrawal Amount upon Activation]]-AZ8</f>
        <v>0</v>
      </c>
      <c r="AP8" s="8">
        <f>VaBenefits[[#This Row],[Protected Income Payment]]-BA8</f>
        <v>0</v>
      </c>
      <c r="AQ8" s="2"/>
      <c r="AR8" s="21">
        <v>0</v>
      </c>
      <c r="AS8" s="22">
        <v>100000</v>
      </c>
      <c r="AT8" s="22">
        <v>0</v>
      </c>
      <c r="AU8" s="22">
        <v>100000</v>
      </c>
      <c r="AV8" s="11">
        <v>0</v>
      </c>
      <c r="AW8" s="10">
        <v>100000</v>
      </c>
      <c r="AX8" s="10">
        <v>100000</v>
      </c>
      <c r="AY8" s="10">
        <v>0</v>
      </c>
      <c r="AZ8" s="10">
        <v>6250</v>
      </c>
      <c r="BA8" s="13">
        <v>0</v>
      </c>
      <c r="BB8" s="9"/>
      <c r="BC8" s="9"/>
      <c r="BD8" s="9"/>
      <c r="BE8" s="9"/>
      <c r="BF8" s="9"/>
      <c r="BG8" s="9"/>
      <c r="BI8" s="4"/>
      <c r="BJ8" s="4">
        <v>100000</v>
      </c>
      <c r="BK8" s="4">
        <v>100000</v>
      </c>
      <c r="BL8" s="4">
        <v>0</v>
      </c>
      <c r="BM8" s="4">
        <v>6250</v>
      </c>
      <c r="BN8" s="4">
        <v>0</v>
      </c>
    </row>
    <row r="9" spans="1:66" x14ac:dyDescent="0.3">
      <c r="A9" s="7">
        <f>A8+1</f>
        <v>1</v>
      </c>
      <c r="B9" s="29">
        <f>B8+0.25</f>
        <v>0.25</v>
      </c>
      <c r="C9" s="29" t="b">
        <f ca="1">AND(VaBenefits[[#This Row],[timeFromValuation]]&gt;=ACT,VaBenefits[[#This Row],[Assumed Contract Value ]]&gt;0)</f>
        <v>0</v>
      </c>
      <c r="D9" s="20">
        <f>IF(OR(RIGHT(B9,2)="25",RIGHT(B9,2)="75"),0,VLOOKUP(VaBenefits[[#This Row],[timeFromValuation]],$AR$8:$BA$30,2,FALSE))</f>
        <v>0</v>
      </c>
      <c r="E9" s="20">
        <f>IF(OR(RIGHT(B9,2)="25",RIGHT(B9,2)="75"),0,VLOOKUP(VaBenefits[[#This Row],[timeFromValuation]],$AR$8:$BA$30,3,FALSE))</f>
        <v>0</v>
      </c>
      <c r="F9" s="20">
        <f ca="1">IF(OR(RIGHT(B9,2)="25",RIGHT(B9,2)="75"),OFFSET(VaBenefits[[#This Row],[Assumed Contract Value ]],-1,0),VLOOKUP(VaBenefits[[#This Row],[timeFromValuation]],$AR$8:$BA$30,4,FALSE))</f>
        <v>100000</v>
      </c>
      <c r="G9" s="96">
        <f>ROUND($G$8+VaBenefits[[#This Row],[timeFromValuation]],0)</f>
        <v>55</v>
      </c>
      <c r="H9" s="20">
        <f>ROUND($H$8+VaBenefits[[#This Row],[timeFromValuation]],0)</f>
        <v>65</v>
      </c>
      <c r="I9" s="27" t="b">
        <f>VaBenefits[[#This Row],[Withdrawal Taken  ]]&gt;0</f>
        <v>0</v>
      </c>
      <c r="J9" s="41">
        <f ca="1">IF(AND(NOT(VaBenefits[[#This Row],[Is Activation]]),VaBenefits[[#This Row],[Assumed Contract Value ]]&gt;0),VaBenefits[[#This Row],[Withdrawal Taken  ]]/VaBenefits[[#This Row],[Assumed Contract Value ]],0)</f>
        <v>0</v>
      </c>
      <c r="K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 s="27" t="b">
        <f ca="1">AND(VaBenefits[[#This Row],[Is Activation]],SUMIFS($E$8:$E9,$C$8:$C9,TRUE)&gt;0)</f>
        <v>0</v>
      </c>
      <c r="M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 s="7" t="b">
        <f>IF(VaBenefits[[#This Row],[timeFromValuation]]=0,0, MOD(VaBenefits[[#This Row],[timeFromValuation]],1)=0)</f>
        <v>0</v>
      </c>
      <c r="O9" s="7">
        <f>IF(VaBenefits[[#This Row],[Is Anniversary?]]=TRUE,VaBenefits[[#This Row],[Assumed Contract Value ]],0)</f>
        <v>0</v>
      </c>
      <c r="P9" s="7">
        <f ca="1">(IF(VaBenefits[[#This Row],[Is Anniversary?]], MAX(OFFSET(VaBenefits[[#This Row],[Income Base]],-1,0)+VaBenefits[[#This Row],[Income Credit]],VaBenefits[[#This Row],[Anniversary Value  ]]),OFFSET(VaBenefits[[#This Row],[Income Base]],-1,0))+VaBenefits[[#This Row],[Purchase Payments]])*VaBenefits[[#This Row],[Withdrawal Penalty]]</f>
        <v>100000</v>
      </c>
      <c r="Q9" s="7" t="b">
        <f ca="1">VaBenefits[[#This Row],[Assumed Contract Value ]]&lt;0.1</f>
        <v>0</v>
      </c>
      <c r="R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100000</v>
      </c>
      <c r="S9" s="7">
        <f ca="1">IF(AND(VaBenefits[[#This Row],[Is Activation]]=FALSE,VaBenefits[[#This Row],[Is Anniversary?]]=TRUE),OFFSET( VaBenefits[[#This Row],[Income Credit Base]],-1,0)*ICP,0)</f>
        <v>0</v>
      </c>
      <c r="T9" s="5">
        <f ca="1">IF(VaBenefits[[#This Row],[Assumed Contract Value ]]&gt;0,VaBenefits[[#This Row],[Income Base]]*MAWA,0)</f>
        <v>6250</v>
      </c>
      <c r="U9" s="95">
        <f ca="1">IF(AND(VaBenefits[[#This Row],[Has Income Credit]],VaBenefits[[#This Row],[Is Anniversary?]],VaBenefits[[#This Row],[Joint Mortality tPxy for the partial year]]),VaBenefits[[#This Row],[Income Base]]*PIP,0)</f>
        <v>0</v>
      </c>
      <c r="V9" s="8">
        <f>1/(1+InterestRate)^VaBenefits[[#This Row],[timeFromValuation]]</f>
        <v>0.98787654742307407</v>
      </c>
      <c r="W9" s="90">
        <f>VaBenefits[[#This Row],[timeFromValuation]]</f>
        <v>0.25</v>
      </c>
      <c r="X9" s="91">
        <f>IF(($G$8+VaBenefits[[#This Row],[timeFromValuation]])&lt;=120,VLOOKUP(G9,Table2[],Qx!L$6,FALSE),0)</f>
        <v>0.99804999999999999</v>
      </c>
      <c r="Y9" s="91">
        <f>IF(($H$8+VaBenefits[[#This Row],[timeFromValuation]])&lt;=120,VLOOKUP(H9,Table2[],Qx!M$6,FALSE),0)</f>
        <v>0.99189400000000005</v>
      </c>
      <c r="Z9" s="91">
        <f>PRODUCT($X$8:$X9)</f>
        <v>0.99610380249999997</v>
      </c>
      <c r="AA9" s="91">
        <f>PRODUCT($Y$8:$Y9)</f>
        <v>0.98385370723600007</v>
      </c>
      <c r="AB9" s="91">
        <f>VaBenefits[[#This Row],[Primary Annuitant Px]]+VaBenefits[[#This Row],[Secondary Annuitant Py]]-VaBenefits[[#This Row],[Primary Annuitant Px]]*VaBenefits[[#This Row],[Secondary Annuitant Py]]</f>
        <v>0.99998419329999988</v>
      </c>
      <c r="AC9" s="91">
        <f>PRODUCT($AB$8:$AB9)</f>
        <v>0.99996838684985156</v>
      </c>
      <c r="AD9" s="97">
        <f ca="1">PV(1.03,20,-VaBenefits[[#This Row],[Protected Income Payment]])</f>
        <v>0</v>
      </c>
      <c r="AE9" s="130">
        <f ca="1">IF((AND(VaBenefits[[#This Row],[Is Anniversary?]],VaBenefits[[#This Row],[Assumed Contract Value ]]&lt;75000)),-50,0)</f>
        <v>0</v>
      </c>
      <c r="AF9" s="133">
        <f ca="1">VaBenefits[[#This Row],[Assumed Contract Value ]]*-1.15%/4</f>
        <v>-287.5</v>
      </c>
      <c r="AG9" s="129">
        <v>0</v>
      </c>
      <c r="AH9" s="131">
        <f ca="1">VaBenefits[[#This Row],[Maintenace Fee]]+VaBenefits[[#This Row],[Separate Account Charge]]+VaBenefits[[#This Row],[Rider Fee]]</f>
        <v>-287.5</v>
      </c>
      <c r="AI9" s="2"/>
      <c r="AJ9" s="39">
        <f>AJ8+0.5</f>
        <v>0.5</v>
      </c>
      <c r="AK9" s="8">
        <f>VaBenefits[[#This Row],[Anniversary Value  ]]-AV9</f>
        <v>0</v>
      </c>
      <c r="AL9" s="8">
        <f ca="1">VaBenefits[[#This Row],[Income Base]]-AW9</f>
        <v>-60000</v>
      </c>
      <c r="AM9" s="8">
        <f ca="1">VaBenefits[[#This Row],[Income Credit Base]]-AX9</f>
        <v>-60000</v>
      </c>
      <c r="AN9" s="8">
        <f ca="1">VaBenefits[[#This Row],[Income Credit]]-AY9</f>
        <v>0</v>
      </c>
      <c r="AO9" s="8">
        <f ca="1">VaBenefits[[#This Row],[Maximum Annual Withdrawal Amount upon Activation]]-AZ9</f>
        <v>-3750</v>
      </c>
      <c r="AP9" s="8">
        <f ca="1">VaBenefits[[#This Row],[Protected Income Payment]]-BA9</f>
        <v>0</v>
      </c>
      <c r="AQ9" s="2"/>
      <c r="AR9" s="21">
        <f>AR8+0.5</f>
        <v>0.5</v>
      </c>
      <c r="AS9" s="22">
        <v>60000</v>
      </c>
      <c r="AT9" s="22">
        <v>0</v>
      </c>
      <c r="AU9" s="22">
        <v>165000</v>
      </c>
      <c r="AV9" s="11">
        <v>0</v>
      </c>
      <c r="AW9" s="10">
        <v>160000</v>
      </c>
      <c r="AX9" s="10">
        <v>160000</v>
      </c>
      <c r="AY9" s="10">
        <v>0</v>
      </c>
      <c r="AZ9" s="10">
        <v>10000</v>
      </c>
      <c r="BA9" s="13">
        <v>0</v>
      </c>
      <c r="BB9" s="9"/>
      <c r="BC9" s="9"/>
      <c r="BD9" s="9"/>
      <c r="BE9" s="9"/>
      <c r="BF9" s="9"/>
      <c r="BG9" s="9"/>
      <c r="BI9" s="4"/>
      <c r="BJ9" s="4">
        <v>160000</v>
      </c>
      <c r="BK9" s="4">
        <v>160000</v>
      </c>
      <c r="BL9" s="4">
        <v>0</v>
      </c>
      <c r="BM9" s="4">
        <v>10000</v>
      </c>
      <c r="BN9" s="4">
        <v>0</v>
      </c>
    </row>
    <row r="10" spans="1:66" x14ac:dyDescent="0.3">
      <c r="A10" s="7">
        <f t="shared" ref="A10:A73" si="0">A9+1</f>
        <v>2</v>
      </c>
      <c r="B10" s="29">
        <f t="shared" ref="B10:B73" si="1">B9+0.25</f>
        <v>0.5</v>
      </c>
      <c r="C10" s="29" t="b">
        <f ca="1">AND(VaBenefits[[#This Row],[timeFromValuation]]&gt;=ACT,VaBenefits[[#This Row],[Assumed Contract Value ]]&gt;0)</f>
        <v>0</v>
      </c>
      <c r="D10" s="20">
        <f>IF(OR(RIGHT(B10,2)="25",RIGHT(B10,2)="75"),0,VLOOKUP(VaBenefits[[#This Row],[timeFromValuation]],$AR$8:$BA$30,2,FALSE))</f>
        <v>60000</v>
      </c>
      <c r="E10" s="20">
        <f>IF(OR(RIGHT(B10,2)="25",RIGHT(B10,2)="75"),0,VLOOKUP(VaBenefits[[#This Row],[timeFromValuation]],$AR$8:$BA$30,3,FALSE))</f>
        <v>0</v>
      </c>
      <c r="F10" s="20">
        <f ca="1">IF(OR(RIGHT(B10,2)="25",RIGHT(B10,2)="75"),OFFSET(VaBenefits[[#This Row],[Assumed Contract Value ]],-1,0),VLOOKUP(VaBenefits[[#This Row],[timeFromValuation]],$AR$8:$BA$30,4,FALSE))</f>
        <v>165000</v>
      </c>
      <c r="G10" s="96">
        <f>ROUND($G$8+VaBenefits[[#This Row],[timeFromValuation]],0)</f>
        <v>56</v>
      </c>
      <c r="H10" s="20">
        <f>ROUND($H$8+VaBenefits[[#This Row],[timeFromValuation]],0)</f>
        <v>66</v>
      </c>
      <c r="I10" s="27" t="b">
        <f>VaBenefits[[#This Row],[Withdrawal Taken  ]]&gt;0</f>
        <v>0</v>
      </c>
      <c r="J10" s="41">
        <f ca="1">IF(AND(NOT(VaBenefits[[#This Row],[Is Activation]]),VaBenefits[[#This Row],[Assumed Contract Value ]]&gt;0),VaBenefits[[#This Row],[Withdrawal Taken  ]]/VaBenefits[[#This Row],[Assumed Contract Value ]],0)</f>
        <v>0</v>
      </c>
      <c r="K1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 s="27" t="b">
        <f ca="1">AND(VaBenefits[[#This Row],[Is Activation]],SUMIFS($E$8:$E10,$C$8:$C10,TRUE)&gt;0)</f>
        <v>0</v>
      </c>
      <c r="M1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 s="7" t="b">
        <f>IF(VaBenefits[[#This Row],[timeFromValuation]]=0,0, MOD(VaBenefits[[#This Row],[timeFromValuation]],1)=0)</f>
        <v>0</v>
      </c>
      <c r="O10" s="7">
        <f>IF(VaBenefits[[#This Row],[Is Anniversary?]]=TRUE,VaBenefits[[#This Row],[Assumed Contract Value ]],0)</f>
        <v>0</v>
      </c>
      <c r="P10" s="7">
        <f ca="1">(IF(VaBenefits[[#This Row],[Is Anniversary?]], MAX(OFFSET(VaBenefits[[#This Row],[Income Base]],-1,0)+VaBenefits[[#This Row],[Income Credit]],VaBenefits[[#This Row],[Anniversary Value  ]]),OFFSET(VaBenefits[[#This Row],[Income Base]],-1,0))+VaBenefits[[#This Row],[Purchase Payments]])*VaBenefits[[#This Row],[Withdrawal Penalty]]</f>
        <v>160000</v>
      </c>
      <c r="Q10" s="7" t="b">
        <f ca="1">VaBenefits[[#This Row],[Assumed Contract Value ]]&lt;0.1</f>
        <v>0</v>
      </c>
      <c r="R1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160000</v>
      </c>
      <c r="S10" s="7">
        <f ca="1">IF(AND(VaBenefits[[#This Row],[Is Activation]]=FALSE,VaBenefits[[#This Row],[Is Anniversary?]]=TRUE),OFFSET( VaBenefits[[#This Row],[Income Credit Base]],-1,0)*ICP,0)</f>
        <v>0</v>
      </c>
      <c r="T10" s="5">
        <f ca="1">IF(VaBenefits[[#This Row],[Assumed Contract Value ]]&gt;0,VaBenefits[[#This Row],[Income Base]]*MAWA,0)</f>
        <v>10000</v>
      </c>
      <c r="U10" s="95">
        <f ca="1">IF(AND(VaBenefits[[#This Row],[Has Income Credit]],VaBenefits[[#This Row],[Is Anniversary?]],VaBenefits[[#This Row],[Joint Mortality tPxy for the partial year]]),VaBenefits[[#This Row],[Income Base]]*PIP,0)</f>
        <v>0</v>
      </c>
      <c r="V10" s="8">
        <f>1/(1+InterestRate)^VaBenefits[[#This Row],[timeFromValuation]]</f>
        <v>0.97590007294853309</v>
      </c>
      <c r="W10" s="90">
        <f>VaBenefits[[#This Row],[timeFromValuation]]</f>
        <v>0.5</v>
      </c>
      <c r="X10" s="91">
        <f>IF(($G$8+VaBenefits[[#This Row],[timeFromValuation]])&lt;=120,VLOOKUP(G10,Table2[],Qx!L$6,FALSE),0)</f>
        <v>0.99784600000000001</v>
      </c>
      <c r="Y10" s="91">
        <f>IF(($H$8+VaBenefits[[#This Row],[timeFromValuation]])&lt;=120,VLOOKUP(H10,Table2[],Qx!M$6,FALSE),0)</f>
        <v>0.991452</v>
      </c>
      <c r="Z10" s="91">
        <f>PRODUCT($X$8:$X10)</f>
        <v>0.99395819490941495</v>
      </c>
      <c r="AA10" s="91">
        <f>PRODUCT($Y$8:$Y10)</f>
        <v>0.9754437257465467</v>
      </c>
      <c r="AB10" s="91">
        <f>VaBenefits[[#This Row],[Primary Annuitant Px]]+VaBenefits[[#This Row],[Secondary Annuitant Py]]-VaBenefits[[#This Row],[Primary Annuitant Px]]*VaBenefits[[#This Row],[Secondary Annuitant Py]]</f>
        <v>0.99998158760800004</v>
      </c>
      <c r="AC10" s="91">
        <f>PRODUCT($AB$8:$AB10)</f>
        <v>0.99994997503992533</v>
      </c>
      <c r="AD10" s="97">
        <f ca="1">PV(1.03,20,-VaBenefits[[#This Row],[Protected Income Payment]])</f>
        <v>0</v>
      </c>
      <c r="AE10" s="130">
        <f ca="1">IF((AND(VaBenefits[[#This Row],[Is Anniversary?]],VaBenefits[[#This Row],[Assumed Contract Value ]]&lt;75000)),-50,0)</f>
        <v>0</v>
      </c>
      <c r="AF10" s="133">
        <f ca="1">VaBenefits[[#This Row],[Assumed Contract Value ]]*-1.15%/4</f>
        <v>-474.375</v>
      </c>
      <c r="AG10" s="129">
        <v>0</v>
      </c>
      <c r="AH10" s="131">
        <f ca="1">VaBenefits[[#This Row],[Maintenace Fee]]+VaBenefits[[#This Row],[Separate Account Charge]]+VaBenefits[[#This Row],[Rider Fee]]</f>
        <v>-474.375</v>
      </c>
      <c r="AI10" s="2"/>
      <c r="AJ10" s="39">
        <f t="shared" ref="AJ10:AJ30" si="2">AJ9+0.5</f>
        <v>1</v>
      </c>
      <c r="AK10" s="8">
        <f>VaBenefits[[#This Row],[Anniversary Value  ]]-AV10</f>
        <v>-170000</v>
      </c>
      <c r="AL10" s="8">
        <f ca="1">VaBenefits[[#This Row],[Income Base]]-AW10</f>
        <v>-10000</v>
      </c>
      <c r="AM10" s="8">
        <f ca="1">VaBenefits[[#This Row],[Income Credit Base]]-AX10</f>
        <v>-10000</v>
      </c>
      <c r="AN10" s="8">
        <f ca="1">VaBenefits[[#This Row],[Income Credit]]-AY10</f>
        <v>-8400</v>
      </c>
      <c r="AO10" s="8">
        <f ca="1">VaBenefits[[#This Row],[Maximum Annual Withdrawal Amount upon Activation]]-AZ10</f>
        <v>-625</v>
      </c>
      <c r="AP10" s="8">
        <f ca="1">VaBenefits[[#This Row],[Protected Income Payment]]-BA10</f>
        <v>0</v>
      </c>
      <c r="AQ10" s="2"/>
      <c r="AR10" s="21">
        <f t="shared" ref="AR10:AR73" si="3">AR9+0.5</f>
        <v>1</v>
      </c>
      <c r="AS10" s="22">
        <v>0</v>
      </c>
      <c r="AT10" s="22">
        <v>0</v>
      </c>
      <c r="AU10" s="22">
        <v>170000</v>
      </c>
      <c r="AV10" s="11">
        <v>170000</v>
      </c>
      <c r="AW10" s="10">
        <v>170000</v>
      </c>
      <c r="AX10" s="10">
        <v>170000</v>
      </c>
      <c r="AY10" s="10">
        <v>8400</v>
      </c>
      <c r="AZ10" s="10">
        <v>10625</v>
      </c>
      <c r="BA10" s="13">
        <v>0</v>
      </c>
      <c r="BB10" s="9"/>
      <c r="BC10" s="9"/>
      <c r="BD10" s="9"/>
      <c r="BE10" s="9"/>
      <c r="BF10" s="9"/>
      <c r="BG10" s="9"/>
      <c r="BI10" s="4">
        <v>170000</v>
      </c>
      <c r="BJ10" s="4">
        <v>170000</v>
      </c>
      <c r="BK10" s="4">
        <v>170000</v>
      </c>
      <c r="BL10" s="4">
        <v>13912.5</v>
      </c>
      <c r="BM10" s="4">
        <v>10625</v>
      </c>
      <c r="BN10" s="4">
        <v>0</v>
      </c>
    </row>
    <row r="11" spans="1:66" x14ac:dyDescent="0.3">
      <c r="A11" s="7">
        <f t="shared" si="0"/>
        <v>3</v>
      </c>
      <c r="B11" s="29">
        <f t="shared" si="1"/>
        <v>0.75</v>
      </c>
      <c r="C11" s="29" t="b">
        <f ca="1">AND(VaBenefits[[#This Row],[timeFromValuation]]&gt;=ACT,VaBenefits[[#This Row],[Assumed Contract Value ]]&gt;0)</f>
        <v>0</v>
      </c>
      <c r="D11" s="20">
        <f>IF(OR(RIGHT(B11,2)="25",RIGHT(B11,2)="75"),0,VLOOKUP(VaBenefits[[#This Row],[timeFromValuation]],$AR$8:$BA$30,2,FALSE))</f>
        <v>0</v>
      </c>
      <c r="E11" s="20">
        <f>IF(OR(RIGHT(B11,2)="25",RIGHT(B11,2)="75"),0,VLOOKUP(VaBenefits[[#This Row],[timeFromValuation]],$AR$8:$BA$30,3,FALSE))</f>
        <v>0</v>
      </c>
      <c r="F11" s="20">
        <f ca="1">IF(OR(RIGHT(B11,2)="25",RIGHT(B11,2)="75"),OFFSET(VaBenefits[[#This Row],[Assumed Contract Value ]],-1,0),VLOOKUP(VaBenefits[[#This Row],[timeFromValuation]],$AR$8:$BA$30,4,FALSE))</f>
        <v>165000</v>
      </c>
      <c r="G11" s="96">
        <f>ROUND($G$8+VaBenefits[[#This Row],[timeFromValuation]],0)</f>
        <v>56</v>
      </c>
      <c r="H11" s="20">
        <f>ROUND($H$8+VaBenefits[[#This Row],[timeFromValuation]],0)</f>
        <v>66</v>
      </c>
      <c r="I11" s="27" t="b">
        <f>VaBenefits[[#This Row],[Withdrawal Taken  ]]&gt;0</f>
        <v>0</v>
      </c>
      <c r="J11" s="41">
        <f ca="1">IF(AND(NOT(VaBenefits[[#This Row],[Is Activation]]),VaBenefits[[#This Row],[Assumed Contract Value ]]&gt;0),VaBenefits[[#This Row],[Withdrawal Taken  ]]/VaBenefits[[#This Row],[Assumed Contract Value ]],0)</f>
        <v>0</v>
      </c>
      <c r="K1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 s="27" t="b">
        <f ca="1">AND(VaBenefits[[#This Row],[Is Activation]],SUMIFS($E$8:$E11,$C$8:$C11,TRUE)&gt;0)</f>
        <v>0</v>
      </c>
      <c r="M1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 s="7" t="b">
        <f>IF(VaBenefits[[#This Row],[timeFromValuation]]=0,0, MOD(VaBenefits[[#This Row],[timeFromValuation]],1)=0)</f>
        <v>0</v>
      </c>
      <c r="O11" s="7">
        <f>IF(VaBenefits[[#This Row],[Is Anniversary?]]=TRUE,VaBenefits[[#This Row],[Assumed Contract Value ]],0)</f>
        <v>0</v>
      </c>
      <c r="P11" s="7">
        <f ca="1">(IF(VaBenefits[[#This Row],[Is Anniversary?]], MAX(OFFSET(VaBenefits[[#This Row],[Income Base]],-1,0)+VaBenefits[[#This Row],[Income Credit]],VaBenefits[[#This Row],[Anniversary Value  ]]),OFFSET(VaBenefits[[#This Row],[Income Base]],-1,0))+VaBenefits[[#This Row],[Purchase Payments]])*VaBenefits[[#This Row],[Withdrawal Penalty]]</f>
        <v>160000</v>
      </c>
      <c r="Q11" s="7" t="b">
        <f ca="1">VaBenefits[[#This Row],[Assumed Contract Value ]]&lt;0.1</f>
        <v>0</v>
      </c>
      <c r="R1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160000</v>
      </c>
      <c r="S11" s="7">
        <f ca="1">IF(AND(VaBenefits[[#This Row],[Is Activation]]=FALSE,VaBenefits[[#This Row],[Is Anniversary?]]=TRUE),OFFSET( VaBenefits[[#This Row],[Income Credit Base]],-1,0)*ICP,0)</f>
        <v>0</v>
      </c>
      <c r="T11" s="5">
        <f ca="1">IF(VaBenefits[[#This Row],[Assumed Contract Value ]]&gt;0,VaBenefits[[#This Row],[Income Base]]*MAWA,0)</f>
        <v>10000</v>
      </c>
      <c r="U11" s="95">
        <f ca="1">IF(AND(VaBenefits[[#This Row],[Has Income Credit]],VaBenefits[[#This Row],[Is Anniversary?]],VaBenefits[[#This Row],[Joint Mortality tPxy for the partial year]]),VaBenefits[[#This Row],[Income Base]]*PIP,0)</f>
        <v>0</v>
      </c>
      <c r="V11" s="8">
        <f>1/(1+InterestRate)^VaBenefits[[#This Row],[timeFromValuation]]</f>
        <v>0.96406879469432316</v>
      </c>
      <c r="W11" s="90">
        <f>VaBenefits[[#This Row],[timeFromValuation]]</f>
        <v>0.75</v>
      </c>
      <c r="X11" s="91">
        <f>IF(($G$8+VaBenefits[[#This Row],[timeFromValuation]])&lt;=120,VLOOKUP(G11,Table2[],Qx!L$6,FALSE),0)</f>
        <v>0.99784600000000001</v>
      </c>
      <c r="Y11" s="91">
        <f>IF(($H$8+VaBenefits[[#This Row],[timeFromValuation]])&lt;=120,VLOOKUP(H11,Table2[],Qx!M$6,FALSE),0)</f>
        <v>0.991452</v>
      </c>
      <c r="Z11" s="91">
        <f>PRODUCT($X$8:$X11)</f>
        <v>0.99181720895758008</v>
      </c>
      <c r="AA11" s="91">
        <f>PRODUCT($Y$8:$Y11)</f>
        <v>0.96710563277886519</v>
      </c>
      <c r="AB11" s="91">
        <f>VaBenefits[[#This Row],[Primary Annuitant Px]]+VaBenefits[[#This Row],[Secondary Annuitant Py]]-VaBenefits[[#This Row],[Primary Annuitant Px]]*VaBenefits[[#This Row],[Secondary Annuitant Py]]</f>
        <v>0.99998158760800004</v>
      </c>
      <c r="AC11" s="91">
        <f>PRODUCT($AB$8:$AB11)</f>
        <v>0.99993156356900459</v>
      </c>
      <c r="AD11" s="97">
        <f ca="1">PV(1.03,20,-VaBenefits[[#This Row],[Protected Income Payment]])</f>
        <v>0</v>
      </c>
      <c r="AE11" s="130">
        <f ca="1">IF((AND(VaBenefits[[#This Row],[Is Anniversary?]],VaBenefits[[#This Row],[Assumed Contract Value ]]&lt;75000)),-50,0)</f>
        <v>0</v>
      </c>
      <c r="AF11" s="133">
        <f ca="1">VaBenefits[[#This Row],[Assumed Contract Value ]]*-1.15%/4</f>
        <v>-474.375</v>
      </c>
      <c r="AG11" s="129">
        <v>0</v>
      </c>
      <c r="AH11" s="131">
        <f ca="1">VaBenefits[[#This Row],[Maintenace Fee]]+VaBenefits[[#This Row],[Separate Account Charge]]+VaBenefits[[#This Row],[Rider Fee]]</f>
        <v>-474.375</v>
      </c>
      <c r="AI11" s="2"/>
      <c r="AJ11" s="39">
        <f t="shared" si="2"/>
        <v>1.5</v>
      </c>
      <c r="AK11" s="8">
        <f>VaBenefits[[#This Row],[Anniversary Value  ]]-AV11</f>
        <v>0</v>
      </c>
      <c r="AL11" s="8">
        <f ca="1">VaBenefits[[#This Row],[Income Base]]-AW11</f>
        <v>-100000</v>
      </c>
      <c r="AM11" s="8">
        <f ca="1">VaBenefits[[#This Row],[Income Credit Base]]-AX11</f>
        <v>-100000</v>
      </c>
      <c r="AN11" s="8">
        <f ca="1">VaBenefits[[#This Row],[Income Credit]]-AY11</f>
        <v>0</v>
      </c>
      <c r="AO11" s="8">
        <f ca="1">VaBenefits[[#This Row],[Maximum Annual Withdrawal Amount upon Activation]]-AZ11</f>
        <v>-6250</v>
      </c>
      <c r="AP11" s="8">
        <f ca="1">VaBenefits[[#This Row],[Protected Income Payment]]-BA11</f>
        <v>0</v>
      </c>
      <c r="AQ11" s="2"/>
      <c r="AR11" s="21">
        <f t="shared" si="3"/>
        <v>1.5</v>
      </c>
      <c r="AS11" s="22">
        <v>90000</v>
      </c>
      <c r="AT11" s="22">
        <v>0</v>
      </c>
      <c r="AU11" s="22">
        <v>255000</v>
      </c>
      <c r="AV11" s="11">
        <v>0</v>
      </c>
      <c r="AW11" s="10">
        <v>260000</v>
      </c>
      <c r="AX11" s="10">
        <v>260000</v>
      </c>
      <c r="AY11" s="10">
        <v>0</v>
      </c>
      <c r="AZ11" s="10">
        <v>16250</v>
      </c>
      <c r="BA11" s="13">
        <v>0</v>
      </c>
      <c r="BB11" s="9"/>
      <c r="BC11" s="9"/>
      <c r="BD11" s="9"/>
      <c r="BE11" s="9"/>
      <c r="BF11" s="9"/>
      <c r="BG11" s="9"/>
      <c r="BI11" s="4"/>
      <c r="BJ11" s="4">
        <v>260000</v>
      </c>
      <c r="BK11" s="4">
        <v>260000</v>
      </c>
      <c r="BL11" s="4">
        <v>0</v>
      </c>
      <c r="BM11" s="4">
        <v>16250</v>
      </c>
      <c r="BN11" s="4">
        <v>0</v>
      </c>
    </row>
    <row r="12" spans="1:66" x14ac:dyDescent="0.3">
      <c r="A12" s="7">
        <f t="shared" si="0"/>
        <v>4</v>
      </c>
      <c r="B12" s="29">
        <f t="shared" si="1"/>
        <v>1</v>
      </c>
      <c r="C12" s="29" t="b">
        <f ca="1">AND(VaBenefits[[#This Row],[timeFromValuation]]&gt;=ACT,VaBenefits[[#This Row],[Assumed Contract Value ]]&gt;0)</f>
        <v>0</v>
      </c>
      <c r="D12" s="20">
        <f>IF(OR(RIGHT(B12,2)="25",RIGHT(B12,2)="75"),0,VLOOKUP(VaBenefits[[#This Row],[timeFromValuation]],$AR$8:$BA$30,2,FALSE))</f>
        <v>0</v>
      </c>
      <c r="E12" s="20">
        <f>IF(OR(RIGHT(B12,2)="25",RIGHT(B12,2)="75"),0,VLOOKUP(VaBenefits[[#This Row],[timeFromValuation]],$AR$8:$BA$30,3,FALSE))</f>
        <v>0</v>
      </c>
      <c r="F12" s="20">
        <f ca="1">IF(OR(RIGHT(B12,2)="25",RIGHT(B12,2)="75"),OFFSET(VaBenefits[[#This Row],[Assumed Contract Value ]],-1,0),VLOOKUP(VaBenefits[[#This Row],[timeFromValuation]],$AR$8:$BA$30,4,FALSE))</f>
        <v>170000</v>
      </c>
      <c r="G12" s="96">
        <f>ROUND($G$8+VaBenefits[[#This Row],[timeFromValuation]],0)</f>
        <v>56</v>
      </c>
      <c r="H12" s="20">
        <f>ROUND($H$8+VaBenefits[[#This Row],[timeFromValuation]],0)</f>
        <v>66</v>
      </c>
      <c r="I12" s="27" t="b">
        <f>VaBenefits[[#This Row],[Withdrawal Taken  ]]&gt;0</f>
        <v>0</v>
      </c>
      <c r="J12" s="41">
        <f ca="1">IF(AND(NOT(VaBenefits[[#This Row],[Is Activation]]),VaBenefits[[#This Row],[Assumed Contract Value ]]&gt;0),VaBenefits[[#This Row],[Withdrawal Taken  ]]/VaBenefits[[#This Row],[Assumed Contract Value ]],0)</f>
        <v>0</v>
      </c>
      <c r="K1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 s="27" t="b">
        <f ca="1">AND(VaBenefits[[#This Row],[Is Activation]],SUMIFS($E$8:$E12,$C$8:$C12,TRUE)&gt;0)</f>
        <v>0</v>
      </c>
      <c r="M1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 s="7" t="b">
        <f>IF(VaBenefits[[#This Row],[timeFromValuation]]=0,0, MOD(VaBenefits[[#This Row],[timeFromValuation]],1)=0)</f>
        <v>1</v>
      </c>
      <c r="O12" s="7">
        <f ca="1">IF(VaBenefits[[#This Row],[Is Anniversary?]]=TRUE,VaBenefits[[#This Row],[Assumed Contract Value ]],0)</f>
        <v>170000</v>
      </c>
      <c r="P12" s="7">
        <f ca="1">(IF(VaBenefits[[#This Row],[Is Anniversary?]], MAX(OFFSET(VaBenefits[[#This Row],[Income Base]],-1,0)+VaBenefits[[#This Row],[Income Credit]],VaBenefits[[#This Row],[Anniversary Value  ]]),OFFSET(VaBenefits[[#This Row],[Income Base]],-1,0))+VaBenefits[[#This Row],[Purchase Payments]])*VaBenefits[[#This Row],[Withdrawal Penalty]]</f>
        <v>170000</v>
      </c>
      <c r="Q12" s="7" t="b">
        <f ca="1">VaBenefits[[#This Row],[Assumed Contract Value ]]&lt;0.1</f>
        <v>0</v>
      </c>
      <c r="R1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170000</v>
      </c>
      <c r="S12" s="7">
        <f ca="1">IF(AND(VaBenefits[[#This Row],[Is Activation]]=FALSE,VaBenefits[[#This Row],[Is Anniversary?]]=TRUE),OFFSET( VaBenefits[[#This Row],[Income Credit Base]],-1,0)*ICP,0)</f>
        <v>8400</v>
      </c>
      <c r="T12" s="5">
        <f ca="1">IF(VaBenefits[[#This Row],[Assumed Contract Value ]]&gt;0,VaBenefits[[#This Row],[Income Base]]*MAWA,0)</f>
        <v>10625</v>
      </c>
      <c r="U12" s="95">
        <f ca="1">IF(AND(VaBenefits[[#This Row],[Has Income Credit]],VaBenefits[[#This Row],[Is Anniversary?]],VaBenefits[[#This Row],[Joint Mortality tPxy for the partial year]]),VaBenefits[[#This Row],[Income Base]]*PIP,0)</f>
        <v>0</v>
      </c>
      <c r="V12" s="8">
        <f>1/(1+InterestRate)^VaBenefits[[#This Row],[timeFromValuation]]</f>
        <v>0.95238095238095233</v>
      </c>
      <c r="W12" s="90">
        <f>VaBenefits[[#This Row],[timeFromValuation]]</f>
        <v>1</v>
      </c>
      <c r="X12" s="91">
        <f>IF(($G$8+VaBenefits[[#This Row],[timeFromValuation]])&lt;=120,VLOOKUP(G12,Table2[],Qx!L$6,FALSE),0)</f>
        <v>0.99784600000000001</v>
      </c>
      <c r="Y12" s="91">
        <f>IF(($H$8+VaBenefits[[#This Row],[timeFromValuation]])&lt;=120,VLOOKUP(H12,Table2[],Qx!M$6,FALSE),0)</f>
        <v>0.991452</v>
      </c>
      <c r="Z12" s="91">
        <f>PRODUCT($X$8:$X12)</f>
        <v>0.98968083468948542</v>
      </c>
      <c r="AA12" s="91">
        <f>PRODUCT($Y$8:$Y12)</f>
        <v>0.95883881382987146</v>
      </c>
      <c r="AB12" s="91">
        <f>VaBenefits[[#This Row],[Primary Annuitant Px]]+VaBenefits[[#This Row],[Secondary Annuitant Py]]-VaBenefits[[#This Row],[Primary Annuitant Px]]*VaBenefits[[#This Row],[Secondary Annuitant Py]]</f>
        <v>0.99998158760800004</v>
      </c>
      <c r="AC12" s="91">
        <f>PRODUCT($AB$8:$AB12)</f>
        <v>0.99991315243708301</v>
      </c>
      <c r="AD12" s="97">
        <f ca="1">PV(1.03,20,-VaBenefits[[#This Row],[Protected Income Payment]])</f>
        <v>0</v>
      </c>
      <c r="AE12" s="130">
        <f ca="1">IF((AND(VaBenefits[[#This Row],[Is Anniversary?]],VaBenefits[[#This Row],[Assumed Contract Value ]]&lt;75000)),-50,0)</f>
        <v>0</v>
      </c>
      <c r="AF12" s="133">
        <f ca="1">VaBenefits[[#This Row],[Assumed Contract Value ]]*-1.15%/4</f>
        <v>-488.75</v>
      </c>
      <c r="AG12" s="129">
        <v>0</v>
      </c>
      <c r="AH12" s="131">
        <f ca="1">VaBenefits[[#This Row],[Maintenace Fee]]+VaBenefits[[#This Row],[Separate Account Charge]]+VaBenefits[[#This Row],[Rider Fee]]</f>
        <v>-488.75</v>
      </c>
      <c r="AI12" s="2"/>
      <c r="AJ12" s="39">
        <f t="shared" si="2"/>
        <v>2</v>
      </c>
      <c r="AK12" s="8">
        <f ca="1">VaBenefits[[#This Row],[Anniversary Value  ]]-AV12</f>
        <v>-117000</v>
      </c>
      <c r="AL12" s="8">
        <f ca="1">VaBenefits[[#This Row],[Income Base]]-AW12</f>
        <v>-117000</v>
      </c>
      <c r="AM12" s="8">
        <f ca="1">VaBenefits[[#This Row],[Income Credit Base]]-AX12</f>
        <v>-117000</v>
      </c>
      <c r="AN12" s="8">
        <f ca="1">VaBenefits[[#This Row],[Income Credit]]-AY12</f>
        <v>-5250</v>
      </c>
      <c r="AO12" s="8">
        <f ca="1">VaBenefits[[#This Row],[Maximum Annual Withdrawal Amount upon Activation]]-AZ12</f>
        <v>-7313</v>
      </c>
      <c r="AP12" s="8">
        <f ca="1">VaBenefits[[#This Row],[Protected Income Payment]]-BA12</f>
        <v>0</v>
      </c>
      <c r="AQ12" s="2"/>
      <c r="AR12" s="21">
        <f t="shared" si="3"/>
        <v>2</v>
      </c>
      <c r="AS12" s="22">
        <v>0</v>
      </c>
      <c r="AT12" s="22">
        <v>0</v>
      </c>
      <c r="AU12" s="22">
        <v>287000</v>
      </c>
      <c r="AV12" s="11">
        <v>287000</v>
      </c>
      <c r="AW12" s="10">
        <v>287000</v>
      </c>
      <c r="AX12" s="10">
        <v>287000</v>
      </c>
      <c r="AY12" s="10">
        <v>13650</v>
      </c>
      <c r="AZ12" s="10">
        <v>17938</v>
      </c>
      <c r="BA12" s="13">
        <v>0</v>
      </c>
      <c r="BB12" s="9"/>
      <c r="BC12" s="9"/>
      <c r="BD12" s="9"/>
      <c r="BE12" s="9"/>
      <c r="BF12" s="9"/>
      <c r="BG12" s="9"/>
      <c r="BI12" s="4">
        <v>287000</v>
      </c>
      <c r="BJ12" s="4">
        <v>287000</v>
      </c>
      <c r="BK12" s="4">
        <v>287000</v>
      </c>
      <c r="BL12" s="4">
        <v>36225</v>
      </c>
      <c r="BM12" s="4">
        <v>17937.5</v>
      </c>
      <c r="BN12" s="4">
        <v>0</v>
      </c>
    </row>
    <row r="13" spans="1:66" x14ac:dyDescent="0.3">
      <c r="A13" s="7">
        <f t="shared" si="0"/>
        <v>5</v>
      </c>
      <c r="B13" s="29">
        <f t="shared" si="1"/>
        <v>1.25</v>
      </c>
      <c r="C13" s="29" t="b">
        <f ca="1">AND(VaBenefits[[#This Row],[timeFromValuation]]&gt;=ACT,VaBenefits[[#This Row],[Assumed Contract Value ]]&gt;0)</f>
        <v>0</v>
      </c>
      <c r="D13" s="20">
        <f>IF(OR(RIGHT(B13,2)="25",RIGHT(B13,2)="75"),0,VLOOKUP(VaBenefits[[#This Row],[timeFromValuation]],$AR$8:$BA$30,2,FALSE))</f>
        <v>0</v>
      </c>
      <c r="E13" s="20">
        <f>IF(OR(RIGHT(B13,2)="25",RIGHT(B13,2)="75"),0,VLOOKUP(VaBenefits[[#This Row],[timeFromValuation]],$AR$8:$BA$30,3,FALSE))</f>
        <v>0</v>
      </c>
      <c r="F13" s="20">
        <f ca="1">IF(OR(RIGHT(B13,2)="25",RIGHT(B13,2)="75"),OFFSET(VaBenefits[[#This Row],[Assumed Contract Value ]],-1,0),VLOOKUP(VaBenefits[[#This Row],[timeFromValuation]],$AR$8:$BA$30,4,FALSE))</f>
        <v>170000</v>
      </c>
      <c r="G13" s="96">
        <f>ROUND($G$8+VaBenefits[[#This Row],[timeFromValuation]],0)</f>
        <v>56</v>
      </c>
      <c r="H13" s="20">
        <f>ROUND($H$8+VaBenefits[[#This Row],[timeFromValuation]],0)</f>
        <v>66</v>
      </c>
      <c r="I13" s="27" t="b">
        <f>VaBenefits[[#This Row],[Withdrawal Taken  ]]&gt;0</f>
        <v>0</v>
      </c>
      <c r="J13" s="41">
        <f ca="1">IF(AND(NOT(VaBenefits[[#This Row],[Is Activation]]),VaBenefits[[#This Row],[Assumed Contract Value ]]&gt;0),VaBenefits[[#This Row],[Withdrawal Taken  ]]/VaBenefits[[#This Row],[Assumed Contract Value ]],0)</f>
        <v>0</v>
      </c>
      <c r="K1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 s="27" t="b">
        <f ca="1">AND(VaBenefits[[#This Row],[Is Activation]],SUMIFS($E$8:$E13,$C$8:$C13,TRUE)&gt;0)</f>
        <v>0</v>
      </c>
      <c r="M1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 s="7" t="b">
        <f>IF(VaBenefits[[#This Row],[timeFromValuation]]=0,0, MOD(VaBenefits[[#This Row],[timeFromValuation]],1)=0)</f>
        <v>0</v>
      </c>
      <c r="O13" s="7">
        <f>IF(VaBenefits[[#This Row],[Is Anniversary?]]=TRUE,VaBenefits[[#This Row],[Assumed Contract Value ]],0)</f>
        <v>0</v>
      </c>
      <c r="P13" s="7">
        <f ca="1">(IF(VaBenefits[[#This Row],[Is Anniversary?]], MAX(OFFSET(VaBenefits[[#This Row],[Income Base]],-1,0)+VaBenefits[[#This Row],[Income Credit]],VaBenefits[[#This Row],[Anniversary Value  ]]),OFFSET(VaBenefits[[#This Row],[Income Base]],-1,0))+VaBenefits[[#This Row],[Purchase Payments]])*VaBenefits[[#This Row],[Withdrawal Penalty]]</f>
        <v>170000</v>
      </c>
      <c r="Q13" s="7" t="b">
        <f ca="1">VaBenefits[[#This Row],[Assumed Contract Value ]]&lt;0.1</f>
        <v>0</v>
      </c>
      <c r="R1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170000</v>
      </c>
      <c r="S13" s="7">
        <f ca="1">IF(AND(VaBenefits[[#This Row],[Is Activation]]=FALSE,VaBenefits[[#This Row],[Is Anniversary?]]=TRUE),OFFSET( VaBenefits[[#This Row],[Income Credit Base]],-1,0)*ICP,0)</f>
        <v>0</v>
      </c>
      <c r="T13" s="5">
        <f ca="1">IF(VaBenefits[[#This Row],[Assumed Contract Value ]]&gt;0,VaBenefits[[#This Row],[Income Base]]*MAWA,0)</f>
        <v>10625</v>
      </c>
      <c r="U13" s="95">
        <f ca="1">IF(AND(VaBenefits[[#This Row],[Has Income Credit]],VaBenefits[[#This Row],[Is Anniversary?]],VaBenefits[[#This Row],[Joint Mortality tPxy for the partial year]]),VaBenefits[[#This Row],[Income Base]]*PIP,0)</f>
        <v>0</v>
      </c>
      <c r="V13" s="8">
        <f>1/(1+InterestRate)^VaBenefits[[#This Row],[timeFromValuation]]</f>
        <v>0.94083480706959433</v>
      </c>
      <c r="W13" s="90">
        <f>VaBenefits[[#This Row],[timeFromValuation]]</f>
        <v>1.25</v>
      </c>
      <c r="X13" s="91">
        <f>IF(($G$8+VaBenefits[[#This Row],[timeFromValuation]])&lt;=120,VLOOKUP(G13,Table2[],Qx!L$6,FALSE),0)</f>
        <v>0.99784600000000001</v>
      </c>
      <c r="Y13" s="91">
        <f>IF(($H$8+VaBenefits[[#This Row],[timeFromValuation]])&lt;=120,VLOOKUP(H13,Table2[],Qx!M$6,FALSE),0)</f>
        <v>0.991452</v>
      </c>
      <c r="Z13" s="91">
        <f>PRODUCT($X$8:$X13)</f>
        <v>0.98754906217156424</v>
      </c>
      <c r="AA13" s="91">
        <f>PRODUCT($Y$8:$Y13)</f>
        <v>0.95064265964925376</v>
      </c>
      <c r="AB13" s="91">
        <f>VaBenefits[[#This Row],[Primary Annuitant Px]]+VaBenefits[[#This Row],[Secondary Annuitant Py]]-VaBenefits[[#This Row],[Primary Annuitant Px]]*VaBenefits[[#This Row],[Secondary Annuitant Py]]</f>
        <v>0.99998158760800004</v>
      </c>
      <c r="AC13" s="91">
        <f>PRODUCT($AB$8:$AB13)</f>
        <v>0.99989474164415437</v>
      </c>
      <c r="AD13" s="97">
        <f ca="1">PV(1.03,20,-VaBenefits[[#This Row],[Protected Income Payment]])</f>
        <v>0</v>
      </c>
      <c r="AE13" s="130">
        <f ca="1">IF((AND(VaBenefits[[#This Row],[Is Anniversary?]],VaBenefits[[#This Row],[Assumed Contract Value ]]&lt;75000)),-50,0)</f>
        <v>0</v>
      </c>
      <c r="AF13" s="133">
        <f ca="1">VaBenefits[[#This Row],[Assumed Contract Value ]]*-1.15%/4</f>
        <v>-488.75</v>
      </c>
      <c r="AG13" s="129">
        <v>0</v>
      </c>
      <c r="AH13" s="131">
        <f ca="1">VaBenefits[[#This Row],[Maintenace Fee]]+VaBenefits[[#This Row],[Separate Account Charge]]+VaBenefits[[#This Row],[Rider Fee]]</f>
        <v>-488.75</v>
      </c>
      <c r="AI13" s="2"/>
      <c r="AJ13" s="39">
        <f t="shared" si="2"/>
        <v>2.5</v>
      </c>
      <c r="AK13" s="8">
        <f>VaBenefits[[#This Row],[Anniversary Value  ]]-AV13</f>
        <v>0</v>
      </c>
      <c r="AL13" s="8">
        <f ca="1">VaBenefits[[#This Row],[Income Base]]-AW13</f>
        <v>-117000</v>
      </c>
      <c r="AM13" s="8">
        <f ca="1">VaBenefits[[#This Row],[Income Credit Base]]-AX13</f>
        <v>-117000</v>
      </c>
      <c r="AN13" s="8">
        <f ca="1">VaBenefits[[#This Row],[Income Credit]]-AY13</f>
        <v>0</v>
      </c>
      <c r="AO13" s="8">
        <f ca="1">VaBenefits[[#This Row],[Maximum Annual Withdrawal Amount upon Activation]]-AZ13</f>
        <v>-7313</v>
      </c>
      <c r="AP13" s="8">
        <f ca="1">VaBenefits[[#This Row],[Protected Income Payment]]-BA13</f>
        <v>0</v>
      </c>
      <c r="AQ13" s="2"/>
      <c r="AR13" s="21">
        <f t="shared" si="3"/>
        <v>2.5</v>
      </c>
      <c r="AS13" s="22">
        <v>0</v>
      </c>
      <c r="AT13" s="22">
        <v>0</v>
      </c>
      <c r="AU13" s="22">
        <v>287000</v>
      </c>
      <c r="AV13" s="12">
        <v>0</v>
      </c>
      <c r="AW13" s="10">
        <v>287000</v>
      </c>
      <c r="AX13" s="10">
        <v>287000</v>
      </c>
      <c r="AY13" s="10">
        <v>0</v>
      </c>
      <c r="AZ13" s="10">
        <v>17938</v>
      </c>
      <c r="BA13" s="13">
        <v>0</v>
      </c>
      <c r="BB13" s="9"/>
      <c r="BC13" s="9"/>
      <c r="BD13" s="9"/>
      <c r="BE13" s="9"/>
      <c r="BF13" s="9"/>
      <c r="BG13" s="9"/>
      <c r="BI13" s="4">
        <f>BI12</f>
        <v>287000</v>
      </c>
      <c r="BJ13" s="4">
        <f t="shared" ref="BJ13:BM13" si="4">BJ12</f>
        <v>287000</v>
      </c>
      <c r="BK13" s="4">
        <f t="shared" si="4"/>
        <v>287000</v>
      </c>
      <c r="BL13" s="4">
        <f t="shared" si="4"/>
        <v>36225</v>
      </c>
      <c r="BM13" s="4">
        <f t="shared" si="4"/>
        <v>17937.5</v>
      </c>
      <c r="BN13" s="4">
        <v>0</v>
      </c>
    </row>
    <row r="14" spans="1:66" x14ac:dyDescent="0.3">
      <c r="A14" s="7">
        <f t="shared" si="0"/>
        <v>6</v>
      </c>
      <c r="B14" s="29">
        <f t="shared" si="1"/>
        <v>1.5</v>
      </c>
      <c r="C14" s="29" t="b">
        <f ca="1">AND(VaBenefits[[#This Row],[timeFromValuation]]&gt;=ACT,VaBenefits[[#This Row],[Assumed Contract Value ]]&gt;0)</f>
        <v>0</v>
      </c>
      <c r="D14" s="20">
        <f>IF(OR(RIGHT(B14,2)="25",RIGHT(B14,2)="75"),0,VLOOKUP(VaBenefits[[#This Row],[timeFromValuation]],$AR$8:$BA$30,2,FALSE))</f>
        <v>90000</v>
      </c>
      <c r="E14" s="20">
        <f>IF(OR(RIGHT(B14,2)="25",RIGHT(B14,2)="75"),0,VLOOKUP(VaBenefits[[#This Row],[timeFromValuation]],$AR$8:$BA$30,3,FALSE))</f>
        <v>0</v>
      </c>
      <c r="F14" s="20">
        <f ca="1">IF(OR(RIGHT(B14,2)="25",RIGHT(B14,2)="75"),OFFSET(VaBenefits[[#This Row],[Assumed Contract Value ]],-1,0),VLOOKUP(VaBenefits[[#This Row],[timeFromValuation]],$AR$8:$BA$30,4,FALSE))</f>
        <v>255000</v>
      </c>
      <c r="G14" s="96">
        <f>ROUND($G$8+VaBenefits[[#This Row],[timeFromValuation]],0)</f>
        <v>57</v>
      </c>
      <c r="H14" s="20">
        <f>ROUND($H$8+VaBenefits[[#This Row],[timeFromValuation]],0)</f>
        <v>67</v>
      </c>
      <c r="I14" s="27" t="b">
        <f>VaBenefits[[#This Row],[Withdrawal Taken  ]]&gt;0</f>
        <v>0</v>
      </c>
      <c r="J14" s="41">
        <f ca="1">IF(AND(NOT(VaBenefits[[#This Row],[Is Activation]]),VaBenefits[[#This Row],[Assumed Contract Value ]]&gt;0),VaBenefits[[#This Row],[Withdrawal Taken  ]]/VaBenefits[[#This Row],[Assumed Contract Value ]],0)</f>
        <v>0</v>
      </c>
      <c r="K1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 s="27" t="b">
        <f ca="1">AND(VaBenefits[[#This Row],[Is Activation]],SUMIFS($E$8:$E14,$C$8:$C14,TRUE)&gt;0)</f>
        <v>0</v>
      </c>
      <c r="M1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 s="7" t="b">
        <f>IF(VaBenefits[[#This Row],[timeFromValuation]]=0,0, MOD(VaBenefits[[#This Row],[timeFromValuation]],1)=0)</f>
        <v>0</v>
      </c>
      <c r="O14" s="7">
        <f>IF(VaBenefits[[#This Row],[Is Anniversary?]]=TRUE,VaBenefits[[#This Row],[Assumed Contract Value ]],0)</f>
        <v>0</v>
      </c>
      <c r="P14" s="7">
        <f ca="1">(IF(VaBenefits[[#This Row],[Is Anniversary?]], MAX(OFFSET(VaBenefits[[#This Row],[Income Base]],-1,0)+VaBenefits[[#This Row],[Income Credit]],VaBenefits[[#This Row],[Anniversary Value  ]]),OFFSET(VaBenefits[[#This Row],[Income Base]],-1,0))+VaBenefits[[#This Row],[Purchase Payments]])*VaBenefits[[#This Row],[Withdrawal Penalty]]</f>
        <v>260000</v>
      </c>
      <c r="Q14" s="7" t="b">
        <f ca="1">VaBenefits[[#This Row],[Assumed Contract Value ]]&lt;0.1</f>
        <v>0</v>
      </c>
      <c r="R1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260000</v>
      </c>
      <c r="S14" s="7">
        <f ca="1">IF(AND(VaBenefits[[#This Row],[Is Activation]]=FALSE,VaBenefits[[#This Row],[Is Anniversary?]]=TRUE),OFFSET( VaBenefits[[#This Row],[Income Credit Base]],-1,0)*ICP,0)</f>
        <v>0</v>
      </c>
      <c r="T14" s="5">
        <f ca="1">IF(VaBenefits[[#This Row],[Assumed Contract Value ]]&gt;0,VaBenefits[[#This Row],[Income Base]]*MAWA,0)</f>
        <v>16250</v>
      </c>
      <c r="U14" s="95">
        <f ca="1">IF(AND(VaBenefits[[#This Row],[Has Income Credit]],VaBenefits[[#This Row],[Is Anniversary?]],VaBenefits[[#This Row],[Joint Mortality tPxy for the partial year]]),VaBenefits[[#This Row],[Income Base]]*PIP,0)</f>
        <v>0</v>
      </c>
      <c r="V14" s="8">
        <f>1/(1+InterestRate)^VaBenefits[[#This Row],[timeFromValuation]]</f>
        <v>0.92942864090336497</v>
      </c>
      <c r="W14" s="90">
        <f>VaBenefits[[#This Row],[timeFromValuation]]</f>
        <v>1.5</v>
      </c>
      <c r="X14" s="91">
        <f>IF(($G$8+VaBenefits[[#This Row],[timeFromValuation]])&lt;=120,VLOOKUP(G14,Table2[],Qx!L$6,FALSE),0)</f>
        <v>0.99760099999999996</v>
      </c>
      <c r="Y14" s="91">
        <f>IF(($H$8+VaBenefits[[#This Row],[timeFromValuation]])&lt;=120,VLOOKUP(H14,Table2[],Qx!M$6,FALSE),0)</f>
        <v>0.99092400000000003</v>
      </c>
      <c r="Z14" s="91">
        <f>PRODUCT($X$8:$X14)</f>
        <v>0.98517993197141462</v>
      </c>
      <c r="AA14" s="91">
        <f>PRODUCT($Y$8:$Y14)</f>
        <v>0.94201462687027715</v>
      </c>
      <c r="AB14" s="91">
        <f>VaBenefits[[#This Row],[Primary Annuitant Px]]+VaBenefits[[#This Row],[Secondary Annuitant Py]]-VaBenefits[[#This Row],[Primary Annuitant Px]]*VaBenefits[[#This Row],[Secondary Annuitant Py]]</f>
        <v>0.99997822667600011</v>
      </c>
      <c r="AC14" s="91">
        <f>PRODUCT($AB$8:$AB14)</f>
        <v>0.99987297061197877</v>
      </c>
      <c r="AD14" s="97">
        <f ca="1">PV(1.03,20,-VaBenefits[[#This Row],[Protected Income Payment]])</f>
        <v>0</v>
      </c>
      <c r="AE14" s="130">
        <f ca="1">IF((AND(VaBenefits[[#This Row],[Is Anniversary?]],VaBenefits[[#This Row],[Assumed Contract Value ]]&lt;75000)),-50,0)</f>
        <v>0</v>
      </c>
      <c r="AF14" s="133">
        <f ca="1">VaBenefits[[#This Row],[Assumed Contract Value ]]*-1.15%/4</f>
        <v>-733.125</v>
      </c>
      <c r="AG14" s="129">
        <v>0</v>
      </c>
      <c r="AH14" s="131">
        <f ca="1">VaBenefits[[#This Row],[Maintenace Fee]]+VaBenefits[[#This Row],[Separate Account Charge]]+VaBenefits[[#This Row],[Rider Fee]]</f>
        <v>-733.125</v>
      </c>
      <c r="AI14" s="2"/>
      <c r="AJ14" s="39">
        <f t="shared" si="2"/>
        <v>3</v>
      </c>
      <c r="AK14" s="8">
        <f>VaBenefits[[#This Row],[Anniversary Value  ]]-AV14</f>
        <v>-300000</v>
      </c>
      <c r="AL14" s="8">
        <f ca="1">VaBenefits[[#This Row],[Income Base]]-AW14</f>
        <v>-42068</v>
      </c>
      <c r="AM14" s="8">
        <f ca="1">VaBenefits[[#This Row],[Income Credit Base]]-AX14</f>
        <v>-27000</v>
      </c>
      <c r="AN14" s="8">
        <f ca="1">VaBenefits[[#This Row],[Income Credit]]-AY14</f>
        <v>-15068</v>
      </c>
      <c r="AO14" s="8">
        <f ca="1">VaBenefits[[#This Row],[Maximum Annual Withdrawal Amount upon Activation]]-AZ14</f>
        <v>-2629</v>
      </c>
      <c r="AP14" s="8">
        <f ca="1">VaBenefits[[#This Row],[Protected Income Payment]]-BA14</f>
        <v>0</v>
      </c>
      <c r="AQ14" s="2"/>
      <c r="AR14" s="21">
        <f t="shared" si="3"/>
        <v>3</v>
      </c>
      <c r="AS14" s="22">
        <v>0</v>
      </c>
      <c r="AT14" s="22">
        <v>0</v>
      </c>
      <c r="AU14" s="22">
        <v>300000</v>
      </c>
      <c r="AV14" s="11">
        <v>300000</v>
      </c>
      <c r="AW14" s="10">
        <v>302068</v>
      </c>
      <c r="AX14" s="10">
        <v>287000</v>
      </c>
      <c r="AY14" s="10">
        <v>15068</v>
      </c>
      <c r="AZ14" s="10">
        <v>18879</v>
      </c>
      <c r="BA14" s="13">
        <v>0</v>
      </c>
      <c r="BB14" s="9"/>
      <c r="BC14" s="9"/>
      <c r="BD14" s="9"/>
      <c r="BE14" s="9"/>
      <c r="BF14" s="9"/>
      <c r="BG14" s="9"/>
      <c r="BI14" s="4">
        <v>300000</v>
      </c>
      <c r="BJ14" s="4">
        <v>302067.5</v>
      </c>
      <c r="BK14" s="4">
        <v>287000</v>
      </c>
      <c r="BL14" s="4">
        <v>15067.5</v>
      </c>
      <c r="BM14" s="4">
        <v>18879.21875</v>
      </c>
      <c r="BN14" s="4">
        <v>0</v>
      </c>
    </row>
    <row r="15" spans="1:66" x14ac:dyDescent="0.3">
      <c r="A15" s="7">
        <f t="shared" si="0"/>
        <v>7</v>
      </c>
      <c r="B15" s="29">
        <f t="shared" si="1"/>
        <v>1.75</v>
      </c>
      <c r="C15" s="29" t="b">
        <f ca="1">AND(VaBenefits[[#This Row],[timeFromValuation]]&gt;=ACT,VaBenefits[[#This Row],[Assumed Contract Value ]]&gt;0)</f>
        <v>0</v>
      </c>
      <c r="D15" s="20">
        <f>IF(OR(RIGHT(B15,2)="25",RIGHT(B15,2)="75"),0,VLOOKUP(VaBenefits[[#This Row],[timeFromValuation]],$AR$8:$BA$30,2,FALSE))</f>
        <v>0</v>
      </c>
      <c r="E15" s="20">
        <f>IF(OR(RIGHT(B15,2)="25",RIGHT(B15,2)="75"),0,VLOOKUP(VaBenefits[[#This Row],[timeFromValuation]],$AR$8:$BA$30,3,FALSE))</f>
        <v>0</v>
      </c>
      <c r="F15" s="20">
        <f ca="1">IF(OR(RIGHT(B15,2)="25",RIGHT(B15,2)="75"),OFFSET(VaBenefits[[#This Row],[Assumed Contract Value ]],-1,0),VLOOKUP(VaBenefits[[#This Row],[timeFromValuation]],$AR$8:$BA$30,4,FALSE))</f>
        <v>255000</v>
      </c>
      <c r="G15" s="96">
        <f>ROUND($G$8+VaBenefits[[#This Row],[timeFromValuation]],0)</f>
        <v>57</v>
      </c>
      <c r="H15" s="20">
        <f>ROUND($H$8+VaBenefits[[#This Row],[timeFromValuation]],0)</f>
        <v>67</v>
      </c>
      <c r="I15" s="27" t="b">
        <f>VaBenefits[[#This Row],[Withdrawal Taken  ]]&gt;0</f>
        <v>0</v>
      </c>
      <c r="J15" s="41">
        <f ca="1">IF(AND(NOT(VaBenefits[[#This Row],[Is Activation]]),VaBenefits[[#This Row],[Assumed Contract Value ]]&gt;0),VaBenefits[[#This Row],[Withdrawal Taken  ]]/VaBenefits[[#This Row],[Assumed Contract Value ]],0)</f>
        <v>0</v>
      </c>
      <c r="K1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 s="27" t="b">
        <f ca="1">AND(VaBenefits[[#This Row],[Is Activation]],SUMIFS($E$8:$E15,$C$8:$C15,TRUE)&gt;0)</f>
        <v>0</v>
      </c>
      <c r="M15" s="42">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 s="7" t="b">
        <f>IF(VaBenefits[[#This Row],[timeFromValuation]]=0,0, MOD(VaBenefits[[#This Row],[timeFromValuation]],1)=0)</f>
        <v>0</v>
      </c>
      <c r="O15" s="7">
        <f>IF(VaBenefits[[#This Row],[Is Anniversary?]]=TRUE,VaBenefits[[#This Row],[Assumed Contract Value ]],0)</f>
        <v>0</v>
      </c>
      <c r="P15" s="7">
        <f ca="1">(IF(VaBenefits[[#This Row],[Is Anniversary?]], MAX(OFFSET(VaBenefits[[#This Row],[Income Base]],-1,0)+VaBenefits[[#This Row],[Income Credit]],VaBenefits[[#This Row],[Anniversary Value  ]]),OFFSET(VaBenefits[[#This Row],[Income Base]],-1,0))+VaBenefits[[#This Row],[Purchase Payments]])*VaBenefits[[#This Row],[Withdrawal Penalty]]</f>
        <v>260000</v>
      </c>
      <c r="Q15" s="7" t="b">
        <f ca="1">VaBenefits[[#This Row],[Assumed Contract Value ]]&lt;0.1</f>
        <v>0</v>
      </c>
      <c r="R1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260000</v>
      </c>
      <c r="S15" s="7">
        <f ca="1">IF(AND(VaBenefits[[#This Row],[Is Activation]]=FALSE,VaBenefits[[#This Row],[Is Anniversary?]]=TRUE),OFFSET( VaBenefits[[#This Row],[Income Credit Base]],-1,0)*ICP,0)</f>
        <v>0</v>
      </c>
      <c r="T15" s="5">
        <f ca="1">IF(VaBenefits[[#This Row],[Assumed Contract Value ]]&gt;0,VaBenefits[[#This Row],[Income Base]]*MAWA,0)</f>
        <v>16250</v>
      </c>
      <c r="U15" s="95">
        <f ca="1">IF(AND(VaBenefits[[#This Row],[Has Income Credit]],VaBenefits[[#This Row],[Is Anniversary?]],VaBenefits[[#This Row],[Joint Mortality tPxy for the partial year]]),VaBenefits[[#This Row],[Income Base]]*PIP,0)</f>
        <v>0</v>
      </c>
      <c r="V15" s="8">
        <f>1/(1+InterestRate)^VaBenefits[[#This Row],[timeFromValuation]]</f>
        <v>0.91816075685173626</v>
      </c>
      <c r="W15" s="90">
        <f>VaBenefits[[#This Row],[timeFromValuation]]</f>
        <v>1.75</v>
      </c>
      <c r="X15" s="91">
        <f>IF(($G$8+VaBenefits[[#This Row],[timeFromValuation]])&lt;=120,VLOOKUP(G15,Table2[],Qx!L$6,FALSE),0)</f>
        <v>0.99760099999999996</v>
      </c>
      <c r="Y15" s="91">
        <f>IF(($H$8+VaBenefits[[#This Row],[timeFromValuation]])&lt;=120,VLOOKUP(H15,Table2[],Qx!M$6,FALSE),0)</f>
        <v>0.99092400000000003</v>
      </c>
      <c r="Z15" s="91">
        <f>PRODUCT($X$8:$X15)</f>
        <v>0.98281648531461518</v>
      </c>
      <c r="AA15" s="91">
        <f>PRODUCT($Y$8:$Y15)</f>
        <v>0.93346490211680255</v>
      </c>
      <c r="AB15" s="91">
        <f>VaBenefits[[#This Row],[Primary Annuitant Px]]+VaBenefits[[#This Row],[Secondary Annuitant Py]]-VaBenefits[[#This Row],[Primary Annuitant Px]]*VaBenefits[[#This Row],[Secondary Annuitant Py]]</f>
        <v>0.99997822667600011</v>
      </c>
      <c r="AC15" s="91">
        <f>PRODUCT($AB$8:$AB15)</f>
        <v>0.99985120005383088</v>
      </c>
      <c r="AD15" s="97">
        <f ca="1">PV(1.03,20,-VaBenefits[[#This Row],[Protected Income Payment]])</f>
        <v>0</v>
      </c>
      <c r="AE15" s="130">
        <f ca="1">IF((AND(VaBenefits[[#This Row],[Is Anniversary?]],VaBenefits[[#This Row],[Assumed Contract Value ]]&lt;75000)),-50,0)</f>
        <v>0</v>
      </c>
      <c r="AF15" s="133">
        <f ca="1">VaBenefits[[#This Row],[Assumed Contract Value ]]*-1.15%/4</f>
        <v>-733.125</v>
      </c>
      <c r="AG15" s="129">
        <v>0</v>
      </c>
      <c r="AH15" s="131">
        <f ca="1">VaBenefits[[#This Row],[Maintenace Fee]]+VaBenefits[[#This Row],[Separate Account Charge]]+VaBenefits[[#This Row],[Rider Fee]]</f>
        <v>-733.125</v>
      </c>
      <c r="AI15" s="2"/>
      <c r="AJ15" s="39">
        <f t="shared" si="2"/>
        <v>3.5</v>
      </c>
      <c r="AK15" s="8">
        <f>VaBenefits[[#This Row],[Anniversary Value  ]]-AV15</f>
        <v>0</v>
      </c>
      <c r="AL15" s="8">
        <f ca="1">VaBenefits[[#This Row],[Income Base]]-AW15</f>
        <v>-37116</v>
      </c>
      <c r="AM15" s="8">
        <f ca="1">VaBenefits[[#This Row],[Income Credit Base]]-AX15</f>
        <v>-22295</v>
      </c>
      <c r="AN15" s="8">
        <f ca="1">VaBenefits[[#This Row],[Income Credit]]-AY15</f>
        <v>0</v>
      </c>
      <c r="AO15" s="8">
        <f ca="1">VaBenefits[[#This Row],[Maximum Annual Withdrawal Amount upon Activation]]-AZ15</f>
        <v>-2320</v>
      </c>
      <c r="AP15" s="8">
        <f ca="1">VaBenefits[[#This Row],[Protected Income Payment]]-BA15</f>
        <v>0</v>
      </c>
      <c r="AQ15" s="2"/>
      <c r="AR15" s="21">
        <f t="shared" si="3"/>
        <v>3.5</v>
      </c>
      <c r="AS15" s="22">
        <v>0</v>
      </c>
      <c r="AT15" s="22">
        <v>5000</v>
      </c>
      <c r="AU15" s="22">
        <v>305000</v>
      </c>
      <c r="AV15" s="11">
        <v>0</v>
      </c>
      <c r="AW15" s="10">
        <v>297116</v>
      </c>
      <c r="AX15" s="10">
        <v>282295</v>
      </c>
      <c r="AY15" s="10">
        <v>0</v>
      </c>
      <c r="AZ15" s="10">
        <v>18570</v>
      </c>
      <c r="BA15" s="13">
        <v>0</v>
      </c>
      <c r="BB15" s="9"/>
      <c r="BC15" s="9"/>
      <c r="BD15" s="9"/>
      <c r="BE15" s="9"/>
      <c r="BF15" s="9"/>
      <c r="BG15" s="9"/>
      <c r="BI15" s="4"/>
      <c r="BJ15" s="4">
        <v>297115.57377049181</v>
      </c>
      <c r="BK15" s="4">
        <v>282295.08196721313</v>
      </c>
      <c r="BL15" s="4">
        <v>0</v>
      </c>
      <c r="BM15" s="4">
        <v>18569.723360655738</v>
      </c>
      <c r="BN15" s="4">
        <v>0</v>
      </c>
    </row>
    <row r="16" spans="1:66" x14ac:dyDescent="0.3">
      <c r="A16" s="7">
        <f t="shared" si="0"/>
        <v>8</v>
      </c>
      <c r="B16" s="29">
        <f t="shared" si="1"/>
        <v>2</v>
      </c>
      <c r="C16" s="29" t="b">
        <f ca="1">AND(VaBenefits[[#This Row],[timeFromValuation]]&gt;=ACT,VaBenefits[[#This Row],[Assumed Contract Value ]]&gt;0)</f>
        <v>0</v>
      </c>
      <c r="D16" s="20">
        <f>IF(OR(RIGHT(B16,2)="25",RIGHT(B16,2)="75"),0,VLOOKUP(VaBenefits[[#This Row],[timeFromValuation]],$AR$8:$BA$30,2,FALSE))</f>
        <v>0</v>
      </c>
      <c r="E16" s="20">
        <f>IF(OR(RIGHT(B16,2)="25",RIGHT(B16,2)="75"),0,VLOOKUP(VaBenefits[[#This Row],[timeFromValuation]],$AR$8:$BA$30,3,FALSE))</f>
        <v>0</v>
      </c>
      <c r="F16" s="20">
        <f ca="1">IF(OR(RIGHT(B16,2)="25",RIGHT(B16,2)="75"),OFFSET(VaBenefits[[#This Row],[Assumed Contract Value ]],-1,0),VLOOKUP(VaBenefits[[#This Row],[timeFromValuation]],$AR$8:$BA$30,4,FALSE))</f>
        <v>287000</v>
      </c>
      <c r="G16" s="96">
        <f>ROUND($G$8+VaBenefits[[#This Row],[timeFromValuation]],0)</f>
        <v>57</v>
      </c>
      <c r="H16" s="20">
        <f>ROUND($H$8+VaBenefits[[#This Row],[timeFromValuation]],0)</f>
        <v>67</v>
      </c>
      <c r="I16" s="27" t="b">
        <f>VaBenefits[[#This Row],[Withdrawal Taken  ]]&gt;0</f>
        <v>0</v>
      </c>
      <c r="J16" s="41">
        <f ca="1">IF(AND(NOT(VaBenefits[[#This Row],[Is Activation]]),VaBenefits[[#This Row],[Assumed Contract Value ]]&gt;0),VaBenefits[[#This Row],[Withdrawal Taken  ]]/VaBenefits[[#This Row],[Assumed Contract Value ]],0)</f>
        <v>0</v>
      </c>
      <c r="K1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 s="27" t="b">
        <f ca="1">AND(VaBenefits[[#This Row],[Is Activation]],SUMIFS($E$8:$E16,$C$8:$C16,TRUE)&gt;0)</f>
        <v>0</v>
      </c>
      <c r="M1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 s="7" t="b">
        <f>IF(VaBenefits[[#This Row],[timeFromValuation]]=0,0, MOD(VaBenefits[[#This Row],[timeFromValuation]],1)=0)</f>
        <v>1</v>
      </c>
      <c r="O16" s="7">
        <f ca="1">IF(VaBenefits[[#This Row],[Is Anniversary?]]=TRUE,VaBenefits[[#This Row],[Assumed Contract Value ]],0)</f>
        <v>287000</v>
      </c>
      <c r="P16" s="7">
        <f ca="1">(IF(VaBenefits[[#This Row],[Is Anniversary?]], MAX(OFFSET(VaBenefits[[#This Row],[Income Base]],-1,0)+VaBenefits[[#This Row],[Income Credit]],VaBenefits[[#This Row],[Anniversary Value  ]]),OFFSET(VaBenefits[[#This Row],[Income Base]],-1,0))+VaBenefits[[#This Row],[Purchase Payments]])*VaBenefits[[#This Row],[Withdrawal Penalty]]</f>
        <v>287000</v>
      </c>
      <c r="Q16" s="7" t="b">
        <f ca="1">VaBenefits[[#This Row],[Assumed Contract Value ]]&lt;0.1</f>
        <v>0</v>
      </c>
      <c r="R1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287000</v>
      </c>
      <c r="S16" s="7">
        <f ca="1">IF(AND(VaBenefits[[#This Row],[Is Activation]]=FALSE,VaBenefits[[#This Row],[Is Anniversary?]]=TRUE),OFFSET( VaBenefits[[#This Row],[Income Credit Base]],-1,0)*ICP,0)</f>
        <v>13650</v>
      </c>
      <c r="T16" s="5">
        <f ca="1">IF(VaBenefits[[#This Row],[Assumed Contract Value ]]&gt;0,VaBenefits[[#This Row],[Income Base]]*MAWA,0)</f>
        <v>17937.5</v>
      </c>
      <c r="U16" s="95">
        <f ca="1">IF(AND(VaBenefits[[#This Row],[Has Income Credit]],VaBenefits[[#This Row],[Is Anniversary?]],VaBenefits[[#This Row],[Joint Mortality tPxy for the partial year]]),VaBenefits[[#This Row],[Income Base]]*PIP,0)</f>
        <v>0</v>
      </c>
      <c r="V16" s="8">
        <f>1/(1+InterestRate)^VaBenefits[[#This Row],[timeFromValuation]]</f>
        <v>0.90702947845804982</v>
      </c>
      <c r="W16" s="90">
        <f>VaBenefits[[#This Row],[timeFromValuation]]</f>
        <v>2</v>
      </c>
      <c r="X16" s="91">
        <f>IF(($G$8+VaBenefits[[#This Row],[timeFromValuation]])&lt;=120,VLOOKUP(G16,Table2[],Qx!L$6,FALSE),0)</f>
        <v>0.99760099999999996</v>
      </c>
      <c r="Y16" s="91">
        <f>IF(($H$8+VaBenefits[[#This Row],[timeFromValuation]])&lt;=120,VLOOKUP(H16,Table2[],Qx!M$6,FALSE),0)</f>
        <v>0.99092400000000003</v>
      </c>
      <c r="Z16" s="91">
        <f>PRODUCT($X$8:$X16)</f>
        <v>0.98045870856634543</v>
      </c>
      <c r="AA16" s="91">
        <f>PRODUCT($Y$8:$Y16)</f>
        <v>0.92499277466519048</v>
      </c>
      <c r="AB16" s="91">
        <f>VaBenefits[[#This Row],[Primary Annuitant Px]]+VaBenefits[[#This Row],[Secondary Annuitant Py]]-VaBenefits[[#This Row],[Primary Annuitant Px]]*VaBenefits[[#This Row],[Secondary Annuitant Py]]</f>
        <v>0.99997822667600011</v>
      </c>
      <c r="AC16" s="91">
        <f>PRODUCT($AB$8:$AB16)</f>
        <v>0.99982942996970048</v>
      </c>
      <c r="AD16" s="97">
        <f ca="1">PV(1.03,20,-VaBenefits[[#This Row],[Protected Income Payment]])</f>
        <v>0</v>
      </c>
      <c r="AE16" s="130">
        <f ca="1">IF((AND(VaBenefits[[#This Row],[Is Anniversary?]],VaBenefits[[#This Row],[Assumed Contract Value ]]&lt;75000)),-50,0)</f>
        <v>0</v>
      </c>
      <c r="AF16" s="133">
        <f ca="1">VaBenefits[[#This Row],[Assumed Contract Value ]]*-1.15%/4</f>
        <v>-825.125</v>
      </c>
      <c r="AG16" s="129">
        <v>0</v>
      </c>
      <c r="AH16" s="131">
        <f ca="1">VaBenefits[[#This Row],[Maintenace Fee]]+VaBenefits[[#This Row],[Separate Account Charge]]+VaBenefits[[#This Row],[Rider Fee]]</f>
        <v>-825.125</v>
      </c>
      <c r="AI16" s="2"/>
      <c r="AJ16" s="39">
        <f t="shared" si="2"/>
        <v>4</v>
      </c>
      <c r="AK16" s="8">
        <f ca="1">VaBenefits[[#This Row],[Anniversary Value  ]]-AV16</f>
        <v>-25000</v>
      </c>
      <c r="AL16" s="8">
        <f ca="1">VaBenefits[[#This Row],[Income Base]]-AW16</f>
        <v>-25000</v>
      </c>
      <c r="AM16" s="8">
        <f ca="1">VaBenefits[[#This Row],[Income Credit Base]]-AX16</f>
        <v>-25000</v>
      </c>
      <c r="AN16" s="8">
        <f ca="1">VaBenefits[[#This Row],[Income Credit]]-AY16</f>
        <v>-1170</v>
      </c>
      <c r="AO16" s="8">
        <f ca="1">VaBenefits[[#This Row],[Maximum Annual Withdrawal Amount upon Activation]]-AZ16</f>
        <v>-1562.5</v>
      </c>
      <c r="AP16" s="8">
        <f ca="1">VaBenefits[[#This Row],[Protected Income Payment]]-BA16</f>
        <v>0</v>
      </c>
      <c r="AQ16" s="2"/>
      <c r="AR16" s="21">
        <f t="shared" si="3"/>
        <v>4</v>
      </c>
      <c r="AS16" s="22">
        <v>0</v>
      </c>
      <c r="AT16" s="22">
        <v>0</v>
      </c>
      <c r="AU16" s="22">
        <v>312000</v>
      </c>
      <c r="AV16" s="11">
        <v>312000</v>
      </c>
      <c r="AW16" s="10">
        <v>312000</v>
      </c>
      <c r="AX16" s="10">
        <v>312000</v>
      </c>
      <c r="AY16" s="10">
        <v>14820</v>
      </c>
      <c r="AZ16" s="10">
        <v>19500</v>
      </c>
      <c r="BA16" s="13">
        <v>0</v>
      </c>
      <c r="BB16" s="9"/>
      <c r="BC16" s="9"/>
      <c r="BD16" s="9"/>
      <c r="BE16" s="9"/>
      <c r="BF16" s="9"/>
      <c r="BG16" s="9"/>
      <c r="BI16" s="4">
        <v>312000</v>
      </c>
      <c r="BJ16" s="4">
        <v>312000</v>
      </c>
      <c r="BK16" s="4">
        <v>312000</v>
      </c>
      <c r="BL16" s="4">
        <v>14820.491803278688</v>
      </c>
      <c r="BM16" s="4">
        <v>19500</v>
      </c>
      <c r="BN16" s="4">
        <v>0</v>
      </c>
    </row>
    <row r="17" spans="1:66" x14ac:dyDescent="0.3">
      <c r="A17" s="7">
        <f t="shared" si="0"/>
        <v>9</v>
      </c>
      <c r="B17" s="29">
        <f t="shared" si="1"/>
        <v>2.25</v>
      </c>
      <c r="C17" s="29" t="b">
        <f ca="1">AND(VaBenefits[[#This Row],[timeFromValuation]]&gt;=ACT,VaBenefits[[#This Row],[Assumed Contract Value ]]&gt;0)</f>
        <v>0</v>
      </c>
      <c r="D17" s="20">
        <f>IF(OR(RIGHT(B17,2)="25",RIGHT(B17,2)="75"),0,VLOOKUP(VaBenefits[[#This Row],[timeFromValuation]],$AR$8:$BA$30,2,FALSE))</f>
        <v>0</v>
      </c>
      <c r="E17" s="20">
        <f>IF(OR(RIGHT(B17,2)="25",RIGHT(B17,2)="75"),0,VLOOKUP(VaBenefits[[#This Row],[timeFromValuation]],$AR$8:$BA$30,3,FALSE))</f>
        <v>0</v>
      </c>
      <c r="F17" s="20">
        <f ca="1">IF(OR(RIGHT(B17,2)="25",RIGHT(B17,2)="75"),OFFSET(VaBenefits[[#This Row],[Assumed Contract Value ]],-1,0),VLOOKUP(VaBenefits[[#This Row],[timeFromValuation]],$AR$8:$BA$30,4,FALSE))</f>
        <v>287000</v>
      </c>
      <c r="G17" s="96">
        <f>ROUND($G$8+VaBenefits[[#This Row],[timeFromValuation]],0)</f>
        <v>57</v>
      </c>
      <c r="H17" s="20">
        <f>ROUND($H$8+VaBenefits[[#This Row],[timeFromValuation]],0)</f>
        <v>67</v>
      </c>
      <c r="I17" s="27" t="b">
        <f>VaBenefits[[#This Row],[Withdrawal Taken  ]]&gt;0</f>
        <v>0</v>
      </c>
      <c r="J17" s="41">
        <f ca="1">IF(AND(NOT(VaBenefits[[#This Row],[Is Activation]]),VaBenefits[[#This Row],[Assumed Contract Value ]]&gt;0),VaBenefits[[#This Row],[Withdrawal Taken  ]]/VaBenefits[[#This Row],[Assumed Contract Value ]],0)</f>
        <v>0</v>
      </c>
      <c r="K1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 s="27" t="b">
        <f ca="1">AND(VaBenefits[[#This Row],[Is Activation]],SUMIFS($E$8:$E17,$C$8:$C17,TRUE)&gt;0)</f>
        <v>0</v>
      </c>
      <c r="M1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 s="7" t="b">
        <f>IF(VaBenefits[[#This Row],[timeFromValuation]]=0,0, MOD(VaBenefits[[#This Row],[timeFromValuation]],1)=0)</f>
        <v>0</v>
      </c>
      <c r="O17" s="7">
        <f>IF(VaBenefits[[#This Row],[Is Anniversary?]]=TRUE,VaBenefits[[#This Row],[Assumed Contract Value ]],0)</f>
        <v>0</v>
      </c>
      <c r="P17" s="7">
        <f ca="1">(IF(VaBenefits[[#This Row],[Is Anniversary?]], MAX(OFFSET(VaBenefits[[#This Row],[Income Base]],-1,0)+VaBenefits[[#This Row],[Income Credit]],VaBenefits[[#This Row],[Anniversary Value  ]]),OFFSET(VaBenefits[[#This Row],[Income Base]],-1,0))+VaBenefits[[#This Row],[Purchase Payments]])*VaBenefits[[#This Row],[Withdrawal Penalty]]</f>
        <v>287000</v>
      </c>
      <c r="Q17" s="7" t="b">
        <f ca="1">VaBenefits[[#This Row],[Assumed Contract Value ]]&lt;0.1</f>
        <v>0</v>
      </c>
      <c r="R1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287000</v>
      </c>
      <c r="S17" s="7">
        <f ca="1">IF(AND(VaBenefits[[#This Row],[Is Activation]]=FALSE,VaBenefits[[#This Row],[Is Anniversary?]]=TRUE),OFFSET( VaBenefits[[#This Row],[Income Credit Base]],-1,0)*ICP,0)</f>
        <v>0</v>
      </c>
      <c r="T17" s="5">
        <f ca="1">IF(VaBenefits[[#This Row],[Assumed Contract Value ]]&gt;0,VaBenefits[[#This Row],[Income Base]]*MAWA,0)</f>
        <v>17937.5</v>
      </c>
      <c r="U17" s="95">
        <f ca="1">IF(AND(VaBenefits[[#This Row],[Has Income Credit]],VaBenefits[[#This Row],[Is Anniversary?]],VaBenefits[[#This Row],[Joint Mortality tPxy for the partial year]]),VaBenefits[[#This Row],[Income Base]]*PIP,0)</f>
        <v>0</v>
      </c>
      <c r="V17" s="8">
        <f>1/(1+InterestRate)^VaBenefits[[#This Row],[timeFromValuation]]</f>
        <v>0.89603314959008973</v>
      </c>
      <c r="W17" s="90">
        <f>VaBenefits[[#This Row],[timeFromValuation]]</f>
        <v>2.25</v>
      </c>
      <c r="X17" s="91">
        <f>IF(($G$8+VaBenefits[[#This Row],[timeFromValuation]])&lt;=120,VLOOKUP(G17,Table2[],Qx!L$6,FALSE),0)</f>
        <v>0.99760099999999996</v>
      </c>
      <c r="Y17" s="91">
        <f>IF(($H$8+VaBenefits[[#This Row],[timeFromValuation]])&lt;=120,VLOOKUP(H17,Table2[],Qx!M$6,FALSE),0)</f>
        <v>0.99092400000000003</v>
      </c>
      <c r="Z17" s="91">
        <f>PRODUCT($X$8:$X17)</f>
        <v>0.97810658812449469</v>
      </c>
      <c r="AA17" s="91">
        <f>PRODUCT($Y$8:$Y17)</f>
        <v>0.9165975402423292</v>
      </c>
      <c r="AB17" s="91">
        <f>VaBenefits[[#This Row],[Primary Annuitant Px]]+VaBenefits[[#This Row],[Secondary Annuitant Py]]-VaBenefits[[#This Row],[Primary Annuitant Px]]*VaBenefits[[#This Row],[Secondary Annuitant Py]]</f>
        <v>0.99997822667600011</v>
      </c>
      <c r="AC17" s="91">
        <f>PRODUCT($AB$8:$AB17)</f>
        <v>0.99980766035957713</v>
      </c>
      <c r="AD17" s="97">
        <f ca="1">PV(1.03,20,-VaBenefits[[#This Row],[Protected Income Payment]])</f>
        <v>0</v>
      </c>
      <c r="AE17" s="130">
        <f ca="1">IF((AND(VaBenefits[[#This Row],[Is Anniversary?]],VaBenefits[[#This Row],[Assumed Contract Value ]]&lt;75000)),-50,0)</f>
        <v>0</v>
      </c>
      <c r="AF17" s="133">
        <f ca="1">VaBenefits[[#This Row],[Assumed Contract Value ]]*-1.15%/4</f>
        <v>-825.125</v>
      </c>
      <c r="AG17" s="129">
        <v>0</v>
      </c>
      <c r="AH17" s="131">
        <f ca="1">VaBenefits[[#This Row],[Maintenace Fee]]+VaBenefits[[#This Row],[Separate Account Charge]]+VaBenefits[[#This Row],[Rider Fee]]</f>
        <v>-825.125</v>
      </c>
      <c r="AI17" s="2"/>
      <c r="AJ17" s="39">
        <f t="shared" si="2"/>
        <v>4.5</v>
      </c>
      <c r="AK17" s="8">
        <f>VaBenefits[[#This Row],[Anniversary Value  ]]-AV17</f>
        <v>0</v>
      </c>
      <c r="AL17" s="8">
        <f ca="1">VaBenefits[[#This Row],[Income Base]]-AW17</f>
        <v>-25000</v>
      </c>
      <c r="AM17" s="8">
        <f ca="1">VaBenefits[[#This Row],[Income Credit Base]]-AX17</f>
        <v>287000</v>
      </c>
      <c r="AN17" s="8">
        <f ca="1">VaBenefits[[#This Row],[Income Credit]]-AY17</f>
        <v>0</v>
      </c>
      <c r="AO17" s="8">
        <f ca="1">VaBenefits[[#This Row],[Maximum Annual Withdrawal Amount upon Activation]]-AZ17</f>
        <v>-1562.5</v>
      </c>
      <c r="AP17" s="8">
        <f ca="1">VaBenefits[[#This Row],[Protected Income Payment]]-BA17</f>
        <v>0</v>
      </c>
      <c r="AQ17" s="2"/>
      <c r="AR17" s="21">
        <f t="shared" si="3"/>
        <v>4.5</v>
      </c>
      <c r="AS17" s="22">
        <v>0</v>
      </c>
      <c r="AT17" s="22">
        <v>19500</v>
      </c>
      <c r="AU17" s="22">
        <v>302000</v>
      </c>
      <c r="AV17" s="12">
        <v>0</v>
      </c>
      <c r="AW17" s="10">
        <v>312000</v>
      </c>
      <c r="AX17" s="5">
        <v>0</v>
      </c>
      <c r="AY17" s="5">
        <v>0</v>
      </c>
      <c r="AZ17" s="10">
        <v>19500</v>
      </c>
      <c r="BA17" s="13">
        <v>0</v>
      </c>
      <c r="BB17" s="9"/>
      <c r="BC17" s="9"/>
      <c r="BD17" s="9"/>
      <c r="BE17" s="9"/>
      <c r="BF17" s="9"/>
      <c r="BG17" s="9"/>
      <c r="BI17" s="4"/>
      <c r="BJ17" s="4">
        <v>312000</v>
      </c>
      <c r="BK17" s="4"/>
      <c r="BL17" s="4"/>
      <c r="BM17" s="4">
        <v>19500</v>
      </c>
      <c r="BN17" s="4">
        <v>0</v>
      </c>
    </row>
    <row r="18" spans="1:66" x14ac:dyDescent="0.3">
      <c r="A18" s="7">
        <f t="shared" si="0"/>
        <v>10</v>
      </c>
      <c r="B18" s="29">
        <f t="shared" si="1"/>
        <v>2.5</v>
      </c>
      <c r="C18" s="29" t="b">
        <f ca="1">AND(VaBenefits[[#This Row],[timeFromValuation]]&gt;=ACT,VaBenefits[[#This Row],[Assumed Contract Value ]]&gt;0)</f>
        <v>0</v>
      </c>
      <c r="D18" s="20">
        <f>IF(OR(RIGHT(B18,2)="25",RIGHT(B18,2)="75"),0,VLOOKUP(VaBenefits[[#This Row],[timeFromValuation]],$AR$8:$BA$30,2,FALSE))</f>
        <v>0</v>
      </c>
      <c r="E18" s="20">
        <f>IF(OR(RIGHT(B18,2)="25",RIGHT(B18,2)="75"),0,VLOOKUP(VaBenefits[[#This Row],[timeFromValuation]],$AR$8:$BA$30,3,FALSE))</f>
        <v>0</v>
      </c>
      <c r="F18" s="20">
        <f ca="1">IF(OR(RIGHT(B18,2)="25",RIGHT(B18,2)="75"),OFFSET(VaBenefits[[#This Row],[Assumed Contract Value ]],-1,0),VLOOKUP(VaBenefits[[#This Row],[timeFromValuation]],$AR$8:$BA$30,4,FALSE))</f>
        <v>287000</v>
      </c>
      <c r="G18" s="96">
        <f>ROUND($G$8+VaBenefits[[#This Row],[timeFromValuation]],0)</f>
        <v>58</v>
      </c>
      <c r="H18" s="20">
        <f>ROUND($H$8+VaBenefits[[#This Row],[timeFromValuation]],0)</f>
        <v>68</v>
      </c>
      <c r="I18" s="27" t="b">
        <f>VaBenefits[[#This Row],[Withdrawal Taken  ]]&gt;0</f>
        <v>0</v>
      </c>
      <c r="J18" s="41">
        <f ca="1">IF(AND(NOT(VaBenefits[[#This Row],[Is Activation]]),VaBenefits[[#This Row],[Assumed Contract Value ]]&gt;0),VaBenefits[[#This Row],[Withdrawal Taken  ]]/VaBenefits[[#This Row],[Assumed Contract Value ]],0)</f>
        <v>0</v>
      </c>
      <c r="K1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 s="27" t="b">
        <f ca="1">AND(VaBenefits[[#This Row],[Is Activation]],SUMIFS($E$8:$E18,$C$8:$C18,TRUE)&gt;0)</f>
        <v>0</v>
      </c>
      <c r="M1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 s="7" t="b">
        <f>IF(VaBenefits[[#This Row],[timeFromValuation]]=0,0, MOD(VaBenefits[[#This Row],[timeFromValuation]],1)=0)</f>
        <v>0</v>
      </c>
      <c r="O18" s="7">
        <f>IF(VaBenefits[[#This Row],[Is Anniversary?]]=TRUE,VaBenefits[[#This Row],[Assumed Contract Value ]],0)</f>
        <v>0</v>
      </c>
      <c r="P18" s="7">
        <f ca="1">(IF(VaBenefits[[#This Row],[Is Anniversary?]], MAX(OFFSET(VaBenefits[[#This Row],[Income Base]],-1,0)+VaBenefits[[#This Row],[Income Credit]],VaBenefits[[#This Row],[Anniversary Value  ]]),OFFSET(VaBenefits[[#This Row],[Income Base]],-1,0))+VaBenefits[[#This Row],[Purchase Payments]])*VaBenefits[[#This Row],[Withdrawal Penalty]]</f>
        <v>287000</v>
      </c>
      <c r="Q18" s="7" t="b">
        <f ca="1">VaBenefits[[#This Row],[Assumed Contract Value ]]&lt;0.1</f>
        <v>0</v>
      </c>
      <c r="R1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287000</v>
      </c>
      <c r="S18" s="7">
        <f ca="1">IF(AND(VaBenefits[[#This Row],[Is Activation]]=FALSE,VaBenefits[[#This Row],[Is Anniversary?]]=TRUE),OFFSET( VaBenefits[[#This Row],[Income Credit Base]],-1,0)*ICP,0)</f>
        <v>0</v>
      </c>
      <c r="T18" s="5">
        <f ca="1">IF(VaBenefits[[#This Row],[Assumed Contract Value ]]&gt;0,VaBenefits[[#This Row],[Income Base]]*MAWA,0)</f>
        <v>17937.5</v>
      </c>
      <c r="U18" s="95">
        <f ca="1">IF(AND(VaBenefits[[#This Row],[Has Income Credit]],VaBenefits[[#This Row],[Is Anniversary?]],VaBenefits[[#This Row],[Joint Mortality tPxy for the partial year]]),VaBenefits[[#This Row],[Income Base]]*PIP,0)</f>
        <v>0</v>
      </c>
      <c r="V18" s="8">
        <f>1/(1+InterestRate)^VaBenefits[[#This Row],[timeFromValuation]]</f>
        <v>0.88517013419368074</v>
      </c>
      <c r="W18" s="90">
        <f>VaBenefits[[#This Row],[timeFromValuation]]</f>
        <v>2.5</v>
      </c>
      <c r="X18" s="91">
        <f>IF(($G$8+VaBenefits[[#This Row],[timeFromValuation]])&lt;=120,VLOOKUP(G18,Table2[],Qx!L$6,FALSE),0)</f>
        <v>0.99729999999999996</v>
      </c>
      <c r="Y18" s="91">
        <f>IF(($H$8+VaBenefits[[#This Row],[timeFromValuation]])&lt;=120,VLOOKUP(H18,Table2[],Qx!M$6,FALSE),0)</f>
        <v>0.99029199999999995</v>
      </c>
      <c r="Z18" s="91">
        <f>PRODUCT($X$8:$X18)</f>
        <v>0.97546570033655855</v>
      </c>
      <c r="AA18" s="91">
        <f>PRODUCT($Y$8:$Y18)</f>
        <v>0.90769921132165665</v>
      </c>
      <c r="AB18" s="91">
        <f>VaBenefits[[#This Row],[Primary Annuitant Px]]+VaBenefits[[#This Row],[Secondary Annuitant Py]]-VaBenefits[[#This Row],[Primary Annuitant Px]]*VaBenefits[[#This Row],[Secondary Annuitant Py]]</f>
        <v>0.99997378839999984</v>
      </c>
      <c r="AC18" s="91">
        <f>PRODUCT($AB$8:$AB18)</f>
        <v>0.99978145380110672</v>
      </c>
      <c r="AD18" s="97">
        <f ca="1">PV(1.03,20,-VaBenefits[[#This Row],[Protected Income Payment]])</f>
        <v>0</v>
      </c>
      <c r="AE18" s="130">
        <f ca="1">IF((AND(VaBenefits[[#This Row],[Is Anniversary?]],VaBenefits[[#This Row],[Assumed Contract Value ]]&lt;75000)),-50,0)</f>
        <v>0</v>
      </c>
      <c r="AF18" s="133">
        <f ca="1">VaBenefits[[#This Row],[Assumed Contract Value ]]*-1.15%/4</f>
        <v>-825.125</v>
      </c>
      <c r="AG18" s="129">
        <v>0</v>
      </c>
      <c r="AH18" s="131">
        <f ca="1">VaBenefits[[#This Row],[Maintenace Fee]]+VaBenefits[[#This Row],[Separate Account Charge]]+VaBenefits[[#This Row],[Rider Fee]]</f>
        <v>-825.125</v>
      </c>
      <c r="AI18" s="2"/>
      <c r="AJ18" s="39">
        <f t="shared" si="2"/>
        <v>5</v>
      </c>
      <c r="AK18" s="8">
        <f>VaBenefits[[#This Row],[Anniversary Value  ]]-AV18</f>
        <v>-305000</v>
      </c>
      <c r="AL18" s="8">
        <f ca="1">VaBenefits[[#This Row],[Income Base]]-AW18</f>
        <v>-25000</v>
      </c>
      <c r="AM18" s="8">
        <f ca="1">VaBenefits[[#This Row],[Income Credit Base]]-AX18</f>
        <v>287000</v>
      </c>
      <c r="AN18" s="8">
        <f ca="1">VaBenefits[[#This Row],[Income Credit]]-AY18</f>
        <v>0</v>
      </c>
      <c r="AO18" s="8">
        <f ca="1">VaBenefits[[#This Row],[Maximum Annual Withdrawal Amount upon Activation]]-AZ18</f>
        <v>-1562.5</v>
      </c>
      <c r="AP18" s="8">
        <f ca="1">VaBenefits[[#This Row],[Protected Income Payment]]-BA18</f>
        <v>0</v>
      </c>
      <c r="AQ18" s="2"/>
      <c r="AR18" s="21">
        <f t="shared" si="3"/>
        <v>5</v>
      </c>
      <c r="AS18" s="22">
        <v>0</v>
      </c>
      <c r="AT18" s="22">
        <v>0</v>
      </c>
      <c r="AU18" s="22">
        <v>305000</v>
      </c>
      <c r="AV18" s="11">
        <v>305000</v>
      </c>
      <c r="AW18" s="10">
        <v>312000</v>
      </c>
      <c r="AX18" s="5">
        <v>0</v>
      </c>
      <c r="AY18" s="5">
        <v>0</v>
      </c>
      <c r="AZ18" s="10">
        <v>19500</v>
      </c>
      <c r="BA18" s="13">
        <v>0</v>
      </c>
      <c r="BB18" s="9"/>
      <c r="BC18" s="6"/>
      <c r="BD18" s="9"/>
      <c r="BE18" s="9"/>
      <c r="BF18" s="9"/>
      <c r="BG18" s="9"/>
      <c r="BI18" s="4">
        <v>305000</v>
      </c>
      <c r="BJ18" s="4">
        <v>312000</v>
      </c>
      <c r="BK18" s="4"/>
      <c r="BL18" s="4"/>
      <c r="BM18" s="4">
        <v>19500</v>
      </c>
      <c r="BN18" s="4">
        <v>0</v>
      </c>
    </row>
    <row r="19" spans="1:66" x14ac:dyDescent="0.3">
      <c r="A19" s="7">
        <f t="shared" si="0"/>
        <v>11</v>
      </c>
      <c r="B19" s="29">
        <f t="shared" si="1"/>
        <v>2.75</v>
      </c>
      <c r="C19" s="29" t="b">
        <f ca="1">AND(VaBenefits[[#This Row],[timeFromValuation]]&gt;=ACT,VaBenefits[[#This Row],[Assumed Contract Value ]]&gt;0)</f>
        <v>0</v>
      </c>
      <c r="D19" s="20">
        <f>IF(OR(RIGHT(B19,2)="25",RIGHT(B19,2)="75"),0,VLOOKUP(VaBenefits[[#This Row],[timeFromValuation]],$AR$8:$BA$30,2,FALSE))</f>
        <v>0</v>
      </c>
      <c r="E19" s="20">
        <f>IF(OR(RIGHT(B19,2)="25",RIGHT(B19,2)="75"),0,VLOOKUP(VaBenefits[[#This Row],[timeFromValuation]],$AR$8:$BA$30,3,FALSE))</f>
        <v>0</v>
      </c>
      <c r="F19" s="20">
        <f ca="1">IF(OR(RIGHT(B19,2)="25",RIGHT(B19,2)="75"),OFFSET(VaBenefits[[#This Row],[Assumed Contract Value ]],-1,0),VLOOKUP(VaBenefits[[#This Row],[timeFromValuation]],$AR$8:$BA$30,4,FALSE))</f>
        <v>287000</v>
      </c>
      <c r="G19" s="96">
        <f>ROUND($G$8+VaBenefits[[#This Row],[timeFromValuation]],0)</f>
        <v>58</v>
      </c>
      <c r="H19" s="20">
        <f>ROUND($H$8+VaBenefits[[#This Row],[timeFromValuation]],0)</f>
        <v>68</v>
      </c>
      <c r="I19" s="27" t="b">
        <f>VaBenefits[[#This Row],[Withdrawal Taken  ]]&gt;0</f>
        <v>0</v>
      </c>
      <c r="J19" s="41">
        <f ca="1">IF(AND(NOT(VaBenefits[[#This Row],[Is Activation]]),VaBenefits[[#This Row],[Assumed Contract Value ]]&gt;0),VaBenefits[[#This Row],[Withdrawal Taken  ]]/VaBenefits[[#This Row],[Assumed Contract Value ]],0)</f>
        <v>0</v>
      </c>
      <c r="K1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 s="27" t="b">
        <f ca="1">AND(VaBenefits[[#This Row],[Is Activation]],SUMIFS($E$8:$E19,$C$8:$C19,TRUE)&gt;0)</f>
        <v>0</v>
      </c>
      <c r="M1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 s="7" t="b">
        <f>IF(VaBenefits[[#This Row],[timeFromValuation]]=0,0, MOD(VaBenefits[[#This Row],[timeFromValuation]],1)=0)</f>
        <v>0</v>
      </c>
      <c r="O19" s="7">
        <f>IF(VaBenefits[[#This Row],[Is Anniversary?]]=TRUE,VaBenefits[[#This Row],[Assumed Contract Value ]],0)</f>
        <v>0</v>
      </c>
      <c r="P19" s="7">
        <f ca="1">(IF(VaBenefits[[#This Row],[Is Anniversary?]], MAX(OFFSET(VaBenefits[[#This Row],[Income Base]],-1,0)+VaBenefits[[#This Row],[Income Credit]],VaBenefits[[#This Row],[Anniversary Value  ]]),OFFSET(VaBenefits[[#This Row],[Income Base]],-1,0))+VaBenefits[[#This Row],[Purchase Payments]])*VaBenefits[[#This Row],[Withdrawal Penalty]]</f>
        <v>287000</v>
      </c>
      <c r="Q19" s="7" t="b">
        <f ca="1">VaBenefits[[#This Row],[Assumed Contract Value ]]&lt;0.1</f>
        <v>0</v>
      </c>
      <c r="R1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287000</v>
      </c>
      <c r="S19" s="7">
        <f ca="1">IF(AND(VaBenefits[[#This Row],[Is Activation]]=FALSE,VaBenefits[[#This Row],[Is Anniversary?]]=TRUE),OFFSET( VaBenefits[[#This Row],[Income Credit Base]],-1,0)*ICP,0)</f>
        <v>0</v>
      </c>
      <c r="T19" s="5">
        <f ca="1">IF(VaBenefits[[#This Row],[Assumed Contract Value ]]&gt;0,VaBenefits[[#This Row],[Income Base]]*MAWA,0)</f>
        <v>17937.5</v>
      </c>
      <c r="U19" s="95">
        <f ca="1">IF(AND(VaBenefits[[#This Row],[Has Income Credit]],VaBenefits[[#This Row],[Is Anniversary?]],VaBenefits[[#This Row],[Joint Mortality tPxy for the partial year]]),VaBenefits[[#This Row],[Income Base]]*PIP,0)</f>
        <v>0</v>
      </c>
      <c r="V19" s="8">
        <f>1/(1+InterestRate)^VaBenefits[[#This Row],[timeFromValuation]]</f>
        <v>0.87443881604927254</v>
      </c>
      <c r="W19" s="90">
        <f>VaBenefits[[#This Row],[timeFromValuation]]</f>
        <v>2.75</v>
      </c>
      <c r="X19" s="91">
        <f>IF(($G$8+VaBenefits[[#This Row],[timeFromValuation]])&lt;=120,VLOOKUP(G19,Table2[],Qx!L$6,FALSE),0)</f>
        <v>0.99729999999999996</v>
      </c>
      <c r="Y19" s="91">
        <f>IF(($H$8+VaBenefits[[#This Row],[timeFromValuation]])&lt;=120,VLOOKUP(H19,Table2[],Qx!M$6,FALSE),0)</f>
        <v>0.99029199999999995</v>
      </c>
      <c r="Z19" s="91">
        <f>PRODUCT($X$8:$X19)</f>
        <v>0.97283194294564979</v>
      </c>
      <c r="AA19" s="91">
        <f>PRODUCT($Y$8:$Y19)</f>
        <v>0.89888726737814595</v>
      </c>
      <c r="AB19" s="91">
        <f>VaBenefits[[#This Row],[Primary Annuitant Px]]+VaBenefits[[#This Row],[Secondary Annuitant Py]]-VaBenefits[[#This Row],[Primary Annuitant Px]]*VaBenefits[[#This Row],[Secondary Annuitant Py]]</f>
        <v>0.99997378839999984</v>
      </c>
      <c r="AC19" s="91">
        <f>PRODUCT($AB$8:$AB19)</f>
        <v>0.99975524792955206</v>
      </c>
      <c r="AD19" s="97">
        <f ca="1">PV(1.03,20,-VaBenefits[[#This Row],[Protected Income Payment]])</f>
        <v>0</v>
      </c>
      <c r="AE19" s="130">
        <f ca="1">IF((AND(VaBenefits[[#This Row],[Is Anniversary?]],VaBenefits[[#This Row],[Assumed Contract Value ]]&lt;75000)),-50,0)</f>
        <v>0</v>
      </c>
      <c r="AF19" s="133">
        <f ca="1">VaBenefits[[#This Row],[Assumed Contract Value ]]*-1.15%/4</f>
        <v>-825.125</v>
      </c>
      <c r="AG19" s="129">
        <v>0</v>
      </c>
      <c r="AH19" s="131">
        <f ca="1">VaBenefits[[#This Row],[Maintenace Fee]]+VaBenefits[[#This Row],[Separate Account Charge]]+VaBenefits[[#This Row],[Rider Fee]]</f>
        <v>-825.125</v>
      </c>
      <c r="AI19" s="2"/>
      <c r="AJ19" s="39">
        <f t="shared" si="2"/>
        <v>5.5</v>
      </c>
      <c r="AK19" s="8">
        <f>VaBenefits[[#This Row],[Anniversary Value  ]]-AV19</f>
        <v>0</v>
      </c>
      <c r="AL19" s="8">
        <f ca="1">VaBenefits[[#This Row],[Income Base]]-AW19</f>
        <v>-19033</v>
      </c>
      <c r="AM19" s="8">
        <f ca="1">VaBenefits[[#This Row],[Income Credit Base]]-AX19</f>
        <v>287000</v>
      </c>
      <c r="AN19" s="8">
        <f ca="1">VaBenefits[[#This Row],[Income Credit]]-AY19</f>
        <v>0</v>
      </c>
      <c r="AO19" s="8">
        <f ca="1">VaBenefits[[#This Row],[Maximum Annual Withdrawal Amount upon Activation]]-AZ19</f>
        <v>-1189.5</v>
      </c>
      <c r="AP19" s="8">
        <f ca="1">VaBenefits[[#This Row],[Protected Income Payment]]-BA19</f>
        <v>0</v>
      </c>
      <c r="AQ19" s="2"/>
      <c r="AR19" s="21">
        <f t="shared" si="3"/>
        <v>5.5</v>
      </c>
      <c r="AS19" s="22">
        <v>0</v>
      </c>
      <c r="AT19" s="22">
        <v>24960</v>
      </c>
      <c r="AU19" s="22">
        <v>280000</v>
      </c>
      <c r="AV19" s="11">
        <v>0</v>
      </c>
      <c r="AW19" s="10">
        <v>306033</v>
      </c>
      <c r="AX19" s="5">
        <v>0</v>
      </c>
      <c r="AY19" s="5">
        <v>0</v>
      </c>
      <c r="AZ19" s="10">
        <v>19127</v>
      </c>
      <c r="BA19" s="13">
        <v>0</v>
      </c>
      <c r="BC19" s="9"/>
      <c r="BD19" s="9"/>
      <c r="BE19" s="9"/>
      <c r="BF19" s="9"/>
      <c r="BG19" s="9"/>
      <c r="BI19" s="4" t="s">
        <v>2</v>
      </c>
      <c r="BJ19" s="4">
        <v>306033</v>
      </c>
      <c r="BK19" s="4"/>
      <c r="BL19" s="4"/>
      <c r="BM19" s="4">
        <v>19127</v>
      </c>
      <c r="BN19" s="4">
        <v>0</v>
      </c>
    </row>
    <row r="20" spans="1:66" x14ac:dyDescent="0.3">
      <c r="A20" s="7">
        <f t="shared" si="0"/>
        <v>12</v>
      </c>
      <c r="B20" s="29">
        <f t="shared" si="1"/>
        <v>3</v>
      </c>
      <c r="C20" s="29" t="b">
        <f ca="1">AND(VaBenefits[[#This Row],[timeFromValuation]]&gt;=ACT,VaBenefits[[#This Row],[Assumed Contract Value ]]&gt;0)</f>
        <v>0</v>
      </c>
      <c r="D20" s="20">
        <f>IF(OR(RIGHT(B20,2)="25",RIGHT(B20,2)="75"),0,VLOOKUP(VaBenefits[[#This Row],[timeFromValuation]],$AR$8:$BA$30,2,FALSE))</f>
        <v>0</v>
      </c>
      <c r="E20" s="20">
        <f>IF(OR(RIGHT(B20,2)="25",RIGHT(B20,2)="75"),0,VLOOKUP(VaBenefits[[#This Row],[timeFromValuation]],$AR$8:$BA$30,3,FALSE))</f>
        <v>0</v>
      </c>
      <c r="F20" s="20">
        <f ca="1">IF(OR(RIGHT(B20,2)="25",RIGHT(B20,2)="75"),OFFSET(VaBenefits[[#This Row],[Assumed Contract Value ]],-1,0),VLOOKUP(VaBenefits[[#This Row],[timeFromValuation]],$AR$8:$BA$30,4,FALSE))</f>
        <v>300000</v>
      </c>
      <c r="G20" s="96">
        <f>ROUND($G$8+VaBenefits[[#This Row],[timeFromValuation]],0)</f>
        <v>58</v>
      </c>
      <c r="H20" s="20">
        <f>ROUND($H$8+VaBenefits[[#This Row],[timeFromValuation]],0)</f>
        <v>68</v>
      </c>
      <c r="I20" s="27" t="b">
        <f>VaBenefits[[#This Row],[Withdrawal Taken  ]]&gt;0</f>
        <v>0</v>
      </c>
      <c r="J20" s="41">
        <f ca="1">IF(AND(NOT(VaBenefits[[#This Row],[Is Activation]]),VaBenefits[[#This Row],[Assumed Contract Value ]]&gt;0),VaBenefits[[#This Row],[Withdrawal Taken  ]]/VaBenefits[[#This Row],[Assumed Contract Value ]],0)</f>
        <v>0</v>
      </c>
      <c r="K2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 s="27" t="b">
        <f ca="1">AND(VaBenefits[[#This Row],[Is Activation]],SUMIFS($E$8:$E20,$C$8:$C20,TRUE)&gt;0)</f>
        <v>0</v>
      </c>
      <c r="M2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 s="7" t="b">
        <f>IF(VaBenefits[[#This Row],[timeFromValuation]]=0,0, MOD(VaBenefits[[#This Row],[timeFromValuation]],1)=0)</f>
        <v>1</v>
      </c>
      <c r="O20" s="7">
        <f ca="1">IF(VaBenefits[[#This Row],[Is Anniversary?]]=TRUE,VaBenefits[[#This Row],[Assumed Contract Value ]],0)</f>
        <v>300000</v>
      </c>
      <c r="P20" s="7">
        <f ca="1">(IF(VaBenefits[[#This Row],[Is Anniversary?]], MAX(OFFSET(VaBenefits[[#This Row],[Income Base]],-1,0)+VaBenefits[[#This Row],[Income Credit]],VaBenefits[[#This Row],[Anniversary Value  ]]),OFFSET(VaBenefits[[#This Row],[Income Base]],-1,0))+VaBenefits[[#This Row],[Purchase Payments]])*VaBenefits[[#This Row],[Withdrawal Penalty]]</f>
        <v>302067.5</v>
      </c>
      <c r="Q20" s="7" t="b">
        <f ca="1">VaBenefits[[#This Row],[Assumed Contract Value ]]&lt;0.1</f>
        <v>0</v>
      </c>
      <c r="R2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300000</v>
      </c>
      <c r="S20" s="7">
        <f ca="1">IF(AND(VaBenefits[[#This Row],[Is Activation]]=FALSE,VaBenefits[[#This Row],[Is Anniversary?]]=TRUE),OFFSET( VaBenefits[[#This Row],[Income Credit Base]],-1,0)*ICP,0)</f>
        <v>15067.5</v>
      </c>
      <c r="T20" s="5">
        <f ca="1">IF(VaBenefits[[#This Row],[Assumed Contract Value ]]&gt;0,VaBenefits[[#This Row],[Income Base]]*MAWA,0)</f>
        <v>18879.21875</v>
      </c>
      <c r="U20" s="95">
        <f ca="1">IF(AND(VaBenefits[[#This Row],[Has Income Credit]],VaBenefits[[#This Row],[Is Anniversary?]],VaBenefits[[#This Row],[Joint Mortality tPxy for the partial year]]),VaBenefits[[#This Row],[Income Base]]*PIP,0)</f>
        <v>0</v>
      </c>
      <c r="V20" s="8">
        <f>1/(1+InterestRate)^VaBenefits[[#This Row],[timeFromValuation]]</f>
        <v>0.86383759853147601</v>
      </c>
      <c r="W20" s="90">
        <f>VaBenefits[[#This Row],[timeFromValuation]]</f>
        <v>3</v>
      </c>
      <c r="X20" s="91">
        <f>IF(($G$8+VaBenefits[[#This Row],[timeFromValuation]])&lt;=120,VLOOKUP(G20,Table2[],Qx!L$6,FALSE),0)</f>
        <v>0.99729999999999996</v>
      </c>
      <c r="Y20" s="91">
        <f>IF(($H$8+VaBenefits[[#This Row],[timeFromValuation]])&lt;=120,VLOOKUP(H20,Table2[],Qx!M$6,FALSE),0)</f>
        <v>0.99029199999999995</v>
      </c>
      <c r="Z20" s="91">
        <f>PRODUCT($X$8:$X20)</f>
        <v>0.97020529669969646</v>
      </c>
      <c r="AA20" s="91">
        <f>PRODUCT($Y$8:$Y20)</f>
        <v>0.89016086978643882</v>
      </c>
      <c r="AB20" s="91">
        <f>VaBenefits[[#This Row],[Primary Annuitant Px]]+VaBenefits[[#This Row],[Secondary Annuitant Py]]-VaBenefits[[#This Row],[Primary Annuitant Px]]*VaBenefits[[#This Row],[Secondary Annuitant Py]]</f>
        <v>0.99997378839999984</v>
      </c>
      <c r="AC20" s="91">
        <f>PRODUCT($AB$8:$AB20)</f>
        <v>0.99972904274489527</v>
      </c>
      <c r="AD20" s="97">
        <f ca="1">PV(1.03,20,-VaBenefits[[#This Row],[Protected Income Payment]])</f>
        <v>0</v>
      </c>
      <c r="AE20" s="130">
        <f ca="1">IF((AND(VaBenefits[[#This Row],[Is Anniversary?]],VaBenefits[[#This Row],[Assumed Contract Value ]]&lt;75000)),-50,0)</f>
        <v>0</v>
      </c>
      <c r="AF20" s="133">
        <f ca="1">VaBenefits[[#This Row],[Assumed Contract Value ]]*-1.15%/4</f>
        <v>-862.5</v>
      </c>
      <c r="AG20" s="129">
        <v>0</v>
      </c>
      <c r="AH20" s="131">
        <f ca="1">VaBenefits[[#This Row],[Maintenace Fee]]+VaBenefits[[#This Row],[Separate Account Charge]]+VaBenefits[[#This Row],[Rider Fee]]</f>
        <v>-862.5</v>
      </c>
      <c r="AI20" s="2"/>
      <c r="AJ20" s="39">
        <f t="shared" si="2"/>
        <v>6</v>
      </c>
      <c r="AK20" s="8">
        <f ca="1">VaBenefits[[#This Row],[Anniversary Value  ]]-AV20</f>
        <v>10000</v>
      </c>
      <c r="AL20" s="8">
        <f ca="1">VaBenefits[[#This Row],[Income Base]]-AW20</f>
        <v>-3965.5</v>
      </c>
      <c r="AM20" s="8">
        <f ca="1">VaBenefits[[#This Row],[Income Credit Base]]-AX20</f>
        <v>300000</v>
      </c>
      <c r="AN20" s="8">
        <f ca="1">VaBenefits[[#This Row],[Income Credit]]-AY20</f>
        <v>15067.5</v>
      </c>
      <c r="AO20" s="8">
        <f ca="1">VaBenefits[[#This Row],[Maximum Annual Withdrawal Amount upon Activation]]-AZ20</f>
        <v>-247.78125</v>
      </c>
      <c r="AP20" s="8">
        <f ca="1">VaBenefits[[#This Row],[Protected Income Payment]]-BA20</f>
        <v>0</v>
      </c>
      <c r="AQ20" s="2"/>
      <c r="AR20" s="21">
        <f t="shared" si="3"/>
        <v>6</v>
      </c>
      <c r="AS20" s="22">
        <v>0</v>
      </c>
      <c r="AT20" s="22">
        <v>0</v>
      </c>
      <c r="AU20" s="22">
        <v>290000</v>
      </c>
      <c r="AV20" s="11">
        <v>290000</v>
      </c>
      <c r="AW20" s="10">
        <v>306033</v>
      </c>
      <c r="AX20" s="5">
        <v>0</v>
      </c>
      <c r="AY20" s="5">
        <v>0</v>
      </c>
      <c r="AZ20" s="10">
        <v>19127</v>
      </c>
      <c r="BA20" s="13">
        <v>0</v>
      </c>
      <c r="BB20" s="9"/>
      <c r="BC20" s="9"/>
      <c r="BD20" s="9"/>
      <c r="BE20" s="9"/>
      <c r="BF20" s="9"/>
      <c r="BG20" s="9"/>
      <c r="BI20" s="4">
        <v>290000</v>
      </c>
      <c r="BJ20" s="4">
        <v>306033</v>
      </c>
      <c r="BK20" s="4"/>
      <c r="BL20" s="4"/>
      <c r="BM20" s="4">
        <v>19127</v>
      </c>
      <c r="BN20" s="4">
        <v>0</v>
      </c>
    </row>
    <row r="21" spans="1:66" x14ac:dyDescent="0.3">
      <c r="A21" s="7">
        <f t="shared" si="0"/>
        <v>13</v>
      </c>
      <c r="B21" s="29">
        <f t="shared" si="1"/>
        <v>3.25</v>
      </c>
      <c r="C21" s="29" t="b">
        <f ca="1">AND(VaBenefits[[#This Row],[timeFromValuation]]&gt;=ACT,VaBenefits[[#This Row],[Assumed Contract Value ]]&gt;0)</f>
        <v>0</v>
      </c>
      <c r="D21" s="20">
        <f>IF(OR(RIGHT(B21,2)="25",RIGHT(B21,2)="75"),0,VLOOKUP(VaBenefits[[#This Row],[timeFromValuation]],$AR$8:$BA$30,2,FALSE))</f>
        <v>0</v>
      </c>
      <c r="E21" s="20">
        <f>IF(OR(RIGHT(B21,2)="25",RIGHT(B21,2)="75"),0,VLOOKUP(VaBenefits[[#This Row],[timeFromValuation]],$AR$8:$BA$30,3,FALSE))</f>
        <v>0</v>
      </c>
      <c r="F21" s="20">
        <f ca="1">IF(OR(RIGHT(B21,2)="25",RIGHT(B21,2)="75"),OFFSET(VaBenefits[[#This Row],[Assumed Contract Value ]],-1,0),VLOOKUP(VaBenefits[[#This Row],[timeFromValuation]],$AR$8:$BA$30,4,FALSE))</f>
        <v>300000</v>
      </c>
      <c r="G21" s="96">
        <f>ROUND($G$8+VaBenefits[[#This Row],[timeFromValuation]],0)</f>
        <v>58</v>
      </c>
      <c r="H21" s="20">
        <f>ROUND($H$8+VaBenefits[[#This Row],[timeFromValuation]],0)</f>
        <v>68</v>
      </c>
      <c r="I21" s="27" t="b">
        <f>VaBenefits[[#This Row],[Withdrawal Taken  ]]&gt;0</f>
        <v>0</v>
      </c>
      <c r="J21" s="41">
        <f ca="1">IF(AND(NOT(VaBenefits[[#This Row],[Is Activation]]),VaBenefits[[#This Row],[Assumed Contract Value ]]&gt;0),VaBenefits[[#This Row],[Withdrawal Taken  ]]/VaBenefits[[#This Row],[Assumed Contract Value ]],0)</f>
        <v>0</v>
      </c>
      <c r="K2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 s="27" t="b">
        <f ca="1">AND(VaBenefits[[#This Row],[Is Activation]],SUMIFS($E$8:$E21,$C$8:$C21,TRUE)&gt;0)</f>
        <v>0</v>
      </c>
      <c r="M2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 s="7" t="b">
        <f>IF(VaBenefits[[#This Row],[timeFromValuation]]=0,0, MOD(VaBenefits[[#This Row],[timeFromValuation]],1)=0)</f>
        <v>0</v>
      </c>
      <c r="O21" s="7">
        <f>IF(VaBenefits[[#This Row],[Is Anniversary?]]=TRUE,VaBenefits[[#This Row],[Assumed Contract Value ]],0)</f>
        <v>0</v>
      </c>
      <c r="P21" s="7">
        <f ca="1">(IF(VaBenefits[[#This Row],[Is Anniversary?]], MAX(OFFSET(VaBenefits[[#This Row],[Income Base]],-1,0)+VaBenefits[[#This Row],[Income Credit]],VaBenefits[[#This Row],[Anniversary Value  ]]),OFFSET(VaBenefits[[#This Row],[Income Base]],-1,0))+VaBenefits[[#This Row],[Purchase Payments]])*VaBenefits[[#This Row],[Withdrawal Penalty]]</f>
        <v>302067.5</v>
      </c>
      <c r="Q21" s="7" t="b">
        <f ca="1">VaBenefits[[#This Row],[Assumed Contract Value ]]&lt;0.1</f>
        <v>0</v>
      </c>
      <c r="R2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300000</v>
      </c>
      <c r="S21" s="7">
        <f ca="1">IF(AND(VaBenefits[[#This Row],[Is Activation]]=FALSE,VaBenefits[[#This Row],[Is Anniversary?]]=TRUE),OFFSET( VaBenefits[[#This Row],[Income Credit Base]],-1,0)*ICP,0)</f>
        <v>0</v>
      </c>
      <c r="T21" s="5">
        <f ca="1">IF(VaBenefits[[#This Row],[Assumed Contract Value ]]&gt;0,VaBenefits[[#This Row],[Income Base]]*MAWA,0)</f>
        <v>18879.21875</v>
      </c>
      <c r="U21" s="95">
        <f ca="1">IF(AND(VaBenefits[[#This Row],[Has Income Credit]],VaBenefits[[#This Row],[Is Anniversary?]],VaBenefits[[#This Row],[Joint Mortality tPxy for the partial year]]),VaBenefits[[#This Row],[Income Base]]*PIP,0)</f>
        <v>0</v>
      </c>
      <c r="V21" s="8">
        <f>1/(1+InterestRate)^VaBenefits[[#This Row],[timeFromValuation]]</f>
        <v>0.85336490437151402</v>
      </c>
      <c r="W21" s="90">
        <f>VaBenefits[[#This Row],[timeFromValuation]]</f>
        <v>3.25</v>
      </c>
      <c r="X21" s="91">
        <f>IF(($G$8+VaBenefits[[#This Row],[timeFromValuation]])&lt;=120,VLOOKUP(G21,Table2[],Qx!L$6,FALSE),0)</f>
        <v>0.99729999999999996</v>
      </c>
      <c r="Y21" s="91">
        <f>IF(($H$8+VaBenefits[[#This Row],[timeFromValuation]])&lt;=120,VLOOKUP(H21,Table2[],Qx!M$6,FALSE),0)</f>
        <v>0.99029199999999995</v>
      </c>
      <c r="Z21" s="91">
        <f>PRODUCT($X$8:$X21)</f>
        <v>0.96758574239860728</v>
      </c>
      <c r="AA21" s="91">
        <f>PRODUCT($Y$8:$Y21)</f>
        <v>0.88151918806255203</v>
      </c>
      <c r="AB21" s="91">
        <f>VaBenefits[[#This Row],[Primary Annuitant Px]]+VaBenefits[[#This Row],[Secondary Annuitant Py]]-VaBenefits[[#This Row],[Primary Annuitant Px]]*VaBenefits[[#This Row],[Secondary Annuitant Py]]</f>
        <v>0.99997378839999984</v>
      </c>
      <c r="AC21" s="91">
        <f>PRODUCT($AB$8:$AB21)</f>
        <v>0.99970283824711825</v>
      </c>
      <c r="AD21" s="97">
        <f ca="1">PV(1.03,20,-VaBenefits[[#This Row],[Protected Income Payment]])</f>
        <v>0</v>
      </c>
      <c r="AE21" s="130">
        <f ca="1">IF((AND(VaBenefits[[#This Row],[Is Anniversary?]],VaBenefits[[#This Row],[Assumed Contract Value ]]&lt;75000)),-50,0)</f>
        <v>0</v>
      </c>
      <c r="AF21" s="133">
        <f ca="1">VaBenefits[[#This Row],[Assumed Contract Value ]]*-1.15%/4</f>
        <v>-862.5</v>
      </c>
      <c r="AG21" s="129">
        <v>0</v>
      </c>
      <c r="AH21" s="131">
        <f ca="1">VaBenefits[[#This Row],[Maintenace Fee]]+VaBenefits[[#This Row],[Separate Account Charge]]+VaBenefits[[#This Row],[Rider Fee]]</f>
        <v>-862.5</v>
      </c>
      <c r="AI21" s="2"/>
      <c r="AJ21" s="40">
        <f t="shared" si="2"/>
        <v>6.5</v>
      </c>
      <c r="AK21" s="8">
        <f>VaBenefits[[#This Row],[Anniversary Value  ]]-AV21</f>
        <v>0</v>
      </c>
      <c r="AL21" s="8">
        <f ca="1">VaBenefits[[#This Row],[Income Base]]-AW21</f>
        <v>2085.5</v>
      </c>
      <c r="AM21" s="8">
        <f ca="1">VaBenefits[[#This Row],[Income Credit Base]]-AX21</f>
        <v>300000</v>
      </c>
      <c r="AN21" s="8">
        <f ca="1">VaBenefits[[#This Row],[Income Credit]]-AY21</f>
        <v>0</v>
      </c>
      <c r="AO21" s="8">
        <f ca="1">VaBenefits[[#This Row],[Maximum Annual Withdrawal Amount upon Activation]]-AZ21</f>
        <v>130.21875</v>
      </c>
      <c r="AP21" s="8">
        <f ca="1">VaBenefits[[#This Row],[Protected Income Payment]]-BA21</f>
        <v>0</v>
      </c>
      <c r="AQ21" s="2"/>
      <c r="AR21" s="21">
        <f t="shared" si="3"/>
        <v>6.5</v>
      </c>
      <c r="AS21" s="22">
        <v>0</v>
      </c>
      <c r="AT21" s="22">
        <v>24483</v>
      </c>
      <c r="AU21" s="22">
        <v>260000</v>
      </c>
      <c r="AV21" s="11">
        <v>0</v>
      </c>
      <c r="AW21" s="10">
        <v>299982</v>
      </c>
      <c r="AX21" s="5">
        <v>0</v>
      </c>
      <c r="AY21" s="5">
        <v>0</v>
      </c>
      <c r="AZ21" s="10">
        <v>18749</v>
      </c>
      <c r="BA21" s="13">
        <v>0</v>
      </c>
      <c r="BB21" s="9"/>
      <c r="BC21" s="9"/>
      <c r="BD21" s="9"/>
      <c r="BE21" s="9"/>
      <c r="BF21" s="9"/>
      <c r="BG21" s="9"/>
      <c r="BI21" s="4" t="s">
        <v>2</v>
      </c>
      <c r="BJ21" s="4">
        <v>299982</v>
      </c>
      <c r="BK21" s="4"/>
      <c r="BL21" s="4"/>
      <c r="BM21" s="4">
        <v>18749</v>
      </c>
      <c r="BN21" s="4">
        <v>0</v>
      </c>
    </row>
    <row r="22" spans="1:66" x14ac:dyDescent="0.3">
      <c r="A22" s="7">
        <f t="shared" si="0"/>
        <v>14</v>
      </c>
      <c r="B22" s="29">
        <f t="shared" si="1"/>
        <v>3.5</v>
      </c>
      <c r="C22" s="29" t="b">
        <f ca="1">AND(VaBenefits[[#This Row],[timeFromValuation]]&gt;=ACT,VaBenefits[[#This Row],[Assumed Contract Value ]]&gt;0)</f>
        <v>0</v>
      </c>
      <c r="D22" s="20">
        <f>IF(OR(RIGHT(B22,2)="25",RIGHT(B22,2)="75"),0,VLOOKUP(VaBenefits[[#This Row],[timeFromValuation]],$AR$8:$BA$30,2,FALSE))</f>
        <v>0</v>
      </c>
      <c r="E22" s="20">
        <f>IF(OR(RIGHT(B22,2)="25",RIGHT(B22,2)="75"),0,VLOOKUP(VaBenefits[[#This Row],[timeFromValuation]],$AR$8:$BA$30,3,FALSE))</f>
        <v>5000</v>
      </c>
      <c r="F22" s="20">
        <f ca="1">IF(OR(RIGHT(B22,2)="25",RIGHT(B22,2)="75"),OFFSET(VaBenefits[[#This Row],[Assumed Contract Value ]],-1,0),VLOOKUP(VaBenefits[[#This Row],[timeFromValuation]],$AR$8:$BA$30,4,FALSE))</f>
        <v>305000</v>
      </c>
      <c r="G22" s="96">
        <f>ROUND($G$8+VaBenefits[[#This Row],[timeFromValuation]],0)</f>
        <v>59</v>
      </c>
      <c r="H22" s="20">
        <f>ROUND($H$8+VaBenefits[[#This Row],[timeFromValuation]],0)</f>
        <v>69</v>
      </c>
      <c r="I22" s="27" t="b">
        <f>VaBenefits[[#This Row],[Withdrawal Taken  ]]&gt;0</f>
        <v>1</v>
      </c>
      <c r="J22" s="41">
        <f ca="1">IF(AND(NOT(VaBenefits[[#This Row],[Is Activation]]),VaBenefits[[#This Row],[Assumed Contract Value ]]&gt;0),VaBenefits[[#This Row],[Withdrawal Taken  ]]/VaBenefits[[#This Row],[Assumed Contract Value ]],0)</f>
        <v>1.6393442622950821E-2</v>
      </c>
      <c r="K2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 s="27" t="b">
        <f ca="1">AND(VaBenefits[[#This Row],[Is Activation]],SUMIFS($E$8:$E22,$C$8:$C22,TRUE)&gt;0)</f>
        <v>0</v>
      </c>
      <c r="M2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0.98360655737704916</v>
      </c>
      <c r="N22" s="7" t="b">
        <f>IF(VaBenefits[[#This Row],[timeFromValuation]]=0,0, MOD(VaBenefits[[#This Row],[timeFromValuation]],1)=0)</f>
        <v>0</v>
      </c>
      <c r="O22" s="7">
        <f>IF(VaBenefits[[#This Row],[Is Anniversary?]]=TRUE,VaBenefits[[#This Row],[Assumed Contract Value ]],0)</f>
        <v>0</v>
      </c>
      <c r="P22" s="7">
        <f ca="1">(IF(VaBenefits[[#This Row],[Is Anniversary?]], MAX(OFFSET(VaBenefits[[#This Row],[Income Base]],-1,0)+VaBenefits[[#This Row],[Income Credit]],VaBenefits[[#This Row],[Anniversary Value  ]]),OFFSET(VaBenefits[[#This Row],[Income Base]],-1,0))+VaBenefits[[#This Row],[Purchase Payments]])*VaBenefits[[#This Row],[Withdrawal Penalty]]</f>
        <v>297115.57377049181</v>
      </c>
      <c r="Q22" s="7" t="b">
        <f ca="1">VaBenefits[[#This Row],[Assumed Contract Value ]]&lt;0.1</f>
        <v>0</v>
      </c>
      <c r="R2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295081.96721311472</v>
      </c>
      <c r="S22" s="7">
        <f ca="1">IF(AND(VaBenefits[[#This Row],[Is Activation]]=FALSE,VaBenefits[[#This Row],[Is Anniversary?]]=TRUE),OFFSET( VaBenefits[[#This Row],[Income Credit Base]],-1,0)*ICP,0)</f>
        <v>0</v>
      </c>
      <c r="T22" s="5">
        <f ca="1">IF(VaBenefits[[#This Row],[Assumed Contract Value ]]&gt;0,VaBenefits[[#This Row],[Income Base]]*MAWA,0)</f>
        <v>18569.723360655738</v>
      </c>
      <c r="U22" s="95">
        <f ca="1">IF(AND(VaBenefits[[#This Row],[Has Income Credit]],VaBenefits[[#This Row],[Is Anniversary?]],VaBenefits[[#This Row],[Joint Mortality tPxy for the partial year]]),VaBenefits[[#This Row],[Income Base]]*PIP,0)</f>
        <v>0</v>
      </c>
      <c r="V22" s="8">
        <f>1/(1+InterestRate)^VaBenefits[[#This Row],[timeFromValuation]]</f>
        <v>0.843019175422553</v>
      </c>
      <c r="W22" s="90">
        <f>VaBenefits[[#This Row],[timeFromValuation]]</f>
        <v>3.5</v>
      </c>
      <c r="X22" s="91">
        <f>IF(($G$8+VaBenefits[[#This Row],[timeFromValuation]])&lt;=120,VLOOKUP(G22,Table2[],Qx!L$6,FALSE),0)</f>
        <v>0.996946</v>
      </c>
      <c r="Y22" s="91">
        <f>IF(($H$8+VaBenefits[[#This Row],[timeFromValuation]])&lt;=120,VLOOKUP(H22,Table2[],Qx!M$6,FALSE),0)</f>
        <v>0.989537</v>
      </c>
      <c r="Z22" s="91">
        <f>PRODUCT($X$8:$X22)</f>
        <v>0.96463073554132195</v>
      </c>
      <c r="AA22" s="91">
        <f>PRODUCT($Y$8:$Y22)</f>
        <v>0.8722958527978536</v>
      </c>
      <c r="AB22" s="91">
        <f>VaBenefits[[#This Row],[Primary Annuitant Px]]+VaBenefits[[#This Row],[Secondary Annuitant Py]]-VaBenefits[[#This Row],[Primary Annuitant Px]]*VaBenefits[[#This Row],[Secondary Annuitant Py]]</f>
        <v>0.99996804599800004</v>
      </c>
      <c r="AC22" s="91">
        <f>PRODUCT($AB$8:$AB22)</f>
        <v>0.99967089374062557</v>
      </c>
      <c r="AD22" s="97">
        <f ca="1">PV(1.03,20,-VaBenefits[[#This Row],[Protected Income Payment]])</f>
        <v>0</v>
      </c>
      <c r="AE22" s="130">
        <f ca="1">IF((AND(VaBenefits[[#This Row],[Is Anniversary?]],VaBenefits[[#This Row],[Assumed Contract Value ]]&lt;75000)),-50,0)</f>
        <v>0</v>
      </c>
      <c r="AF22" s="133">
        <f ca="1">VaBenefits[[#This Row],[Assumed Contract Value ]]*-1.15%/4</f>
        <v>-876.875</v>
      </c>
      <c r="AG22" s="129">
        <v>0</v>
      </c>
      <c r="AH22" s="131">
        <f ca="1">VaBenefits[[#This Row],[Maintenace Fee]]+VaBenefits[[#This Row],[Separate Account Charge]]+VaBenefits[[#This Row],[Rider Fee]]</f>
        <v>-876.875</v>
      </c>
      <c r="AI22" s="2"/>
      <c r="AJ22" s="40">
        <f t="shared" si="2"/>
        <v>7</v>
      </c>
      <c r="AK22" s="8">
        <f>VaBenefits[[#This Row],[Anniversary Value  ]]-AV22</f>
        <v>-230000</v>
      </c>
      <c r="AL22" s="8">
        <f ca="1">VaBenefits[[#This Row],[Income Base]]-AW22</f>
        <v>-2866.4262295081862</v>
      </c>
      <c r="AM22" s="8">
        <f ca="1">VaBenefits[[#This Row],[Income Credit Base]]-AX22</f>
        <v>295081.96721311472</v>
      </c>
      <c r="AN22" s="8">
        <f ca="1">VaBenefits[[#This Row],[Income Credit]]-AY22</f>
        <v>0</v>
      </c>
      <c r="AO22" s="8">
        <f ca="1">VaBenefits[[#This Row],[Maximum Annual Withdrawal Amount upon Activation]]-AZ22</f>
        <v>-179.27663934426164</v>
      </c>
      <c r="AP22" s="8">
        <f ca="1">VaBenefits[[#This Row],[Protected Income Payment]]-BA22</f>
        <v>0</v>
      </c>
      <c r="AQ22" s="2"/>
      <c r="AR22" s="21">
        <f t="shared" si="3"/>
        <v>7</v>
      </c>
      <c r="AS22" s="22">
        <v>0</v>
      </c>
      <c r="AT22" s="22">
        <v>0</v>
      </c>
      <c r="AU22" s="22">
        <v>230000</v>
      </c>
      <c r="AV22" s="11">
        <v>230000</v>
      </c>
      <c r="AW22" s="10">
        <v>299982</v>
      </c>
      <c r="AX22" s="5">
        <v>0</v>
      </c>
      <c r="AY22" s="5">
        <v>0</v>
      </c>
      <c r="AZ22" s="10">
        <v>18749</v>
      </c>
      <c r="BA22" s="13">
        <v>0</v>
      </c>
      <c r="BB22" s="9"/>
      <c r="BC22" s="9"/>
      <c r="BD22" s="9"/>
      <c r="BE22" s="9"/>
      <c r="BF22" s="9"/>
      <c r="BG22" s="9"/>
      <c r="BI22" s="4">
        <v>230000</v>
      </c>
      <c r="BJ22" s="4">
        <v>299982</v>
      </c>
      <c r="BK22" s="4"/>
      <c r="BL22" s="4"/>
      <c r="BM22" s="4">
        <v>18749</v>
      </c>
      <c r="BN22" s="4">
        <v>0</v>
      </c>
    </row>
    <row r="23" spans="1:66" x14ac:dyDescent="0.3">
      <c r="A23" s="7">
        <f t="shared" si="0"/>
        <v>15</v>
      </c>
      <c r="B23" s="29">
        <f t="shared" si="1"/>
        <v>3.75</v>
      </c>
      <c r="C23" s="29" t="b">
        <f ca="1">AND(VaBenefits[[#This Row],[timeFromValuation]]&gt;=ACT,VaBenefits[[#This Row],[Assumed Contract Value ]]&gt;0)</f>
        <v>0</v>
      </c>
      <c r="D23" s="20">
        <f>IF(OR(RIGHT(B23,2)="25",RIGHT(B23,2)="75"),0,VLOOKUP(VaBenefits[[#This Row],[timeFromValuation]],$AR$8:$BA$30,2,FALSE))</f>
        <v>0</v>
      </c>
      <c r="E23" s="20">
        <f>IF(OR(RIGHT(B23,2)="25",RIGHT(B23,2)="75"),0,VLOOKUP(VaBenefits[[#This Row],[timeFromValuation]],$AR$8:$BA$30,3,FALSE))</f>
        <v>0</v>
      </c>
      <c r="F23" s="20">
        <f ca="1">IF(OR(RIGHT(B23,2)="25",RIGHT(B23,2)="75"),OFFSET(VaBenefits[[#This Row],[Assumed Contract Value ]],-1,0),VLOOKUP(VaBenefits[[#This Row],[timeFromValuation]],$AR$8:$BA$30,4,FALSE))</f>
        <v>305000</v>
      </c>
      <c r="G23" s="96">
        <f>ROUND($G$8+VaBenefits[[#This Row],[timeFromValuation]],0)</f>
        <v>59</v>
      </c>
      <c r="H23" s="20">
        <f>ROUND($H$8+VaBenefits[[#This Row],[timeFromValuation]],0)</f>
        <v>69</v>
      </c>
      <c r="I23" s="27" t="b">
        <f>VaBenefits[[#This Row],[Withdrawal Taken  ]]&gt;0</f>
        <v>0</v>
      </c>
      <c r="J23" s="41">
        <f ca="1">IF(AND(NOT(VaBenefits[[#This Row],[Is Activation]]),VaBenefits[[#This Row],[Assumed Contract Value ]]&gt;0),VaBenefits[[#This Row],[Withdrawal Taken  ]]/VaBenefits[[#This Row],[Assumed Contract Value ]],0)</f>
        <v>0</v>
      </c>
      <c r="K2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 s="27" t="b">
        <f ca="1">AND(VaBenefits[[#This Row],[Is Activation]],SUMIFS($E$8:$E23,$C$8:$C23,TRUE)&gt;0)</f>
        <v>0</v>
      </c>
      <c r="M2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 s="7" t="b">
        <f>IF(VaBenefits[[#This Row],[timeFromValuation]]=0,0, MOD(VaBenefits[[#This Row],[timeFromValuation]],1)=0)</f>
        <v>0</v>
      </c>
      <c r="O23" s="7">
        <f>IF(VaBenefits[[#This Row],[Is Anniversary?]]=TRUE,VaBenefits[[#This Row],[Assumed Contract Value ]],0)</f>
        <v>0</v>
      </c>
      <c r="P23" s="7">
        <f ca="1">(IF(VaBenefits[[#This Row],[Is Anniversary?]], MAX(OFFSET(VaBenefits[[#This Row],[Income Base]],-1,0)+VaBenefits[[#This Row],[Income Credit]],VaBenefits[[#This Row],[Anniversary Value  ]]),OFFSET(VaBenefits[[#This Row],[Income Base]],-1,0))+VaBenefits[[#This Row],[Purchase Payments]])*VaBenefits[[#This Row],[Withdrawal Penalty]]</f>
        <v>297115.57377049181</v>
      </c>
      <c r="Q23" s="7" t="b">
        <f ca="1">VaBenefits[[#This Row],[Assumed Contract Value ]]&lt;0.1</f>
        <v>0</v>
      </c>
      <c r="R2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295081.96721311472</v>
      </c>
      <c r="S23" s="7">
        <f ca="1">IF(AND(VaBenefits[[#This Row],[Is Activation]]=FALSE,VaBenefits[[#This Row],[Is Anniversary?]]=TRUE),OFFSET( VaBenefits[[#This Row],[Income Credit Base]],-1,0)*ICP,0)</f>
        <v>0</v>
      </c>
      <c r="T23" s="5">
        <f ca="1">IF(VaBenefits[[#This Row],[Assumed Contract Value ]]&gt;0,VaBenefits[[#This Row],[Income Base]]*MAWA,0)</f>
        <v>18569.723360655738</v>
      </c>
      <c r="U23" s="95">
        <f ca="1">IF(AND(VaBenefits[[#This Row],[Has Income Credit]],VaBenefits[[#This Row],[Is Anniversary?]],VaBenefits[[#This Row],[Joint Mortality tPxy for the partial year]]),VaBenefits[[#This Row],[Income Base]]*PIP,0)</f>
        <v>0</v>
      </c>
      <c r="V23" s="8">
        <f>1/(1+InterestRate)^VaBenefits[[#This Row],[timeFromValuation]]</f>
        <v>0.83279887242787853</v>
      </c>
      <c r="W23" s="90">
        <f>VaBenefits[[#This Row],[timeFromValuation]]</f>
        <v>3.75</v>
      </c>
      <c r="X23" s="91">
        <f>IF(($G$8+VaBenefits[[#This Row],[timeFromValuation]])&lt;=120,VLOOKUP(G23,Table2[],Qx!L$6,FALSE),0)</f>
        <v>0.996946</v>
      </c>
      <c r="Y23" s="91">
        <f>IF(($H$8+VaBenefits[[#This Row],[timeFromValuation]])&lt;=120,VLOOKUP(H23,Table2[],Qx!M$6,FALSE),0)</f>
        <v>0.989537</v>
      </c>
      <c r="Z23" s="91">
        <f>PRODUCT($X$8:$X23)</f>
        <v>0.96168475327497871</v>
      </c>
      <c r="AA23" s="91">
        <f>PRODUCT($Y$8:$Y23)</f>
        <v>0.8631690212900297</v>
      </c>
      <c r="AB23" s="91">
        <f>VaBenefits[[#This Row],[Primary Annuitant Px]]+VaBenefits[[#This Row],[Secondary Annuitant Py]]-VaBenefits[[#This Row],[Primary Annuitant Px]]*VaBenefits[[#This Row],[Secondary Annuitant Py]]</f>
        <v>0.99996804599800004</v>
      </c>
      <c r="AC23" s="91">
        <f>PRODUCT($AB$8:$AB23)</f>
        <v>0.99963895025488769</v>
      </c>
      <c r="AD23" s="97">
        <f ca="1">PV(1.03,20,-VaBenefits[[#This Row],[Protected Income Payment]])</f>
        <v>0</v>
      </c>
      <c r="AE23" s="130">
        <f ca="1">IF((AND(VaBenefits[[#This Row],[Is Anniversary?]],VaBenefits[[#This Row],[Assumed Contract Value ]]&lt;75000)),-50,0)</f>
        <v>0</v>
      </c>
      <c r="AF23" s="133">
        <f ca="1">VaBenefits[[#This Row],[Assumed Contract Value ]]*-1.15%/4</f>
        <v>-876.875</v>
      </c>
      <c r="AG23" s="129">
        <v>0</v>
      </c>
      <c r="AH23" s="131">
        <f ca="1">VaBenefits[[#This Row],[Maintenace Fee]]+VaBenefits[[#This Row],[Separate Account Charge]]+VaBenefits[[#This Row],[Rider Fee]]</f>
        <v>-876.875</v>
      </c>
      <c r="AI23" s="2"/>
      <c r="AJ23" s="40">
        <f t="shared" si="2"/>
        <v>7.5</v>
      </c>
      <c r="AK23" s="8">
        <f>VaBenefits[[#This Row],[Anniversary Value  ]]-AV23</f>
        <v>0</v>
      </c>
      <c r="AL23" s="8">
        <f ca="1">VaBenefits[[#This Row],[Income Base]]-AW23</f>
        <v>-2866.4262295081862</v>
      </c>
      <c r="AM23" s="8">
        <f ca="1">VaBenefits[[#This Row],[Income Credit Base]]-AX23</f>
        <v>295081.96721311472</v>
      </c>
      <c r="AN23" s="8">
        <f ca="1">VaBenefits[[#This Row],[Income Credit]]-AY23</f>
        <v>0</v>
      </c>
      <c r="AO23" s="8">
        <f ca="1">VaBenefits[[#This Row],[Maximum Annual Withdrawal Amount upon Activation]]-AZ23</f>
        <v>-179.27663934426164</v>
      </c>
      <c r="AP23" s="8">
        <f ca="1">VaBenefits[[#This Row],[Protected Income Payment]]-BA23</f>
        <v>0</v>
      </c>
      <c r="AQ23" s="2"/>
      <c r="AR23" s="21">
        <f t="shared" si="3"/>
        <v>7.5</v>
      </c>
      <c r="AS23" s="22">
        <v>0</v>
      </c>
      <c r="AT23" s="22">
        <v>0</v>
      </c>
      <c r="AU23" s="22">
        <v>230000</v>
      </c>
      <c r="AV23" s="12">
        <v>0</v>
      </c>
      <c r="AW23" s="10">
        <v>299982</v>
      </c>
      <c r="AX23" s="5">
        <v>0</v>
      </c>
      <c r="AY23" s="5">
        <v>0</v>
      </c>
      <c r="AZ23" s="10">
        <v>18749</v>
      </c>
      <c r="BA23" s="13">
        <v>0</v>
      </c>
      <c r="BB23" s="9"/>
      <c r="BC23" s="9"/>
      <c r="BD23" s="9"/>
      <c r="BE23" s="9"/>
      <c r="BF23" s="9"/>
      <c r="BG23" s="9"/>
      <c r="BI23" s="4">
        <v>150000</v>
      </c>
      <c r="BJ23" s="4">
        <v>299982</v>
      </c>
      <c r="BK23" s="4"/>
      <c r="BL23" s="4"/>
      <c r="BM23" s="4">
        <v>18749</v>
      </c>
      <c r="BN23" s="4">
        <v>0</v>
      </c>
    </row>
    <row r="24" spans="1:66" x14ac:dyDescent="0.3">
      <c r="A24" s="7">
        <f t="shared" si="0"/>
        <v>16</v>
      </c>
      <c r="B24" s="29">
        <f t="shared" si="1"/>
        <v>4</v>
      </c>
      <c r="C24" s="29" t="b">
        <f ca="1">AND(VaBenefits[[#This Row],[timeFromValuation]]&gt;=ACT,VaBenefits[[#This Row],[Assumed Contract Value ]]&gt;0)</f>
        <v>0</v>
      </c>
      <c r="D24" s="20">
        <f>IF(OR(RIGHT(B24,2)="25",RIGHT(B24,2)="75"),0,VLOOKUP(VaBenefits[[#This Row],[timeFromValuation]],$AR$8:$BA$30,2,FALSE))</f>
        <v>0</v>
      </c>
      <c r="E24" s="20">
        <f>IF(OR(RIGHT(B24,2)="25",RIGHT(B24,2)="75"),0,VLOOKUP(VaBenefits[[#This Row],[timeFromValuation]],$AR$8:$BA$30,3,FALSE))</f>
        <v>0</v>
      </c>
      <c r="F24" s="20">
        <f ca="1">IF(OR(RIGHT(B24,2)="25",RIGHT(B24,2)="75"),OFFSET(VaBenefits[[#This Row],[Assumed Contract Value ]],-1,0),VLOOKUP(VaBenefits[[#This Row],[timeFromValuation]],$AR$8:$BA$30,4,FALSE))</f>
        <v>312000</v>
      </c>
      <c r="G24" s="96">
        <f>ROUND($G$8+VaBenefits[[#This Row],[timeFromValuation]],0)</f>
        <v>59</v>
      </c>
      <c r="H24" s="20">
        <f>ROUND($H$8+VaBenefits[[#This Row],[timeFromValuation]],0)</f>
        <v>69</v>
      </c>
      <c r="I24" s="27" t="b">
        <f>VaBenefits[[#This Row],[Withdrawal Taken  ]]&gt;0</f>
        <v>0</v>
      </c>
      <c r="J24" s="41">
        <f ca="1">IF(AND(NOT(VaBenefits[[#This Row],[Is Activation]]),VaBenefits[[#This Row],[Assumed Contract Value ]]&gt;0),VaBenefits[[#This Row],[Withdrawal Taken  ]]/VaBenefits[[#This Row],[Assumed Contract Value ]],0)</f>
        <v>0</v>
      </c>
      <c r="K2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 s="27" t="b">
        <f ca="1">AND(VaBenefits[[#This Row],[Is Activation]],SUMIFS($E$8:$E24,$C$8:$C24,TRUE)&gt;0)</f>
        <v>0</v>
      </c>
      <c r="M2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 s="7" t="b">
        <f>IF(VaBenefits[[#This Row],[timeFromValuation]]=0,0, MOD(VaBenefits[[#This Row],[timeFromValuation]],1)=0)</f>
        <v>1</v>
      </c>
      <c r="O24" s="7">
        <f ca="1">IF(VaBenefits[[#This Row],[Is Anniversary?]]=TRUE,VaBenefits[[#This Row],[Assumed Contract Value ]],0)</f>
        <v>312000</v>
      </c>
      <c r="P24"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Q24" s="7" t="b">
        <f ca="1">VaBenefits[[#This Row],[Assumed Contract Value ]]&lt;0.1</f>
        <v>0</v>
      </c>
      <c r="R2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312000</v>
      </c>
      <c r="S24" s="7">
        <f ca="1">IF(AND(VaBenefits[[#This Row],[Is Activation]]=FALSE,VaBenefits[[#This Row],[Is Anniversary?]]=TRUE),OFFSET( VaBenefits[[#This Row],[Income Credit Base]],-1,0)*ICP,0)</f>
        <v>15491.803278688523</v>
      </c>
      <c r="T24" s="5">
        <f ca="1">IF(VaBenefits[[#This Row],[Assumed Contract Value ]]&gt;0,VaBenefits[[#This Row],[Income Base]]*MAWA,0)</f>
        <v>19537.961065573771</v>
      </c>
      <c r="U24" s="95">
        <f ca="1">IF(AND(VaBenefits[[#This Row],[Has Income Credit]],VaBenefits[[#This Row],[Is Anniversary?]],VaBenefits[[#This Row],[Joint Mortality tPxy for the partial year]]),VaBenefits[[#This Row],[Income Base]]*PIP,0)</f>
        <v>0</v>
      </c>
      <c r="V24" s="8">
        <f>1/(1+InterestRate)^VaBenefits[[#This Row],[timeFromValuation]]</f>
        <v>0.82270247479188197</v>
      </c>
      <c r="W24" s="90">
        <f>VaBenefits[[#This Row],[timeFromValuation]]</f>
        <v>4</v>
      </c>
      <c r="X24" s="91">
        <f>IF(($G$8+VaBenefits[[#This Row],[timeFromValuation]])&lt;=120,VLOOKUP(G24,Table2[],Qx!L$6,FALSE),0)</f>
        <v>0.996946</v>
      </c>
      <c r="Y24" s="91">
        <f>IF(($H$8+VaBenefits[[#This Row],[timeFromValuation]])&lt;=120,VLOOKUP(H24,Table2[],Qx!M$6,FALSE),0)</f>
        <v>0.989537</v>
      </c>
      <c r="Z24" s="91">
        <f>PRODUCT($X$8:$X24)</f>
        <v>0.95874776803847694</v>
      </c>
      <c r="AA24" s="91">
        <f>PRODUCT($Y$8:$Y24)</f>
        <v>0.85413768382027211</v>
      </c>
      <c r="AB24" s="91">
        <f>VaBenefits[[#This Row],[Primary Annuitant Px]]+VaBenefits[[#This Row],[Secondary Annuitant Py]]-VaBenefits[[#This Row],[Primary Annuitant Px]]*VaBenefits[[#This Row],[Secondary Annuitant Py]]</f>
        <v>0.99996804599800004</v>
      </c>
      <c r="AC24" s="91">
        <f>PRODUCT($AB$8:$AB24)</f>
        <v>0.99960700778987199</v>
      </c>
      <c r="AD24" s="97">
        <f ca="1">PV(1.03,20,-VaBenefits[[#This Row],[Protected Income Payment]])</f>
        <v>0</v>
      </c>
      <c r="AE24" s="130">
        <f ca="1">IF((AND(VaBenefits[[#This Row],[Is Anniversary?]],VaBenefits[[#This Row],[Assumed Contract Value ]]&lt;75000)),-50,0)</f>
        <v>0</v>
      </c>
      <c r="AF24" s="133">
        <f ca="1">VaBenefits[[#This Row],[Assumed Contract Value ]]*-1.15%/4</f>
        <v>-897</v>
      </c>
      <c r="AG24" s="129">
        <v>0</v>
      </c>
      <c r="AH24" s="131">
        <f ca="1">VaBenefits[[#This Row],[Maintenace Fee]]+VaBenefits[[#This Row],[Separate Account Charge]]+VaBenefits[[#This Row],[Rider Fee]]</f>
        <v>-897</v>
      </c>
      <c r="AI24" s="2"/>
      <c r="AJ24" s="40">
        <f t="shared" si="2"/>
        <v>8</v>
      </c>
      <c r="AK24" s="8">
        <f ca="1">VaBenefits[[#This Row],[Anniversary Value  ]]-AV24</f>
        <v>162000</v>
      </c>
      <c r="AL24" s="8">
        <f ca="1">VaBenefits[[#This Row],[Income Base]]-AW24</f>
        <v>12625.37704918033</v>
      </c>
      <c r="AM24" s="8">
        <f ca="1">VaBenefits[[#This Row],[Income Credit Base]]-AX24</f>
        <v>312000</v>
      </c>
      <c r="AN24" s="8">
        <f ca="1">VaBenefits[[#This Row],[Income Credit]]-AY24</f>
        <v>15491.803278688523</v>
      </c>
      <c r="AO24" s="8">
        <f ca="1">VaBenefits[[#This Row],[Maximum Annual Withdrawal Amount upon Activation]]-AZ24</f>
        <v>788.96106557377061</v>
      </c>
      <c r="AP24" s="8">
        <f ca="1">VaBenefits[[#This Row],[Protected Income Payment]]-BA24</f>
        <v>0</v>
      </c>
      <c r="AQ24" s="2"/>
      <c r="AR24" s="21">
        <f t="shared" si="3"/>
        <v>8</v>
      </c>
      <c r="AS24" s="22">
        <v>0</v>
      </c>
      <c r="AT24" s="22">
        <v>0</v>
      </c>
      <c r="AU24" s="22">
        <v>150000</v>
      </c>
      <c r="AV24" s="11">
        <v>150000</v>
      </c>
      <c r="AW24" s="10">
        <v>299982</v>
      </c>
      <c r="AX24" s="5">
        <v>0</v>
      </c>
      <c r="AY24" s="5">
        <v>0</v>
      </c>
      <c r="AZ24" s="10">
        <v>18749</v>
      </c>
      <c r="BA24" s="13">
        <v>0</v>
      </c>
      <c r="BB24" s="9"/>
      <c r="BC24" s="9"/>
      <c r="BD24" s="9"/>
      <c r="BE24" s="9"/>
      <c r="BF24" s="9"/>
      <c r="BG24" s="9"/>
      <c r="BI24" s="4">
        <f>BI23</f>
        <v>150000</v>
      </c>
      <c r="BJ24" s="4">
        <f t="shared" ref="BJ24:BM24" si="5">BJ23</f>
        <v>299982</v>
      </c>
      <c r="BK24" s="4">
        <f t="shared" si="5"/>
        <v>0</v>
      </c>
      <c r="BL24" s="4">
        <f t="shared" si="5"/>
        <v>0</v>
      </c>
      <c r="BM24" s="4">
        <f t="shared" si="5"/>
        <v>18749</v>
      </c>
      <c r="BN24" s="4">
        <v>0</v>
      </c>
    </row>
    <row r="25" spans="1:66" x14ac:dyDescent="0.3">
      <c r="A25" s="7">
        <f t="shared" si="0"/>
        <v>17</v>
      </c>
      <c r="B25" s="29">
        <f t="shared" si="1"/>
        <v>4.25</v>
      </c>
      <c r="C25" s="29" t="b">
        <f ca="1">AND(VaBenefits[[#This Row],[timeFromValuation]]&gt;=ACT,VaBenefits[[#This Row],[Assumed Contract Value ]]&gt;0)</f>
        <v>0</v>
      </c>
      <c r="D25" s="20">
        <f>IF(OR(RIGHT(B25,2)="25",RIGHT(B25,2)="75"),0,VLOOKUP(VaBenefits[[#This Row],[timeFromValuation]],$AR$8:$BA$30,2,FALSE))</f>
        <v>0</v>
      </c>
      <c r="E25" s="20">
        <f>IF(OR(RIGHT(B25,2)="25",RIGHT(B25,2)="75"),0,VLOOKUP(VaBenefits[[#This Row],[timeFromValuation]],$AR$8:$BA$30,3,FALSE))</f>
        <v>0</v>
      </c>
      <c r="F25" s="20">
        <f ca="1">IF(OR(RIGHT(B25,2)="25",RIGHT(B25,2)="75"),OFFSET(VaBenefits[[#This Row],[Assumed Contract Value ]],-1,0),VLOOKUP(VaBenefits[[#This Row],[timeFromValuation]],$AR$8:$BA$30,4,FALSE))</f>
        <v>312000</v>
      </c>
      <c r="G25" s="96">
        <f>ROUND($G$8+VaBenefits[[#This Row],[timeFromValuation]],0)</f>
        <v>59</v>
      </c>
      <c r="H25" s="20">
        <f>ROUND($H$8+VaBenefits[[#This Row],[timeFromValuation]],0)</f>
        <v>69</v>
      </c>
      <c r="I25" s="27" t="b">
        <f>VaBenefits[[#This Row],[Withdrawal Taken  ]]&gt;0</f>
        <v>0</v>
      </c>
      <c r="J25" s="41">
        <f ca="1">IF(AND(NOT(VaBenefits[[#This Row],[Is Activation]]),VaBenefits[[#This Row],[Assumed Contract Value ]]&gt;0),VaBenefits[[#This Row],[Withdrawal Taken  ]]/VaBenefits[[#This Row],[Assumed Contract Value ]],0)</f>
        <v>0</v>
      </c>
      <c r="K2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 s="27" t="b">
        <f ca="1">AND(VaBenefits[[#This Row],[Is Activation]],SUMIFS($E$8:$E25,$C$8:$C25,TRUE)&gt;0)</f>
        <v>0</v>
      </c>
      <c r="M2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 s="7" t="b">
        <f>IF(VaBenefits[[#This Row],[timeFromValuation]]=0,0, MOD(VaBenefits[[#This Row],[timeFromValuation]],1)=0)</f>
        <v>0</v>
      </c>
      <c r="O25" s="7">
        <f>IF(VaBenefits[[#This Row],[Is Anniversary?]]=TRUE,VaBenefits[[#This Row],[Assumed Contract Value ]],0)</f>
        <v>0</v>
      </c>
      <c r="P25"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Q25" s="7" t="b">
        <f ca="1">VaBenefits[[#This Row],[Assumed Contract Value ]]&lt;0.1</f>
        <v>0</v>
      </c>
      <c r="R2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312000</v>
      </c>
      <c r="S25" s="7">
        <f ca="1">IF(AND(VaBenefits[[#This Row],[Is Activation]]=FALSE,VaBenefits[[#This Row],[Is Anniversary?]]=TRUE),OFFSET( VaBenefits[[#This Row],[Income Credit Base]],-1,0)*ICP,0)</f>
        <v>0</v>
      </c>
      <c r="T25" s="5">
        <f ca="1">IF(VaBenefits[[#This Row],[Assumed Contract Value ]]&gt;0,VaBenefits[[#This Row],[Income Base]]*MAWA,0)</f>
        <v>19537.961065573771</v>
      </c>
      <c r="U25" s="95">
        <f ca="1">IF(AND(VaBenefits[[#This Row],[Has Income Credit]],VaBenefits[[#This Row],[Is Anniversary?]],VaBenefits[[#This Row],[Joint Mortality tPxy for the partial year]]),VaBenefits[[#This Row],[Income Base]]*PIP,0)</f>
        <v>0</v>
      </c>
      <c r="V25" s="8">
        <f>1/(1+InterestRate)^VaBenefits[[#This Row],[timeFromValuation]]</f>
        <v>0.81272848035382284</v>
      </c>
      <c r="W25" s="90">
        <f>VaBenefits[[#This Row],[timeFromValuation]]</f>
        <v>4.25</v>
      </c>
      <c r="X25" s="91">
        <f>IF(($G$8+VaBenefits[[#This Row],[timeFromValuation]])&lt;=120,VLOOKUP(G25,Table2[],Qx!L$6,FALSE),0)</f>
        <v>0.996946</v>
      </c>
      <c r="Y25" s="91">
        <f>IF(($H$8+VaBenefits[[#This Row],[timeFromValuation]])&lt;=120,VLOOKUP(H25,Table2[],Qx!M$6,FALSE),0)</f>
        <v>0.989537</v>
      </c>
      <c r="Z25" s="91">
        <f>PRODUCT($X$8:$X25)</f>
        <v>0.95581975235488748</v>
      </c>
      <c r="AA25" s="91">
        <f>PRODUCT($Y$8:$Y25)</f>
        <v>0.8452008412344606</v>
      </c>
      <c r="AB25" s="91">
        <f>VaBenefits[[#This Row],[Primary Annuitant Px]]+VaBenefits[[#This Row],[Secondary Annuitant Py]]-VaBenefits[[#This Row],[Primary Annuitant Px]]*VaBenefits[[#This Row],[Secondary Annuitant Py]]</f>
        <v>0.99996804599800004</v>
      </c>
      <c r="AC25" s="91">
        <f>PRODUCT($AB$8:$AB25)</f>
        <v>0.99957506634554594</v>
      </c>
      <c r="AD25" s="97">
        <f ca="1">PV(1.03,20,-VaBenefits[[#This Row],[Protected Income Payment]])</f>
        <v>0</v>
      </c>
      <c r="AE25" s="130">
        <f ca="1">IF((AND(VaBenefits[[#This Row],[Is Anniversary?]],VaBenefits[[#This Row],[Assumed Contract Value ]]&lt;75000)),-50,0)</f>
        <v>0</v>
      </c>
      <c r="AF25" s="133">
        <f ca="1">VaBenefits[[#This Row],[Assumed Contract Value ]]*-1.15%/4</f>
        <v>-897</v>
      </c>
      <c r="AG25" s="129">
        <v>0</v>
      </c>
      <c r="AH25" s="131">
        <f ca="1">VaBenefits[[#This Row],[Maintenace Fee]]+VaBenefits[[#This Row],[Separate Account Charge]]+VaBenefits[[#This Row],[Rider Fee]]</f>
        <v>-897</v>
      </c>
      <c r="AI25" s="2"/>
      <c r="AJ25" s="40">
        <f t="shared" si="2"/>
        <v>8.5</v>
      </c>
      <c r="AK25" s="8">
        <f>VaBenefits[[#This Row],[Anniversary Value  ]]-AV25</f>
        <v>0</v>
      </c>
      <c r="AL25" s="8">
        <f ca="1">VaBenefits[[#This Row],[Income Base]]-AW25</f>
        <v>12625.37704918033</v>
      </c>
      <c r="AM25" s="8">
        <f ca="1">VaBenefits[[#This Row],[Income Credit Base]]-AX25</f>
        <v>312000</v>
      </c>
      <c r="AN25" s="8">
        <f ca="1">VaBenefits[[#This Row],[Income Credit]]-AY25</f>
        <v>0</v>
      </c>
      <c r="AO25" s="8">
        <f ca="1">VaBenefits[[#This Row],[Maximum Annual Withdrawal Amount upon Activation]]-AZ25</f>
        <v>788.96106557377061</v>
      </c>
      <c r="AP25" s="8">
        <f ca="1">VaBenefits[[#This Row],[Protected Income Payment]]-BA25</f>
        <v>0</v>
      </c>
      <c r="AQ25" s="2"/>
      <c r="AR25" s="21">
        <f t="shared" si="3"/>
        <v>8.5</v>
      </c>
      <c r="AS25" s="22">
        <v>0</v>
      </c>
      <c r="AT25" s="22">
        <v>0</v>
      </c>
      <c r="AU25" s="22">
        <v>150000</v>
      </c>
      <c r="AV25" s="12">
        <v>0</v>
      </c>
      <c r="AW25" s="10">
        <v>299982</v>
      </c>
      <c r="AX25" s="5">
        <v>0</v>
      </c>
      <c r="AY25" s="5">
        <v>0</v>
      </c>
      <c r="AZ25" s="10">
        <v>18749</v>
      </c>
      <c r="BA25" s="13">
        <v>0</v>
      </c>
      <c r="BB25" s="9"/>
      <c r="BC25" s="9"/>
      <c r="BD25" s="9"/>
      <c r="BE25" s="9"/>
      <c r="BF25" s="9"/>
      <c r="BG25" s="9"/>
      <c r="BI25" s="4">
        <v>100000</v>
      </c>
      <c r="BJ25" s="4">
        <v>299982</v>
      </c>
      <c r="BK25" s="4"/>
      <c r="BL25" s="4"/>
      <c r="BM25" s="4">
        <v>18749</v>
      </c>
      <c r="BN25" s="4">
        <v>0</v>
      </c>
    </row>
    <row r="26" spans="1:66" x14ac:dyDescent="0.3">
      <c r="A26" s="7">
        <f t="shared" si="0"/>
        <v>18</v>
      </c>
      <c r="B26" s="29">
        <f t="shared" si="1"/>
        <v>4.5</v>
      </c>
      <c r="C26" s="29" t="b">
        <f ca="1">AND(VaBenefits[[#This Row],[timeFromValuation]]&gt;=ACT,VaBenefits[[#This Row],[Assumed Contract Value ]]&gt;0)</f>
        <v>1</v>
      </c>
      <c r="D26" s="20">
        <f>IF(OR(RIGHT(B26,2)="25",RIGHT(B26,2)="75"),0,VLOOKUP(VaBenefits[[#This Row],[timeFromValuation]],$AR$8:$BA$30,2,FALSE))</f>
        <v>0</v>
      </c>
      <c r="E26" s="20">
        <f>IF(OR(RIGHT(B26,2)="25",RIGHT(B26,2)="75"),0,VLOOKUP(VaBenefits[[#This Row],[timeFromValuation]],$AR$8:$BA$30,3,FALSE))</f>
        <v>19500</v>
      </c>
      <c r="F26" s="20">
        <f ca="1">IF(OR(RIGHT(B26,2)="25",RIGHT(B26,2)="75"),OFFSET(VaBenefits[[#This Row],[Assumed Contract Value ]],-1,0),VLOOKUP(VaBenefits[[#This Row],[timeFromValuation]],$AR$8:$BA$30,4,FALSE))</f>
        <v>302000</v>
      </c>
      <c r="G26" s="96">
        <f>ROUND($G$8+VaBenefits[[#This Row],[timeFromValuation]],0)</f>
        <v>60</v>
      </c>
      <c r="H26" s="20">
        <f>ROUND($H$8+VaBenefits[[#This Row],[timeFromValuation]],0)</f>
        <v>70</v>
      </c>
      <c r="I26" s="27" t="b">
        <f>VaBenefits[[#This Row],[Withdrawal Taken  ]]&gt;0</f>
        <v>1</v>
      </c>
      <c r="J26" s="41">
        <f ca="1">IF(AND(NOT(VaBenefits[[#This Row],[Is Activation]]),VaBenefits[[#This Row],[Assumed Contract Value ]]&gt;0),VaBenefits[[#This Row],[Withdrawal Taken  ]]/VaBenefits[[#This Row],[Assumed Contract Value ]],0)</f>
        <v>0</v>
      </c>
      <c r="K2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 s="27" t="b">
        <f ca="1">AND(VaBenefits[[#This Row],[Is Activation]],SUMIFS($E$8:$E26,$C$8:$C26,TRUE)&gt;0)</f>
        <v>1</v>
      </c>
      <c r="M2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 s="7" t="b">
        <f>IF(VaBenefits[[#This Row],[timeFromValuation]]=0,0, MOD(VaBenefits[[#This Row],[timeFromValuation]],1)=0)</f>
        <v>0</v>
      </c>
      <c r="O26" s="7">
        <f>IF(VaBenefits[[#This Row],[Is Anniversary?]]=TRUE,VaBenefits[[#This Row],[Assumed Contract Value ]],0)</f>
        <v>0</v>
      </c>
      <c r="P26"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Q26" s="7" t="b">
        <f ca="1">VaBenefits[[#This Row],[Assumed Contract Value ]]&lt;0.1</f>
        <v>0</v>
      </c>
      <c r="R2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 s="7">
        <f ca="1">IF(AND(VaBenefits[[#This Row],[Is Activation]]=FALSE,VaBenefits[[#This Row],[Is Anniversary?]]=TRUE),OFFSET( VaBenefits[[#This Row],[Income Credit Base]],-1,0)*ICP,0)</f>
        <v>0</v>
      </c>
      <c r="T26" s="5">
        <f ca="1">IF(VaBenefits[[#This Row],[Assumed Contract Value ]]&gt;0,VaBenefits[[#This Row],[Income Base]]*MAWA,0)</f>
        <v>19537.961065573771</v>
      </c>
      <c r="U26" s="95">
        <f ca="1">IF(AND(VaBenefits[[#This Row],[Has Income Credit]],VaBenefits[[#This Row],[Is Anniversary?]],VaBenefits[[#This Row],[Joint Mortality tPxy for the partial year]]),VaBenefits[[#This Row],[Income Base]]*PIP,0)</f>
        <v>0</v>
      </c>
      <c r="V26" s="8">
        <f>1/(1+InterestRate)^VaBenefits[[#This Row],[timeFromValuation]]</f>
        <v>0.80287540516433631</v>
      </c>
      <c r="W26" s="90">
        <f>VaBenefits[[#This Row],[timeFromValuation]]</f>
        <v>4.5</v>
      </c>
      <c r="X26" s="91">
        <f>IF(($G$8+VaBenefits[[#This Row],[timeFromValuation]])&lt;=120,VLOOKUP(G26,Table2[],Qx!L$6,FALSE),0)</f>
        <v>0.99653999999999998</v>
      </c>
      <c r="Y26" s="91">
        <f>IF(($H$8+VaBenefits[[#This Row],[timeFromValuation]])&lt;=120,VLOOKUP(H26,Table2[],Qx!M$6,FALSE),0)</f>
        <v>0.98864300000000005</v>
      </c>
      <c r="Z26" s="91">
        <f>PRODUCT($X$8:$X26)</f>
        <v>0.95251261601173953</v>
      </c>
      <c r="AA26" s="91">
        <f>PRODUCT($Y$8:$Y26)</f>
        <v>0.83560189528056084</v>
      </c>
      <c r="AB26" s="91">
        <f>VaBenefits[[#This Row],[Primary Annuitant Px]]+VaBenefits[[#This Row],[Secondary Annuitant Py]]-VaBenefits[[#This Row],[Primary Annuitant Px]]*VaBenefits[[#This Row],[Secondary Annuitant Py]]</f>
        <v>0.9999607047800001</v>
      </c>
      <c r="AC26" s="91">
        <f>PRODUCT($AB$8:$AB26)</f>
        <v>0.99953578782340746</v>
      </c>
      <c r="AD26" s="97">
        <f ca="1">PV(1.03,20,-VaBenefits[[#This Row],[Protected Income Payment]])</f>
        <v>0</v>
      </c>
      <c r="AE26" s="130">
        <f ca="1">IF((AND(VaBenefits[[#This Row],[Is Anniversary?]],VaBenefits[[#This Row],[Assumed Contract Value ]]&lt;75000)),-50,0)</f>
        <v>0</v>
      </c>
      <c r="AF26" s="133">
        <f ca="1">VaBenefits[[#This Row],[Assumed Contract Value ]]*-1.15%/4</f>
        <v>-868.25</v>
      </c>
      <c r="AG26" s="129">
        <v>0</v>
      </c>
      <c r="AH26" s="131">
        <f ca="1">VaBenefits[[#This Row],[Maintenace Fee]]+VaBenefits[[#This Row],[Separate Account Charge]]+VaBenefits[[#This Row],[Rider Fee]]</f>
        <v>-868.25</v>
      </c>
      <c r="AI26" s="2"/>
      <c r="AJ26" s="40">
        <f t="shared" si="2"/>
        <v>9</v>
      </c>
      <c r="AK26" s="8">
        <f>VaBenefits[[#This Row],[Anniversary Value  ]]-AV26</f>
        <v>-100000</v>
      </c>
      <c r="AL26" s="8">
        <f ca="1">VaBenefits[[#This Row],[Income Base]]-AW26</f>
        <v>12625.37704918033</v>
      </c>
      <c r="AM26" s="8">
        <f ca="1">VaBenefits[[#This Row],[Income Credit Base]]-AX26</f>
        <v>0</v>
      </c>
      <c r="AN26" s="8">
        <f ca="1">VaBenefits[[#This Row],[Income Credit]]-AY26</f>
        <v>0</v>
      </c>
      <c r="AO26" s="8">
        <f ca="1">VaBenefits[[#This Row],[Maximum Annual Withdrawal Amount upon Activation]]-AZ26</f>
        <v>788.96106557377061</v>
      </c>
      <c r="AP26" s="8">
        <f ca="1">VaBenefits[[#This Row],[Protected Income Payment]]-BA26</f>
        <v>0</v>
      </c>
      <c r="AQ26" s="2"/>
      <c r="AR26" s="21">
        <f t="shared" si="3"/>
        <v>9</v>
      </c>
      <c r="AS26" s="22">
        <v>0</v>
      </c>
      <c r="AT26" s="22">
        <v>0</v>
      </c>
      <c r="AU26" s="22">
        <v>100000</v>
      </c>
      <c r="AV26" s="11">
        <v>100000</v>
      </c>
      <c r="AW26" s="10">
        <v>299982</v>
      </c>
      <c r="AX26" s="5">
        <v>0</v>
      </c>
      <c r="AY26" s="5">
        <v>0</v>
      </c>
      <c r="AZ26" s="10">
        <v>18749</v>
      </c>
      <c r="BA26" s="13">
        <v>0</v>
      </c>
      <c r="BB26" s="9"/>
      <c r="BC26" s="9"/>
      <c r="BD26" s="9"/>
      <c r="BE26" s="9"/>
      <c r="BF26" s="9"/>
      <c r="BG26" s="9"/>
      <c r="BI26" s="4">
        <f>BI25</f>
        <v>100000</v>
      </c>
      <c r="BJ26" s="4">
        <f t="shared" ref="BJ26" si="6">BJ25</f>
        <v>299982</v>
      </c>
      <c r="BK26" s="4">
        <f t="shared" ref="BK26" si="7">BK25</f>
        <v>0</v>
      </c>
      <c r="BL26" s="4">
        <f t="shared" ref="BL26" si="8">BL25</f>
        <v>0</v>
      </c>
      <c r="BM26" s="4">
        <f t="shared" ref="BM26" si="9">BM25</f>
        <v>18749</v>
      </c>
      <c r="BN26" s="4">
        <v>0</v>
      </c>
    </row>
    <row r="27" spans="1:66" x14ac:dyDescent="0.3">
      <c r="A27" s="7">
        <f t="shared" si="0"/>
        <v>19</v>
      </c>
      <c r="B27" s="29">
        <f t="shared" si="1"/>
        <v>4.75</v>
      </c>
      <c r="C27" s="29" t="b">
        <f ca="1">AND(VaBenefits[[#This Row],[timeFromValuation]]&gt;=ACT,VaBenefits[[#This Row],[Assumed Contract Value ]]&gt;0)</f>
        <v>1</v>
      </c>
      <c r="D27" s="20">
        <f>IF(OR(RIGHT(B27,2)="25",RIGHT(B27,2)="75"),0,VLOOKUP(VaBenefits[[#This Row],[timeFromValuation]],$AR$8:$BA$30,2,FALSE))</f>
        <v>0</v>
      </c>
      <c r="E27" s="20">
        <f>IF(OR(RIGHT(B27,2)="25",RIGHT(B27,2)="75"),0,VLOOKUP(VaBenefits[[#This Row],[timeFromValuation]],$AR$8:$BA$30,3,FALSE))</f>
        <v>0</v>
      </c>
      <c r="F27" s="20">
        <f ca="1">IF(OR(RIGHT(B27,2)="25",RIGHT(B27,2)="75"),OFFSET(VaBenefits[[#This Row],[Assumed Contract Value ]],-1,0),VLOOKUP(VaBenefits[[#This Row],[timeFromValuation]],$AR$8:$BA$30,4,FALSE))</f>
        <v>302000</v>
      </c>
      <c r="G27" s="96">
        <f>ROUND($G$8+VaBenefits[[#This Row],[timeFromValuation]],0)</f>
        <v>60</v>
      </c>
      <c r="H27" s="20">
        <f>ROUND($H$8+VaBenefits[[#This Row],[timeFromValuation]],0)</f>
        <v>70</v>
      </c>
      <c r="I27" s="27" t="b">
        <f>VaBenefits[[#This Row],[Withdrawal Taken  ]]&gt;0</f>
        <v>0</v>
      </c>
      <c r="J27" s="41">
        <f ca="1">IF(AND(NOT(VaBenefits[[#This Row],[Is Activation]]),VaBenefits[[#This Row],[Assumed Contract Value ]]&gt;0),VaBenefits[[#This Row],[Withdrawal Taken  ]]/VaBenefits[[#This Row],[Assumed Contract Value ]],0)</f>
        <v>0</v>
      </c>
      <c r="K2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 s="27" t="b">
        <f ca="1">AND(VaBenefits[[#This Row],[Is Activation]],SUMIFS($E$8:$E27,$C$8:$C27,TRUE)&gt;0)</f>
        <v>1</v>
      </c>
      <c r="M2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 s="7" t="b">
        <f>IF(VaBenefits[[#This Row],[timeFromValuation]]=0,0, MOD(VaBenefits[[#This Row],[timeFromValuation]],1)=0)</f>
        <v>0</v>
      </c>
      <c r="O27" s="7">
        <f>IF(VaBenefits[[#This Row],[Is Anniversary?]]=TRUE,VaBenefits[[#This Row],[Assumed Contract Value ]],0)</f>
        <v>0</v>
      </c>
      <c r="P27"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Q27" s="7" t="b">
        <f ca="1">VaBenefits[[#This Row],[Assumed Contract Value ]]&lt;0.1</f>
        <v>0</v>
      </c>
      <c r="R2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 s="7">
        <f ca="1">IF(AND(VaBenefits[[#This Row],[Is Activation]]=FALSE,VaBenefits[[#This Row],[Is Anniversary?]]=TRUE),OFFSET( VaBenefits[[#This Row],[Income Credit Base]],-1,0)*ICP,0)</f>
        <v>0</v>
      </c>
      <c r="T27" s="5">
        <f ca="1">IF(VaBenefits[[#This Row],[Assumed Contract Value ]]&gt;0,VaBenefits[[#This Row],[Income Base]]*MAWA,0)</f>
        <v>19537.961065573771</v>
      </c>
      <c r="U27" s="95">
        <f ca="1">IF(AND(VaBenefits[[#This Row],[Has Income Credit]],VaBenefits[[#This Row],[Is Anniversary?]],VaBenefits[[#This Row],[Joint Mortality tPxy for the partial year]]),VaBenefits[[#This Row],[Income Base]]*PIP,0)</f>
        <v>0</v>
      </c>
      <c r="V27" s="8">
        <f>1/(1+InterestRate)^VaBenefits[[#This Row],[timeFromValuation]]</f>
        <v>0.79314178326464624</v>
      </c>
      <c r="W27" s="90">
        <f>VaBenefits[[#This Row],[timeFromValuation]]</f>
        <v>4.75</v>
      </c>
      <c r="X27" s="91">
        <f>IF(($G$8+VaBenefits[[#This Row],[timeFromValuation]])&lt;=120,VLOOKUP(G27,Table2[],Qx!L$6,FALSE),0)</f>
        <v>0.99653999999999998</v>
      </c>
      <c r="Y27" s="91">
        <f>IF(($H$8+VaBenefits[[#This Row],[timeFromValuation]])&lt;=120,VLOOKUP(H27,Table2[],Qx!M$6,FALSE),0)</f>
        <v>0.98864300000000005</v>
      </c>
      <c r="Z27" s="91">
        <f>PRODUCT($X$8:$X27)</f>
        <v>0.94921692236033894</v>
      </c>
      <c r="AA27" s="91">
        <f>PRODUCT($Y$8:$Y27)</f>
        <v>0.82611196455585956</v>
      </c>
      <c r="AB27" s="91">
        <f>VaBenefits[[#This Row],[Primary Annuitant Px]]+VaBenefits[[#This Row],[Secondary Annuitant Py]]-VaBenefits[[#This Row],[Primary Annuitant Px]]*VaBenefits[[#This Row],[Secondary Annuitant Py]]</f>
        <v>0.9999607047800001</v>
      </c>
      <c r="AC27" s="91">
        <f>PRODUCT($AB$8:$AB27)</f>
        <v>0.99949651084472713</v>
      </c>
      <c r="AD27" s="97">
        <f ca="1">PV(1.03,20,-VaBenefits[[#This Row],[Protected Income Payment]])</f>
        <v>0</v>
      </c>
      <c r="AE27" s="130">
        <f ca="1">IF((AND(VaBenefits[[#This Row],[Is Anniversary?]],VaBenefits[[#This Row],[Assumed Contract Value ]]&lt;75000)),-50,0)</f>
        <v>0</v>
      </c>
      <c r="AF27" s="133">
        <f ca="1">VaBenefits[[#This Row],[Assumed Contract Value ]]*-1.15%/4</f>
        <v>-868.25</v>
      </c>
      <c r="AG27" s="129">
        <v>0</v>
      </c>
      <c r="AH27" s="131">
        <f ca="1">VaBenefits[[#This Row],[Maintenace Fee]]+VaBenefits[[#This Row],[Separate Account Charge]]+VaBenefits[[#This Row],[Rider Fee]]</f>
        <v>-868.25</v>
      </c>
      <c r="AI27" s="2"/>
      <c r="AJ27" s="40">
        <f t="shared" si="2"/>
        <v>9.5</v>
      </c>
      <c r="AK27" s="8">
        <f>VaBenefits[[#This Row],[Anniversary Value  ]]-AV27</f>
        <v>0</v>
      </c>
      <c r="AL27" s="8">
        <f ca="1">VaBenefits[[#This Row],[Income Base]]-AW27</f>
        <v>12625.37704918033</v>
      </c>
      <c r="AM27" s="8">
        <f ca="1">VaBenefits[[#This Row],[Income Credit Base]]-AX27</f>
        <v>0</v>
      </c>
      <c r="AN27" s="8">
        <f ca="1">VaBenefits[[#This Row],[Income Credit]]-AY27</f>
        <v>0</v>
      </c>
      <c r="AO27" s="8">
        <f ca="1">VaBenefits[[#This Row],[Maximum Annual Withdrawal Amount upon Activation]]-AZ27</f>
        <v>788.96106557377061</v>
      </c>
      <c r="AP27" s="8">
        <f ca="1">VaBenefits[[#This Row],[Protected Income Payment]]-BA27</f>
        <v>0</v>
      </c>
      <c r="AQ27" s="2"/>
      <c r="AR27" s="21">
        <f t="shared" si="3"/>
        <v>9.5</v>
      </c>
      <c r="AS27" s="22">
        <v>0</v>
      </c>
      <c r="AT27" s="22">
        <v>0</v>
      </c>
      <c r="AU27" s="22">
        <v>100000</v>
      </c>
      <c r="AV27" s="12">
        <v>0</v>
      </c>
      <c r="AW27" s="10">
        <v>299982</v>
      </c>
      <c r="AX27" s="5">
        <v>0</v>
      </c>
      <c r="AY27" s="5">
        <v>0</v>
      </c>
      <c r="AZ27" s="10">
        <v>18749</v>
      </c>
      <c r="BA27" s="13">
        <v>0</v>
      </c>
      <c r="BB27" s="9"/>
      <c r="BC27" s="9"/>
      <c r="BD27" s="9"/>
      <c r="BE27" s="9"/>
      <c r="BF27" s="9"/>
      <c r="BG27" s="9"/>
      <c r="BI27" s="4">
        <v>50000</v>
      </c>
      <c r="BJ27" s="4">
        <v>299982</v>
      </c>
      <c r="BK27" s="4"/>
      <c r="BL27" s="4"/>
      <c r="BM27" s="4">
        <v>18749</v>
      </c>
      <c r="BN27" s="4">
        <v>0</v>
      </c>
    </row>
    <row r="28" spans="1:66" x14ac:dyDescent="0.3">
      <c r="A28" s="7">
        <f t="shared" si="0"/>
        <v>20</v>
      </c>
      <c r="B28" s="29">
        <f t="shared" si="1"/>
        <v>5</v>
      </c>
      <c r="C28" s="29" t="b">
        <f ca="1">AND(VaBenefits[[#This Row],[timeFromValuation]]&gt;=ACT,VaBenefits[[#This Row],[Assumed Contract Value ]]&gt;0)</f>
        <v>1</v>
      </c>
      <c r="D28" s="20">
        <f>IF(OR(RIGHT(B28,2)="25",RIGHT(B28,2)="75"),0,VLOOKUP(VaBenefits[[#This Row],[timeFromValuation]],$AR$8:$BA$30,2,FALSE))</f>
        <v>0</v>
      </c>
      <c r="E28" s="20">
        <f>IF(OR(RIGHT(B28,2)="25",RIGHT(B28,2)="75"),0,VLOOKUP(VaBenefits[[#This Row],[timeFromValuation]],$AR$8:$BA$30,3,FALSE))</f>
        <v>0</v>
      </c>
      <c r="F28" s="20">
        <f ca="1">IF(OR(RIGHT(B28,2)="25",RIGHT(B28,2)="75"),OFFSET(VaBenefits[[#This Row],[Assumed Contract Value ]],-1,0),VLOOKUP(VaBenefits[[#This Row],[timeFromValuation]],$AR$8:$BA$30,4,FALSE))</f>
        <v>305000</v>
      </c>
      <c r="G28" s="96">
        <f>ROUND($G$8+VaBenefits[[#This Row],[timeFromValuation]],0)</f>
        <v>60</v>
      </c>
      <c r="H28" s="20">
        <f>ROUND($H$8+VaBenefits[[#This Row],[timeFromValuation]],0)</f>
        <v>70</v>
      </c>
      <c r="I28" s="27" t="b">
        <f>VaBenefits[[#This Row],[Withdrawal Taken  ]]&gt;0</f>
        <v>0</v>
      </c>
      <c r="J28" s="41">
        <f ca="1">IF(AND(NOT(VaBenefits[[#This Row],[Is Activation]]),VaBenefits[[#This Row],[Assumed Contract Value ]]&gt;0),VaBenefits[[#This Row],[Withdrawal Taken  ]]/VaBenefits[[#This Row],[Assumed Contract Value ]],0)</f>
        <v>0</v>
      </c>
      <c r="K2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 s="27" t="b">
        <f ca="1">AND(VaBenefits[[#This Row],[Is Activation]],SUMIFS($E$8:$E28,$C$8:$C28,TRUE)&gt;0)</f>
        <v>1</v>
      </c>
      <c r="M2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 s="7" t="b">
        <f>IF(VaBenefits[[#This Row],[timeFromValuation]]=0,0, MOD(VaBenefits[[#This Row],[timeFromValuation]],1)=0)</f>
        <v>1</v>
      </c>
      <c r="O28" s="7">
        <f ca="1">IF(VaBenefits[[#This Row],[Is Anniversary?]]=TRUE,VaBenefits[[#This Row],[Assumed Contract Value ]],0)</f>
        <v>305000</v>
      </c>
      <c r="P28"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Q28" s="7" t="b">
        <f ca="1">VaBenefits[[#This Row],[Assumed Contract Value ]]&lt;0.1</f>
        <v>0</v>
      </c>
      <c r="R2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 s="7">
        <f ca="1">IF(AND(VaBenefits[[#This Row],[Is Activation]]=FALSE,VaBenefits[[#This Row],[Is Anniversary?]]=TRUE),OFFSET( VaBenefits[[#This Row],[Income Credit Base]],-1,0)*ICP,0)</f>
        <v>0</v>
      </c>
      <c r="T28" s="5">
        <f ca="1">IF(VaBenefits[[#This Row],[Assumed Contract Value ]]&gt;0,VaBenefits[[#This Row],[Income Base]]*MAWA,0)</f>
        <v>19537.961065573771</v>
      </c>
      <c r="U28" s="95">
        <f ca="1">IF(AND(VaBenefits[[#This Row],[Has Income Credit]],VaBenefits[[#This Row],[Is Anniversary?]],VaBenefits[[#This Row],[Joint Mortality tPxy for the partial year]]),VaBenefits[[#This Row],[Income Base]]*PIP,0)</f>
        <v>0</v>
      </c>
      <c r="V28" s="8">
        <f>1/(1+InterestRate)^VaBenefits[[#This Row],[timeFromValuation]]</f>
        <v>0.78352616646845896</v>
      </c>
      <c r="W28" s="90">
        <f>VaBenefits[[#This Row],[timeFromValuation]]</f>
        <v>5</v>
      </c>
      <c r="X28" s="91">
        <f>IF(($G$8+VaBenefits[[#This Row],[timeFromValuation]])&lt;=120,VLOOKUP(G28,Table2[],Qx!L$6,FALSE),0)</f>
        <v>0.99653999999999998</v>
      </c>
      <c r="Y28" s="91">
        <f>IF(($H$8+VaBenefits[[#This Row],[timeFromValuation]])&lt;=120,VLOOKUP(H28,Table2[],Qx!M$6,FALSE),0)</f>
        <v>0.98864300000000005</v>
      </c>
      <c r="Z28" s="91">
        <f>PRODUCT($X$8:$X28)</f>
        <v>0.94593263180897214</v>
      </c>
      <c r="AA28" s="91">
        <f>PRODUCT($Y$8:$Y28)</f>
        <v>0.81672981097439867</v>
      </c>
      <c r="AB28" s="91">
        <f>VaBenefits[[#This Row],[Primary Annuitant Px]]+VaBenefits[[#This Row],[Secondary Annuitant Py]]-VaBenefits[[#This Row],[Primary Annuitant Px]]*VaBenefits[[#This Row],[Secondary Annuitant Py]]</f>
        <v>0.9999607047800001</v>
      </c>
      <c r="AC28" s="91">
        <f>PRODUCT($AB$8:$AB28)</f>
        <v>0.99945723540944431</v>
      </c>
      <c r="AD28" s="97">
        <f ca="1">PV(1.03,20,-VaBenefits[[#This Row],[Protected Income Payment]])</f>
        <v>0</v>
      </c>
      <c r="AE28" s="130">
        <f ca="1">IF((AND(VaBenefits[[#This Row],[Is Anniversary?]],VaBenefits[[#This Row],[Assumed Contract Value ]]&lt;75000)),-50,0)</f>
        <v>0</v>
      </c>
      <c r="AF28" s="133">
        <f ca="1">VaBenefits[[#This Row],[Assumed Contract Value ]]*-1.15%/4</f>
        <v>-876.875</v>
      </c>
      <c r="AG28" s="129">
        <v>0</v>
      </c>
      <c r="AH28" s="131">
        <f ca="1">VaBenefits[[#This Row],[Maintenace Fee]]+VaBenefits[[#This Row],[Separate Account Charge]]+VaBenefits[[#This Row],[Rider Fee]]</f>
        <v>-876.875</v>
      </c>
      <c r="AI28" s="2"/>
      <c r="AJ28" s="40">
        <f t="shared" si="2"/>
        <v>10</v>
      </c>
      <c r="AK28" s="8">
        <f ca="1">VaBenefits[[#This Row],[Anniversary Value  ]]-AV28</f>
        <v>255000</v>
      </c>
      <c r="AL28" s="8">
        <f ca="1">VaBenefits[[#This Row],[Income Base]]-AW28</f>
        <v>12625.37704918033</v>
      </c>
      <c r="AM28" s="8">
        <f ca="1">VaBenefits[[#This Row],[Income Credit Base]]-AX28</f>
        <v>0</v>
      </c>
      <c r="AN28" s="8">
        <f ca="1">VaBenefits[[#This Row],[Income Credit]]-AY28</f>
        <v>0</v>
      </c>
      <c r="AO28" s="8">
        <f ca="1">VaBenefits[[#This Row],[Maximum Annual Withdrawal Amount upon Activation]]-AZ28</f>
        <v>788.96106557377061</v>
      </c>
      <c r="AP28" s="8">
        <f ca="1">VaBenefits[[#This Row],[Protected Income Payment]]-BA28</f>
        <v>0</v>
      </c>
      <c r="AQ28" s="2"/>
      <c r="AR28" s="21">
        <f t="shared" si="3"/>
        <v>10</v>
      </c>
      <c r="AS28" s="22">
        <v>0</v>
      </c>
      <c r="AT28" s="22">
        <v>0</v>
      </c>
      <c r="AU28" s="22">
        <v>50000</v>
      </c>
      <c r="AV28" s="11">
        <v>50000</v>
      </c>
      <c r="AW28" s="10">
        <v>299982</v>
      </c>
      <c r="AX28" s="5">
        <v>0</v>
      </c>
      <c r="AY28" s="5">
        <v>0</v>
      </c>
      <c r="AZ28" s="10">
        <v>18749</v>
      </c>
      <c r="BA28" s="13">
        <v>0</v>
      </c>
      <c r="BB28" s="9"/>
      <c r="BC28" s="9"/>
      <c r="BD28" s="9"/>
      <c r="BE28" s="9"/>
      <c r="BF28" s="9"/>
      <c r="BG28" s="9"/>
      <c r="BI28" s="4">
        <f>BI27</f>
        <v>50000</v>
      </c>
      <c r="BJ28" s="4">
        <f t="shared" ref="BJ28" si="10">BJ27</f>
        <v>299982</v>
      </c>
      <c r="BK28" s="4">
        <f t="shared" ref="BK28" si="11">BK27</f>
        <v>0</v>
      </c>
      <c r="BL28" s="4">
        <f t="shared" ref="BL28" si="12">BL27</f>
        <v>0</v>
      </c>
      <c r="BM28" s="4">
        <f t="shared" ref="BM28" si="13">BM27</f>
        <v>18749</v>
      </c>
      <c r="BN28" s="4">
        <v>0</v>
      </c>
    </row>
    <row r="29" spans="1:66" x14ac:dyDescent="0.3">
      <c r="A29" s="7">
        <f t="shared" si="0"/>
        <v>21</v>
      </c>
      <c r="B29" s="29">
        <f t="shared" si="1"/>
        <v>5.25</v>
      </c>
      <c r="C29" s="29" t="b">
        <f ca="1">AND(VaBenefits[[#This Row],[timeFromValuation]]&gt;=ACT,VaBenefits[[#This Row],[Assumed Contract Value ]]&gt;0)</f>
        <v>1</v>
      </c>
      <c r="D29" s="20">
        <f>IF(OR(RIGHT(B29,2)="25",RIGHT(B29,2)="75"),0,VLOOKUP(VaBenefits[[#This Row],[timeFromValuation]],$AR$8:$BA$30,2,FALSE))</f>
        <v>0</v>
      </c>
      <c r="E29" s="20">
        <f>IF(OR(RIGHT(B29,2)="25",RIGHT(B29,2)="75"),0,VLOOKUP(VaBenefits[[#This Row],[timeFromValuation]],$AR$8:$BA$30,3,FALSE))</f>
        <v>0</v>
      </c>
      <c r="F29" s="20">
        <f ca="1">IF(OR(RIGHT(B29,2)="25",RIGHT(B29,2)="75"),OFFSET(VaBenefits[[#This Row],[Assumed Contract Value ]],-1,0),VLOOKUP(VaBenefits[[#This Row],[timeFromValuation]],$AR$8:$BA$30,4,FALSE))</f>
        <v>305000</v>
      </c>
      <c r="G29" s="96">
        <f>ROUND($G$8+VaBenefits[[#This Row],[timeFromValuation]],0)</f>
        <v>60</v>
      </c>
      <c r="H29" s="20">
        <f>ROUND($H$8+VaBenefits[[#This Row],[timeFromValuation]],0)</f>
        <v>70</v>
      </c>
      <c r="I29" s="27" t="b">
        <f>VaBenefits[[#This Row],[Withdrawal Taken  ]]&gt;0</f>
        <v>0</v>
      </c>
      <c r="J29" s="41">
        <f ca="1">IF(AND(NOT(VaBenefits[[#This Row],[Is Activation]]),VaBenefits[[#This Row],[Assumed Contract Value ]]&gt;0),VaBenefits[[#This Row],[Withdrawal Taken  ]]/VaBenefits[[#This Row],[Assumed Contract Value ]],0)</f>
        <v>0</v>
      </c>
      <c r="K2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 s="27" t="b">
        <f ca="1">AND(VaBenefits[[#This Row],[Is Activation]],SUMIFS($E$8:$E29,$C$8:$C29,TRUE)&gt;0)</f>
        <v>1</v>
      </c>
      <c r="M2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 s="7" t="b">
        <f>IF(VaBenefits[[#This Row],[timeFromValuation]]=0,0, MOD(VaBenefits[[#This Row],[timeFromValuation]],1)=0)</f>
        <v>0</v>
      </c>
      <c r="O29" s="7">
        <f>IF(VaBenefits[[#This Row],[Is Anniversary?]]=TRUE,VaBenefits[[#This Row],[Assumed Contract Value ]],0)</f>
        <v>0</v>
      </c>
      <c r="P29"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Q29" s="7" t="b">
        <f ca="1">VaBenefits[[#This Row],[Assumed Contract Value ]]&lt;0.1</f>
        <v>0</v>
      </c>
      <c r="R2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 s="7">
        <f ca="1">IF(AND(VaBenefits[[#This Row],[Is Activation]]=FALSE,VaBenefits[[#This Row],[Is Anniversary?]]=TRUE),OFFSET( VaBenefits[[#This Row],[Income Credit Base]],-1,0)*ICP,0)</f>
        <v>0</v>
      </c>
      <c r="T29" s="5">
        <f ca="1">IF(VaBenefits[[#This Row],[Assumed Contract Value ]]&gt;0,VaBenefits[[#This Row],[Income Base]]*MAWA,0)</f>
        <v>19537.961065573771</v>
      </c>
      <c r="U29" s="95">
        <f ca="1">IF(AND(VaBenefits[[#This Row],[Has Income Credit]],VaBenefits[[#This Row],[Is Anniversary?]],VaBenefits[[#This Row],[Joint Mortality tPxy for the partial year]]),VaBenefits[[#This Row],[Income Base]]*PIP,0)</f>
        <v>0</v>
      </c>
      <c r="V29" s="8">
        <f>1/(1+InterestRate)^VaBenefits[[#This Row],[timeFromValuation]]</f>
        <v>0.77402712414649788</v>
      </c>
      <c r="W29" s="90">
        <f>VaBenefits[[#This Row],[timeFromValuation]]</f>
        <v>5.25</v>
      </c>
      <c r="X29" s="91">
        <f>IF(($G$8+VaBenefits[[#This Row],[timeFromValuation]])&lt;=120,VLOOKUP(G29,Table2[],Qx!L$6,FALSE),0)</f>
        <v>0.99653999999999998</v>
      </c>
      <c r="Y29" s="91">
        <f>IF(($H$8+VaBenefits[[#This Row],[timeFromValuation]])&lt;=120,VLOOKUP(H29,Table2[],Qx!M$6,FALSE),0)</f>
        <v>0.98864300000000005</v>
      </c>
      <c r="Z29" s="91">
        <f>PRODUCT($X$8:$X29)</f>
        <v>0.94265970490291306</v>
      </c>
      <c r="AA29" s="91">
        <f>PRODUCT($Y$8:$Y29)</f>
        <v>0.80745421051116251</v>
      </c>
      <c r="AB29" s="91">
        <f>VaBenefits[[#This Row],[Primary Annuitant Px]]+VaBenefits[[#This Row],[Secondary Annuitant Py]]-VaBenefits[[#This Row],[Primary Annuitant Px]]*VaBenefits[[#This Row],[Secondary Annuitant Py]]</f>
        <v>0.9999607047800001</v>
      </c>
      <c r="AC29" s="91">
        <f>PRODUCT($AB$8:$AB29)</f>
        <v>0.9994179615174984</v>
      </c>
      <c r="AD29" s="97">
        <f ca="1">PV(1.03,20,-VaBenefits[[#This Row],[Protected Income Payment]])</f>
        <v>0</v>
      </c>
      <c r="AE29" s="130">
        <f ca="1">IF((AND(VaBenefits[[#This Row],[Is Anniversary?]],VaBenefits[[#This Row],[Assumed Contract Value ]]&lt;75000)),-50,0)</f>
        <v>0</v>
      </c>
      <c r="AF29" s="133">
        <f ca="1">VaBenefits[[#This Row],[Assumed Contract Value ]]*-1.15%/4</f>
        <v>-876.875</v>
      </c>
      <c r="AG29" s="129">
        <v>0</v>
      </c>
      <c r="AH29" s="131">
        <f ca="1">VaBenefits[[#This Row],[Maintenace Fee]]+VaBenefits[[#This Row],[Separate Account Charge]]+VaBenefits[[#This Row],[Rider Fee]]</f>
        <v>-876.875</v>
      </c>
      <c r="AI29" s="2"/>
      <c r="AJ29" s="40">
        <f t="shared" si="2"/>
        <v>10.5</v>
      </c>
      <c r="AK29" s="8">
        <f>VaBenefits[[#This Row],[Anniversary Value  ]]-AV29</f>
        <v>0</v>
      </c>
      <c r="AL29" s="8">
        <f ca="1">VaBenefits[[#This Row],[Income Base]]-AW29</f>
        <v>12625.37704918033</v>
      </c>
      <c r="AM29" s="8">
        <f ca="1">VaBenefits[[#This Row],[Income Credit Base]]-AX29</f>
        <v>0</v>
      </c>
      <c r="AN29" s="8">
        <f ca="1">VaBenefits[[#This Row],[Income Credit]]-AY29</f>
        <v>0</v>
      </c>
      <c r="AO29" s="8">
        <f ca="1">VaBenefits[[#This Row],[Maximum Annual Withdrawal Amount upon Activation]]-AZ29</f>
        <v>788.96106557377061</v>
      </c>
      <c r="AP29" s="8">
        <f ca="1">VaBenefits[[#This Row],[Protected Income Payment]]-BA29</f>
        <v>0</v>
      </c>
      <c r="AQ29" s="2"/>
      <c r="AR29" s="21">
        <f t="shared" si="3"/>
        <v>10.5</v>
      </c>
      <c r="AS29" s="22">
        <v>0</v>
      </c>
      <c r="AT29" s="22">
        <v>0</v>
      </c>
      <c r="AU29" s="22">
        <v>50000</v>
      </c>
      <c r="AV29" s="12">
        <v>0</v>
      </c>
      <c r="AW29" s="10">
        <v>299982</v>
      </c>
      <c r="AX29" s="5">
        <v>0</v>
      </c>
      <c r="AY29" s="5">
        <v>0</v>
      </c>
      <c r="AZ29" s="10">
        <v>18749</v>
      </c>
      <c r="BA29" s="13">
        <v>0</v>
      </c>
      <c r="BB29" s="9"/>
      <c r="BC29" s="9"/>
      <c r="BD29" s="9"/>
      <c r="BE29" s="9"/>
      <c r="BF29" s="9"/>
      <c r="BG29" s="9"/>
      <c r="BI29" s="4">
        <v>0</v>
      </c>
      <c r="BJ29" s="4">
        <v>299982</v>
      </c>
      <c r="BK29" s="4"/>
      <c r="BL29" s="4"/>
      <c r="BM29" s="4">
        <v>18749</v>
      </c>
      <c r="BN29" s="4">
        <v>0</v>
      </c>
    </row>
    <row r="30" spans="1:66" ht="15" thickBot="1" x14ac:dyDescent="0.35">
      <c r="A30" s="32">
        <f t="shared" si="0"/>
        <v>22</v>
      </c>
      <c r="B30" s="29">
        <f t="shared" si="1"/>
        <v>5.5</v>
      </c>
      <c r="C30" s="29" t="b">
        <f ca="1">AND(VaBenefits[[#This Row],[timeFromValuation]]&gt;=ACT,VaBenefits[[#This Row],[Assumed Contract Value ]]&gt;0)</f>
        <v>1</v>
      </c>
      <c r="D30" s="20">
        <f>IF(OR(RIGHT(B30,2)="25",RIGHT(B30,2)="75"),0,VLOOKUP(VaBenefits[[#This Row],[timeFromValuation]],$AR$8:$BA$30,2,FALSE))</f>
        <v>0</v>
      </c>
      <c r="E30" s="20">
        <f>IF(OR(RIGHT(B30,2)="25",RIGHT(B30,2)="75"),0,VLOOKUP(VaBenefits[[#This Row],[timeFromValuation]],$AR$8:$BA$30,3,FALSE))</f>
        <v>24960</v>
      </c>
      <c r="F30" s="20">
        <f ca="1">IF(OR(RIGHT(B30,2)="25",RIGHT(B30,2)="75"),OFFSET(VaBenefits[[#This Row],[Assumed Contract Value ]],-1,0),VLOOKUP(VaBenefits[[#This Row],[timeFromValuation]],$AR$8:$BA$30,4,FALSE))</f>
        <v>280000</v>
      </c>
      <c r="G30" s="96">
        <f>ROUND($G$8+VaBenefits[[#This Row],[timeFromValuation]],0)</f>
        <v>61</v>
      </c>
      <c r="H30" s="20">
        <f>ROUND($H$8+VaBenefits[[#This Row],[timeFromValuation]],0)</f>
        <v>71</v>
      </c>
      <c r="I30" s="27" t="b">
        <f>VaBenefits[[#This Row],[Withdrawal Taken  ]]&gt;0</f>
        <v>1</v>
      </c>
      <c r="J30" s="41">
        <f ca="1">IF(AND(NOT(VaBenefits[[#This Row],[Is Activation]]),VaBenefits[[#This Row],[Assumed Contract Value ]]&gt;0),VaBenefits[[#This Row],[Withdrawal Taken  ]]/VaBenefits[[#This Row],[Assumed Contract Value ]],0)</f>
        <v>0</v>
      </c>
      <c r="K3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1.8993905300563385E-2</v>
      </c>
      <c r="L30" s="27" t="b">
        <f ca="1">AND(VaBenefits[[#This Row],[Is Activation]],SUMIFS($E$8:$E310,$C$8:$C310,TRUE)&gt;0)</f>
        <v>1</v>
      </c>
      <c r="M3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0.98100609469943656</v>
      </c>
      <c r="N30" s="32" t="b">
        <f>IF(VaBenefits[[#This Row],[timeFromValuation]]=0,0, MOD(VaBenefits[[#This Row],[timeFromValuation]],1)=0)</f>
        <v>0</v>
      </c>
      <c r="O30" s="7">
        <f>IF(VaBenefits[[#This Row],[Is Anniversary?]]=TRUE,VaBenefits[[#This Row],[Assumed Contract Value ]],0)</f>
        <v>0</v>
      </c>
      <c r="P30" s="7">
        <f ca="1">(IF(VaBenefits[[#This Row],[Is Anniversary?]], MAX(OFFSET(VaBenefits[[#This Row],[Income Base]],-1,0)+VaBenefits[[#This Row],[Income Credit]],VaBenefits[[#This Row],[Anniversary Value  ]]),OFFSET(VaBenefits[[#This Row],[Income Base]],-1,0))+VaBenefits[[#This Row],[Purchase Payments]])*VaBenefits[[#This Row],[Withdrawal Penalty]]</f>
        <v>306669.74213325069</v>
      </c>
      <c r="Q30" s="7" t="b">
        <f ca="1">VaBenefits[[#This Row],[Assumed Contract Value ]]&lt;0.1</f>
        <v>0</v>
      </c>
      <c r="R3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 s="7">
        <f ca="1">IF(AND(VaBenefits[[#This Row],[Is Activation]]=FALSE,VaBenefits[[#This Row],[Is Anniversary?]]=TRUE),OFFSET( VaBenefits[[#This Row],[Income Credit Base]],-1,0)*ICP,0)</f>
        <v>0</v>
      </c>
      <c r="T30" s="5">
        <f ca="1">IF(VaBenefits[[#This Row],[Assumed Contract Value ]]&gt;0,VaBenefits[[#This Row],[Income Base]]*MAWA,0)</f>
        <v>19166.858883328168</v>
      </c>
      <c r="U30" s="95">
        <f ca="1">IF(AND(VaBenefits[[#This Row],[Has Income Credit]],VaBenefits[[#This Row],[Is Anniversary?]],VaBenefits[[#This Row],[Joint Mortality tPxy for the partial year]]),VaBenefits[[#This Row],[Income Base]]*PIP,0)</f>
        <v>0</v>
      </c>
      <c r="V30" s="8">
        <f>1/(1+InterestRate)^VaBenefits[[#This Row],[timeFromValuation]]</f>
        <v>0.7646432430136535</v>
      </c>
      <c r="W30" s="90">
        <f>VaBenefits[[#This Row],[timeFromValuation]]</f>
        <v>5.5</v>
      </c>
      <c r="X30" s="91">
        <f>IF(($G$8+VaBenefits[[#This Row],[timeFromValuation]])&lt;=120,VLOOKUP(G30,Table2[],Qx!L$6,FALSE),0)</f>
        <v>0.99608399999999997</v>
      </c>
      <c r="Y30" s="91">
        <f>IF(($H$8+VaBenefits[[#This Row],[timeFromValuation]])&lt;=120,VLOOKUP(H30,Table2[],Qx!M$6,FALSE),0)</f>
        <v>0.98758199999999996</v>
      </c>
      <c r="Z30" s="91">
        <f>PRODUCT($X$8:$X30)</f>
        <v>0.93896824949851321</v>
      </c>
      <c r="AA30" s="91">
        <f>PRODUCT($Y$8:$Y30)</f>
        <v>0.79742724412503485</v>
      </c>
      <c r="AB30" s="91">
        <f>VaBenefits[[#This Row],[Primary Annuitant Px]]+VaBenefits[[#This Row],[Secondary Annuitant Py]]-VaBenefits[[#This Row],[Primary Annuitant Px]]*VaBenefits[[#This Row],[Secondary Annuitant Py]]</f>
        <v>0.99995137111200005</v>
      </c>
      <c r="AC30" s="91">
        <f>PRODUCT($AB$8:$AB30)</f>
        <v>0.99936936093338258</v>
      </c>
      <c r="AD30" s="97">
        <f ca="1">PV(1.03,20,-VaBenefits[[#This Row],[Protected Income Payment]])</f>
        <v>0</v>
      </c>
      <c r="AE30" s="130">
        <f ca="1">IF((AND(VaBenefits[[#This Row],[Is Anniversary?]],VaBenefits[[#This Row],[Assumed Contract Value ]]&lt;75000)),-50,0)</f>
        <v>0</v>
      </c>
      <c r="AF30" s="133">
        <f ca="1">VaBenefits[[#This Row],[Assumed Contract Value ]]*-1.15%/4</f>
        <v>-805</v>
      </c>
      <c r="AG30" s="129">
        <v>0</v>
      </c>
      <c r="AH30" s="131">
        <f ca="1">VaBenefits[[#This Row],[Maintenace Fee]]+VaBenefits[[#This Row],[Separate Account Charge]]+VaBenefits[[#This Row],[Rider Fee]]</f>
        <v>-805</v>
      </c>
      <c r="AI30" s="2"/>
      <c r="AJ30" s="39">
        <f t="shared" si="2"/>
        <v>11</v>
      </c>
      <c r="AK30" s="8">
        <f>VaBenefits[[#This Row],[Anniversary Value  ]]-AV30</f>
        <v>0</v>
      </c>
      <c r="AL30" s="8">
        <f ca="1">VaBenefits[[#This Row],[Income Base]]-AW30</f>
        <v>6687.7421332506929</v>
      </c>
      <c r="AM30" s="8">
        <f ca="1">VaBenefits[[#This Row],[Income Credit Base]]-AX30</f>
        <v>0</v>
      </c>
      <c r="AN30" s="8">
        <f ca="1">VaBenefits[[#This Row],[Income Credit]]-AY30</f>
        <v>0</v>
      </c>
      <c r="AO30" s="8">
        <f ca="1">VaBenefits[[#This Row],[Maximum Annual Withdrawal Amount upon Activation]]-AZ30</f>
        <v>19166.858883328168</v>
      </c>
      <c r="AP30" s="8">
        <f ca="1">VaBenefits[[#This Row],[Protected Income Payment]]-BA30</f>
        <v>-11999</v>
      </c>
      <c r="AQ30" s="2"/>
      <c r="AR30" s="23">
        <f t="shared" si="3"/>
        <v>11</v>
      </c>
      <c r="AS30" s="24">
        <v>0</v>
      </c>
      <c r="AT30" s="24">
        <v>0</v>
      </c>
      <c r="AU30" s="22">
        <v>0</v>
      </c>
      <c r="AV30" s="16">
        <v>0</v>
      </c>
      <c r="AW30" s="14">
        <v>299982</v>
      </c>
      <c r="AX30" s="15">
        <v>0</v>
      </c>
      <c r="AY30" s="15">
        <v>0</v>
      </c>
      <c r="AZ30" s="14">
        <v>0</v>
      </c>
      <c r="BA30" s="17">
        <v>11999</v>
      </c>
      <c r="BB30" s="9"/>
      <c r="BC30" s="9"/>
      <c r="BD30" s="9"/>
      <c r="BE30" s="9"/>
      <c r="BF30" s="9"/>
      <c r="BG30" s="9"/>
      <c r="BI30" s="4">
        <v>0</v>
      </c>
      <c r="BJ30" s="4">
        <v>299982</v>
      </c>
      <c r="BK30" s="4"/>
      <c r="BL30" s="4"/>
      <c r="BM30" s="4">
        <v>0</v>
      </c>
      <c r="BN30" s="4">
        <v>11999</v>
      </c>
    </row>
    <row r="31" spans="1:66" ht="15" thickBot="1" x14ac:dyDescent="0.35">
      <c r="A31" s="32">
        <f t="shared" si="0"/>
        <v>23</v>
      </c>
      <c r="B31" s="29">
        <f t="shared" si="1"/>
        <v>5.75</v>
      </c>
      <c r="C31" s="29" t="b">
        <f ca="1">AND(VaBenefits[[#This Row],[timeFromValuation]]&gt;=ACT,VaBenefits[[#This Row],[Assumed Contract Value ]]&gt;0)</f>
        <v>1</v>
      </c>
      <c r="D31" s="20">
        <f>IF(OR(RIGHT(B31,2)="25",RIGHT(B31,2)="75"),0,VLOOKUP(VaBenefits[[#This Row],[timeFromValuation]],$AR$8:$BA$30,2,FALSE))</f>
        <v>0</v>
      </c>
      <c r="E31" s="20">
        <f>IF(OR(RIGHT(B31,2)="25",RIGHT(B31,2)="75"),0,VLOOKUP(VaBenefits[[#This Row],[timeFromValuation]],$AR$8:$BA$30,3,FALSE))</f>
        <v>0</v>
      </c>
      <c r="F31" s="20">
        <f ca="1">IF(OR(RIGHT(B31,2)="25",RIGHT(B31,2)="75"),OFFSET(VaBenefits[[#This Row],[Assumed Contract Value ]],-1,0),VLOOKUP(VaBenefits[[#This Row],[timeFromValuation]],$AR$8:$BA$30,4,FALSE))</f>
        <v>280000</v>
      </c>
      <c r="G31" s="96">
        <f>ROUND($G$8+VaBenefits[[#This Row],[timeFromValuation]],0)</f>
        <v>61</v>
      </c>
      <c r="H31" s="20">
        <f>ROUND($H$8+VaBenefits[[#This Row],[timeFromValuation]],0)</f>
        <v>71</v>
      </c>
      <c r="I31" s="27" t="b">
        <f>VaBenefits[[#This Row],[Withdrawal Taken  ]]&gt;0</f>
        <v>0</v>
      </c>
      <c r="J31" s="41">
        <f ca="1">IF(AND(NOT(VaBenefits[[#This Row],[Is Activation]]),VaBenefits[[#This Row],[Assumed Contract Value ]]&gt;0),VaBenefits[[#This Row],[Withdrawal Taken  ]]/VaBenefits[[#This Row],[Assumed Contract Value ]],0)</f>
        <v>0</v>
      </c>
      <c r="K3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1" s="27" t="b">
        <f ca="1">AND(VaBenefits[[#This Row],[Is Activation]],SUMIFS($E$8:$E31,$C$8:$C31,TRUE)&gt;0)</f>
        <v>1</v>
      </c>
      <c r="M3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1" s="32" t="b">
        <f>IF(VaBenefits[[#This Row],[timeFromValuation]]=0,0, MOD(VaBenefits[[#This Row],[timeFromValuation]],1)=0)</f>
        <v>0</v>
      </c>
      <c r="O31" s="7">
        <f>IF(VaBenefits[[#This Row],[Is Anniversary?]]=TRUE,VaBenefits[[#This Row],[Assumed Contract Value ]],0)</f>
        <v>0</v>
      </c>
      <c r="P31" s="7">
        <f ca="1">(IF(VaBenefits[[#This Row],[Is Anniversary?]], MAX(OFFSET(VaBenefits[[#This Row],[Income Base]],-1,0)+VaBenefits[[#This Row],[Income Credit]],VaBenefits[[#This Row],[Anniversary Value  ]]),OFFSET(VaBenefits[[#This Row],[Income Base]],-1,0))+VaBenefits[[#This Row],[Purchase Payments]])*VaBenefits[[#This Row],[Withdrawal Penalty]]</f>
        <v>306669.74213325069</v>
      </c>
      <c r="Q31" s="7" t="b">
        <f ca="1">VaBenefits[[#This Row],[Assumed Contract Value ]]&lt;0.1</f>
        <v>0</v>
      </c>
      <c r="R3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1" s="7">
        <f ca="1">IF(AND(VaBenefits[[#This Row],[Is Activation]]=FALSE,VaBenefits[[#This Row],[Is Anniversary?]]=TRUE),OFFSET( VaBenefits[[#This Row],[Income Credit Base]],-1,0)*ICP,0)</f>
        <v>0</v>
      </c>
      <c r="T31" s="5">
        <f ca="1">IF(VaBenefits[[#This Row],[Assumed Contract Value ]]&gt;0,VaBenefits[[#This Row],[Income Base]]*MAWA,0)</f>
        <v>19166.858883328168</v>
      </c>
      <c r="U31" s="95">
        <f ca="1">IF(AND(VaBenefits[[#This Row],[Has Income Credit]],VaBenefits[[#This Row],[Is Anniversary?]],VaBenefits[[#This Row],[Joint Mortality tPxy for the partial year]]),VaBenefits[[#This Row],[Income Base]]*PIP,0)</f>
        <v>0</v>
      </c>
      <c r="V31" s="8">
        <f>1/(1+InterestRate)^VaBenefits[[#This Row],[timeFromValuation]]</f>
        <v>0.75537312691871061</v>
      </c>
      <c r="W31" s="90">
        <f>VaBenefits[[#This Row],[timeFromValuation]]</f>
        <v>5.75</v>
      </c>
      <c r="X31" s="91">
        <f>IF(($G$8+VaBenefits[[#This Row],[timeFromValuation]])&lt;=120,VLOOKUP(G31,Table2[],Qx!L$6,FALSE),0)</f>
        <v>0.99608399999999997</v>
      </c>
      <c r="Y31" s="91">
        <f>IF(($H$8+VaBenefits[[#This Row],[timeFromValuation]])&lt;=120,VLOOKUP(H31,Table2[],Qx!M$6,FALSE),0)</f>
        <v>0.98758199999999996</v>
      </c>
      <c r="Z31" s="91">
        <f>PRODUCT($X$8:$X31)</f>
        <v>0.935291249833477</v>
      </c>
      <c r="AA31" s="91">
        <f>PRODUCT($Y$8:$Y31)</f>
        <v>0.78752479260749009</v>
      </c>
      <c r="AB31" s="91">
        <f>VaBenefits[[#This Row],[Primary Annuitant Px]]+VaBenefits[[#This Row],[Secondary Annuitant Py]]-VaBenefits[[#This Row],[Primary Annuitant Px]]*VaBenefits[[#This Row],[Secondary Annuitant Py]]</f>
        <v>0.99995137111200005</v>
      </c>
      <c r="AC31" s="91">
        <f>PRODUCT($AB$8:$AB31)</f>
        <v>0.99932076271265913</v>
      </c>
      <c r="AD31" s="97">
        <f ca="1">PV(1.03,20,-VaBenefits[[#This Row],[Protected Income Payment]])</f>
        <v>0</v>
      </c>
      <c r="AE31" s="130">
        <f ca="1">IF((AND(VaBenefits[[#This Row],[Is Anniversary?]],VaBenefits[[#This Row],[Assumed Contract Value ]]&lt;75000)),-50,0)</f>
        <v>0</v>
      </c>
      <c r="AF31" s="133">
        <f ca="1">VaBenefits[[#This Row],[Assumed Contract Value ]]*-1.15%/4</f>
        <v>-805</v>
      </c>
      <c r="AG31" s="129">
        <v>0</v>
      </c>
      <c r="AH31" s="131">
        <f ca="1">VaBenefits[[#This Row],[Maintenace Fee]]+VaBenefits[[#This Row],[Separate Account Charge]]+VaBenefits[[#This Row],[Rider Fee]]</f>
        <v>-805</v>
      </c>
      <c r="AR31" s="23">
        <f t="shared" si="3"/>
        <v>11.5</v>
      </c>
      <c r="AS31" s="24">
        <v>0</v>
      </c>
      <c r="AT31" s="24">
        <v>0</v>
      </c>
      <c r="AU31" s="22">
        <v>0</v>
      </c>
      <c r="AV31" s="16">
        <v>0</v>
      </c>
      <c r="AW31" s="14">
        <v>299982</v>
      </c>
      <c r="AX31" s="15">
        <v>0</v>
      </c>
      <c r="AY31" s="15">
        <v>0</v>
      </c>
      <c r="AZ31" s="14">
        <v>0</v>
      </c>
      <c r="BA31" s="17">
        <v>11999</v>
      </c>
    </row>
    <row r="32" spans="1:66" ht="15" thickBot="1" x14ac:dyDescent="0.35">
      <c r="A32" s="32">
        <f t="shared" si="0"/>
        <v>24</v>
      </c>
      <c r="B32" s="29">
        <f t="shared" si="1"/>
        <v>6</v>
      </c>
      <c r="C32" s="29" t="b">
        <f ca="1">AND(VaBenefits[[#This Row],[timeFromValuation]]&gt;=ACT,VaBenefits[[#This Row],[Assumed Contract Value ]]&gt;0)</f>
        <v>1</v>
      </c>
      <c r="D32" s="20">
        <f>IF(OR(RIGHT(B32,2)="25",RIGHT(B32,2)="75"),0,VLOOKUP(VaBenefits[[#This Row],[timeFromValuation]],$AR$8:$BA$30,2,FALSE))</f>
        <v>0</v>
      </c>
      <c r="E32" s="20">
        <f>IF(OR(RIGHT(B32,2)="25",RIGHT(B32,2)="75"),0,VLOOKUP(VaBenefits[[#This Row],[timeFromValuation]],$AR$8:$BA$30,3,FALSE))</f>
        <v>0</v>
      </c>
      <c r="F32" s="20">
        <f ca="1">IF(OR(RIGHT(B32,2)="25",RIGHT(B32,2)="75"),OFFSET(VaBenefits[[#This Row],[Assumed Contract Value ]],-1,0),VLOOKUP(VaBenefits[[#This Row],[timeFromValuation]],$AR$8:$BA$30,4,FALSE))</f>
        <v>290000</v>
      </c>
      <c r="G32" s="96">
        <f>ROUND($G$8+VaBenefits[[#This Row],[timeFromValuation]],0)</f>
        <v>61</v>
      </c>
      <c r="H32" s="20">
        <f>ROUND($H$8+VaBenefits[[#This Row],[timeFromValuation]],0)</f>
        <v>71</v>
      </c>
      <c r="I32" s="27" t="b">
        <f>VaBenefits[[#This Row],[Withdrawal Taken  ]]&gt;0</f>
        <v>0</v>
      </c>
      <c r="J32" s="41">
        <f ca="1">IF(AND(NOT(VaBenefits[[#This Row],[Is Activation]]),VaBenefits[[#This Row],[Assumed Contract Value ]]&gt;0),VaBenefits[[#This Row],[Withdrawal Taken  ]]/VaBenefits[[#This Row],[Assumed Contract Value ]],0)</f>
        <v>0</v>
      </c>
      <c r="K3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2" s="27" t="b">
        <f ca="1">AND(VaBenefits[[#This Row],[Is Activation]],SUMIFS($E$8:$E32,$C$8:$C32,TRUE)&gt;0)</f>
        <v>1</v>
      </c>
      <c r="M3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2" s="32" t="b">
        <f>IF(VaBenefits[[#This Row],[timeFromValuation]]=0,0, MOD(VaBenefits[[#This Row],[timeFromValuation]],1)=0)</f>
        <v>1</v>
      </c>
      <c r="O32" s="7">
        <f ca="1">IF(VaBenefits[[#This Row],[Is Anniversary?]]=TRUE,VaBenefits[[#This Row],[Assumed Contract Value ]],0)</f>
        <v>290000</v>
      </c>
      <c r="P32" s="7">
        <f ca="1">(IF(VaBenefits[[#This Row],[Is Anniversary?]], MAX(OFFSET(VaBenefits[[#This Row],[Income Base]],-1,0)+VaBenefits[[#This Row],[Income Credit]],VaBenefits[[#This Row],[Anniversary Value  ]]),OFFSET(VaBenefits[[#This Row],[Income Base]],-1,0))+VaBenefits[[#This Row],[Purchase Payments]])*VaBenefits[[#This Row],[Withdrawal Penalty]]</f>
        <v>306669.74213325069</v>
      </c>
      <c r="Q32" s="7" t="b">
        <f ca="1">VaBenefits[[#This Row],[Assumed Contract Value ]]&lt;0.1</f>
        <v>0</v>
      </c>
      <c r="R3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2" s="7">
        <f ca="1">IF(AND(VaBenefits[[#This Row],[Is Activation]]=FALSE,VaBenefits[[#This Row],[Is Anniversary?]]=TRUE),OFFSET( VaBenefits[[#This Row],[Income Credit Base]],-1,0)*ICP,0)</f>
        <v>0</v>
      </c>
      <c r="T32" s="5">
        <f ca="1">IF(VaBenefits[[#This Row],[Assumed Contract Value ]]&gt;0,VaBenefits[[#This Row],[Income Base]]*MAWA,0)</f>
        <v>19166.858883328168</v>
      </c>
      <c r="U32" s="95">
        <f ca="1">IF(AND(VaBenefits[[#This Row],[Has Income Credit]],VaBenefits[[#This Row],[Is Anniversary?]],VaBenefits[[#This Row],[Joint Mortality tPxy for the partial year]]),VaBenefits[[#This Row],[Income Base]]*PIP,0)</f>
        <v>0</v>
      </c>
      <c r="V32" s="8">
        <f>1/(1+InterestRate)^VaBenefits[[#This Row],[timeFromValuation]]</f>
        <v>0.74621539663662761</v>
      </c>
      <c r="W32" s="90">
        <f>VaBenefits[[#This Row],[timeFromValuation]]</f>
        <v>6</v>
      </c>
      <c r="X32" s="91">
        <f>IF(($G$8+VaBenefits[[#This Row],[timeFromValuation]])&lt;=120,VLOOKUP(G32,Table2[],Qx!L$6,FALSE),0)</f>
        <v>0.99608399999999997</v>
      </c>
      <c r="Y32" s="91">
        <f>IF(($H$8+VaBenefits[[#This Row],[timeFromValuation]])&lt;=120,VLOOKUP(H32,Table2[],Qx!M$6,FALSE),0)</f>
        <v>0.98758199999999996</v>
      </c>
      <c r="Z32" s="91">
        <f>PRODUCT($X$8:$X32)</f>
        <v>0.93162864929912903</v>
      </c>
      <c r="AA32" s="91">
        <f>PRODUCT($Y$8:$Y32)</f>
        <v>0.77774530973289024</v>
      </c>
      <c r="AB32" s="91">
        <f>VaBenefits[[#This Row],[Primary Annuitant Px]]+VaBenefits[[#This Row],[Secondary Annuitant Py]]-VaBenefits[[#This Row],[Primary Annuitant Px]]*VaBenefits[[#This Row],[Secondary Annuitant Py]]</f>
        <v>0.99995137111200005</v>
      </c>
      <c r="AC32" s="91">
        <f>PRODUCT($AB$8:$AB32)</f>
        <v>0.99927216685521314</v>
      </c>
      <c r="AD32" s="97">
        <f ca="1">PV(1.03,20,-AD30)</f>
        <v>0</v>
      </c>
      <c r="AE32" s="130">
        <f ca="1">IF((AND(VaBenefits[[#This Row],[Is Anniversary?]],VaBenefits[[#This Row],[Assumed Contract Value ]]&lt;75000)),-50,0)</f>
        <v>0</v>
      </c>
      <c r="AF32" s="133">
        <f ca="1">VaBenefits[[#This Row],[Assumed Contract Value ]]*-1.15%/4</f>
        <v>-833.75</v>
      </c>
      <c r="AG32" s="129">
        <v>0</v>
      </c>
      <c r="AH32" s="131">
        <f ca="1">VaBenefits[[#This Row],[Maintenace Fee]]+VaBenefits[[#This Row],[Separate Account Charge]]+VaBenefits[[#This Row],[Rider Fee]]</f>
        <v>-833.75</v>
      </c>
      <c r="AR32" s="23">
        <f t="shared" si="3"/>
        <v>12</v>
      </c>
      <c r="AS32" s="24">
        <v>0</v>
      </c>
      <c r="AT32" s="24">
        <v>0</v>
      </c>
      <c r="AU32" s="22">
        <v>0</v>
      </c>
      <c r="AV32" s="16">
        <v>0</v>
      </c>
      <c r="AW32" s="14">
        <v>299982</v>
      </c>
      <c r="AX32" s="15">
        <v>0</v>
      </c>
      <c r="AY32" s="15">
        <v>0</v>
      </c>
      <c r="AZ32" s="14">
        <v>0</v>
      </c>
      <c r="BA32" s="17">
        <v>11999</v>
      </c>
    </row>
    <row r="33" spans="1:53" ht="15" thickBot="1" x14ac:dyDescent="0.35">
      <c r="A33" s="32">
        <f t="shared" si="0"/>
        <v>25</v>
      </c>
      <c r="B33" s="29">
        <f t="shared" si="1"/>
        <v>6.25</v>
      </c>
      <c r="C33" s="29" t="b">
        <f ca="1">AND(VaBenefits[[#This Row],[timeFromValuation]]&gt;=ACT,VaBenefits[[#This Row],[Assumed Contract Value ]]&gt;0)</f>
        <v>1</v>
      </c>
      <c r="D33" s="20">
        <f>IF(OR(RIGHT(B33,2)="25",RIGHT(B33,2)="75"),0,VLOOKUP(VaBenefits[[#This Row],[timeFromValuation]],$AR$8:$BA$30,2,FALSE))</f>
        <v>0</v>
      </c>
      <c r="E33" s="20">
        <f>IF(OR(RIGHT(B33,2)="25",RIGHT(B33,2)="75"),0,VLOOKUP(VaBenefits[[#This Row],[timeFromValuation]],$AR$8:$BA$30,3,FALSE))</f>
        <v>0</v>
      </c>
      <c r="F33" s="20">
        <f ca="1">IF(OR(RIGHT(B33,2)="25",RIGHT(B33,2)="75"),OFFSET(VaBenefits[[#This Row],[Assumed Contract Value ]],-1,0),VLOOKUP(VaBenefits[[#This Row],[timeFromValuation]],$AR$8:$BA$30,4,FALSE))</f>
        <v>290000</v>
      </c>
      <c r="G33" s="96">
        <f>ROUND($G$8+VaBenefits[[#This Row],[timeFromValuation]],0)</f>
        <v>61</v>
      </c>
      <c r="H33" s="20">
        <f>ROUND($H$8+VaBenefits[[#This Row],[timeFromValuation]],0)</f>
        <v>71</v>
      </c>
      <c r="I33" s="27" t="b">
        <f>VaBenefits[[#This Row],[Withdrawal Taken  ]]&gt;0</f>
        <v>0</v>
      </c>
      <c r="J33" s="41">
        <f ca="1">IF(AND(NOT(VaBenefits[[#This Row],[Is Activation]]),VaBenefits[[#This Row],[Assumed Contract Value ]]&gt;0),VaBenefits[[#This Row],[Withdrawal Taken  ]]/VaBenefits[[#This Row],[Assumed Contract Value ]],0)</f>
        <v>0</v>
      </c>
      <c r="K3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3" s="27" t="b">
        <f ca="1">AND(VaBenefits[[#This Row],[Is Activation]],SUMIFS($E$8:$E33,$C$8:$C33,TRUE)&gt;0)</f>
        <v>1</v>
      </c>
      <c r="M3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3" s="32" t="b">
        <f>IF(VaBenefits[[#This Row],[timeFromValuation]]=0,0, MOD(VaBenefits[[#This Row],[timeFromValuation]],1)=0)</f>
        <v>0</v>
      </c>
      <c r="O33" s="7">
        <f>IF(VaBenefits[[#This Row],[Is Anniversary?]]=TRUE,VaBenefits[[#This Row],[Assumed Contract Value ]],0)</f>
        <v>0</v>
      </c>
      <c r="P33" s="7">
        <f ca="1">(IF(VaBenefits[[#This Row],[Is Anniversary?]], MAX(OFFSET(VaBenefits[[#This Row],[Income Base]],-1,0)+VaBenefits[[#This Row],[Income Credit]],VaBenefits[[#This Row],[Anniversary Value  ]]),OFFSET(VaBenefits[[#This Row],[Income Base]],-1,0))+VaBenefits[[#This Row],[Purchase Payments]])*VaBenefits[[#This Row],[Withdrawal Penalty]]</f>
        <v>306669.74213325069</v>
      </c>
      <c r="Q33" s="7" t="b">
        <f ca="1">VaBenefits[[#This Row],[Assumed Contract Value ]]&lt;0.1</f>
        <v>0</v>
      </c>
      <c r="R3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3" s="7">
        <f ca="1">IF(AND(VaBenefits[[#This Row],[Is Activation]]=FALSE,VaBenefits[[#This Row],[Is Anniversary?]]=TRUE),OFFSET( VaBenefits[[#This Row],[Income Credit Base]],-1,0)*ICP,0)</f>
        <v>0</v>
      </c>
      <c r="T33" s="5">
        <f ca="1">IF(VaBenefits[[#This Row],[Assumed Contract Value ]]&gt;0,VaBenefits[[#This Row],[Income Base]]*MAWA,0)</f>
        <v>19166.858883328168</v>
      </c>
      <c r="U33" s="95">
        <f ca="1">IF(AND(VaBenefits[[#This Row],[Has Income Credit]],VaBenefits[[#This Row],[Is Anniversary?]],VaBenefits[[#This Row],[Joint Mortality tPxy for the partial year]]),VaBenefits[[#This Row],[Income Base]]*PIP,0)</f>
        <v>0</v>
      </c>
      <c r="V33" s="8">
        <f>1/(1+InterestRate)^VaBenefits[[#This Row],[timeFromValuation]]</f>
        <v>0.73716868966333127</v>
      </c>
      <c r="W33" s="90">
        <f>VaBenefits[[#This Row],[timeFromValuation]]</f>
        <v>6.25</v>
      </c>
      <c r="X33" s="91">
        <f>IF(($G$8+VaBenefits[[#This Row],[timeFromValuation]])&lt;=120,VLOOKUP(G33,Table2[],Qx!L$6,FALSE),0)</f>
        <v>0.99608399999999997</v>
      </c>
      <c r="Y33" s="91">
        <f>IF(($H$8+VaBenefits[[#This Row],[timeFromValuation]])&lt;=120,VLOOKUP(H33,Table2[],Qx!M$6,FALSE),0)</f>
        <v>0.98758199999999996</v>
      </c>
      <c r="Z33" s="91">
        <f>PRODUCT($X$8:$X33)</f>
        <v>0.92798039150847367</v>
      </c>
      <c r="AA33" s="91">
        <f>PRODUCT($Y$8:$Y33)</f>
        <v>0.76808726847662723</v>
      </c>
      <c r="AB33" s="91">
        <f>VaBenefits[[#This Row],[Primary Annuitant Px]]+VaBenefits[[#This Row],[Secondary Annuitant Py]]-VaBenefits[[#This Row],[Primary Annuitant Px]]*VaBenefits[[#This Row],[Secondary Annuitant Py]]</f>
        <v>0.99995137111200005</v>
      </c>
      <c r="AC33" s="91">
        <f>PRODUCT($AB$8:$AB33)</f>
        <v>0.99922357336092971</v>
      </c>
      <c r="AD33" s="97">
        <f t="shared" ref="AD33:AD96" ca="1" si="14">PV(1.03,20,-AD31)</f>
        <v>0</v>
      </c>
      <c r="AE33" s="130">
        <f ca="1">IF((AND(VaBenefits[[#This Row],[Is Anniversary?]],VaBenefits[[#This Row],[Assumed Contract Value ]]&lt;75000)),-50,0)</f>
        <v>0</v>
      </c>
      <c r="AF33" s="133">
        <f ca="1">VaBenefits[[#This Row],[Assumed Contract Value ]]*-1.15%/4</f>
        <v>-833.75</v>
      </c>
      <c r="AG33" s="129">
        <v>0</v>
      </c>
      <c r="AH33" s="131">
        <f ca="1">VaBenefits[[#This Row],[Maintenace Fee]]+VaBenefits[[#This Row],[Separate Account Charge]]+VaBenefits[[#This Row],[Rider Fee]]</f>
        <v>-833.75</v>
      </c>
      <c r="AR33" s="23">
        <f t="shared" si="3"/>
        <v>12.5</v>
      </c>
      <c r="AS33" s="24">
        <v>0</v>
      </c>
      <c r="AT33" s="24">
        <v>0</v>
      </c>
      <c r="AU33" s="22">
        <v>0</v>
      </c>
      <c r="AV33" s="16">
        <v>0</v>
      </c>
      <c r="AW33" s="14">
        <v>299982</v>
      </c>
      <c r="AX33" s="15">
        <v>0</v>
      </c>
      <c r="AY33" s="15">
        <v>0</v>
      </c>
      <c r="AZ33" s="14">
        <v>0</v>
      </c>
      <c r="BA33" s="17">
        <v>11999</v>
      </c>
    </row>
    <row r="34" spans="1:53" ht="15" thickBot="1" x14ac:dyDescent="0.35">
      <c r="A34" s="32">
        <f t="shared" si="0"/>
        <v>26</v>
      </c>
      <c r="B34" s="29">
        <f t="shared" si="1"/>
        <v>6.5</v>
      </c>
      <c r="C34" s="29" t="b">
        <f ca="1">AND(VaBenefits[[#This Row],[timeFromValuation]]&gt;=ACT,VaBenefits[[#This Row],[Assumed Contract Value ]]&gt;0)</f>
        <v>1</v>
      </c>
      <c r="D34" s="20">
        <f>IF(OR(RIGHT(B34,2)="25",RIGHT(B34,2)="75"),0,VLOOKUP(VaBenefits[[#This Row],[timeFromValuation]],$AR$8:$BA$30,2,FALSE))</f>
        <v>0</v>
      </c>
      <c r="E34" s="20">
        <f>IF(OR(RIGHT(B34,2)="25",RIGHT(B34,2)="75"),0,VLOOKUP(VaBenefits[[#This Row],[timeFromValuation]],$AR$8:$BA$30,3,FALSE))</f>
        <v>24483</v>
      </c>
      <c r="F34" s="20">
        <f ca="1">IF(OR(RIGHT(B34,2)="25",RIGHT(B34,2)="75"),OFFSET(VaBenefits[[#This Row],[Assumed Contract Value ]],-1,0),VLOOKUP(VaBenefits[[#This Row],[timeFromValuation]],$AR$8:$BA$30,4,FALSE))</f>
        <v>260000</v>
      </c>
      <c r="G34" s="96">
        <f>ROUND($G$8+VaBenefits[[#This Row],[timeFromValuation]],0)</f>
        <v>62</v>
      </c>
      <c r="H34" s="20">
        <f>ROUND($H$8+VaBenefits[[#This Row],[timeFromValuation]],0)</f>
        <v>72</v>
      </c>
      <c r="I34" s="27" t="b">
        <f>VaBenefits[[#This Row],[Withdrawal Taken  ]]&gt;0</f>
        <v>1</v>
      </c>
      <c r="J34" s="41">
        <f ca="1">IF(AND(NOT(VaBenefits[[#This Row],[Is Activation]]),VaBenefits[[#This Row],[Assumed Contract Value ]]&gt;0),VaBenefits[[#This Row],[Withdrawal Taken  ]]/VaBenefits[[#This Row],[Assumed Contract Value ]],0)</f>
        <v>0</v>
      </c>
      <c r="K3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1.9628842669522851E-2</v>
      </c>
      <c r="L34" s="27" t="b">
        <f ca="1">AND(VaBenefits[[#This Row],[Is Activation]],SUMIFS($E$8:$E34,$C$8:$C34,TRUE)&gt;0)</f>
        <v>1</v>
      </c>
      <c r="M3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0.98037115733047719</v>
      </c>
      <c r="N34" s="32" t="b">
        <f>IF(VaBenefits[[#This Row],[timeFromValuation]]=0,0, MOD(VaBenefits[[#This Row],[timeFromValuation]],1)=0)</f>
        <v>0</v>
      </c>
      <c r="O34" s="7">
        <f>IF(VaBenefits[[#This Row],[Is Anniversary?]]=TRUE,VaBenefits[[#This Row],[Assumed Contract Value ]],0)</f>
        <v>0</v>
      </c>
      <c r="P3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4" s="7" t="b">
        <f ca="1">VaBenefits[[#This Row],[Assumed Contract Value ]]&lt;0.1</f>
        <v>0</v>
      </c>
      <c r="R3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4" s="7">
        <f ca="1">IF(AND(VaBenefits[[#This Row],[Is Activation]]=FALSE,VaBenefits[[#This Row],[Is Anniversary?]]=TRUE),OFFSET( VaBenefits[[#This Row],[Income Credit Base]],-1,0)*ICP,0)</f>
        <v>0</v>
      </c>
      <c r="T34" s="5">
        <f ca="1">IF(VaBenefits[[#This Row],[Assumed Contract Value ]]&gt;0,VaBenefits[[#This Row],[Income Base]]*MAWA,0)</f>
        <v>18790.635625838375</v>
      </c>
      <c r="U34" s="95">
        <f ca="1">IF(AND(VaBenefits[[#This Row],[Has Income Credit]],VaBenefits[[#This Row],[Is Anniversary?]],VaBenefits[[#This Row],[Joint Mortality tPxy for the partial year]]),VaBenefits[[#This Row],[Income Base]]*PIP,0)</f>
        <v>0</v>
      </c>
      <c r="V34" s="8">
        <f>1/(1+InterestRate)^VaBenefits[[#This Row],[timeFromValuation]]</f>
        <v>0.72823166001300332</v>
      </c>
      <c r="W34" s="90">
        <f>VaBenefits[[#This Row],[timeFromValuation]]</f>
        <v>6.5</v>
      </c>
      <c r="X34" s="91">
        <f>IF(($G$8+VaBenefits[[#This Row],[timeFromValuation]])&lt;=120,VLOOKUP(G34,Table2[],Qx!L$6,FALSE),0)</f>
        <v>0.995591</v>
      </c>
      <c r="Y34" s="91">
        <f>IF(($H$8+VaBenefits[[#This Row],[timeFromValuation]])&lt;=120,VLOOKUP(H34,Table2[],Qx!M$6,FALSE),0)</f>
        <v>0.98632500000000001</v>
      </c>
      <c r="Z34" s="91">
        <f>PRODUCT($X$8:$X34)</f>
        <v>0.92388892596231276</v>
      </c>
      <c r="AA34" s="91">
        <f>PRODUCT($Y$8:$Y34)</f>
        <v>0.75758367508020941</v>
      </c>
      <c r="AB34" s="91">
        <f>VaBenefits[[#This Row],[Primary Annuitant Px]]+VaBenefits[[#This Row],[Secondary Annuitant Py]]-VaBenefits[[#This Row],[Primary Annuitant Px]]*VaBenefits[[#This Row],[Secondary Annuitant Py]]</f>
        <v>0.999939706925</v>
      </c>
      <c r="AC34" s="91">
        <f>PRODUCT($AB$8:$AB34)</f>
        <v>0.99916332709907929</v>
      </c>
      <c r="AD34" s="97">
        <f t="shared" ca="1" si="14"/>
        <v>0</v>
      </c>
      <c r="AE34" s="130">
        <f ca="1">IF((AND(VaBenefits[[#This Row],[Is Anniversary?]],VaBenefits[[#This Row],[Assumed Contract Value ]]&lt;75000)),-50,0)</f>
        <v>0</v>
      </c>
      <c r="AF34" s="133">
        <f ca="1">VaBenefits[[#This Row],[Assumed Contract Value ]]*-1.15%/4</f>
        <v>-747.5</v>
      </c>
      <c r="AG34" s="129">
        <v>0</v>
      </c>
      <c r="AH34" s="131">
        <f ca="1">VaBenefits[[#This Row],[Maintenace Fee]]+VaBenefits[[#This Row],[Separate Account Charge]]+VaBenefits[[#This Row],[Rider Fee]]</f>
        <v>-747.5</v>
      </c>
      <c r="AR34" s="23">
        <f t="shared" si="3"/>
        <v>13</v>
      </c>
      <c r="AS34" s="24">
        <v>0</v>
      </c>
      <c r="AT34" s="24">
        <v>0</v>
      </c>
      <c r="AU34" s="22">
        <v>0</v>
      </c>
      <c r="AV34" s="16">
        <v>0</v>
      </c>
      <c r="AW34" s="14">
        <v>299982</v>
      </c>
      <c r="AX34" s="15">
        <v>0</v>
      </c>
      <c r="AY34" s="15">
        <v>0</v>
      </c>
      <c r="AZ34" s="14">
        <v>0</v>
      </c>
      <c r="BA34" s="17">
        <v>11999</v>
      </c>
    </row>
    <row r="35" spans="1:53" ht="15" thickBot="1" x14ac:dyDescent="0.35">
      <c r="A35" s="32">
        <f t="shared" si="0"/>
        <v>27</v>
      </c>
      <c r="B35" s="29">
        <f t="shared" si="1"/>
        <v>6.75</v>
      </c>
      <c r="C35" s="29" t="b">
        <f ca="1">AND(VaBenefits[[#This Row],[timeFromValuation]]&gt;=ACT,VaBenefits[[#This Row],[Assumed Contract Value ]]&gt;0)</f>
        <v>1</v>
      </c>
      <c r="D35" s="20">
        <f>IF(OR(RIGHT(B35,2)="25",RIGHT(B35,2)="75"),0,VLOOKUP(VaBenefits[[#This Row],[timeFromValuation]],$AR$8:$BA$30,2,FALSE))</f>
        <v>0</v>
      </c>
      <c r="E35" s="20">
        <f>IF(OR(RIGHT(B35,2)="25",RIGHT(B35,2)="75"),0,VLOOKUP(VaBenefits[[#This Row],[timeFromValuation]],$AR$8:$BA$30,3,FALSE))</f>
        <v>0</v>
      </c>
      <c r="F35" s="20">
        <f ca="1">IF(OR(RIGHT(B35,2)="25",RIGHT(B35,2)="75"),OFFSET(VaBenefits[[#This Row],[Assumed Contract Value ]],-1,0),VLOOKUP(VaBenefits[[#This Row],[timeFromValuation]],$AR$8:$BA$30,4,FALSE))</f>
        <v>260000</v>
      </c>
      <c r="G35" s="96">
        <f>ROUND($G$8+VaBenefits[[#This Row],[timeFromValuation]],0)</f>
        <v>62</v>
      </c>
      <c r="H35" s="20">
        <f>ROUND($H$8+VaBenefits[[#This Row],[timeFromValuation]],0)</f>
        <v>72</v>
      </c>
      <c r="I35" s="27" t="b">
        <f>VaBenefits[[#This Row],[Withdrawal Taken  ]]&gt;0</f>
        <v>0</v>
      </c>
      <c r="J35" s="41">
        <f ca="1">IF(AND(NOT(VaBenefits[[#This Row],[Is Activation]]),VaBenefits[[#This Row],[Assumed Contract Value ]]&gt;0),VaBenefits[[#This Row],[Withdrawal Taken  ]]/VaBenefits[[#This Row],[Assumed Contract Value ]],0)</f>
        <v>0</v>
      </c>
      <c r="K3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5" s="27" t="b">
        <f ca="1">AND(VaBenefits[[#This Row],[Is Activation]],SUMIFS($E$8:$E35,$C$8:$C35,TRUE)&gt;0)</f>
        <v>1</v>
      </c>
      <c r="M3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5" s="32" t="b">
        <f>IF(VaBenefits[[#This Row],[timeFromValuation]]=0,0, MOD(VaBenefits[[#This Row],[timeFromValuation]],1)=0)</f>
        <v>0</v>
      </c>
      <c r="O35" s="7">
        <f>IF(VaBenefits[[#This Row],[Is Anniversary?]]=TRUE,VaBenefits[[#This Row],[Assumed Contract Value ]],0)</f>
        <v>0</v>
      </c>
      <c r="P3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5" s="7" t="b">
        <f ca="1">VaBenefits[[#This Row],[Assumed Contract Value ]]&lt;0.1</f>
        <v>0</v>
      </c>
      <c r="R3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5" s="7">
        <f ca="1">IF(AND(VaBenefits[[#This Row],[Is Activation]]=FALSE,VaBenefits[[#This Row],[Is Anniversary?]]=TRUE),OFFSET( VaBenefits[[#This Row],[Income Credit Base]],-1,0)*ICP,0)</f>
        <v>0</v>
      </c>
      <c r="T35" s="5">
        <f ca="1">IF(VaBenefits[[#This Row],[Assumed Contract Value ]]&gt;0,VaBenefits[[#This Row],[Income Base]]*MAWA,0)</f>
        <v>18790.635625838375</v>
      </c>
      <c r="U35" s="95">
        <f ca="1">IF(AND(VaBenefits[[#This Row],[Has Income Credit]],VaBenefits[[#This Row],[Is Anniversary?]],VaBenefits[[#This Row],[Joint Mortality tPxy for the partial year]]),VaBenefits[[#This Row],[Income Base]]*PIP,0)</f>
        <v>0</v>
      </c>
      <c r="V35" s="8">
        <f>1/(1+InterestRate)^VaBenefits[[#This Row],[timeFromValuation]]</f>
        <v>0.71940297801781972</v>
      </c>
      <c r="W35" s="90">
        <f>VaBenefits[[#This Row],[timeFromValuation]]</f>
        <v>6.75</v>
      </c>
      <c r="X35" s="91">
        <f>IF(($G$8+VaBenefits[[#This Row],[timeFromValuation]])&lt;=120,VLOOKUP(G35,Table2[],Qx!L$6,FALSE),0)</f>
        <v>0.995591</v>
      </c>
      <c r="Y35" s="91">
        <f>IF(($H$8+VaBenefits[[#This Row],[timeFromValuation]])&lt;=120,VLOOKUP(H35,Table2[],Qx!M$6,FALSE),0)</f>
        <v>0.98632500000000001</v>
      </c>
      <c r="Z35" s="91">
        <f>PRODUCT($X$8:$X35)</f>
        <v>0.9198154996877449</v>
      </c>
      <c r="AA35" s="91">
        <f>PRODUCT($Y$8:$Y35)</f>
        <v>0.74722371832348755</v>
      </c>
      <c r="AB35" s="91">
        <f>VaBenefits[[#This Row],[Primary Annuitant Px]]+VaBenefits[[#This Row],[Secondary Annuitant Py]]-VaBenefits[[#This Row],[Primary Annuitant Px]]*VaBenefits[[#This Row],[Secondary Annuitant Py]]</f>
        <v>0.999939706925</v>
      </c>
      <c r="AC35" s="91">
        <f>PRODUCT($AB$8:$AB35)</f>
        <v>0.99910308446966123</v>
      </c>
      <c r="AD35" s="97">
        <f t="shared" ca="1" si="14"/>
        <v>0</v>
      </c>
      <c r="AE35" s="130">
        <f ca="1">IF((AND(VaBenefits[[#This Row],[Is Anniversary?]],VaBenefits[[#This Row],[Assumed Contract Value ]]&lt;75000)),-50,0)</f>
        <v>0</v>
      </c>
      <c r="AF35" s="133">
        <f ca="1">VaBenefits[[#This Row],[Assumed Contract Value ]]*-1.15%/4</f>
        <v>-747.5</v>
      </c>
      <c r="AG35" s="129">
        <v>0</v>
      </c>
      <c r="AH35" s="131">
        <f ca="1">VaBenefits[[#This Row],[Maintenace Fee]]+VaBenefits[[#This Row],[Separate Account Charge]]+VaBenefits[[#This Row],[Rider Fee]]</f>
        <v>-747.5</v>
      </c>
      <c r="AR35" s="23">
        <f t="shared" si="3"/>
        <v>13.5</v>
      </c>
      <c r="AS35" s="24">
        <v>0</v>
      </c>
      <c r="AT35" s="24">
        <v>0</v>
      </c>
      <c r="AU35" s="22">
        <v>0</v>
      </c>
      <c r="AV35" s="16">
        <v>0</v>
      </c>
      <c r="AW35" s="14">
        <v>299982</v>
      </c>
      <c r="AX35" s="15">
        <v>0</v>
      </c>
      <c r="AY35" s="15">
        <v>0</v>
      </c>
      <c r="AZ35" s="14">
        <v>0</v>
      </c>
      <c r="BA35" s="17">
        <v>11999</v>
      </c>
    </row>
    <row r="36" spans="1:53" ht="15" thickBot="1" x14ac:dyDescent="0.35">
      <c r="A36" s="32">
        <f t="shared" si="0"/>
        <v>28</v>
      </c>
      <c r="B36" s="29">
        <f t="shared" si="1"/>
        <v>7</v>
      </c>
      <c r="C36" s="29" t="b">
        <f ca="1">AND(VaBenefits[[#This Row],[timeFromValuation]]&gt;=ACT,VaBenefits[[#This Row],[Assumed Contract Value ]]&gt;0)</f>
        <v>1</v>
      </c>
      <c r="D36" s="20">
        <f>IF(OR(RIGHT(B36,2)="25",RIGHT(B36,2)="75"),0,VLOOKUP(VaBenefits[[#This Row],[timeFromValuation]],$AR$8:$BA$30,2,FALSE))</f>
        <v>0</v>
      </c>
      <c r="E36" s="20">
        <f>IF(OR(RIGHT(B36,2)="25",RIGHT(B36,2)="75"),0,VLOOKUP(VaBenefits[[#This Row],[timeFromValuation]],$AR$8:$BA$30,3,FALSE))</f>
        <v>0</v>
      </c>
      <c r="F36" s="20">
        <f ca="1">IF(OR(RIGHT(B36,2)="25",RIGHT(B36,2)="75"),OFFSET(VaBenefits[[#This Row],[Assumed Contract Value ]],-1,0),VLOOKUP(VaBenefits[[#This Row],[timeFromValuation]],$AR$8:$BA$30,4,FALSE))</f>
        <v>230000</v>
      </c>
      <c r="G36" s="96">
        <f>ROUND($G$8+VaBenefits[[#This Row],[timeFromValuation]],0)</f>
        <v>62</v>
      </c>
      <c r="H36" s="20">
        <f>ROUND($H$8+VaBenefits[[#This Row],[timeFromValuation]],0)</f>
        <v>72</v>
      </c>
      <c r="I36" s="27" t="b">
        <f>VaBenefits[[#This Row],[Withdrawal Taken  ]]&gt;0</f>
        <v>0</v>
      </c>
      <c r="J36" s="41">
        <f ca="1">IF(AND(NOT(VaBenefits[[#This Row],[Is Activation]]),VaBenefits[[#This Row],[Assumed Contract Value ]]&gt;0),VaBenefits[[#This Row],[Withdrawal Taken  ]]/VaBenefits[[#This Row],[Assumed Contract Value ]],0)</f>
        <v>0</v>
      </c>
      <c r="K3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6" s="27" t="b">
        <f ca="1">AND(VaBenefits[[#This Row],[Is Activation]],SUMIFS($E$8:$E36,$C$8:$C36,TRUE)&gt;0)</f>
        <v>1</v>
      </c>
      <c r="M3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6" s="32" t="b">
        <f>IF(VaBenefits[[#This Row],[timeFromValuation]]=0,0, MOD(VaBenefits[[#This Row],[timeFromValuation]],1)=0)</f>
        <v>1</v>
      </c>
      <c r="O36" s="7">
        <f ca="1">IF(VaBenefits[[#This Row],[Is Anniversary?]]=TRUE,VaBenefits[[#This Row],[Assumed Contract Value ]],0)</f>
        <v>230000</v>
      </c>
      <c r="P3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6" s="7" t="b">
        <f ca="1">VaBenefits[[#This Row],[Assumed Contract Value ]]&lt;0.1</f>
        <v>0</v>
      </c>
      <c r="R3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6" s="7">
        <f ca="1">IF(AND(VaBenefits[[#This Row],[Is Activation]]=FALSE,VaBenefits[[#This Row],[Is Anniversary?]]=TRUE),OFFSET( VaBenefits[[#This Row],[Income Credit Base]],-1,0)*ICP,0)</f>
        <v>0</v>
      </c>
      <c r="T36" s="5">
        <f ca="1">IF(VaBenefits[[#This Row],[Assumed Contract Value ]]&gt;0,VaBenefits[[#This Row],[Income Base]]*MAWA,0)</f>
        <v>18790.635625838375</v>
      </c>
      <c r="U36" s="95">
        <f ca="1">IF(AND(VaBenefits[[#This Row],[Has Income Credit]],VaBenefits[[#This Row],[Is Anniversary?]],VaBenefits[[#This Row],[Joint Mortality tPxy for the partial year]]),VaBenefits[[#This Row],[Income Base]]*PIP,0)</f>
        <v>0</v>
      </c>
      <c r="V36" s="8">
        <f>1/(1+InterestRate)^VaBenefits[[#This Row],[timeFromValuation]]</f>
        <v>0.71068133013012147</v>
      </c>
      <c r="W36" s="90">
        <f>VaBenefits[[#This Row],[timeFromValuation]]</f>
        <v>7</v>
      </c>
      <c r="X36" s="91">
        <f>IF(($G$8+VaBenefits[[#This Row],[timeFromValuation]])&lt;=120,VLOOKUP(G36,Table2[],Qx!L$6,FALSE),0)</f>
        <v>0.995591</v>
      </c>
      <c r="Y36" s="91">
        <f>IF(($H$8+VaBenefits[[#This Row],[timeFromValuation]])&lt;=120,VLOOKUP(H36,Table2[],Qx!M$6,FALSE),0)</f>
        <v>0.98632500000000001</v>
      </c>
      <c r="Z36" s="91">
        <f>PRODUCT($X$8:$X36)</f>
        <v>0.91576003314962162</v>
      </c>
      <c r="AA36" s="91">
        <f>PRODUCT($Y$8:$Y36)</f>
        <v>0.73700543397541385</v>
      </c>
      <c r="AB36" s="91">
        <f>VaBenefits[[#This Row],[Primary Annuitant Px]]+VaBenefits[[#This Row],[Secondary Annuitant Py]]-VaBenefits[[#This Row],[Primary Annuitant Px]]*VaBenefits[[#This Row],[Secondary Annuitant Py]]</f>
        <v>0.999939706925</v>
      </c>
      <c r="AC36" s="91">
        <f>PRODUCT($AB$8:$AB36)</f>
        <v>0.99904284547245659</v>
      </c>
      <c r="AD36" s="97">
        <f t="shared" ca="1" si="14"/>
        <v>0</v>
      </c>
      <c r="AE36" s="130">
        <f ca="1">IF((AND(VaBenefits[[#This Row],[Is Anniversary?]],VaBenefits[[#This Row],[Assumed Contract Value ]]&lt;75000)),-50,0)</f>
        <v>0</v>
      </c>
      <c r="AF36" s="133">
        <f ca="1">VaBenefits[[#This Row],[Assumed Contract Value ]]*-1.15%/4</f>
        <v>-661.25</v>
      </c>
      <c r="AG36" s="129">
        <v>0</v>
      </c>
      <c r="AH36" s="131">
        <f ca="1">VaBenefits[[#This Row],[Maintenace Fee]]+VaBenefits[[#This Row],[Separate Account Charge]]+VaBenefits[[#This Row],[Rider Fee]]</f>
        <v>-661.25</v>
      </c>
      <c r="AR36" s="23">
        <f t="shared" si="3"/>
        <v>14</v>
      </c>
      <c r="AS36" s="24">
        <v>0</v>
      </c>
      <c r="AT36" s="24">
        <v>0</v>
      </c>
      <c r="AU36" s="22">
        <v>0</v>
      </c>
      <c r="AV36" s="16">
        <v>0</v>
      </c>
      <c r="AW36" s="14">
        <v>299982</v>
      </c>
      <c r="AX36" s="15">
        <v>0</v>
      </c>
      <c r="AY36" s="15">
        <v>0</v>
      </c>
      <c r="AZ36" s="14">
        <v>0</v>
      </c>
      <c r="BA36" s="17">
        <v>11999</v>
      </c>
    </row>
    <row r="37" spans="1:53" ht="15" thickBot="1" x14ac:dyDescent="0.35">
      <c r="A37" s="32">
        <f t="shared" si="0"/>
        <v>29</v>
      </c>
      <c r="B37" s="29">
        <f t="shared" si="1"/>
        <v>7.25</v>
      </c>
      <c r="C37" s="29" t="b">
        <f ca="1">AND(VaBenefits[[#This Row],[timeFromValuation]]&gt;=ACT,VaBenefits[[#This Row],[Assumed Contract Value ]]&gt;0)</f>
        <v>1</v>
      </c>
      <c r="D37" s="20">
        <f>IF(OR(RIGHT(B37,2)="25",RIGHT(B37,2)="75"),0,VLOOKUP(VaBenefits[[#This Row],[timeFromValuation]],$AR$8:$BA$30,2,FALSE))</f>
        <v>0</v>
      </c>
      <c r="E37" s="20">
        <f>IF(OR(RIGHT(B37,2)="25",RIGHT(B37,2)="75"),0,VLOOKUP(VaBenefits[[#This Row],[timeFromValuation]],$AR$8:$BA$30,3,FALSE))</f>
        <v>0</v>
      </c>
      <c r="F37" s="20">
        <f ca="1">IF(OR(RIGHT(B37,2)="25",RIGHT(B37,2)="75"),OFFSET(VaBenefits[[#This Row],[Assumed Contract Value ]],-1,0),VLOOKUP(VaBenefits[[#This Row],[timeFromValuation]],$AR$8:$BA$30,4,FALSE))</f>
        <v>230000</v>
      </c>
      <c r="G37" s="96">
        <f>ROUND($G$8+VaBenefits[[#This Row],[timeFromValuation]],0)</f>
        <v>62</v>
      </c>
      <c r="H37" s="20">
        <f>ROUND($H$8+VaBenefits[[#This Row],[timeFromValuation]],0)</f>
        <v>72</v>
      </c>
      <c r="I37" s="27" t="b">
        <f>VaBenefits[[#This Row],[Withdrawal Taken  ]]&gt;0</f>
        <v>0</v>
      </c>
      <c r="J37" s="41">
        <f ca="1">IF(AND(NOT(VaBenefits[[#This Row],[Is Activation]]),VaBenefits[[#This Row],[Assumed Contract Value ]]&gt;0),VaBenefits[[#This Row],[Withdrawal Taken  ]]/VaBenefits[[#This Row],[Assumed Contract Value ]],0)</f>
        <v>0</v>
      </c>
      <c r="K3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7" s="27" t="b">
        <f ca="1">AND(VaBenefits[[#This Row],[Is Activation]],SUMIFS($E$8:$E37,$C$8:$C37,TRUE)&gt;0)</f>
        <v>1</v>
      </c>
      <c r="M3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7" s="32" t="b">
        <f>IF(VaBenefits[[#This Row],[timeFromValuation]]=0,0, MOD(VaBenefits[[#This Row],[timeFromValuation]],1)=0)</f>
        <v>0</v>
      </c>
      <c r="O37" s="7">
        <f>IF(VaBenefits[[#This Row],[Is Anniversary?]]=TRUE,VaBenefits[[#This Row],[Assumed Contract Value ]],0)</f>
        <v>0</v>
      </c>
      <c r="P3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7" s="7" t="b">
        <f ca="1">VaBenefits[[#This Row],[Assumed Contract Value ]]&lt;0.1</f>
        <v>0</v>
      </c>
      <c r="R3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7" s="7">
        <f ca="1">IF(AND(VaBenefits[[#This Row],[Is Activation]]=FALSE,VaBenefits[[#This Row],[Is Anniversary?]]=TRUE),OFFSET( VaBenefits[[#This Row],[Income Credit Base]],-1,0)*ICP,0)</f>
        <v>0</v>
      </c>
      <c r="T37" s="5">
        <f ca="1">IF(VaBenefits[[#This Row],[Assumed Contract Value ]]&gt;0,VaBenefits[[#This Row],[Income Base]]*MAWA,0)</f>
        <v>18790.635625838375</v>
      </c>
      <c r="U37" s="95">
        <f ca="1">IF(AND(VaBenefits[[#This Row],[Has Income Credit]],VaBenefits[[#This Row],[Is Anniversary?]],VaBenefits[[#This Row],[Joint Mortality tPxy for the partial year]]),VaBenefits[[#This Row],[Income Base]]*PIP,0)</f>
        <v>0</v>
      </c>
      <c r="V37" s="8">
        <f>1/(1+InterestRate)^VaBenefits[[#This Row],[timeFromValuation]]</f>
        <v>0.70206541872698214</v>
      </c>
      <c r="W37" s="90">
        <f>VaBenefits[[#This Row],[timeFromValuation]]</f>
        <v>7.25</v>
      </c>
      <c r="X37" s="91">
        <f>IF(($G$8+VaBenefits[[#This Row],[timeFromValuation]])&lt;=120,VLOOKUP(G37,Table2[],Qx!L$6,FALSE),0)</f>
        <v>0.995591</v>
      </c>
      <c r="Y37" s="91">
        <f>IF(($H$8+VaBenefits[[#This Row],[timeFromValuation]])&lt;=120,VLOOKUP(H37,Table2[],Qx!M$6,FALSE),0)</f>
        <v>0.98632500000000001</v>
      </c>
      <c r="Z37" s="91">
        <f>PRODUCT($X$8:$X37)</f>
        <v>0.91172244716346496</v>
      </c>
      <c r="AA37" s="91">
        <f>PRODUCT($Y$8:$Y37)</f>
        <v>0.72692688466580002</v>
      </c>
      <c r="AB37" s="91">
        <f>VaBenefits[[#This Row],[Primary Annuitant Px]]+VaBenefits[[#This Row],[Secondary Annuitant Py]]-VaBenefits[[#This Row],[Primary Annuitant Px]]*VaBenefits[[#This Row],[Secondary Annuitant Py]]</f>
        <v>0.999939706925</v>
      </c>
      <c r="AC37" s="91">
        <f>PRODUCT($AB$8:$AB37)</f>
        <v>0.99898261010724632</v>
      </c>
      <c r="AD37" s="97">
        <f t="shared" ca="1" si="14"/>
        <v>0</v>
      </c>
      <c r="AE37" s="130">
        <f ca="1">IF((AND(VaBenefits[[#This Row],[Is Anniversary?]],VaBenefits[[#This Row],[Assumed Contract Value ]]&lt;75000)),-50,0)</f>
        <v>0</v>
      </c>
      <c r="AF37" s="133">
        <f ca="1">VaBenefits[[#This Row],[Assumed Contract Value ]]*-1.15%/4</f>
        <v>-661.25</v>
      </c>
      <c r="AG37" s="129">
        <v>0</v>
      </c>
      <c r="AH37" s="131">
        <f ca="1">VaBenefits[[#This Row],[Maintenace Fee]]+VaBenefits[[#This Row],[Separate Account Charge]]+VaBenefits[[#This Row],[Rider Fee]]</f>
        <v>-661.25</v>
      </c>
      <c r="AR37" s="23">
        <f t="shared" si="3"/>
        <v>14.5</v>
      </c>
      <c r="AS37" s="24">
        <v>0</v>
      </c>
      <c r="AT37" s="24">
        <v>0</v>
      </c>
      <c r="AU37" s="22">
        <v>0</v>
      </c>
      <c r="AV37" s="16">
        <v>0</v>
      </c>
      <c r="AW37" s="14">
        <v>299982</v>
      </c>
      <c r="AX37" s="15">
        <v>0</v>
      </c>
      <c r="AY37" s="15">
        <v>0</v>
      </c>
      <c r="AZ37" s="14">
        <v>0</v>
      </c>
      <c r="BA37" s="17">
        <v>11999</v>
      </c>
    </row>
    <row r="38" spans="1:53" ht="15" thickBot="1" x14ac:dyDescent="0.35">
      <c r="A38" s="32">
        <f t="shared" si="0"/>
        <v>30</v>
      </c>
      <c r="B38" s="29">
        <f t="shared" si="1"/>
        <v>7.5</v>
      </c>
      <c r="C38" s="29" t="b">
        <f ca="1">AND(VaBenefits[[#This Row],[timeFromValuation]]&gt;=ACT,VaBenefits[[#This Row],[Assumed Contract Value ]]&gt;0)</f>
        <v>1</v>
      </c>
      <c r="D38" s="20">
        <f>IF(OR(RIGHT(B38,2)="25",RIGHT(B38,2)="75"),0,VLOOKUP(VaBenefits[[#This Row],[timeFromValuation]],$AR$8:$BA$30,2,FALSE))</f>
        <v>0</v>
      </c>
      <c r="E38" s="20">
        <f>IF(OR(RIGHT(B38,2)="25",RIGHT(B38,2)="75"),0,VLOOKUP(VaBenefits[[#This Row],[timeFromValuation]],$AR$8:$BA$30,3,FALSE))</f>
        <v>0</v>
      </c>
      <c r="F38" s="20">
        <f ca="1">IF(OR(RIGHT(B38,2)="25",RIGHT(B38,2)="75"),OFFSET(VaBenefits[[#This Row],[Assumed Contract Value ]],-1,0),VLOOKUP(VaBenefits[[#This Row],[timeFromValuation]],$AR$8:$BA$30,4,FALSE))</f>
        <v>230000</v>
      </c>
      <c r="G38" s="96">
        <f>ROUND($G$8+VaBenefits[[#This Row],[timeFromValuation]],0)</f>
        <v>63</v>
      </c>
      <c r="H38" s="20">
        <f>ROUND($H$8+VaBenefits[[#This Row],[timeFromValuation]],0)</f>
        <v>73</v>
      </c>
      <c r="I38" s="27" t="b">
        <f>VaBenefits[[#This Row],[Withdrawal Taken  ]]&gt;0</f>
        <v>0</v>
      </c>
      <c r="J38" s="41">
        <f ca="1">IF(AND(NOT(VaBenefits[[#This Row],[Is Activation]]),VaBenefits[[#This Row],[Assumed Contract Value ]]&gt;0),VaBenefits[[#This Row],[Withdrawal Taken  ]]/VaBenefits[[#This Row],[Assumed Contract Value ]],0)</f>
        <v>0</v>
      </c>
      <c r="K3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8" s="27" t="b">
        <f ca="1">AND(VaBenefits[[#This Row],[Is Activation]],SUMIFS($E$8:$E38,$C$8:$C38,TRUE)&gt;0)</f>
        <v>1</v>
      </c>
      <c r="M3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8" s="32" t="b">
        <f>IF(VaBenefits[[#This Row],[timeFromValuation]]=0,0, MOD(VaBenefits[[#This Row],[timeFromValuation]],1)=0)</f>
        <v>0</v>
      </c>
      <c r="O38" s="7">
        <f>IF(VaBenefits[[#This Row],[Is Anniversary?]]=TRUE,VaBenefits[[#This Row],[Assumed Contract Value ]],0)</f>
        <v>0</v>
      </c>
      <c r="P3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8" s="7" t="b">
        <f ca="1">VaBenefits[[#This Row],[Assumed Contract Value ]]&lt;0.1</f>
        <v>0</v>
      </c>
      <c r="R3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8" s="7">
        <f ca="1">IF(AND(VaBenefits[[#This Row],[Is Activation]]=FALSE,VaBenefits[[#This Row],[Is Anniversary?]]=TRUE),OFFSET( VaBenefits[[#This Row],[Income Credit Base]],-1,0)*ICP,0)</f>
        <v>0</v>
      </c>
      <c r="T38" s="5">
        <f ca="1">IF(VaBenefits[[#This Row],[Assumed Contract Value ]]&gt;0,VaBenefits[[#This Row],[Income Base]]*MAWA,0)</f>
        <v>18790.635625838375</v>
      </c>
      <c r="U38" s="95">
        <f ca="1">IF(AND(VaBenefits[[#This Row],[Has Income Credit]],VaBenefits[[#This Row],[Is Anniversary?]],VaBenefits[[#This Row],[Joint Mortality tPxy for the partial year]]),VaBenefits[[#This Row],[Income Base]]*PIP,0)</f>
        <v>0</v>
      </c>
      <c r="V38" s="8">
        <f>1/(1+InterestRate)^VaBenefits[[#This Row],[timeFromValuation]]</f>
        <v>0.69355396191714602</v>
      </c>
      <c r="W38" s="90">
        <f>VaBenefits[[#This Row],[timeFromValuation]]</f>
        <v>7.5</v>
      </c>
      <c r="X38" s="91">
        <f>IF(($G$8+VaBenefits[[#This Row],[timeFromValuation]])&lt;=120,VLOOKUP(G38,Table2[],Qx!L$6,FALSE),0)</f>
        <v>0.99506700000000003</v>
      </c>
      <c r="Y38" s="91">
        <f>IF(($H$8+VaBenefits[[#This Row],[timeFromValuation]])&lt;=120,VLOOKUP(H38,Table2[],Qx!M$6,FALSE),0)</f>
        <v>0.98485</v>
      </c>
      <c r="Z38" s="91">
        <f>PRODUCT($X$8:$X38)</f>
        <v>0.90722492033160762</v>
      </c>
      <c r="AA38" s="91">
        <f>PRODUCT($Y$8:$Y38)</f>
        <v>0.71591394236311312</v>
      </c>
      <c r="AB38" s="91">
        <f>VaBenefits[[#This Row],[Primary Annuitant Px]]+VaBenefits[[#This Row],[Secondary Annuitant Py]]-VaBenefits[[#This Row],[Primary Annuitant Px]]*VaBenefits[[#This Row],[Secondary Annuitant Py]]</f>
        <v>0.9999252650499999</v>
      </c>
      <c r="AC38" s="91">
        <f>PRODUCT($AB$8:$AB38)</f>
        <v>0.99890795119182896</v>
      </c>
      <c r="AD38" s="97">
        <f t="shared" ca="1" si="14"/>
        <v>0</v>
      </c>
      <c r="AE38" s="130">
        <f ca="1">IF((AND(VaBenefits[[#This Row],[Is Anniversary?]],VaBenefits[[#This Row],[Assumed Contract Value ]]&lt;75000)),-50,0)</f>
        <v>0</v>
      </c>
      <c r="AF38" s="133">
        <f ca="1">VaBenefits[[#This Row],[Assumed Contract Value ]]*-1.15%/4</f>
        <v>-661.25</v>
      </c>
      <c r="AG38" s="129">
        <v>0</v>
      </c>
      <c r="AH38" s="131">
        <f ca="1">VaBenefits[[#This Row],[Maintenace Fee]]+VaBenefits[[#This Row],[Separate Account Charge]]+VaBenefits[[#This Row],[Rider Fee]]</f>
        <v>-661.25</v>
      </c>
      <c r="AR38" s="23">
        <f t="shared" si="3"/>
        <v>15</v>
      </c>
      <c r="AS38" s="24">
        <v>0</v>
      </c>
      <c r="AT38" s="24">
        <v>0</v>
      </c>
      <c r="AU38" s="22">
        <v>0</v>
      </c>
      <c r="AV38" s="16">
        <v>0</v>
      </c>
      <c r="AW38" s="14">
        <v>299982</v>
      </c>
      <c r="AX38" s="15">
        <v>0</v>
      </c>
      <c r="AY38" s="15">
        <v>0</v>
      </c>
      <c r="AZ38" s="14">
        <v>0</v>
      </c>
      <c r="BA38" s="17">
        <v>11999</v>
      </c>
    </row>
    <row r="39" spans="1:53" ht="15" thickBot="1" x14ac:dyDescent="0.35">
      <c r="A39" s="32">
        <f t="shared" si="0"/>
        <v>31</v>
      </c>
      <c r="B39" s="29">
        <f t="shared" si="1"/>
        <v>7.75</v>
      </c>
      <c r="C39" s="29" t="b">
        <f ca="1">AND(VaBenefits[[#This Row],[timeFromValuation]]&gt;=ACT,VaBenefits[[#This Row],[Assumed Contract Value ]]&gt;0)</f>
        <v>1</v>
      </c>
      <c r="D39" s="20">
        <f>IF(OR(RIGHT(B39,2)="25",RIGHT(B39,2)="75"),0,VLOOKUP(VaBenefits[[#This Row],[timeFromValuation]],$AR$8:$BA$30,2,FALSE))</f>
        <v>0</v>
      </c>
      <c r="E39" s="20">
        <f>IF(OR(RIGHT(B39,2)="25",RIGHT(B39,2)="75"),0,VLOOKUP(VaBenefits[[#This Row],[timeFromValuation]],$AR$8:$BA$30,3,FALSE))</f>
        <v>0</v>
      </c>
      <c r="F39" s="20">
        <f ca="1">IF(OR(RIGHT(B39,2)="25",RIGHT(B39,2)="75"),OFFSET(VaBenefits[[#This Row],[Assumed Contract Value ]],-1,0),VLOOKUP(VaBenefits[[#This Row],[timeFromValuation]],$AR$8:$BA$30,4,FALSE))</f>
        <v>230000</v>
      </c>
      <c r="G39" s="96">
        <f>ROUND($G$8+VaBenefits[[#This Row],[timeFromValuation]],0)</f>
        <v>63</v>
      </c>
      <c r="H39" s="20">
        <f>ROUND($H$8+VaBenefits[[#This Row],[timeFromValuation]],0)</f>
        <v>73</v>
      </c>
      <c r="I39" s="27" t="b">
        <f>VaBenefits[[#This Row],[Withdrawal Taken  ]]&gt;0</f>
        <v>0</v>
      </c>
      <c r="J39" s="41">
        <f ca="1">IF(AND(NOT(VaBenefits[[#This Row],[Is Activation]]),VaBenefits[[#This Row],[Assumed Contract Value ]]&gt;0),VaBenefits[[#This Row],[Withdrawal Taken  ]]/VaBenefits[[#This Row],[Assumed Contract Value ]],0)</f>
        <v>0</v>
      </c>
      <c r="K3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9" s="27" t="b">
        <f ca="1">AND(VaBenefits[[#This Row],[Is Activation]],SUMIFS($E$8:$E39,$C$8:$C39,TRUE)&gt;0)</f>
        <v>1</v>
      </c>
      <c r="M3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9" s="32" t="b">
        <f>IF(VaBenefits[[#This Row],[timeFromValuation]]=0,0, MOD(VaBenefits[[#This Row],[timeFromValuation]],1)=0)</f>
        <v>0</v>
      </c>
      <c r="O39" s="7">
        <f>IF(VaBenefits[[#This Row],[Is Anniversary?]]=TRUE,VaBenefits[[#This Row],[Assumed Contract Value ]],0)</f>
        <v>0</v>
      </c>
      <c r="P3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9" s="7" t="b">
        <f ca="1">VaBenefits[[#This Row],[Assumed Contract Value ]]&lt;0.1</f>
        <v>0</v>
      </c>
      <c r="R3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9" s="7">
        <f ca="1">IF(AND(VaBenefits[[#This Row],[Is Activation]]=FALSE,VaBenefits[[#This Row],[Is Anniversary?]]=TRUE),OFFSET( VaBenefits[[#This Row],[Income Credit Base]],-1,0)*ICP,0)</f>
        <v>0</v>
      </c>
      <c r="T39" s="5">
        <f ca="1">IF(VaBenefits[[#This Row],[Assumed Contract Value ]]&gt;0,VaBenefits[[#This Row],[Income Base]]*MAWA,0)</f>
        <v>18790.635625838375</v>
      </c>
      <c r="U39" s="95">
        <f ca="1">IF(AND(VaBenefits[[#This Row],[Has Income Credit]],VaBenefits[[#This Row],[Is Anniversary?]],VaBenefits[[#This Row],[Joint Mortality tPxy for the partial year]]),VaBenefits[[#This Row],[Income Base]]*PIP,0)</f>
        <v>0</v>
      </c>
      <c r="V39" s="8">
        <f>1/(1+InterestRate)^VaBenefits[[#This Row],[timeFromValuation]]</f>
        <v>0.6851456933503044</v>
      </c>
      <c r="W39" s="90">
        <f>VaBenefits[[#This Row],[timeFromValuation]]</f>
        <v>7.75</v>
      </c>
      <c r="X39" s="91">
        <f>IF(($G$8+VaBenefits[[#This Row],[timeFromValuation]])&lt;=120,VLOOKUP(G39,Table2[],Qx!L$6,FALSE),0)</f>
        <v>0.99506700000000003</v>
      </c>
      <c r="Y39" s="91">
        <f>IF(($H$8+VaBenefits[[#This Row],[timeFromValuation]])&lt;=120,VLOOKUP(H39,Table2[],Qx!M$6,FALSE),0)</f>
        <v>0.98485</v>
      </c>
      <c r="Z39" s="91">
        <f>PRODUCT($X$8:$X39)</f>
        <v>0.90274957979961179</v>
      </c>
      <c r="AA39" s="91">
        <f>PRODUCT($Y$8:$Y39)</f>
        <v>0.7050678461363119</v>
      </c>
      <c r="AB39" s="91">
        <f>VaBenefits[[#This Row],[Primary Annuitant Px]]+VaBenefits[[#This Row],[Secondary Annuitant Py]]-VaBenefits[[#This Row],[Primary Annuitant Px]]*VaBenefits[[#This Row],[Secondary Annuitant Py]]</f>
        <v>0.9999252650499999</v>
      </c>
      <c r="AC39" s="91">
        <f>PRODUCT($AB$8:$AB39)</f>
        <v>0.99883329785604191</v>
      </c>
      <c r="AD39" s="97">
        <f t="shared" ca="1" si="14"/>
        <v>0</v>
      </c>
      <c r="AE39" s="130">
        <f ca="1">IF((AND(VaBenefits[[#This Row],[Is Anniversary?]],VaBenefits[[#This Row],[Assumed Contract Value ]]&lt;75000)),-50,0)</f>
        <v>0</v>
      </c>
      <c r="AF39" s="133">
        <f ca="1">VaBenefits[[#This Row],[Assumed Contract Value ]]*-1.15%/4</f>
        <v>-661.25</v>
      </c>
      <c r="AG39" s="129">
        <v>0</v>
      </c>
      <c r="AH39" s="131">
        <f ca="1">VaBenefits[[#This Row],[Maintenace Fee]]+VaBenefits[[#This Row],[Separate Account Charge]]+VaBenefits[[#This Row],[Rider Fee]]</f>
        <v>-661.25</v>
      </c>
      <c r="AR39" s="23">
        <f t="shared" si="3"/>
        <v>15.5</v>
      </c>
      <c r="AS39" s="24">
        <v>0</v>
      </c>
      <c r="AT39" s="24">
        <v>0</v>
      </c>
      <c r="AU39" s="22">
        <v>0</v>
      </c>
      <c r="AV39" s="16">
        <v>0</v>
      </c>
      <c r="AW39" s="14">
        <v>299982</v>
      </c>
      <c r="AX39" s="15">
        <v>0</v>
      </c>
      <c r="AY39" s="15">
        <v>0</v>
      </c>
      <c r="AZ39" s="14">
        <v>0</v>
      </c>
      <c r="BA39" s="17">
        <v>11999</v>
      </c>
    </row>
    <row r="40" spans="1:53" ht="15" thickBot="1" x14ac:dyDescent="0.35">
      <c r="A40" s="32">
        <f t="shared" si="0"/>
        <v>32</v>
      </c>
      <c r="B40" s="29">
        <f t="shared" si="1"/>
        <v>8</v>
      </c>
      <c r="C40" s="29" t="b">
        <f ca="1">AND(VaBenefits[[#This Row],[timeFromValuation]]&gt;=ACT,VaBenefits[[#This Row],[Assumed Contract Value ]]&gt;0)</f>
        <v>1</v>
      </c>
      <c r="D40" s="20">
        <f>IF(OR(RIGHT(B40,2)="25",RIGHT(B40,2)="75"),0,VLOOKUP(VaBenefits[[#This Row],[timeFromValuation]],$AR$8:$BA$30,2,FALSE))</f>
        <v>0</v>
      </c>
      <c r="E40" s="20">
        <f>IF(OR(RIGHT(B40,2)="25",RIGHT(B40,2)="75"),0,VLOOKUP(VaBenefits[[#This Row],[timeFromValuation]],$AR$8:$BA$30,3,FALSE))</f>
        <v>0</v>
      </c>
      <c r="F40" s="20">
        <f ca="1">IF(OR(RIGHT(B40,2)="25",RIGHT(B40,2)="75"),OFFSET(VaBenefits[[#This Row],[Assumed Contract Value ]],-1,0),VLOOKUP(VaBenefits[[#This Row],[timeFromValuation]],$AR$8:$BA$30,4,FALSE))</f>
        <v>150000</v>
      </c>
      <c r="G40" s="96">
        <f>ROUND($G$8+VaBenefits[[#This Row],[timeFromValuation]],0)</f>
        <v>63</v>
      </c>
      <c r="H40" s="20">
        <f>ROUND($H$8+VaBenefits[[#This Row],[timeFromValuation]],0)</f>
        <v>73</v>
      </c>
      <c r="I40" s="27" t="b">
        <f>VaBenefits[[#This Row],[Withdrawal Taken  ]]&gt;0</f>
        <v>0</v>
      </c>
      <c r="J40" s="41">
        <f ca="1">IF(AND(NOT(VaBenefits[[#This Row],[Is Activation]]),VaBenefits[[#This Row],[Assumed Contract Value ]]&gt;0),VaBenefits[[#This Row],[Withdrawal Taken  ]]/VaBenefits[[#This Row],[Assumed Contract Value ]],0)</f>
        <v>0</v>
      </c>
      <c r="K4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0" s="27" t="b">
        <f ca="1">AND(VaBenefits[[#This Row],[Is Activation]],SUMIFS($E$8:$E40,$C$8:$C40,TRUE)&gt;0)</f>
        <v>1</v>
      </c>
      <c r="M4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0" s="32" t="b">
        <f>IF(VaBenefits[[#This Row],[timeFromValuation]]=0,0, MOD(VaBenefits[[#This Row],[timeFromValuation]],1)=0)</f>
        <v>1</v>
      </c>
      <c r="O40" s="7">
        <f ca="1">IF(VaBenefits[[#This Row],[Is Anniversary?]]=TRUE,VaBenefits[[#This Row],[Assumed Contract Value ]],0)</f>
        <v>150000</v>
      </c>
      <c r="P4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0" s="7" t="b">
        <f ca="1">VaBenefits[[#This Row],[Assumed Contract Value ]]&lt;0.1</f>
        <v>0</v>
      </c>
      <c r="R4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0" s="7">
        <f ca="1">IF(AND(VaBenefits[[#This Row],[Is Activation]]=FALSE,VaBenefits[[#This Row],[Is Anniversary?]]=TRUE),OFFSET( VaBenefits[[#This Row],[Income Credit Base]],-1,0)*ICP,0)</f>
        <v>0</v>
      </c>
      <c r="T40" s="5">
        <f ca="1">IF(VaBenefits[[#This Row],[Assumed Contract Value ]]&gt;0,VaBenefits[[#This Row],[Income Base]]*MAWA,0)</f>
        <v>18790.635625838375</v>
      </c>
      <c r="U40" s="95">
        <f ca="1">IF(AND(VaBenefits[[#This Row],[Has Income Credit]],VaBenefits[[#This Row],[Is Anniversary?]],VaBenefits[[#This Row],[Joint Mortality tPxy for the partial year]]),VaBenefits[[#This Row],[Income Base]]*PIP,0)</f>
        <v>0</v>
      </c>
      <c r="V40" s="8">
        <f>1/(1+InterestRate)^VaBenefits[[#This Row],[timeFromValuation]]</f>
        <v>0.67683936202868722</v>
      </c>
      <c r="W40" s="90">
        <f>VaBenefits[[#This Row],[timeFromValuation]]</f>
        <v>8</v>
      </c>
      <c r="X40" s="91">
        <f>IF(($G$8+VaBenefits[[#This Row],[timeFromValuation]])&lt;=120,VLOOKUP(G40,Table2[],Qx!L$6,FALSE),0)</f>
        <v>0.99506700000000003</v>
      </c>
      <c r="Y40" s="91">
        <f>IF(($H$8+VaBenefits[[#This Row],[timeFromValuation]])&lt;=120,VLOOKUP(H40,Table2[],Qx!M$6,FALSE),0)</f>
        <v>0.98485</v>
      </c>
      <c r="Z40" s="91">
        <f>PRODUCT($X$8:$X40)</f>
        <v>0.8982963161224603</v>
      </c>
      <c r="AA40" s="91">
        <f>PRODUCT($Y$8:$Y40)</f>
        <v>0.69438606826734683</v>
      </c>
      <c r="AB40" s="91">
        <f>VaBenefits[[#This Row],[Primary Annuitant Px]]+VaBenefits[[#This Row],[Secondary Annuitant Py]]-VaBenefits[[#This Row],[Primary Annuitant Px]]*VaBenefits[[#This Row],[Secondary Annuitant Py]]</f>
        <v>0.9999252650499999</v>
      </c>
      <c r="AC40" s="91">
        <f>PRODUCT($AB$8:$AB40)</f>
        <v>0.99875865009946818</v>
      </c>
      <c r="AD40" s="97">
        <f t="shared" ca="1" si="14"/>
        <v>0</v>
      </c>
      <c r="AE40" s="130">
        <f ca="1">IF((AND(VaBenefits[[#This Row],[Is Anniversary?]],VaBenefits[[#This Row],[Assumed Contract Value ]]&lt;75000)),-50,0)</f>
        <v>0</v>
      </c>
      <c r="AF40" s="133">
        <f ca="1">VaBenefits[[#This Row],[Assumed Contract Value ]]*-1.15%/4</f>
        <v>-431.25</v>
      </c>
      <c r="AG40" s="129">
        <v>0</v>
      </c>
      <c r="AH40" s="131">
        <f ca="1">VaBenefits[[#This Row],[Maintenace Fee]]+VaBenefits[[#This Row],[Separate Account Charge]]+VaBenefits[[#This Row],[Rider Fee]]</f>
        <v>-431.25</v>
      </c>
      <c r="AR40" s="23">
        <f t="shared" si="3"/>
        <v>16</v>
      </c>
      <c r="AS40" s="24">
        <v>0</v>
      </c>
      <c r="AT40" s="24">
        <v>0</v>
      </c>
      <c r="AU40" s="22">
        <v>0</v>
      </c>
      <c r="AV40" s="16">
        <v>0</v>
      </c>
      <c r="AW40" s="14">
        <v>299982</v>
      </c>
      <c r="AX40" s="15">
        <v>0</v>
      </c>
      <c r="AY40" s="15">
        <v>0</v>
      </c>
      <c r="AZ40" s="14">
        <v>0</v>
      </c>
      <c r="BA40" s="17">
        <v>11999</v>
      </c>
    </row>
    <row r="41" spans="1:53" ht="15" thickBot="1" x14ac:dyDescent="0.35">
      <c r="A41" s="32">
        <f t="shared" si="0"/>
        <v>33</v>
      </c>
      <c r="B41" s="29">
        <f t="shared" si="1"/>
        <v>8.25</v>
      </c>
      <c r="C41" s="29" t="b">
        <f ca="1">AND(VaBenefits[[#This Row],[timeFromValuation]]&gt;=ACT,VaBenefits[[#This Row],[Assumed Contract Value ]]&gt;0)</f>
        <v>1</v>
      </c>
      <c r="D41" s="20">
        <f>IF(OR(RIGHT(B41,2)="25",RIGHT(B41,2)="75"),0,VLOOKUP(VaBenefits[[#This Row],[timeFromValuation]],$AR$8:$BA$30,2,FALSE))</f>
        <v>0</v>
      </c>
      <c r="E41" s="20">
        <f>IF(OR(RIGHT(B41,2)="25",RIGHT(B41,2)="75"),0,VLOOKUP(VaBenefits[[#This Row],[timeFromValuation]],$AR$8:$BA$30,3,FALSE))</f>
        <v>0</v>
      </c>
      <c r="F41" s="20">
        <f ca="1">IF(OR(RIGHT(B41,2)="25",RIGHT(B41,2)="75"),OFFSET(VaBenefits[[#This Row],[Assumed Contract Value ]],-1,0),VLOOKUP(VaBenefits[[#This Row],[timeFromValuation]],$AR$8:$BA$30,4,FALSE))</f>
        <v>150000</v>
      </c>
      <c r="G41" s="96">
        <f>ROUND($G$8+VaBenefits[[#This Row],[timeFromValuation]],0)</f>
        <v>63</v>
      </c>
      <c r="H41" s="20">
        <f>ROUND($H$8+VaBenefits[[#This Row],[timeFromValuation]],0)</f>
        <v>73</v>
      </c>
      <c r="I41" s="27" t="b">
        <f>VaBenefits[[#This Row],[Withdrawal Taken  ]]&gt;0</f>
        <v>0</v>
      </c>
      <c r="J41" s="41">
        <f ca="1">IF(AND(NOT(VaBenefits[[#This Row],[Is Activation]]),VaBenefits[[#This Row],[Assumed Contract Value ]]&gt;0),VaBenefits[[#This Row],[Withdrawal Taken  ]]/VaBenefits[[#This Row],[Assumed Contract Value ]],0)</f>
        <v>0</v>
      </c>
      <c r="K4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1" s="27" t="b">
        <f ca="1">AND(VaBenefits[[#This Row],[Is Activation]],SUMIFS($E$8:$E41,$C$8:$C41,TRUE)&gt;0)</f>
        <v>1</v>
      </c>
      <c r="M4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1" s="32" t="b">
        <f>IF(VaBenefits[[#This Row],[timeFromValuation]]=0,0, MOD(VaBenefits[[#This Row],[timeFromValuation]],1)=0)</f>
        <v>0</v>
      </c>
      <c r="O41" s="7">
        <f>IF(VaBenefits[[#This Row],[Is Anniversary?]]=TRUE,VaBenefits[[#This Row],[Assumed Contract Value ]],0)</f>
        <v>0</v>
      </c>
      <c r="P4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1" s="7" t="b">
        <f ca="1">VaBenefits[[#This Row],[Assumed Contract Value ]]&lt;0.1</f>
        <v>0</v>
      </c>
      <c r="R4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1" s="7">
        <f ca="1">IF(AND(VaBenefits[[#This Row],[Is Activation]]=FALSE,VaBenefits[[#This Row],[Is Anniversary?]]=TRUE),OFFSET( VaBenefits[[#This Row],[Income Credit Base]],-1,0)*ICP,0)</f>
        <v>0</v>
      </c>
      <c r="T41" s="5">
        <f ca="1">IF(VaBenefits[[#This Row],[Assumed Contract Value ]]&gt;0,VaBenefits[[#This Row],[Income Base]]*MAWA,0)</f>
        <v>18790.635625838375</v>
      </c>
      <c r="U41" s="95">
        <f ca="1">IF(AND(VaBenefits[[#This Row],[Has Income Credit]],VaBenefits[[#This Row],[Is Anniversary?]],VaBenefits[[#This Row],[Joint Mortality tPxy for the partial year]]),VaBenefits[[#This Row],[Income Base]]*PIP,0)</f>
        <v>0</v>
      </c>
      <c r="V41" s="8">
        <f>1/(1+InterestRate)^VaBenefits[[#This Row],[timeFromValuation]]</f>
        <v>0.66863373212093535</v>
      </c>
      <c r="W41" s="90">
        <f>VaBenefits[[#This Row],[timeFromValuation]]</f>
        <v>8.25</v>
      </c>
      <c r="X41" s="91">
        <f>IF(($G$8+VaBenefits[[#This Row],[timeFromValuation]])&lt;=120,VLOOKUP(G41,Table2[],Qx!L$6,FALSE),0)</f>
        <v>0.99506700000000003</v>
      </c>
      <c r="Y41" s="91">
        <f>IF(($H$8+VaBenefits[[#This Row],[timeFromValuation]])&lt;=120,VLOOKUP(H41,Table2[],Qx!M$6,FALSE),0)</f>
        <v>0.98485</v>
      </c>
      <c r="Z41" s="91">
        <f>PRODUCT($X$8:$X41)</f>
        <v>0.89386502039502824</v>
      </c>
      <c r="AA41" s="91">
        <f>PRODUCT($Y$8:$Y41)</f>
        <v>0.68386611933309649</v>
      </c>
      <c r="AB41" s="91">
        <f>VaBenefits[[#This Row],[Primary Annuitant Px]]+VaBenefits[[#This Row],[Secondary Annuitant Py]]-VaBenefits[[#This Row],[Primary Annuitant Px]]*VaBenefits[[#This Row],[Secondary Annuitant Py]]</f>
        <v>0.9999252650499999</v>
      </c>
      <c r="AC41" s="91">
        <f>PRODUCT($AB$8:$AB41)</f>
        <v>0.99868400792169087</v>
      </c>
      <c r="AD41" s="97">
        <f t="shared" ca="1" si="14"/>
        <v>0</v>
      </c>
      <c r="AE41" s="130">
        <f ca="1">IF((AND(VaBenefits[[#This Row],[Is Anniversary?]],VaBenefits[[#This Row],[Assumed Contract Value ]]&lt;75000)),-50,0)</f>
        <v>0</v>
      </c>
      <c r="AF41" s="133">
        <f ca="1">VaBenefits[[#This Row],[Assumed Contract Value ]]*-1.15%/4</f>
        <v>-431.25</v>
      </c>
      <c r="AG41" s="129">
        <v>0</v>
      </c>
      <c r="AH41" s="131">
        <f ca="1">VaBenefits[[#This Row],[Maintenace Fee]]+VaBenefits[[#This Row],[Separate Account Charge]]+VaBenefits[[#This Row],[Rider Fee]]</f>
        <v>-431.25</v>
      </c>
      <c r="AR41" s="23">
        <f t="shared" si="3"/>
        <v>16.5</v>
      </c>
      <c r="AS41" s="24">
        <v>0</v>
      </c>
      <c r="AT41" s="24">
        <v>0</v>
      </c>
      <c r="AU41" s="22">
        <v>0</v>
      </c>
      <c r="AV41" s="16">
        <v>0</v>
      </c>
      <c r="AW41" s="14">
        <v>299982</v>
      </c>
      <c r="AX41" s="15">
        <v>0</v>
      </c>
      <c r="AY41" s="15">
        <v>0</v>
      </c>
      <c r="AZ41" s="14">
        <v>0</v>
      </c>
      <c r="BA41" s="17">
        <v>11999</v>
      </c>
    </row>
    <row r="42" spans="1:53" ht="15" thickBot="1" x14ac:dyDescent="0.35">
      <c r="A42" s="32">
        <f t="shared" si="0"/>
        <v>34</v>
      </c>
      <c r="B42" s="29">
        <f t="shared" si="1"/>
        <v>8.5</v>
      </c>
      <c r="C42" s="29" t="b">
        <f ca="1">AND(VaBenefits[[#This Row],[timeFromValuation]]&gt;=ACT,VaBenefits[[#This Row],[Assumed Contract Value ]]&gt;0)</f>
        <v>1</v>
      </c>
      <c r="D42" s="20">
        <f>IF(OR(RIGHT(B42,2)="25",RIGHT(B42,2)="75"),0,VLOOKUP(VaBenefits[[#This Row],[timeFromValuation]],$AR$8:$BA$30,2,FALSE))</f>
        <v>0</v>
      </c>
      <c r="E42" s="20">
        <f>IF(OR(RIGHT(B42,2)="25",RIGHT(B42,2)="75"),0,VLOOKUP(VaBenefits[[#This Row],[timeFromValuation]],$AR$8:$BA$30,3,FALSE))</f>
        <v>0</v>
      </c>
      <c r="F42" s="20">
        <f ca="1">IF(OR(RIGHT(B42,2)="25",RIGHT(B42,2)="75"),OFFSET(VaBenefits[[#This Row],[Assumed Contract Value ]],-1,0),VLOOKUP(VaBenefits[[#This Row],[timeFromValuation]],$AR$8:$BA$30,4,FALSE))</f>
        <v>150000</v>
      </c>
      <c r="G42" s="96">
        <f>ROUND($G$8+VaBenefits[[#This Row],[timeFromValuation]],0)</f>
        <v>64</v>
      </c>
      <c r="H42" s="20">
        <f>ROUND($H$8+VaBenefits[[#This Row],[timeFromValuation]],0)</f>
        <v>74</v>
      </c>
      <c r="I42" s="27" t="b">
        <f>VaBenefits[[#This Row],[Withdrawal Taken  ]]&gt;0</f>
        <v>0</v>
      </c>
      <c r="J42" s="41">
        <f ca="1">IF(AND(NOT(VaBenefits[[#This Row],[Is Activation]]),VaBenefits[[#This Row],[Assumed Contract Value ]]&gt;0),VaBenefits[[#This Row],[Withdrawal Taken  ]]/VaBenefits[[#This Row],[Assumed Contract Value ]],0)</f>
        <v>0</v>
      </c>
      <c r="K4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2" s="27" t="b">
        <f ca="1">AND(VaBenefits[[#This Row],[Is Activation]],SUMIFS($E$8:$E42,$C$8:$C42,TRUE)&gt;0)</f>
        <v>1</v>
      </c>
      <c r="M4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2" s="32" t="b">
        <f>IF(VaBenefits[[#This Row],[timeFromValuation]]=0,0, MOD(VaBenefits[[#This Row],[timeFromValuation]],1)=0)</f>
        <v>0</v>
      </c>
      <c r="O42" s="7">
        <f>IF(VaBenefits[[#This Row],[Is Anniversary?]]=TRUE,VaBenefits[[#This Row],[Assumed Contract Value ]],0)</f>
        <v>0</v>
      </c>
      <c r="P4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2" s="7" t="b">
        <f ca="1">VaBenefits[[#This Row],[Assumed Contract Value ]]&lt;0.1</f>
        <v>0</v>
      </c>
      <c r="R4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2" s="7">
        <f ca="1">IF(AND(VaBenefits[[#This Row],[Is Activation]]=FALSE,VaBenefits[[#This Row],[Is Anniversary?]]=TRUE),OFFSET( VaBenefits[[#This Row],[Income Credit Base]],-1,0)*ICP,0)</f>
        <v>0</v>
      </c>
      <c r="T42" s="5">
        <f ca="1">IF(VaBenefits[[#This Row],[Assumed Contract Value ]]&gt;0,VaBenefits[[#This Row],[Income Base]]*MAWA,0)</f>
        <v>18790.635625838375</v>
      </c>
      <c r="U42" s="95">
        <f ca="1">IF(AND(VaBenefits[[#This Row],[Has Income Credit]],VaBenefits[[#This Row],[Is Anniversary?]],VaBenefits[[#This Row],[Joint Mortality tPxy for the partial year]]),VaBenefits[[#This Row],[Income Base]]*PIP,0)</f>
        <v>0</v>
      </c>
      <c r="V42" s="8">
        <f>1/(1+InterestRate)^VaBenefits[[#This Row],[timeFromValuation]]</f>
        <v>0.66052758277823431</v>
      </c>
      <c r="W42" s="90">
        <f>VaBenefits[[#This Row],[timeFromValuation]]</f>
        <v>8.5</v>
      </c>
      <c r="X42" s="91">
        <f>IF(($G$8+VaBenefits[[#This Row],[timeFromValuation]])&lt;=120,VLOOKUP(G42,Table2[],Qx!L$6,FALSE),0)</f>
        <v>0.99449299999999996</v>
      </c>
      <c r="Y42" s="91">
        <f>IF(($H$8+VaBenefits[[#This Row],[timeFromValuation]])&lt;=120,VLOOKUP(H42,Table2[],Qx!M$6,FALSE),0)</f>
        <v>0.98314000000000001</v>
      </c>
      <c r="Z42" s="91">
        <f>PRODUCT($X$8:$X42)</f>
        <v>0.88894250572771283</v>
      </c>
      <c r="AA42" s="91">
        <f>PRODUCT($Y$8:$Y42)</f>
        <v>0.67233613656114044</v>
      </c>
      <c r="AB42" s="91">
        <f>VaBenefits[[#This Row],[Primary Annuitant Px]]+VaBenefits[[#This Row],[Secondary Annuitant Py]]-VaBenefits[[#This Row],[Primary Annuitant Px]]*VaBenefits[[#This Row],[Secondary Annuitant Py]]</f>
        <v>0.99990715198000002</v>
      </c>
      <c r="AC42" s="91">
        <f>PRODUCT($AB$8:$AB42)</f>
        <v>0.99859128208894965</v>
      </c>
      <c r="AD42" s="97">
        <f t="shared" ca="1" si="14"/>
        <v>0</v>
      </c>
      <c r="AE42" s="130">
        <f ca="1">IF((AND(VaBenefits[[#This Row],[Is Anniversary?]],VaBenefits[[#This Row],[Assumed Contract Value ]]&lt;75000)),-50,0)</f>
        <v>0</v>
      </c>
      <c r="AF42" s="133">
        <f ca="1">VaBenefits[[#This Row],[Assumed Contract Value ]]*-1.15%/4</f>
        <v>-431.25</v>
      </c>
      <c r="AG42" s="129">
        <v>0</v>
      </c>
      <c r="AH42" s="131">
        <f ca="1">VaBenefits[[#This Row],[Maintenace Fee]]+VaBenefits[[#This Row],[Separate Account Charge]]+VaBenefits[[#This Row],[Rider Fee]]</f>
        <v>-431.25</v>
      </c>
      <c r="AR42" s="23">
        <f t="shared" si="3"/>
        <v>17</v>
      </c>
      <c r="AS42" s="24">
        <v>0</v>
      </c>
      <c r="AT42" s="24">
        <v>0</v>
      </c>
      <c r="AU42" s="22">
        <v>0</v>
      </c>
      <c r="AV42" s="16">
        <v>0</v>
      </c>
      <c r="AW42" s="14">
        <v>299982</v>
      </c>
      <c r="AX42" s="15">
        <v>0</v>
      </c>
      <c r="AY42" s="15">
        <v>0</v>
      </c>
      <c r="AZ42" s="14">
        <v>0</v>
      </c>
      <c r="BA42" s="17">
        <v>11999</v>
      </c>
    </row>
    <row r="43" spans="1:53" ht="15" thickBot="1" x14ac:dyDescent="0.35">
      <c r="A43" s="32">
        <f t="shared" si="0"/>
        <v>35</v>
      </c>
      <c r="B43" s="29">
        <f t="shared" si="1"/>
        <v>8.75</v>
      </c>
      <c r="C43" s="29" t="b">
        <f ca="1">AND(VaBenefits[[#This Row],[timeFromValuation]]&gt;=ACT,VaBenefits[[#This Row],[Assumed Contract Value ]]&gt;0)</f>
        <v>1</v>
      </c>
      <c r="D43" s="20">
        <f>IF(OR(RIGHT(B43,2)="25",RIGHT(B43,2)="75"),0,VLOOKUP(VaBenefits[[#This Row],[timeFromValuation]],$AR$8:$BA$30,2,FALSE))</f>
        <v>0</v>
      </c>
      <c r="E43" s="20">
        <f>IF(OR(RIGHT(B43,2)="25",RIGHT(B43,2)="75"),0,VLOOKUP(VaBenefits[[#This Row],[timeFromValuation]],$AR$8:$BA$30,3,FALSE))</f>
        <v>0</v>
      </c>
      <c r="F43" s="20">
        <f ca="1">IF(OR(RIGHT(B43,2)="25",RIGHT(B43,2)="75"),OFFSET(VaBenefits[[#This Row],[Assumed Contract Value ]],-1,0),VLOOKUP(VaBenefits[[#This Row],[timeFromValuation]],$AR$8:$BA$30,4,FALSE))</f>
        <v>150000</v>
      </c>
      <c r="G43" s="96">
        <f>ROUND($G$8+VaBenefits[[#This Row],[timeFromValuation]],0)</f>
        <v>64</v>
      </c>
      <c r="H43" s="20">
        <f>ROUND($H$8+VaBenefits[[#This Row],[timeFromValuation]],0)</f>
        <v>74</v>
      </c>
      <c r="I43" s="27" t="b">
        <f>VaBenefits[[#This Row],[Withdrawal Taken  ]]&gt;0</f>
        <v>0</v>
      </c>
      <c r="J43" s="41">
        <f ca="1">IF(AND(NOT(VaBenefits[[#This Row],[Is Activation]]),VaBenefits[[#This Row],[Assumed Contract Value ]]&gt;0),VaBenefits[[#This Row],[Withdrawal Taken  ]]/VaBenefits[[#This Row],[Assumed Contract Value ]],0)</f>
        <v>0</v>
      </c>
      <c r="K4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3" s="27" t="b">
        <f ca="1">AND(VaBenefits[[#This Row],[Is Activation]],SUMIFS($E$8:$E43,$C$8:$C43,TRUE)&gt;0)</f>
        <v>1</v>
      </c>
      <c r="M4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3" s="32" t="b">
        <f>IF(VaBenefits[[#This Row],[timeFromValuation]]=0,0, MOD(VaBenefits[[#This Row],[timeFromValuation]],1)=0)</f>
        <v>0</v>
      </c>
      <c r="O43" s="7">
        <f>IF(VaBenefits[[#This Row],[Is Anniversary?]]=TRUE,VaBenefits[[#This Row],[Assumed Contract Value ]],0)</f>
        <v>0</v>
      </c>
      <c r="P4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3" s="7" t="b">
        <f ca="1">VaBenefits[[#This Row],[Assumed Contract Value ]]&lt;0.1</f>
        <v>0</v>
      </c>
      <c r="R4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3" s="7">
        <f ca="1">IF(AND(VaBenefits[[#This Row],[Is Activation]]=FALSE,VaBenefits[[#This Row],[Is Anniversary?]]=TRUE),OFFSET( VaBenefits[[#This Row],[Income Credit Base]],-1,0)*ICP,0)</f>
        <v>0</v>
      </c>
      <c r="T43" s="5">
        <f ca="1">IF(VaBenefits[[#This Row],[Assumed Contract Value ]]&gt;0,VaBenefits[[#This Row],[Income Base]]*MAWA,0)</f>
        <v>18790.635625838375</v>
      </c>
      <c r="U43" s="95">
        <f ca="1">IF(AND(VaBenefits[[#This Row],[Has Income Credit]],VaBenefits[[#This Row],[Is Anniversary?]],VaBenefits[[#This Row],[Joint Mortality tPxy for the partial year]]),VaBenefits[[#This Row],[Income Base]]*PIP,0)</f>
        <v>0</v>
      </c>
      <c r="V43" s="8">
        <f>1/(1+InterestRate)^VaBenefits[[#This Row],[timeFromValuation]]</f>
        <v>0.65251970795267089</v>
      </c>
      <c r="W43" s="90">
        <f>VaBenefits[[#This Row],[timeFromValuation]]</f>
        <v>8.75</v>
      </c>
      <c r="X43" s="91">
        <f>IF(($G$8+VaBenefits[[#This Row],[timeFromValuation]])&lt;=120,VLOOKUP(G43,Table2[],Qx!L$6,FALSE),0)</f>
        <v>0.99449299999999996</v>
      </c>
      <c r="Y43" s="91">
        <f>IF(($H$8+VaBenefits[[#This Row],[timeFromValuation]])&lt;=120,VLOOKUP(H43,Table2[],Qx!M$6,FALSE),0)</f>
        <v>0.98314000000000001</v>
      </c>
      <c r="Z43" s="91">
        <f>PRODUCT($X$8:$X43)</f>
        <v>0.88404709934867032</v>
      </c>
      <c r="AA43" s="91">
        <f>PRODUCT($Y$8:$Y43)</f>
        <v>0.66100054929871965</v>
      </c>
      <c r="AB43" s="91">
        <f>VaBenefits[[#This Row],[Primary Annuitant Px]]+VaBenefits[[#This Row],[Secondary Annuitant Py]]-VaBenefits[[#This Row],[Primary Annuitant Px]]*VaBenefits[[#This Row],[Secondary Annuitant Py]]</f>
        <v>0.99990715198000002</v>
      </c>
      <c r="AC43" s="91">
        <f>PRODUCT($AB$8:$AB43)</f>
        <v>0.9984985648656185</v>
      </c>
      <c r="AD43" s="97">
        <f t="shared" ca="1" si="14"/>
        <v>0</v>
      </c>
      <c r="AE43" s="130">
        <f ca="1">IF((AND(VaBenefits[[#This Row],[Is Anniversary?]],VaBenefits[[#This Row],[Assumed Contract Value ]]&lt;75000)),-50,0)</f>
        <v>0</v>
      </c>
      <c r="AF43" s="133">
        <f ca="1">VaBenefits[[#This Row],[Assumed Contract Value ]]*-1.15%/4</f>
        <v>-431.25</v>
      </c>
      <c r="AG43" s="129">
        <v>0</v>
      </c>
      <c r="AH43" s="131">
        <f ca="1">VaBenefits[[#This Row],[Maintenace Fee]]+VaBenefits[[#This Row],[Separate Account Charge]]+VaBenefits[[#This Row],[Rider Fee]]</f>
        <v>-431.25</v>
      </c>
      <c r="AR43" s="23">
        <f t="shared" si="3"/>
        <v>17.5</v>
      </c>
      <c r="AS43" s="24">
        <v>0</v>
      </c>
      <c r="AT43" s="24">
        <v>0</v>
      </c>
      <c r="AU43" s="22">
        <v>0</v>
      </c>
      <c r="AV43" s="16">
        <v>0</v>
      </c>
      <c r="AW43" s="14">
        <v>299982</v>
      </c>
      <c r="AX43" s="15">
        <v>0</v>
      </c>
      <c r="AY43" s="15">
        <v>0</v>
      </c>
      <c r="AZ43" s="14">
        <v>0</v>
      </c>
      <c r="BA43" s="17">
        <v>11999</v>
      </c>
    </row>
    <row r="44" spans="1:53" ht="15" thickBot="1" x14ac:dyDescent="0.35">
      <c r="A44" s="32">
        <f t="shared" si="0"/>
        <v>36</v>
      </c>
      <c r="B44" s="29">
        <f t="shared" si="1"/>
        <v>9</v>
      </c>
      <c r="C44" s="29" t="b">
        <f ca="1">AND(VaBenefits[[#This Row],[timeFromValuation]]&gt;=ACT,VaBenefits[[#This Row],[Assumed Contract Value ]]&gt;0)</f>
        <v>1</v>
      </c>
      <c r="D44" s="20">
        <f>IF(OR(RIGHT(B44,2)="25",RIGHT(B44,2)="75"),0,VLOOKUP(VaBenefits[[#This Row],[timeFromValuation]],$AR$8:$BA$30,2,FALSE))</f>
        <v>0</v>
      </c>
      <c r="E44" s="20">
        <f>IF(OR(RIGHT(B44,2)="25",RIGHT(B44,2)="75"),0,VLOOKUP(VaBenefits[[#This Row],[timeFromValuation]],$AR$8:$BA$30,3,FALSE))</f>
        <v>0</v>
      </c>
      <c r="F44" s="20">
        <f ca="1">IF(OR(RIGHT(B44,2)="25",RIGHT(B44,2)="75"),OFFSET(VaBenefits[[#This Row],[Assumed Contract Value ]],-1,0),VLOOKUP(VaBenefits[[#This Row],[timeFromValuation]],$AR$8:$BA$30,4,FALSE))</f>
        <v>100000</v>
      </c>
      <c r="G44" s="96">
        <f>ROUND($G$8+VaBenefits[[#This Row],[timeFromValuation]],0)</f>
        <v>64</v>
      </c>
      <c r="H44" s="20">
        <f>ROUND($H$8+VaBenefits[[#This Row],[timeFromValuation]],0)</f>
        <v>74</v>
      </c>
      <c r="I44" s="27" t="b">
        <f>VaBenefits[[#This Row],[Withdrawal Taken  ]]&gt;0</f>
        <v>0</v>
      </c>
      <c r="J44" s="41">
        <f ca="1">IF(AND(NOT(VaBenefits[[#This Row],[Is Activation]]),VaBenefits[[#This Row],[Assumed Contract Value ]]&gt;0),VaBenefits[[#This Row],[Withdrawal Taken  ]]/VaBenefits[[#This Row],[Assumed Contract Value ]],0)</f>
        <v>0</v>
      </c>
      <c r="K4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4" s="27" t="b">
        <f ca="1">AND(VaBenefits[[#This Row],[Is Activation]],SUMIFS($E$8:$E44,$C$8:$C44,TRUE)&gt;0)</f>
        <v>1</v>
      </c>
      <c r="M4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4" s="32" t="b">
        <f>IF(VaBenefits[[#This Row],[timeFromValuation]]=0,0, MOD(VaBenefits[[#This Row],[timeFromValuation]],1)=0)</f>
        <v>1</v>
      </c>
      <c r="O44" s="7">
        <f ca="1">IF(VaBenefits[[#This Row],[Is Anniversary?]]=TRUE,VaBenefits[[#This Row],[Assumed Contract Value ]],0)</f>
        <v>100000</v>
      </c>
      <c r="P4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4" s="7" t="b">
        <f ca="1">VaBenefits[[#This Row],[Assumed Contract Value ]]&lt;0.1</f>
        <v>0</v>
      </c>
      <c r="R4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4" s="7">
        <f ca="1">IF(AND(VaBenefits[[#This Row],[Is Activation]]=FALSE,VaBenefits[[#This Row],[Is Anniversary?]]=TRUE),OFFSET( VaBenefits[[#This Row],[Income Credit Base]],-1,0)*ICP,0)</f>
        <v>0</v>
      </c>
      <c r="T44" s="5">
        <f ca="1">IF(VaBenefits[[#This Row],[Assumed Contract Value ]]&gt;0,VaBenefits[[#This Row],[Income Base]]*MAWA,0)</f>
        <v>18790.635625838375</v>
      </c>
      <c r="U44" s="95">
        <f ca="1">IF(AND(VaBenefits[[#This Row],[Has Income Credit]],VaBenefits[[#This Row],[Is Anniversary?]],VaBenefits[[#This Row],[Joint Mortality tPxy for the partial year]]),VaBenefits[[#This Row],[Income Base]]*PIP,0)</f>
        <v>0</v>
      </c>
      <c r="V44" s="8">
        <f>1/(1+InterestRate)^VaBenefits[[#This Row],[timeFromValuation]]</f>
        <v>0.64460891621779726</v>
      </c>
      <c r="W44" s="90">
        <f>VaBenefits[[#This Row],[timeFromValuation]]</f>
        <v>9</v>
      </c>
      <c r="X44" s="91">
        <f>IF(($G$8+VaBenefits[[#This Row],[timeFromValuation]])&lt;=120,VLOOKUP(G44,Table2[],Qx!L$6,FALSE),0)</f>
        <v>0.99449299999999996</v>
      </c>
      <c r="Y44" s="91">
        <f>IF(($H$8+VaBenefits[[#This Row],[timeFromValuation]])&lt;=120,VLOOKUP(H44,Table2[],Qx!M$6,FALSE),0)</f>
        <v>0.98314000000000001</v>
      </c>
      <c r="Z44" s="91">
        <f>PRODUCT($X$8:$X44)</f>
        <v>0.87917865197255718</v>
      </c>
      <c r="AA44" s="91">
        <f>PRODUCT($Y$8:$Y44)</f>
        <v>0.64985608003754325</v>
      </c>
      <c r="AB44" s="91">
        <f>VaBenefits[[#This Row],[Primary Annuitant Px]]+VaBenefits[[#This Row],[Secondary Annuitant Py]]-VaBenefits[[#This Row],[Primary Annuitant Px]]*VaBenefits[[#This Row],[Secondary Annuitant Py]]</f>
        <v>0.99990715198000002</v>
      </c>
      <c r="AC44" s="91">
        <f>PRODUCT($AB$8:$AB44)</f>
        <v>0.99840585625089795</v>
      </c>
      <c r="AD44" s="97">
        <f t="shared" ca="1" si="14"/>
        <v>0</v>
      </c>
      <c r="AE44" s="130">
        <f ca="1">IF((AND(VaBenefits[[#This Row],[Is Anniversary?]],VaBenefits[[#This Row],[Assumed Contract Value ]]&lt;75000)),-50,0)</f>
        <v>0</v>
      </c>
      <c r="AF44" s="133">
        <f ca="1">VaBenefits[[#This Row],[Assumed Contract Value ]]*-1.15%/4</f>
        <v>-287.5</v>
      </c>
      <c r="AG44" s="129">
        <v>0</v>
      </c>
      <c r="AH44" s="131">
        <f ca="1">VaBenefits[[#This Row],[Maintenace Fee]]+VaBenefits[[#This Row],[Separate Account Charge]]+VaBenefits[[#This Row],[Rider Fee]]</f>
        <v>-287.5</v>
      </c>
      <c r="AR44" s="23">
        <f t="shared" si="3"/>
        <v>18</v>
      </c>
      <c r="AS44" s="24">
        <v>0</v>
      </c>
      <c r="AT44" s="24">
        <v>0</v>
      </c>
      <c r="AU44" s="22">
        <v>0</v>
      </c>
      <c r="AV44" s="16">
        <v>0</v>
      </c>
      <c r="AW44" s="14">
        <v>299982</v>
      </c>
      <c r="AX44" s="15">
        <v>0</v>
      </c>
      <c r="AY44" s="15">
        <v>0</v>
      </c>
      <c r="AZ44" s="14">
        <v>0</v>
      </c>
      <c r="BA44" s="17">
        <v>11999</v>
      </c>
    </row>
    <row r="45" spans="1:53" ht="15" thickBot="1" x14ac:dyDescent="0.35">
      <c r="A45" s="32">
        <f t="shared" si="0"/>
        <v>37</v>
      </c>
      <c r="B45" s="29">
        <f t="shared" si="1"/>
        <v>9.25</v>
      </c>
      <c r="C45" s="29" t="b">
        <f ca="1">AND(VaBenefits[[#This Row],[timeFromValuation]]&gt;=ACT,VaBenefits[[#This Row],[Assumed Contract Value ]]&gt;0)</f>
        <v>1</v>
      </c>
      <c r="D45" s="20">
        <f>IF(OR(RIGHT(B45,2)="25",RIGHT(B45,2)="75"),0,VLOOKUP(VaBenefits[[#This Row],[timeFromValuation]],$AR$8:$BA$30,2,FALSE))</f>
        <v>0</v>
      </c>
      <c r="E45" s="20">
        <f>IF(OR(RIGHT(B45,2)="25",RIGHT(B45,2)="75"),0,VLOOKUP(VaBenefits[[#This Row],[timeFromValuation]],$AR$8:$BA$30,3,FALSE))</f>
        <v>0</v>
      </c>
      <c r="F45" s="20">
        <f ca="1">IF(OR(RIGHT(B45,2)="25",RIGHT(B45,2)="75"),OFFSET(VaBenefits[[#This Row],[Assumed Contract Value ]],-1,0),VLOOKUP(VaBenefits[[#This Row],[timeFromValuation]],$AR$8:$BA$30,4,FALSE))</f>
        <v>100000</v>
      </c>
      <c r="G45" s="96">
        <f>ROUND($G$8+VaBenefits[[#This Row],[timeFromValuation]],0)</f>
        <v>64</v>
      </c>
      <c r="H45" s="20">
        <f>ROUND($H$8+VaBenefits[[#This Row],[timeFromValuation]],0)</f>
        <v>74</v>
      </c>
      <c r="I45" s="27" t="b">
        <f>VaBenefits[[#This Row],[Withdrawal Taken  ]]&gt;0</f>
        <v>0</v>
      </c>
      <c r="J45" s="41">
        <f ca="1">IF(AND(NOT(VaBenefits[[#This Row],[Is Activation]]),VaBenefits[[#This Row],[Assumed Contract Value ]]&gt;0),VaBenefits[[#This Row],[Withdrawal Taken  ]]/VaBenefits[[#This Row],[Assumed Contract Value ]],0)</f>
        <v>0</v>
      </c>
      <c r="K4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5" s="27" t="b">
        <f ca="1">AND(VaBenefits[[#This Row],[Is Activation]],SUMIFS($E$8:$E45,$C$8:$C45,TRUE)&gt;0)</f>
        <v>1</v>
      </c>
      <c r="M4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5" s="32" t="b">
        <f>IF(VaBenefits[[#This Row],[timeFromValuation]]=0,0, MOD(VaBenefits[[#This Row],[timeFromValuation]],1)=0)</f>
        <v>0</v>
      </c>
      <c r="O45" s="7">
        <f>IF(VaBenefits[[#This Row],[Is Anniversary?]]=TRUE,VaBenefits[[#This Row],[Assumed Contract Value ]],0)</f>
        <v>0</v>
      </c>
      <c r="P4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5" s="7" t="b">
        <f ca="1">VaBenefits[[#This Row],[Assumed Contract Value ]]&lt;0.1</f>
        <v>0</v>
      </c>
      <c r="R4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5" s="7">
        <f ca="1">IF(AND(VaBenefits[[#This Row],[Is Activation]]=FALSE,VaBenefits[[#This Row],[Is Anniversary?]]=TRUE),OFFSET( VaBenefits[[#This Row],[Income Credit Base]],-1,0)*ICP,0)</f>
        <v>0</v>
      </c>
      <c r="T45" s="5">
        <f ca="1">IF(VaBenefits[[#This Row],[Assumed Contract Value ]]&gt;0,VaBenefits[[#This Row],[Income Base]]*MAWA,0)</f>
        <v>18790.635625838375</v>
      </c>
      <c r="U45" s="95">
        <f ca="1">IF(AND(VaBenefits[[#This Row],[Has Income Credit]],VaBenefits[[#This Row],[Is Anniversary?]],VaBenefits[[#This Row],[Joint Mortality tPxy for the partial year]]),VaBenefits[[#This Row],[Income Base]]*PIP,0)</f>
        <v>0</v>
      </c>
      <c r="V45" s="8">
        <f>1/(1+InterestRate)^VaBenefits[[#This Row],[timeFromValuation]]</f>
        <v>0.63679403059136708</v>
      </c>
      <c r="W45" s="90">
        <f>VaBenefits[[#This Row],[timeFromValuation]]</f>
        <v>9.25</v>
      </c>
      <c r="X45" s="91">
        <f>IF(($G$8+VaBenefits[[#This Row],[timeFromValuation]])&lt;=120,VLOOKUP(G45,Table2[],Qx!L$6,FALSE),0)</f>
        <v>0.99449299999999996</v>
      </c>
      <c r="Y45" s="91">
        <f>IF(($H$8+VaBenefits[[#This Row],[timeFromValuation]])&lt;=120,VLOOKUP(H45,Table2[],Qx!M$6,FALSE),0)</f>
        <v>0.98314000000000001</v>
      </c>
      <c r="Z45" s="91">
        <f>PRODUCT($X$8:$X45)</f>
        <v>0.87433701513614426</v>
      </c>
      <c r="AA45" s="91">
        <f>PRODUCT($Y$8:$Y45)</f>
        <v>0.63889950652811023</v>
      </c>
      <c r="AB45" s="91">
        <f>VaBenefits[[#This Row],[Primary Annuitant Px]]+VaBenefits[[#This Row],[Secondary Annuitant Py]]-VaBenefits[[#This Row],[Primary Annuitant Px]]*VaBenefits[[#This Row],[Secondary Annuitant Py]]</f>
        <v>0.99990715198000002</v>
      </c>
      <c r="AC45" s="91">
        <f>PRODUCT($AB$8:$AB45)</f>
        <v>0.99831315624398864</v>
      </c>
      <c r="AD45" s="97">
        <f t="shared" ca="1" si="14"/>
        <v>0</v>
      </c>
      <c r="AE45" s="130">
        <f ca="1">IF((AND(VaBenefits[[#This Row],[Is Anniversary?]],VaBenefits[[#This Row],[Assumed Contract Value ]]&lt;75000)),-50,0)</f>
        <v>0</v>
      </c>
      <c r="AF45" s="133">
        <f ca="1">VaBenefits[[#This Row],[Assumed Contract Value ]]*-1.15%/4</f>
        <v>-287.5</v>
      </c>
      <c r="AG45" s="129">
        <v>0</v>
      </c>
      <c r="AH45" s="131">
        <f ca="1">VaBenefits[[#This Row],[Maintenace Fee]]+VaBenefits[[#This Row],[Separate Account Charge]]+VaBenefits[[#This Row],[Rider Fee]]</f>
        <v>-287.5</v>
      </c>
      <c r="AR45" s="23">
        <f t="shared" si="3"/>
        <v>18.5</v>
      </c>
      <c r="AS45" s="24">
        <v>0</v>
      </c>
      <c r="AT45" s="24">
        <v>0</v>
      </c>
      <c r="AU45" s="22">
        <v>0</v>
      </c>
      <c r="AV45" s="16">
        <v>0</v>
      </c>
      <c r="AW45" s="14">
        <v>299982</v>
      </c>
      <c r="AX45" s="15">
        <v>0</v>
      </c>
      <c r="AY45" s="15">
        <v>0</v>
      </c>
      <c r="AZ45" s="14">
        <v>0</v>
      </c>
      <c r="BA45" s="17">
        <v>11999</v>
      </c>
    </row>
    <row r="46" spans="1:53" ht="15" thickBot="1" x14ac:dyDescent="0.35">
      <c r="A46" s="32">
        <f t="shared" si="0"/>
        <v>38</v>
      </c>
      <c r="B46" s="29">
        <f t="shared" si="1"/>
        <v>9.5</v>
      </c>
      <c r="C46" s="29" t="b">
        <f ca="1">AND(VaBenefits[[#This Row],[timeFromValuation]]&gt;=ACT,VaBenefits[[#This Row],[Assumed Contract Value ]]&gt;0)</f>
        <v>1</v>
      </c>
      <c r="D46" s="20">
        <f>IF(OR(RIGHT(B46,2)="25",RIGHT(B46,2)="75"),0,VLOOKUP(VaBenefits[[#This Row],[timeFromValuation]],$AR$8:$BA$30,2,FALSE))</f>
        <v>0</v>
      </c>
      <c r="E46" s="20">
        <f>IF(OR(RIGHT(B46,2)="25",RIGHT(B46,2)="75"),0,VLOOKUP(VaBenefits[[#This Row],[timeFromValuation]],$AR$8:$BA$30,3,FALSE))</f>
        <v>0</v>
      </c>
      <c r="F46" s="20">
        <f ca="1">IF(OR(RIGHT(B46,2)="25",RIGHT(B46,2)="75"),OFFSET(VaBenefits[[#This Row],[Assumed Contract Value ]],-1,0),VLOOKUP(VaBenefits[[#This Row],[timeFromValuation]],$AR$8:$BA$30,4,FALSE))</f>
        <v>100000</v>
      </c>
      <c r="G46" s="96">
        <f>ROUND($G$8+VaBenefits[[#This Row],[timeFromValuation]],0)</f>
        <v>65</v>
      </c>
      <c r="H46" s="20">
        <f>ROUND($H$8+VaBenefits[[#This Row],[timeFromValuation]],0)</f>
        <v>75</v>
      </c>
      <c r="I46" s="27" t="b">
        <f>VaBenefits[[#This Row],[Withdrawal Taken  ]]&gt;0</f>
        <v>0</v>
      </c>
      <c r="J46" s="41">
        <f ca="1">IF(AND(NOT(VaBenefits[[#This Row],[Is Activation]]),VaBenefits[[#This Row],[Assumed Contract Value ]]&gt;0),VaBenefits[[#This Row],[Withdrawal Taken  ]]/VaBenefits[[#This Row],[Assumed Contract Value ]],0)</f>
        <v>0</v>
      </c>
      <c r="K4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6" s="27" t="b">
        <f ca="1">AND(VaBenefits[[#This Row],[Is Activation]],SUMIFS($E$8:$E46,$C$8:$C46,TRUE)&gt;0)</f>
        <v>1</v>
      </c>
      <c r="M4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6" s="32" t="b">
        <f>IF(VaBenefits[[#This Row],[timeFromValuation]]=0,0, MOD(VaBenefits[[#This Row],[timeFromValuation]],1)=0)</f>
        <v>0</v>
      </c>
      <c r="O46" s="7">
        <f>IF(VaBenefits[[#This Row],[Is Anniversary?]]=TRUE,VaBenefits[[#This Row],[Assumed Contract Value ]],0)</f>
        <v>0</v>
      </c>
      <c r="P4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6" s="7" t="b">
        <f ca="1">VaBenefits[[#This Row],[Assumed Contract Value ]]&lt;0.1</f>
        <v>0</v>
      </c>
      <c r="R4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6" s="7">
        <f ca="1">IF(AND(VaBenefits[[#This Row],[Is Activation]]=FALSE,VaBenefits[[#This Row],[Is Anniversary?]]=TRUE),OFFSET( VaBenefits[[#This Row],[Income Credit Base]],-1,0)*ICP,0)</f>
        <v>0</v>
      </c>
      <c r="T46" s="5">
        <f ca="1">IF(VaBenefits[[#This Row],[Assumed Contract Value ]]&gt;0,VaBenefits[[#This Row],[Income Base]]*MAWA,0)</f>
        <v>18790.635625838375</v>
      </c>
      <c r="U46" s="95">
        <f ca="1">IF(AND(VaBenefits[[#This Row],[Has Income Credit]],VaBenefits[[#This Row],[Is Anniversary?]],VaBenefits[[#This Row],[Joint Mortality tPxy for the partial year]]),VaBenefits[[#This Row],[Income Base]]*PIP,0)</f>
        <v>0</v>
      </c>
      <c r="V46" s="8">
        <f>1/(1+InterestRate)^VaBenefits[[#This Row],[timeFromValuation]]</f>
        <v>0.62907388836022304</v>
      </c>
      <c r="W46" s="90">
        <f>VaBenefits[[#This Row],[timeFromValuation]]</f>
        <v>9.5</v>
      </c>
      <c r="X46" s="91">
        <f>IF(($G$8+VaBenefits[[#This Row],[timeFromValuation]])&lt;=120,VLOOKUP(G46,Table2[],Qx!L$6,FALSE),0)</f>
        <v>0.99385400000000002</v>
      </c>
      <c r="Y46" s="91">
        <f>IF(($H$8+VaBenefits[[#This Row],[timeFromValuation]])&lt;=120,VLOOKUP(H46,Table2[],Qx!M$6,FALSE),0)</f>
        <v>0.98118499999999997</v>
      </c>
      <c r="Z46" s="91">
        <f>PRODUCT($X$8:$X46)</f>
        <v>0.86896333984111751</v>
      </c>
      <c r="AA46" s="91">
        <f>PRODUCT($Y$8:$Y46)</f>
        <v>0.62687861231278386</v>
      </c>
      <c r="AB46" s="91">
        <f>VaBenefits[[#This Row],[Primary Annuitant Px]]+VaBenefits[[#This Row],[Secondary Annuitant Py]]-VaBenefits[[#This Row],[Primary Annuitant Px]]*VaBenefits[[#This Row],[Secondary Annuitant Py]]</f>
        <v>0.99988436301000005</v>
      </c>
      <c r="AC46" s="91">
        <f>PRODUCT($AB$8:$AB46)</f>
        <v>0.99819771431552329</v>
      </c>
      <c r="AD46" s="97">
        <f t="shared" ca="1" si="14"/>
        <v>0</v>
      </c>
      <c r="AE46" s="130">
        <f ca="1">IF((AND(VaBenefits[[#This Row],[Is Anniversary?]],VaBenefits[[#This Row],[Assumed Contract Value ]]&lt;75000)),-50,0)</f>
        <v>0</v>
      </c>
      <c r="AF46" s="133">
        <f ca="1">VaBenefits[[#This Row],[Assumed Contract Value ]]*-1.15%/4</f>
        <v>-287.5</v>
      </c>
      <c r="AG46" s="129">
        <v>0</v>
      </c>
      <c r="AH46" s="131">
        <f ca="1">VaBenefits[[#This Row],[Maintenace Fee]]+VaBenefits[[#This Row],[Separate Account Charge]]+VaBenefits[[#This Row],[Rider Fee]]</f>
        <v>-287.5</v>
      </c>
      <c r="AR46" s="23">
        <f t="shared" si="3"/>
        <v>19</v>
      </c>
      <c r="AS46" s="24">
        <v>0</v>
      </c>
      <c r="AT46" s="24">
        <v>0</v>
      </c>
      <c r="AU46" s="22">
        <v>0</v>
      </c>
      <c r="AV46" s="16">
        <v>0</v>
      </c>
      <c r="AW46" s="14">
        <v>299982</v>
      </c>
      <c r="AX46" s="15">
        <v>0</v>
      </c>
      <c r="AY46" s="15">
        <v>0</v>
      </c>
      <c r="AZ46" s="14">
        <v>0</v>
      </c>
      <c r="BA46" s="17">
        <v>11999</v>
      </c>
    </row>
    <row r="47" spans="1:53" ht="15" thickBot="1" x14ac:dyDescent="0.35">
      <c r="A47" s="32">
        <f t="shared" si="0"/>
        <v>39</v>
      </c>
      <c r="B47" s="29">
        <f t="shared" si="1"/>
        <v>9.75</v>
      </c>
      <c r="C47" s="29" t="b">
        <f ca="1">AND(VaBenefits[[#This Row],[timeFromValuation]]&gt;=ACT,VaBenefits[[#This Row],[Assumed Contract Value ]]&gt;0)</f>
        <v>1</v>
      </c>
      <c r="D47" s="20">
        <f>IF(OR(RIGHT(B47,2)="25",RIGHT(B47,2)="75"),0,VLOOKUP(VaBenefits[[#This Row],[timeFromValuation]],$AR$8:$BA$30,2,FALSE))</f>
        <v>0</v>
      </c>
      <c r="E47" s="20">
        <f>IF(OR(RIGHT(B47,2)="25",RIGHT(B47,2)="75"),0,VLOOKUP(VaBenefits[[#This Row],[timeFromValuation]],$AR$8:$BA$30,3,FALSE))</f>
        <v>0</v>
      </c>
      <c r="F47" s="20">
        <f ca="1">IF(OR(RIGHT(B47,2)="25",RIGHT(B47,2)="75"),OFFSET(VaBenefits[[#This Row],[Assumed Contract Value ]],-1,0),VLOOKUP(VaBenefits[[#This Row],[timeFromValuation]],$AR$8:$BA$30,4,FALSE))</f>
        <v>100000</v>
      </c>
      <c r="G47" s="96">
        <f>ROUND($G$8+VaBenefits[[#This Row],[timeFromValuation]],0)</f>
        <v>65</v>
      </c>
      <c r="H47" s="20">
        <f>ROUND($H$8+VaBenefits[[#This Row],[timeFromValuation]],0)</f>
        <v>75</v>
      </c>
      <c r="I47" s="27" t="b">
        <f>VaBenefits[[#This Row],[Withdrawal Taken  ]]&gt;0</f>
        <v>0</v>
      </c>
      <c r="J47" s="41">
        <f ca="1">IF(AND(NOT(VaBenefits[[#This Row],[Is Activation]]),VaBenefits[[#This Row],[Assumed Contract Value ]]&gt;0),VaBenefits[[#This Row],[Withdrawal Taken  ]]/VaBenefits[[#This Row],[Assumed Contract Value ]],0)</f>
        <v>0</v>
      </c>
      <c r="K4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7" s="27" t="b">
        <f ca="1">AND(VaBenefits[[#This Row],[Is Activation]],SUMIFS($E$8:$E47,$C$8:$C47,TRUE)&gt;0)</f>
        <v>1</v>
      </c>
      <c r="M4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7" s="32" t="b">
        <f>IF(VaBenefits[[#This Row],[timeFromValuation]]=0,0, MOD(VaBenefits[[#This Row],[timeFromValuation]],1)=0)</f>
        <v>0</v>
      </c>
      <c r="O47" s="7">
        <f>IF(VaBenefits[[#This Row],[Is Anniversary?]]=TRUE,VaBenefits[[#This Row],[Assumed Contract Value ]],0)</f>
        <v>0</v>
      </c>
      <c r="P4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7" s="7" t="b">
        <f ca="1">VaBenefits[[#This Row],[Assumed Contract Value ]]&lt;0.1</f>
        <v>0</v>
      </c>
      <c r="R4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7" s="7">
        <f ca="1">IF(AND(VaBenefits[[#This Row],[Is Activation]]=FALSE,VaBenefits[[#This Row],[Is Anniversary?]]=TRUE),OFFSET( VaBenefits[[#This Row],[Income Credit Base]],-1,0)*ICP,0)</f>
        <v>0</v>
      </c>
      <c r="T47" s="5">
        <f ca="1">IF(VaBenefits[[#This Row],[Assumed Contract Value ]]&gt;0,VaBenefits[[#This Row],[Income Base]]*MAWA,0)</f>
        <v>18790.635625838375</v>
      </c>
      <c r="U47" s="95">
        <f ca="1">IF(AND(VaBenefits[[#This Row],[Has Income Credit]],VaBenefits[[#This Row],[Is Anniversary?]],VaBenefits[[#This Row],[Joint Mortality tPxy for the partial year]]),VaBenefits[[#This Row],[Income Base]]*PIP,0)</f>
        <v>0</v>
      </c>
      <c r="V47" s="8">
        <f>1/(1+InterestRate)^VaBenefits[[#This Row],[timeFromValuation]]</f>
        <v>0.62144734090730558</v>
      </c>
      <c r="W47" s="90">
        <f>VaBenefits[[#This Row],[timeFromValuation]]</f>
        <v>9.75</v>
      </c>
      <c r="X47" s="91">
        <f>IF(($G$8+VaBenefits[[#This Row],[timeFromValuation]])&lt;=120,VLOOKUP(G47,Table2[],Qx!L$6,FALSE),0)</f>
        <v>0.99385400000000002</v>
      </c>
      <c r="Y47" s="91">
        <f>IF(($H$8+VaBenefits[[#This Row],[timeFromValuation]])&lt;=120,VLOOKUP(H47,Table2[],Qx!M$6,FALSE),0)</f>
        <v>0.98118499999999997</v>
      </c>
      <c r="Z47" s="91">
        <f>PRODUCT($X$8:$X47)</f>
        <v>0.863622691154454</v>
      </c>
      <c r="AA47" s="91">
        <f>PRODUCT($Y$8:$Y47)</f>
        <v>0.61508389122211882</v>
      </c>
      <c r="AB47" s="91">
        <f>VaBenefits[[#This Row],[Primary Annuitant Px]]+VaBenefits[[#This Row],[Secondary Annuitant Py]]-VaBenefits[[#This Row],[Primary Annuitant Px]]*VaBenefits[[#This Row],[Secondary Annuitant Py]]</f>
        <v>0.99988436301000005</v>
      </c>
      <c r="AC47" s="91">
        <f>PRODUCT($AB$8:$AB47)</f>
        <v>0.998082285736415</v>
      </c>
      <c r="AD47" s="97">
        <f t="shared" ca="1" si="14"/>
        <v>0</v>
      </c>
      <c r="AE47" s="130">
        <f ca="1">IF((AND(VaBenefits[[#This Row],[Is Anniversary?]],VaBenefits[[#This Row],[Assumed Contract Value ]]&lt;75000)),-50,0)</f>
        <v>0</v>
      </c>
      <c r="AF47" s="133">
        <f ca="1">VaBenefits[[#This Row],[Assumed Contract Value ]]*-1.15%/4</f>
        <v>-287.5</v>
      </c>
      <c r="AG47" s="129">
        <v>0</v>
      </c>
      <c r="AH47" s="131">
        <f ca="1">VaBenefits[[#This Row],[Maintenace Fee]]+VaBenefits[[#This Row],[Separate Account Charge]]+VaBenefits[[#This Row],[Rider Fee]]</f>
        <v>-287.5</v>
      </c>
      <c r="AR47" s="23">
        <f t="shared" si="3"/>
        <v>19.5</v>
      </c>
      <c r="AS47" s="24">
        <v>0</v>
      </c>
      <c r="AT47" s="24">
        <v>0</v>
      </c>
      <c r="AU47" s="22">
        <v>0</v>
      </c>
      <c r="AV47" s="16">
        <v>0</v>
      </c>
      <c r="AW47" s="14">
        <v>299982</v>
      </c>
      <c r="AX47" s="15">
        <v>0</v>
      </c>
      <c r="AY47" s="15">
        <v>0</v>
      </c>
      <c r="AZ47" s="14">
        <v>0</v>
      </c>
      <c r="BA47" s="17">
        <v>11999</v>
      </c>
    </row>
    <row r="48" spans="1:53" ht="15" thickBot="1" x14ac:dyDescent="0.35">
      <c r="A48" s="32">
        <f t="shared" si="0"/>
        <v>40</v>
      </c>
      <c r="B48" s="29">
        <f t="shared" si="1"/>
        <v>10</v>
      </c>
      <c r="C48" s="29" t="b">
        <f ca="1">AND(VaBenefits[[#This Row],[timeFromValuation]]&gt;=ACT,VaBenefits[[#This Row],[Assumed Contract Value ]]&gt;0)</f>
        <v>1</v>
      </c>
      <c r="D48" s="20">
        <f>IF(OR(RIGHT(B48,2)="25",RIGHT(B48,2)="75"),0,VLOOKUP(VaBenefits[[#This Row],[timeFromValuation]],$AR$8:$BA$30,2,FALSE))</f>
        <v>0</v>
      </c>
      <c r="E48" s="20">
        <f>IF(OR(RIGHT(B48,2)="25",RIGHT(B48,2)="75"),0,VLOOKUP(VaBenefits[[#This Row],[timeFromValuation]],$AR$8:$BA$30,3,FALSE))</f>
        <v>0</v>
      </c>
      <c r="F48" s="20">
        <f ca="1">IF(OR(RIGHT(B48,2)="25",RIGHT(B48,2)="75"),OFFSET(VaBenefits[[#This Row],[Assumed Contract Value ]],-1,0),VLOOKUP(VaBenefits[[#This Row],[timeFromValuation]],$AR$8:$BA$30,4,FALSE))</f>
        <v>50000</v>
      </c>
      <c r="G48" s="96">
        <f>ROUND($G$8+VaBenefits[[#This Row],[timeFromValuation]],0)</f>
        <v>65</v>
      </c>
      <c r="H48" s="20">
        <f>ROUND($H$8+VaBenefits[[#This Row],[timeFromValuation]],0)</f>
        <v>75</v>
      </c>
      <c r="I48" s="27" t="b">
        <f>VaBenefits[[#This Row],[Withdrawal Taken  ]]&gt;0</f>
        <v>0</v>
      </c>
      <c r="J48" s="41">
        <f ca="1">IF(AND(NOT(VaBenefits[[#This Row],[Is Activation]]),VaBenefits[[#This Row],[Assumed Contract Value ]]&gt;0),VaBenefits[[#This Row],[Withdrawal Taken  ]]/VaBenefits[[#This Row],[Assumed Contract Value ]],0)</f>
        <v>0</v>
      </c>
      <c r="K4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8" s="27" t="b">
        <f ca="1">AND(VaBenefits[[#This Row],[Is Activation]],SUMIFS($E$8:$E48,$C$8:$C48,TRUE)&gt;0)</f>
        <v>1</v>
      </c>
      <c r="M4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8" s="32" t="b">
        <f>IF(VaBenefits[[#This Row],[timeFromValuation]]=0,0, MOD(VaBenefits[[#This Row],[timeFromValuation]],1)=0)</f>
        <v>1</v>
      </c>
      <c r="O48" s="7">
        <f ca="1">IF(VaBenefits[[#This Row],[Is Anniversary?]]=TRUE,VaBenefits[[#This Row],[Assumed Contract Value ]],0)</f>
        <v>50000</v>
      </c>
      <c r="P4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8" s="7" t="b">
        <f ca="1">VaBenefits[[#This Row],[Assumed Contract Value ]]&lt;0.1</f>
        <v>0</v>
      </c>
      <c r="R4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8" s="7">
        <f ca="1">IF(AND(VaBenefits[[#This Row],[Is Activation]]=FALSE,VaBenefits[[#This Row],[Is Anniversary?]]=TRUE),OFFSET( VaBenefits[[#This Row],[Income Credit Base]],-1,0)*ICP,0)</f>
        <v>0</v>
      </c>
      <c r="T48" s="5">
        <f ca="1">IF(VaBenefits[[#This Row],[Assumed Contract Value ]]&gt;0,VaBenefits[[#This Row],[Income Base]]*MAWA,0)</f>
        <v>18790.635625838375</v>
      </c>
      <c r="U48" s="95">
        <f ca="1">IF(AND(VaBenefits[[#This Row],[Has Income Credit]],VaBenefits[[#This Row],[Is Anniversary?]],VaBenefits[[#This Row],[Joint Mortality tPxy for the partial year]]),VaBenefits[[#This Row],[Income Base]]*PIP,0)</f>
        <v>0</v>
      </c>
      <c r="V48" s="8">
        <f>1/(1+InterestRate)^VaBenefits[[#This Row],[timeFromValuation]]</f>
        <v>0.61391325354075932</v>
      </c>
      <c r="W48" s="90">
        <f>VaBenefits[[#This Row],[timeFromValuation]]</f>
        <v>10</v>
      </c>
      <c r="X48" s="91">
        <f>IF(($G$8+VaBenefits[[#This Row],[timeFromValuation]])&lt;=120,VLOOKUP(G48,Table2[],Qx!L$6,FALSE),0)</f>
        <v>0.99385400000000002</v>
      </c>
      <c r="Y48" s="91">
        <f>IF(($H$8+VaBenefits[[#This Row],[timeFromValuation]])&lt;=120,VLOOKUP(H48,Table2[],Qx!M$6,FALSE),0)</f>
        <v>0.98118499999999997</v>
      </c>
      <c r="Z48" s="91">
        <f>PRODUCT($X$8:$X48)</f>
        <v>0.85831486609461871</v>
      </c>
      <c r="AA48" s="91">
        <f>PRODUCT($Y$8:$Y48)</f>
        <v>0.6035110878087746</v>
      </c>
      <c r="AB48" s="91">
        <f>VaBenefits[[#This Row],[Primary Annuitant Px]]+VaBenefits[[#This Row],[Secondary Annuitant Py]]-VaBenefits[[#This Row],[Primary Annuitant Px]]*VaBenefits[[#This Row],[Secondary Annuitant Py]]</f>
        <v>0.99988436301000005</v>
      </c>
      <c r="AC48" s="91">
        <f>PRODUCT($AB$8:$AB48)</f>
        <v>0.99796687050512012</v>
      </c>
      <c r="AD48" s="97">
        <f t="shared" ca="1" si="14"/>
        <v>0</v>
      </c>
      <c r="AE48" s="130">
        <f ca="1">IF((AND(VaBenefits[[#This Row],[Is Anniversary?]],VaBenefits[[#This Row],[Assumed Contract Value ]]&lt;75000)),-50,0)</f>
        <v>-50</v>
      </c>
      <c r="AF48" s="133">
        <f ca="1">VaBenefits[[#This Row],[Assumed Contract Value ]]*-1.15%/4</f>
        <v>-143.75</v>
      </c>
      <c r="AG48" s="129">
        <v>0</v>
      </c>
      <c r="AH48" s="131">
        <f ca="1">VaBenefits[[#This Row],[Maintenace Fee]]+VaBenefits[[#This Row],[Separate Account Charge]]+VaBenefits[[#This Row],[Rider Fee]]</f>
        <v>-193.75</v>
      </c>
      <c r="AR48" s="23">
        <f t="shared" si="3"/>
        <v>20</v>
      </c>
      <c r="AS48" s="24">
        <v>0</v>
      </c>
      <c r="AT48" s="24">
        <v>0</v>
      </c>
      <c r="AU48" s="22">
        <v>0</v>
      </c>
      <c r="AV48" s="16">
        <v>0</v>
      </c>
      <c r="AW48" s="14">
        <v>299982</v>
      </c>
      <c r="AX48" s="15">
        <v>0</v>
      </c>
      <c r="AY48" s="15">
        <v>0</v>
      </c>
      <c r="AZ48" s="14">
        <v>0</v>
      </c>
      <c r="BA48" s="17">
        <v>11999</v>
      </c>
    </row>
    <row r="49" spans="1:53" ht="15" thickBot="1" x14ac:dyDescent="0.35">
      <c r="A49" s="32">
        <f t="shared" si="0"/>
        <v>41</v>
      </c>
      <c r="B49" s="29">
        <f t="shared" si="1"/>
        <v>10.25</v>
      </c>
      <c r="C49" s="29" t="b">
        <f ca="1">AND(VaBenefits[[#This Row],[timeFromValuation]]&gt;=ACT,VaBenefits[[#This Row],[Assumed Contract Value ]]&gt;0)</f>
        <v>1</v>
      </c>
      <c r="D49" s="20">
        <f>IF(OR(RIGHT(B49,2)="25",RIGHT(B49,2)="75"),0,VLOOKUP(VaBenefits[[#This Row],[timeFromValuation]],$AR$8:$BA$30,2,FALSE))</f>
        <v>0</v>
      </c>
      <c r="E49" s="20">
        <f>IF(OR(RIGHT(B49,2)="25",RIGHT(B49,2)="75"),0,VLOOKUP(VaBenefits[[#This Row],[timeFromValuation]],$AR$8:$BA$30,3,FALSE))</f>
        <v>0</v>
      </c>
      <c r="F49" s="20">
        <f ca="1">IF(OR(RIGHT(B49,2)="25",RIGHT(B49,2)="75"),OFFSET(VaBenefits[[#This Row],[Assumed Contract Value ]],-1,0),VLOOKUP(VaBenefits[[#This Row],[timeFromValuation]],$AR$8:$BA$30,4,FALSE))</f>
        <v>50000</v>
      </c>
      <c r="G49" s="96">
        <f>ROUND($G$8+VaBenefits[[#This Row],[timeFromValuation]],0)</f>
        <v>65</v>
      </c>
      <c r="H49" s="20">
        <f>ROUND($H$8+VaBenefits[[#This Row],[timeFromValuation]],0)</f>
        <v>75</v>
      </c>
      <c r="I49" s="27" t="b">
        <f>VaBenefits[[#This Row],[Withdrawal Taken  ]]&gt;0</f>
        <v>0</v>
      </c>
      <c r="J49" s="41">
        <f ca="1">IF(AND(NOT(VaBenefits[[#This Row],[Is Activation]]),VaBenefits[[#This Row],[Assumed Contract Value ]]&gt;0),VaBenefits[[#This Row],[Withdrawal Taken  ]]/VaBenefits[[#This Row],[Assumed Contract Value ]],0)</f>
        <v>0</v>
      </c>
      <c r="K4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9" s="27" t="b">
        <f ca="1">AND(VaBenefits[[#This Row],[Is Activation]],SUMIFS($E$8:$E49,$C$8:$C49,TRUE)&gt;0)</f>
        <v>1</v>
      </c>
      <c r="M4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9" s="32" t="b">
        <f>IF(VaBenefits[[#This Row],[timeFromValuation]]=0,0, MOD(VaBenefits[[#This Row],[timeFromValuation]],1)=0)</f>
        <v>0</v>
      </c>
      <c r="O49" s="7">
        <f>IF(VaBenefits[[#This Row],[Is Anniversary?]]=TRUE,VaBenefits[[#This Row],[Assumed Contract Value ]],0)</f>
        <v>0</v>
      </c>
      <c r="P4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9" s="7" t="b">
        <f ca="1">VaBenefits[[#This Row],[Assumed Contract Value ]]&lt;0.1</f>
        <v>0</v>
      </c>
      <c r="R4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9" s="7">
        <f ca="1">IF(AND(VaBenefits[[#This Row],[Is Activation]]=FALSE,VaBenefits[[#This Row],[Is Anniversary?]]=TRUE),OFFSET( VaBenefits[[#This Row],[Income Credit Base]],-1,0)*ICP,0)</f>
        <v>0</v>
      </c>
      <c r="T49" s="5">
        <f ca="1">IF(VaBenefits[[#This Row],[Assumed Contract Value ]]&gt;0,VaBenefits[[#This Row],[Income Base]]*MAWA,0)</f>
        <v>18790.635625838375</v>
      </c>
      <c r="U49" s="95">
        <f ca="1">IF(AND(VaBenefits[[#This Row],[Has Income Credit]],VaBenefits[[#This Row],[Is Anniversary?]],VaBenefits[[#This Row],[Joint Mortality tPxy for the partial year]]),VaBenefits[[#This Row],[Income Base]]*PIP,0)</f>
        <v>0</v>
      </c>
      <c r="V49" s="8">
        <f>1/(1+InterestRate)^VaBenefits[[#This Row],[timeFromValuation]]</f>
        <v>0.60647050532511138</v>
      </c>
      <c r="W49" s="90">
        <f>VaBenefits[[#This Row],[timeFromValuation]]</f>
        <v>10.25</v>
      </c>
      <c r="X49" s="91">
        <f>IF(($G$8+VaBenefits[[#This Row],[timeFromValuation]])&lt;=120,VLOOKUP(G49,Table2[],Qx!L$6,FALSE),0)</f>
        <v>0.99385400000000002</v>
      </c>
      <c r="Y49" s="91">
        <f>IF(($H$8+VaBenefits[[#This Row],[timeFromValuation]])&lt;=120,VLOOKUP(H49,Table2[],Qx!M$6,FALSE),0)</f>
        <v>0.98118499999999997</v>
      </c>
      <c r="Z49" s="91">
        <f>PRODUCT($X$8:$X49)</f>
        <v>0.85303966292760125</v>
      </c>
      <c r="AA49" s="91">
        <f>PRODUCT($Y$8:$Y49)</f>
        <v>0.59215602669165246</v>
      </c>
      <c r="AB49" s="91">
        <f>VaBenefits[[#This Row],[Primary Annuitant Px]]+VaBenefits[[#This Row],[Secondary Annuitant Py]]-VaBenefits[[#This Row],[Primary Annuitant Px]]*VaBenefits[[#This Row],[Secondary Annuitant Py]]</f>
        <v>0.99988436301000005</v>
      </c>
      <c r="AC49" s="91">
        <f>PRODUCT($AB$8:$AB49)</f>
        <v>0.99785146862009522</v>
      </c>
      <c r="AD49" s="97">
        <f t="shared" ca="1" si="14"/>
        <v>0</v>
      </c>
      <c r="AE49" s="130">
        <f ca="1">IF((AND(VaBenefits[[#This Row],[Is Anniversary?]],VaBenefits[[#This Row],[Assumed Contract Value ]]&lt;75000)),-50,0)</f>
        <v>0</v>
      </c>
      <c r="AF49" s="133">
        <f ca="1">VaBenefits[[#This Row],[Assumed Contract Value ]]*-1.15%/4</f>
        <v>-143.75</v>
      </c>
      <c r="AG49" s="129">
        <v>0</v>
      </c>
      <c r="AH49" s="131">
        <f ca="1">VaBenefits[[#This Row],[Maintenace Fee]]+VaBenefits[[#This Row],[Separate Account Charge]]+VaBenefits[[#This Row],[Rider Fee]]</f>
        <v>-143.75</v>
      </c>
      <c r="AR49" s="23">
        <f t="shared" si="3"/>
        <v>20.5</v>
      </c>
      <c r="AS49" s="24">
        <v>0</v>
      </c>
      <c r="AT49" s="24">
        <v>0</v>
      </c>
      <c r="AU49" s="22">
        <v>0</v>
      </c>
      <c r="AV49" s="16">
        <v>0</v>
      </c>
      <c r="AW49" s="14">
        <v>299982</v>
      </c>
      <c r="AX49" s="15">
        <v>0</v>
      </c>
      <c r="AY49" s="15">
        <v>0</v>
      </c>
      <c r="AZ49" s="14">
        <v>0</v>
      </c>
      <c r="BA49" s="17">
        <v>11999</v>
      </c>
    </row>
    <row r="50" spans="1:53" ht="15" thickBot="1" x14ac:dyDescent="0.35">
      <c r="A50" s="32">
        <f t="shared" si="0"/>
        <v>42</v>
      </c>
      <c r="B50" s="29">
        <f t="shared" si="1"/>
        <v>10.5</v>
      </c>
      <c r="C50" s="29" t="b">
        <f ca="1">AND(VaBenefits[[#This Row],[timeFromValuation]]&gt;=ACT,VaBenefits[[#This Row],[Assumed Contract Value ]]&gt;0)</f>
        <v>1</v>
      </c>
      <c r="D50" s="20">
        <f>IF(OR(RIGHT(B50,2)="25",RIGHT(B50,2)="75"),0,VLOOKUP(VaBenefits[[#This Row],[timeFromValuation]],$AR$8:$BA$30,2,FALSE))</f>
        <v>0</v>
      </c>
      <c r="E50" s="20">
        <f>IF(OR(RIGHT(B50,2)="25",RIGHT(B50,2)="75"),0,VLOOKUP(VaBenefits[[#This Row],[timeFromValuation]],$AR$8:$BA$30,3,FALSE))</f>
        <v>0</v>
      </c>
      <c r="F50" s="20">
        <f ca="1">IF(OR(RIGHT(B50,2)="25",RIGHT(B50,2)="75"),OFFSET(VaBenefits[[#This Row],[Assumed Contract Value ]],-1,0),VLOOKUP(VaBenefits[[#This Row],[timeFromValuation]],$AR$8:$BA$30,4,FALSE))</f>
        <v>50000</v>
      </c>
      <c r="G50" s="96">
        <f>ROUND($G$8+VaBenefits[[#This Row],[timeFromValuation]],0)</f>
        <v>66</v>
      </c>
      <c r="H50" s="20">
        <f>ROUND($H$8+VaBenefits[[#This Row],[timeFromValuation]],0)</f>
        <v>76</v>
      </c>
      <c r="I50" s="27" t="b">
        <f>VaBenefits[[#This Row],[Withdrawal Taken  ]]&gt;0</f>
        <v>0</v>
      </c>
      <c r="J50" s="41">
        <f ca="1">IF(AND(NOT(VaBenefits[[#This Row],[Is Activation]]),VaBenefits[[#This Row],[Assumed Contract Value ]]&gt;0),VaBenefits[[#This Row],[Withdrawal Taken  ]]/VaBenefits[[#This Row],[Assumed Contract Value ]],0)</f>
        <v>0</v>
      </c>
      <c r="K5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0" s="27" t="b">
        <f ca="1">AND(VaBenefits[[#This Row],[Is Activation]],SUMIFS($E$8:$E50,$C$8:$C50,TRUE)&gt;0)</f>
        <v>1</v>
      </c>
      <c r="M5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0" s="32" t="b">
        <f>IF(VaBenefits[[#This Row],[timeFromValuation]]=0,0, MOD(VaBenefits[[#This Row],[timeFromValuation]],1)=0)</f>
        <v>0</v>
      </c>
      <c r="O50" s="7">
        <f>IF(VaBenefits[[#This Row],[Is Anniversary?]]=TRUE,VaBenefits[[#This Row],[Assumed Contract Value ]],0)</f>
        <v>0</v>
      </c>
      <c r="P5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0" s="7" t="b">
        <f ca="1">VaBenefits[[#This Row],[Assumed Contract Value ]]&lt;0.1</f>
        <v>0</v>
      </c>
      <c r="R5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0" s="7">
        <f ca="1">IF(AND(VaBenefits[[#This Row],[Is Activation]]=FALSE,VaBenefits[[#This Row],[Is Anniversary?]]=TRUE),OFFSET( VaBenefits[[#This Row],[Income Credit Base]],-1,0)*ICP,0)</f>
        <v>0</v>
      </c>
      <c r="T50" s="5">
        <f ca="1">IF(VaBenefits[[#This Row],[Assumed Contract Value ]]&gt;0,VaBenefits[[#This Row],[Income Base]]*MAWA,0)</f>
        <v>18790.635625838375</v>
      </c>
      <c r="U50" s="95">
        <f ca="1">IF(AND(VaBenefits[[#This Row],[Has Income Credit]],VaBenefits[[#This Row],[Is Anniversary?]],VaBenefits[[#This Row],[Joint Mortality tPxy for the partial year]]),VaBenefits[[#This Row],[Income Base]]*PIP,0)</f>
        <v>0</v>
      </c>
      <c r="V50" s="8">
        <f>1/(1+InterestRate)^VaBenefits[[#This Row],[timeFromValuation]]</f>
        <v>0.59911798891449808</v>
      </c>
      <c r="W50" s="90">
        <f>VaBenefits[[#This Row],[timeFromValuation]]</f>
        <v>10.5</v>
      </c>
      <c r="X50" s="91">
        <f>IF(($G$8+VaBenefits[[#This Row],[timeFromValuation]])&lt;=120,VLOOKUP(G50,Table2[],Qx!L$6,FALSE),0)</f>
        <v>0.99344900000000003</v>
      </c>
      <c r="Y50" s="91">
        <f>IF(($H$8+VaBenefits[[#This Row],[timeFromValuation]])&lt;=120,VLOOKUP(H50,Table2[],Qx!M$6,FALSE),0)</f>
        <v>0.97896899999999998</v>
      </c>
      <c r="Z50" s="91">
        <f>PRODUCT($X$8:$X50)</f>
        <v>0.84745140009576259</v>
      </c>
      <c r="AA50" s="91">
        <f>PRODUCT($Y$8:$Y50)</f>
        <v>0.57970239329430029</v>
      </c>
      <c r="AB50" s="91">
        <f>VaBenefits[[#This Row],[Primary Annuitant Px]]+VaBenefits[[#This Row],[Secondary Annuitant Py]]-VaBenefits[[#This Row],[Primary Annuitant Px]]*VaBenefits[[#This Row],[Secondary Annuitant Py]]</f>
        <v>0.99986222591899998</v>
      </c>
      <c r="AC50" s="91">
        <f>PRODUCT($AB$8:$AB50)</f>
        <v>0.9977139905510316</v>
      </c>
      <c r="AD50" s="97">
        <f t="shared" ca="1" si="14"/>
        <v>0</v>
      </c>
      <c r="AE50" s="130">
        <f ca="1">IF((AND(VaBenefits[[#This Row],[Is Anniversary?]],VaBenefits[[#This Row],[Assumed Contract Value ]]&lt;75000)),-50,0)</f>
        <v>0</v>
      </c>
      <c r="AF50" s="133">
        <f ca="1">VaBenefits[[#This Row],[Assumed Contract Value ]]*-1.15%/4</f>
        <v>-143.75</v>
      </c>
      <c r="AG50" s="129">
        <v>0</v>
      </c>
      <c r="AH50" s="131">
        <f ca="1">VaBenefits[[#This Row],[Maintenace Fee]]+VaBenefits[[#This Row],[Separate Account Charge]]+VaBenefits[[#This Row],[Rider Fee]]</f>
        <v>-143.75</v>
      </c>
      <c r="AR50" s="23">
        <f t="shared" si="3"/>
        <v>21</v>
      </c>
      <c r="AS50" s="24">
        <v>0</v>
      </c>
      <c r="AT50" s="24">
        <v>0</v>
      </c>
      <c r="AU50" s="22">
        <v>0</v>
      </c>
      <c r="AV50" s="16">
        <v>0</v>
      </c>
      <c r="AW50" s="14">
        <v>299982</v>
      </c>
      <c r="AX50" s="15">
        <v>0</v>
      </c>
      <c r="AY50" s="15">
        <v>0</v>
      </c>
      <c r="AZ50" s="14">
        <v>0</v>
      </c>
      <c r="BA50" s="17">
        <v>11999</v>
      </c>
    </row>
    <row r="51" spans="1:53" ht="15" thickBot="1" x14ac:dyDescent="0.35">
      <c r="A51" s="32">
        <f t="shared" si="0"/>
        <v>43</v>
      </c>
      <c r="B51" s="29">
        <f t="shared" si="1"/>
        <v>10.75</v>
      </c>
      <c r="C51" s="29" t="b">
        <f ca="1">AND(VaBenefits[[#This Row],[timeFromValuation]]&gt;=ACT,VaBenefits[[#This Row],[Assumed Contract Value ]]&gt;0)</f>
        <v>1</v>
      </c>
      <c r="D51" s="20">
        <f>IF(OR(RIGHT(B51,2)="25",RIGHT(B51,2)="75"),0,VLOOKUP(VaBenefits[[#This Row],[timeFromValuation]],$AR$8:$BA$30,2,FALSE))</f>
        <v>0</v>
      </c>
      <c r="E51" s="20">
        <f>IF(OR(RIGHT(B51,2)="25",RIGHT(B51,2)="75"),0,VLOOKUP(VaBenefits[[#This Row],[timeFromValuation]],$AR$8:$BA$30,3,FALSE))</f>
        <v>0</v>
      </c>
      <c r="F51" s="20">
        <f ca="1">IF(OR(RIGHT(B51,2)="25",RIGHT(B51,2)="75"),OFFSET(VaBenefits[[#This Row],[Assumed Contract Value ]],-1,0),VLOOKUP(VaBenefits[[#This Row],[timeFromValuation]],$AR$8:$BA$30,4,FALSE))</f>
        <v>50000</v>
      </c>
      <c r="G51" s="96">
        <f>ROUND($G$8+VaBenefits[[#This Row],[timeFromValuation]],0)</f>
        <v>66</v>
      </c>
      <c r="H51" s="20">
        <f>ROUND($H$8+VaBenefits[[#This Row],[timeFromValuation]],0)</f>
        <v>76</v>
      </c>
      <c r="I51" s="27" t="b">
        <f>VaBenefits[[#This Row],[Withdrawal Taken  ]]&gt;0</f>
        <v>0</v>
      </c>
      <c r="J51" s="41">
        <f ca="1">IF(AND(NOT(VaBenefits[[#This Row],[Is Activation]]),VaBenefits[[#This Row],[Assumed Contract Value ]]&gt;0),VaBenefits[[#This Row],[Withdrawal Taken  ]]/VaBenefits[[#This Row],[Assumed Contract Value ]],0)</f>
        <v>0</v>
      </c>
      <c r="K5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1" s="27" t="b">
        <f ca="1">AND(VaBenefits[[#This Row],[Is Activation]],SUMIFS($E$8:$E51,$C$8:$C51,TRUE)&gt;0)</f>
        <v>1</v>
      </c>
      <c r="M5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1" s="32" t="b">
        <f>IF(VaBenefits[[#This Row],[timeFromValuation]]=0,0, MOD(VaBenefits[[#This Row],[timeFromValuation]],1)=0)</f>
        <v>0</v>
      </c>
      <c r="O51" s="7">
        <f>IF(VaBenefits[[#This Row],[Is Anniversary?]]=TRUE,VaBenefits[[#This Row],[Assumed Contract Value ]],0)</f>
        <v>0</v>
      </c>
      <c r="P5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1" s="7" t="b">
        <f ca="1">VaBenefits[[#This Row],[Assumed Contract Value ]]&lt;0.1</f>
        <v>0</v>
      </c>
      <c r="R5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1" s="7">
        <f ca="1">IF(AND(VaBenefits[[#This Row],[Is Activation]]=FALSE,VaBenefits[[#This Row],[Is Anniversary?]]=TRUE),OFFSET( VaBenefits[[#This Row],[Income Credit Base]],-1,0)*ICP,0)</f>
        <v>0</v>
      </c>
      <c r="T51" s="5">
        <f ca="1">IF(VaBenefits[[#This Row],[Assumed Contract Value ]]&gt;0,VaBenefits[[#This Row],[Income Base]]*MAWA,0)</f>
        <v>18790.635625838375</v>
      </c>
      <c r="U51" s="95">
        <f ca="1">IF(AND(VaBenefits[[#This Row],[Has Income Credit]],VaBenefits[[#This Row],[Is Anniversary?]],VaBenefits[[#This Row],[Joint Mortality tPxy for the partial year]]),VaBenefits[[#This Row],[Income Base]]*PIP,0)</f>
        <v>0</v>
      </c>
      <c r="V51" s="8">
        <f>1/(1+InterestRate)^VaBenefits[[#This Row],[timeFromValuation]]</f>
        <v>0.59185461038790999</v>
      </c>
      <c r="W51" s="90">
        <f>VaBenefits[[#This Row],[timeFromValuation]]</f>
        <v>10.75</v>
      </c>
      <c r="X51" s="91">
        <f>IF(($G$8+VaBenefits[[#This Row],[timeFromValuation]])&lt;=120,VLOOKUP(G51,Table2[],Qx!L$6,FALSE),0)</f>
        <v>0.99344900000000003</v>
      </c>
      <c r="Y51" s="91">
        <f>IF(($H$8+VaBenefits[[#This Row],[timeFromValuation]])&lt;=120,VLOOKUP(H51,Table2[],Qx!M$6,FALSE),0)</f>
        <v>0.97896899999999998</v>
      </c>
      <c r="Z51" s="91">
        <f>PRODUCT($X$8:$X51)</f>
        <v>0.84189974597373529</v>
      </c>
      <c r="AA51" s="91">
        <f>PRODUCT($Y$8:$Y51)</f>
        <v>0.56751067226092788</v>
      </c>
      <c r="AB51" s="91">
        <f>VaBenefits[[#This Row],[Primary Annuitant Px]]+VaBenefits[[#This Row],[Secondary Annuitant Py]]-VaBenefits[[#This Row],[Primary Annuitant Px]]*VaBenefits[[#This Row],[Secondary Annuitant Py]]</f>
        <v>0.99986222591899998</v>
      </c>
      <c r="AC51" s="91">
        <f>PRODUCT($AB$8:$AB51)</f>
        <v>0.99757653142288261</v>
      </c>
      <c r="AD51" s="97">
        <f t="shared" ca="1" si="14"/>
        <v>0</v>
      </c>
      <c r="AE51" s="130">
        <f ca="1">IF((AND(VaBenefits[[#This Row],[Is Anniversary?]],VaBenefits[[#This Row],[Assumed Contract Value ]]&lt;75000)),-50,0)</f>
        <v>0</v>
      </c>
      <c r="AF51" s="133">
        <f ca="1">VaBenefits[[#This Row],[Assumed Contract Value ]]*-1.15%/4</f>
        <v>-143.75</v>
      </c>
      <c r="AG51" s="129">
        <v>0</v>
      </c>
      <c r="AH51" s="131">
        <f ca="1">VaBenefits[[#This Row],[Maintenace Fee]]+VaBenefits[[#This Row],[Separate Account Charge]]+VaBenefits[[#This Row],[Rider Fee]]</f>
        <v>-143.75</v>
      </c>
      <c r="AR51" s="23">
        <f t="shared" si="3"/>
        <v>21.5</v>
      </c>
      <c r="AS51" s="24">
        <v>0</v>
      </c>
      <c r="AT51" s="24">
        <v>0</v>
      </c>
      <c r="AU51" s="22">
        <v>0</v>
      </c>
      <c r="AV51" s="16">
        <v>0</v>
      </c>
      <c r="AW51" s="14">
        <v>299982</v>
      </c>
      <c r="AX51" s="15">
        <v>0</v>
      </c>
      <c r="AY51" s="15">
        <v>0</v>
      </c>
      <c r="AZ51" s="14">
        <v>0</v>
      </c>
      <c r="BA51" s="17">
        <v>11999</v>
      </c>
    </row>
    <row r="52" spans="1:53" ht="15" thickBot="1" x14ac:dyDescent="0.35">
      <c r="A52" s="32">
        <f t="shared" si="0"/>
        <v>44</v>
      </c>
      <c r="B52" s="29">
        <f t="shared" si="1"/>
        <v>11</v>
      </c>
      <c r="C52" s="29" t="b">
        <f ca="1">AND(VaBenefits[[#This Row],[timeFromValuation]]&gt;=ACT,VaBenefits[[#This Row],[Assumed Contract Value ]]&gt;0)</f>
        <v>0</v>
      </c>
      <c r="D52" s="20">
        <f>IF(OR(RIGHT(B52,2)="25",RIGHT(B52,2)="75"),0,VLOOKUP(VaBenefits[[#This Row],[timeFromValuation]],$AR$8:$BA$30,2,FALSE))</f>
        <v>0</v>
      </c>
      <c r="E52" s="20">
        <f>IF(OR(RIGHT(B52,2)="25",RIGHT(B52,2)="75"),0,VLOOKUP(VaBenefits[[#This Row],[timeFromValuation]],$AR$8:$BA$30,3,FALSE))</f>
        <v>0</v>
      </c>
      <c r="F52" s="20">
        <f ca="1">IF(OR(RIGHT(B52,2)="25",RIGHT(B52,2)="75"),OFFSET(VaBenefits[[#This Row],[Assumed Contract Value ]],-1,0),VLOOKUP(VaBenefits[[#This Row],[timeFromValuation]],$AR$8:$BA$30,4,FALSE))</f>
        <v>0</v>
      </c>
      <c r="G52" s="96">
        <f>ROUND($G$8+VaBenefits[[#This Row],[timeFromValuation]],0)</f>
        <v>66</v>
      </c>
      <c r="H52" s="20">
        <f>ROUND($H$8+VaBenefits[[#This Row],[timeFromValuation]],0)</f>
        <v>76</v>
      </c>
      <c r="I52" s="27" t="b">
        <f>VaBenefits[[#This Row],[Withdrawal Taken  ]]&gt;0</f>
        <v>0</v>
      </c>
      <c r="J52" s="41">
        <f ca="1">IF(AND(NOT(VaBenefits[[#This Row],[Is Activation]]),VaBenefits[[#This Row],[Assumed Contract Value ]]&gt;0),VaBenefits[[#This Row],[Withdrawal Taken  ]]/VaBenefits[[#This Row],[Assumed Contract Value ]],0)</f>
        <v>0</v>
      </c>
      <c r="K5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2" s="27" t="b">
        <f ca="1">AND(VaBenefits[[#This Row],[Is Activation]],SUMIFS($E$8:$E52,$C$8:$C52,TRUE)&gt;0)</f>
        <v>0</v>
      </c>
      <c r="M5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2" s="32" t="b">
        <f>IF(VaBenefits[[#This Row],[timeFromValuation]]=0,0, MOD(VaBenefits[[#This Row],[timeFromValuation]],1)=0)</f>
        <v>1</v>
      </c>
      <c r="O52" s="7">
        <f ca="1">IF(VaBenefits[[#This Row],[Is Anniversary?]]=TRUE,VaBenefits[[#This Row],[Assumed Contract Value ]],0)</f>
        <v>0</v>
      </c>
      <c r="P5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2" s="7" t="b">
        <f ca="1">VaBenefits[[#This Row],[Assumed Contract Value ]]&lt;0.1</f>
        <v>1</v>
      </c>
      <c r="R5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2" s="7">
        <f ca="1">IF(AND(VaBenefits[[#This Row],[Is Activation]]=FALSE,VaBenefits[[#This Row],[Is Anniversary?]]=TRUE),OFFSET( VaBenefits[[#This Row],[Income Credit Base]],-1,0)*ICP,0)</f>
        <v>0</v>
      </c>
      <c r="T52" s="5">
        <f ca="1">IF(VaBenefits[[#This Row],[Assumed Contract Value ]]&gt;0,VaBenefits[[#This Row],[Income Base]]*MAWA,0)</f>
        <v>0</v>
      </c>
      <c r="U52" s="95">
        <f ca="1">IF(AND(VaBenefits[[#This Row],[Has Income Credit]],VaBenefits[[#This Row],[Is Anniversary?]],VaBenefits[[#This Row],[Joint Mortality tPxy for the partial year]]),VaBenefits[[#This Row],[Income Base]]*PIP,0)</f>
        <v>12026.006800536559</v>
      </c>
      <c r="V52" s="8">
        <f>1/(1+InterestRate)^VaBenefits[[#This Row],[timeFromValuation]]</f>
        <v>0.5846792890864374</v>
      </c>
      <c r="W52" s="90">
        <f>VaBenefits[[#This Row],[timeFromValuation]]</f>
        <v>11</v>
      </c>
      <c r="X52" s="91">
        <f>IF(($G$8+VaBenefits[[#This Row],[timeFromValuation]])&lt;=120,VLOOKUP(G52,Table2[],Qx!L$6,FALSE),0)</f>
        <v>0.99344900000000003</v>
      </c>
      <c r="Y52" s="91">
        <f>IF(($H$8+VaBenefits[[#This Row],[timeFromValuation]])&lt;=120,VLOOKUP(H52,Table2[],Qx!M$6,FALSE),0)</f>
        <v>0.97896899999999998</v>
      </c>
      <c r="Z52" s="91">
        <f>PRODUCT($X$8:$X52)</f>
        <v>0.83638446073786132</v>
      </c>
      <c r="AA52" s="91">
        <f>PRODUCT($Y$8:$Y52)</f>
        <v>0.55557535531260827</v>
      </c>
      <c r="AB52" s="91">
        <f>VaBenefits[[#This Row],[Primary Annuitant Px]]+VaBenefits[[#This Row],[Secondary Annuitant Py]]-VaBenefits[[#This Row],[Primary Annuitant Px]]*VaBenefits[[#This Row],[Secondary Annuitant Py]]</f>
        <v>0.99986222591899998</v>
      </c>
      <c r="AC52" s="91">
        <f>PRODUCT($AB$8:$AB52)</f>
        <v>0.99743909123303864</v>
      </c>
      <c r="AD52" s="97">
        <f t="shared" ca="1" si="14"/>
        <v>0</v>
      </c>
      <c r="AE52" s="130">
        <f ca="1">IF((AND(VaBenefits[[#This Row],[Is Anniversary?]],VaBenefits[[#This Row],[Assumed Contract Value ]]&lt;75000)),-50,0)</f>
        <v>-50</v>
      </c>
      <c r="AF52" s="133">
        <f ca="1">VaBenefits[[#This Row],[Assumed Contract Value ]]*-1.15%/4</f>
        <v>0</v>
      </c>
      <c r="AG52" s="129">
        <v>0</v>
      </c>
      <c r="AH52" s="131">
        <f ca="1">VaBenefits[[#This Row],[Maintenace Fee]]+VaBenefits[[#This Row],[Separate Account Charge]]+VaBenefits[[#This Row],[Rider Fee]]</f>
        <v>-50</v>
      </c>
      <c r="AR52" s="23">
        <f t="shared" si="3"/>
        <v>22</v>
      </c>
      <c r="AS52" s="24">
        <v>0</v>
      </c>
      <c r="AT52" s="24">
        <v>0</v>
      </c>
      <c r="AU52" s="22">
        <v>0</v>
      </c>
      <c r="AV52" s="16">
        <v>0</v>
      </c>
      <c r="AW52" s="14">
        <v>299982</v>
      </c>
      <c r="AX52" s="15">
        <v>0</v>
      </c>
      <c r="AY52" s="15">
        <v>0</v>
      </c>
      <c r="AZ52" s="14">
        <v>0</v>
      </c>
      <c r="BA52" s="17">
        <v>11999</v>
      </c>
    </row>
    <row r="53" spans="1:53" ht="15" thickBot="1" x14ac:dyDescent="0.35">
      <c r="A53" s="32">
        <f t="shared" si="0"/>
        <v>45</v>
      </c>
      <c r="B53" s="29">
        <f t="shared" si="1"/>
        <v>11.25</v>
      </c>
      <c r="C53" s="29" t="b">
        <f ca="1">AND(VaBenefits[[#This Row],[timeFromValuation]]&gt;=ACT,VaBenefits[[#This Row],[Assumed Contract Value ]]&gt;0)</f>
        <v>0</v>
      </c>
      <c r="D53" s="20">
        <f>IF(OR(RIGHT(B53,2)="25",RIGHT(B53,2)="75"),0,VLOOKUP(VaBenefits[[#This Row],[timeFromValuation]],$AR$8:$BA$30,2,FALSE))</f>
        <v>0</v>
      </c>
      <c r="E53" s="20">
        <f>IF(OR(RIGHT(B53,2)="25",RIGHT(B53,2)="75"),0,VLOOKUP(VaBenefits[[#This Row],[timeFromValuation]],$AR$8:$BA$30,3,FALSE))</f>
        <v>0</v>
      </c>
      <c r="F53" s="20">
        <f ca="1">IF(OR(RIGHT(B53,2)="25",RIGHT(B53,2)="75"),OFFSET(VaBenefits[[#This Row],[Assumed Contract Value ]],-1,0),VLOOKUP(VaBenefits[[#This Row],[timeFromValuation]],$AR$8:$BA$30,4,FALSE))</f>
        <v>0</v>
      </c>
      <c r="G53" s="96">
        <f>ROUND($G$8+VaBenefits[[#This Row],[timeFromValuation]],0)</f>
        <v>66</v>
      </c>
      <c r="H53" s="20">
        <f>ROUND($H$8+VaBenefits[[#This Row],[timeFromValuation]],0)</f>
        <v>76</v>
      </c>
      <c r="I53" s="27" t="b">
        <f>VaBenefits[[#This Row],[Withdrawal Taken  ]]&gt;0</f>
        <v>0</v>
      </c>
      <c r="J53" s="41">
        <f ca="1">IF(AND(NOT(VaBenefits[[#This Row],[Is Activation]]),VaBenefits[[#This Row],[Assumed Contract Value ]]&gt;0),VaBenefits[[#This Row],[Withdrawal Taken  ]]/VaBenefits[[#This Row],[Assumed Contract Value ]],0)</f>
        <v>0</v>
      </c>
      <c r="K5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3" s="27" t="b">
        <f ca="1">AND(VaBenefits[[#This Row],[Is Activation]],SUMIFS($E$8:$E53,$C$8:$C53,TRUE)&gt;0)</f>
        <v>0</v>
      </c>
      <c r="M5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3" s="32" t="b">
        <f>IF(VaBenefits[[#This Row],[timeFromValuation]]=0,0, MOD(VaBenefits[[#This Row],[timeFromValuation]],1)=0)</f>
        <v>0</v>
      </c>
      <c r="O53" s="7">
        <f>IF(VaBenefits[[#This Row],[Is Anniversary?]]=TRUE,VaBenefits[[#This Row],[Assumed Contract Value ]],0)</f>
        <v>0</v>
      </c>
      <c r="P5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3" s="7" t="b">
        <f ca="1">VaBenefits[[#This Row],[Assumed Contract Value ]]&lt;0.1</f>
        <v>1</v>
      </c>
      <c r="R5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3" s="7">
        <f ca="1">IF(AND(VaBenefits[[#This Row],[Is Activation]]=FALSE,VaBenefits[[#This Row],[Is Anniversary?]]=TRUE),OFFSET( VaBenefits[[#This Row],[Income Credit Base]],-1,0)*ICP,0)</f>
        <v>0</v>
      </c>
      <c r="T53" s="5">
        <f ca="1">IF(VaBenefits[[#This Row],[Assumed Contract Value ]]&gt;0,VaBenefits[[#This Row],[Income Base]]*MAWA,0)</f>
        <v>0</v>
      </c>
      <c r="U53" s="95">
        <f ca="1">IF(AND(VaBenefits[[#This Row],[Has Income Credit]],VaBenefits[[#This Row],[Is Anniversary?]],VaBenefits[[#This Row],[Joint Mortality tPxy for the partial year]]),VaBenefits[[#This Row],[Income Base]]*PIP,0)</f>
        <v>0</v>
      </c>
      <c r="V53" s="8">
        <f>1/(1+InterestRate)^VaBenefits[[#This Row],[timeFromValuation]]</f>
        <v>0.57759095745248701</v>
      </c>
      <c r="W53" s="90">
        <f>VaBenefits[[#This Row],[timeFromValuation]]</f>
        <v>11.25</v>
      </c>
      <c r="X53" s="91">
        <f>IF(($G$8+VaBenefits[[#This Row],[timeFromValuation]])&lt;=120,VLOOKUP(G53,Table2[],Qx!L$6,FALSE),0)</f>
        <v>0.99344900000000003</v>
      </c>
      <c r="Y53" s="91">
        <f>IF(($H$8+VaBenefits[[#This Row],[timeFromValuation]])&lt;=120,VLOOKUP(H53,Table2[],Qx!M$6,FALSE),0)</f>
        <v>0.97896899999999998</v>
      </c>
      <c r="Z53" s="91">
        <f>PRODUCT($X$8:$X53)</f>
        <v>0.83090530613556757</v>
      </c>
      <c r="AA53" s="91">
        <f>PRODUCT($Y$8:$Y53)</f>
        <v>0.5438910500150288</v>
      </c>
      <c r="AB53" s="91">
        <f>VaBenefits[[#This Row],[Primary Annuitant Px]]+VaBenefits[[#This Row],[Secondary Annuitant Py]]-VaBenefits[[#This Row],[Primary Annuitant Px]]*VaBenefits[[#This Row],[Secondary Annuitant Py]]</f>
        <v>0.99986222591899998</v>
      </c>
      <c r="AC53" s="91">
        <f>PRODUCT($AB$8:$AB53)</f>
        <v>0.99730166997889047</v>
      </c>
      <c r="AD53" s="97">
        <f t="shared" ca="1" si="14"/>
        <v>0</v>
      </c>
      <c r="AE53" s="130">
        <f ca="1">IF((AND(VaBenefits[[#This Row],[Is Anniversary?]],VaBenefits[[#This Row],[Assumed Contract Value ]]&lt;75000)),-50,0)</f>
        <v>0</v>
      </c>
      <c r="AF53" s="133">
        <f ca="1">VaBenefits[[#This Row],[Assumed Contract Value ]]*-1.15%/4</f>
        <v>0</v>
      </c>
      <c r="AG53" s="129">
        <v>0</v>
      </c>
      <c r="AH53" s="131">
        <f ca="1">VaBenefits[[#This Row],[Maintenace Fee]]+VaBenefits[[#This Row],[Separate Account Charge]]+VaBenefits[[#This Row],[Rider Fee]]</f>
        <v>0</v>
      </c>
      <c r="AR53" s="23">
        <f t="shared" si="3"/>
        <v>22.5</v>
      </c>
      <c r="AS53" s="24">
        <v>0</v>
      </c>
      <c r="AT53" s="24">
        <v>0</v>
      </c>
      <c r="AU53" s="22">
        <v>0</v>
      </c>
      <c r="AV53" s="16">
        <v>0</v>
      </c>
      <c r="AW53" s="14">
        <v>299982</v>
      </c>
      <c r="AX53" s="15">
        <v>0</v>
      </c>
      <c r="AY53" s="15">
        <v>0</v>
      </c>
      <c r="AZ53" s="14">
        <v>0</v>
      </c>
      <c r="BA53" s="17">
        <v>11999</v>
      </c>
    </row>
    <row r="54" spans="1:53" ht="15" thickBot="1" x14ac:dyDescent="0.35">
      <c r="A54" s="32">
        <f t="shared" si="0"/>
        <v>46</v>
      </c>
      <c r="B54" s="29">
        <f t="shared" si="1"/>
        <v>11.5</v>
      </c>
      <c r="C54" s="29" t="b">
        <f>AND(VaBenefits[[#This Row],[timeFromValuation]]&gt;=ACT,VaBenefits[[#This Row],[Assumed Contract Value ]]&gt;0)</f>
        <v>0</v>
      </c>
      <c r="D54" s="20">
        <v>0</v>
      </c>
      <c r="E54" s="20">
        <v>0</v>
      </c>
      <c r="F54" s="20">
        <v>0</v>
      </c>
      <c r="G54" s="96">
        <f>ROUND($G$8+VaBenefits[[#This Row],[timeFromValuation]],0)</f>
        <v>67</v>
      </c>
      <c r="H54" s="20">
        <f>ROUND($H$8+VaBenefits[[#This Row],[timeFromValuation]],0)</f>
        <v>77</v>
      </c>
      <c r="I54" s="27" t="b">
        <f>VaBenefits[[#This Row],[Withdrawal Taken  ]]&gt;0</f>
        <v>0</v>
      </c>
      <c r="J54" s="41">
        <f>IF(AND(NOT(VaBenefits[[#This Row],[Is Activation]]),VaBenefits[[#This Row],[Assumed Contract Value ]]&gt;0),VaBenefits[[#This Row],[Withdrawal Taken  ]]/VaBenefits[[#This Row],[Assumed Contract Value ]],0)</f>
        <v>0</v>
      </c>
      <c r="K5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4" s="27" t="b">
        <f ca="1">AND(VaBenefits[[#This Row],[Is Activation]],SUMIFS($E$8:$E54,$C$8:$C54,TRUE)&gt;0)</f>
        <v>0</v>
      </c>
      <c r="M5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4" s="32" t="b">
        <f>IF(VaBenefits[[#This Row],[timeFromValuation]]=0,0, MOD(VaBenefits[[#This Row],[timeFromValuation]],1)=0)</f>
        <v>0</v>
      </c>
      <c r="O54" s="7">
        <f>IF(VaBenefits[[#This Row],[Is Anniversary?]]=TRUE,VaBenefits[[#This Row],[Assumed Contract Value ]],0)</f>
        <v>0</v>
      </c>
      <c r="P5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4" s="7" t="b">
        <f>VaBenefits[[#This Row],[Assumed Contract Value ]]&lt;0.1</f>
        <v>1</v>
      </c>
      <c r="R5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4" s="7">
        <f ca="1">IF(AND(VaBenefits[[#This Row],[Is Activation]]=FALSE,VaBenefits[[#This Row],[Is Anniversary?]]=TRUE),OFFSET( VaBenefits[[#This Row],[Income Credit Base]],-1,0)*ICP,0)</f>
        <v>0</v>
      </c>
      <c r="T54" s="5">
        <f>IF(VaBenefits[[#This Row],[Assumed Contract Value ]]&gt;0,VaBenefits[[#This Row],[Income Base]]*MAWA,0)</f>
        <v>0</v>
      </c>
      <c r="U54" s="95">
        <f>IF(AND(VaBenefits[[#This Row],[Has Income Credit]],VaBenefits[[#This Row],[Is Anniversary?]],VaBenefits[[#This Row],[Joint Mortality tPxy for the partial year]]),VaBenefits[[#This Row],[Income Base]]*PIP,0)</f>
        <v>0</v>
      </c>
      <c r="V54" s="8">
        <f>1/(1+InterestRate)^VaBenefits[[#This Row],[timeFromValuation]]</f>
        <v>0.57058856087095067</v>
      </c>
      <c r="W54" s="90">
        <f>VaBenefits[[#This Row],[timeFromValuation]]</f>
        <v>11.5</v>
      </c>
      <c r="X54" s="91">
        <f>IF(($G$8+VaBenefits[[#This Row],[timeFromValuation]])&lt;=120,VLOOKUP(G54,Table2[],Qx!L$6,FALSE),0)</f>
        <v>0.99296099999999998</v>
      </c>
      <c r="Y54" s="91">
        <f>IF(($H$8+VaBenefits[[#This Row],[timeFromValuation]])&lt;=120,VLOOKUP(H54,Table2[],Qx!M$6,FALSE),0)</f>
        <v>0.97645999999999999</v>
      </c>
      <c r="Z54" s="91">
        <f>PRODUCT($X$8:$X54)</f>
        <v>0.82505656368567926</v>
      </c>
      <c r="AA54" s="91">
        <f>PRODUCT($Y$8:$Y54)</f>
        <v>0.53108785469767505</v>
      </c>
      <c r="AB54" s="91">
        <f>VaBenefits[[#This Row],[Primary Annuitant Px]]+VaBenefits[[#This Row],[Secondary Annuitant Py]]-VaBenefits[[#This Row],[Primary Annuitant Px]]*VaBenefits[[#This Row],[Secondary Annuitant Py]]</f>
        <v>0.99983430194000011</v>
      </c>
      <c r="AC54" s="91">
        <f>PRODUCT($AB$8:$AB54)</f>
        <v>0.99713641902694028</v>
      </c>
      <c r="AD54" s="97">
        <f t="shared" ca="1" si="14"/>
        <v>0</v>
      </c>
      <c r="AE54" s="130">
        <f>IF((AND(VaBenefits[[#This Row],[Is Anniversary?]],VaBenefits[[#This Row],[Assumed Contract Value ]]&lt;75000)),-50,0)</f>
        <v>0</v>
      </c>
      <c r="AF54" s="133">
        <f>VaBenefits[[#This Row],[Assumed Contract Value ]]*-1.15%/4</f>
        <v>0</v>
      </c>
      <c r="AG54" s="129">
        <v>0</v>
      </c>
      <c r="AH54" s="131">
        <f>VaBenefits[[#This Row],[Maintenace Fee]]+VaBenefits[[#This Row],[Separate Account Charge]]+VaBenefits[[#This Row],[Rider Fee]]</f>
        <v>0</v>
      </c>
      <c r="AR54" s="23">
        <f t="shared" si="3"/>
        <v>23</v>
      </c>
      <c r="AS54" s="24">
        <v>0</v>
      </c>
      <c r="AT54" s="24">
        <v>0</v>
      </c>
      <c r="AU54" s="22">
        <v>0</v>
      </c>
      <c r="AV54" s="16">
        <v>0</v>
      </c>
      <c r="AW54" s="14">
        <v>299982</v>
      </c>
      <c r="AX54" s="15">
        <v>0</v>
      </c>
      <c r="AY54" s="15">
        <v>0</v>
      </c>
      <c r="AZ54" s="14">
        <v>0</v>
      </c>
      <c r="BA54" s="17">
        <v>11999</v>
      </c>
    </row>
    <row r="55" spans="1:53" ht="15" thickBot="1" x14ac:dyDescent="0.35">
      <c r="A55" s="32">
        <f t="shared" si="0"/>
        <v>47</v>
      </c>
      <c r="B55" s="29">
        <f t="shared" si="1"/>
        <v>11.75</v>
      </c>
      <c r="C55" s="29" t="b">
        <f>AND(VaBenefits[[#This Row],[timeFromValuation]]&gt;=ACT,VaBenefits[[#This Row],[Assumed Contract Value ]]&gt;0)</f>
        <v>0</v>
      </c>
      <c r="D55" s="20">
        <v>0</v>
      </c>
      <c r="E55" s="20">
        <v>0</v>
      </c>
      <c r="F55" s="20">
        <v>0</v>
      </c>
      <c r="G55" s="96">
        <f>ROUND($G$8+VaBenefits[[#This Row],[timeFromValuation]],0)</f>
        <v>67</v>
      </c>
      <c r="H55" s="20">
        <f>ROUND($H$8+VaBenefits[[#This Row],[timeFromValuation]],0)</f>
        <v>77</v>
      </c>
      <c r="I55" s="27" t="b">
        <f>VaBenefits[[#This Row],[Withdrawal Taken  ]]&gt;0</f>
        <v>0</v>
      </c>
      <c r="J55" s="41">
        <f>IF(AND(NOT(VaBenefits[[#This Row],[Is Activation]]),VaBenefits[[#This Row],[Assumed Contract Value ]]&gt;0),VaBenefits[[#This Row],[Withdrawal Taken  ]]/VaBenefits[[#This Row],[Assumed Contract Value ]],0)</f>
        <v>0</v>
      </c>
      <c r="K5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5" s="27" t="b">
        <f ca="1">AND(VaBenefits[[#This Row],[Is Activation]],SUMIFS($E$8:$E55,$C$8:$C55,TRUE)&gt;0)</f>
        <v>0</v>
      </c>
      <c r="M5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5" s="32" t="b">
        <f>IF(VaBenefits[[#This Row],[timeFromValuation]]=0,0, MOD(VaBenefits[[#This Row],[timeFromValuation]],1)=0)</f>
        <v>0</v>
      </c>
      <c r="O55" s="7">
        <f>IF(VaBenefits[[#This Row],[Is Anniversary?]]=TRUE,VaBenefits[[#This Row],[Assumed Contract Value ]],0)</f>
        <v>0</v>
      </c>
      <c r="P5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5" s="7" t="b">
        <f>VaBenefits[[#This Row],[Assumed Contract Value ]]&lt;0.1</f>
        <v>1</v>
      </c>
      <c r="R5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5" s="7">
        <f ca="1">IF(AND(VaBenefits[[#This Row],[Is Activation]]=FALSE,VaBenefits[[#This Row],[Is Anniversary?]]=TRUE),OFFSET( VaBenefits[[#This Row],[Income Credit Base]],-1,0)*ICP,0)</f>
        <v>0</v>
      </c>
      <c r="T55" s="5">
        <f>IF(VaBenefits[[#This Row],[Assumed Contract Value ]]&gt;0,VaBenefits[[#This Row],[Income Base]]*MAWA,0)</f>
        <v>0</v>
      </c>
      <c r="U55" s="95">
        <f>IF(AND(VaBenefits[[#This Row],[Has Income Credit]],VaBenefits[[#This Row],[Is Anniversary?]],VaBenefits[[#This Row],[Joint Mortality tPxy for the partial year]]),VaBenefits[[#This Row],[Income Base]]*PIP,0)</f>
        <v>0</v>
      </c>
      <c r="V55" s="8">
        <f>1/(1+InterestRate)^VaBenefits[[#This Row],[timeFromValuation]]</f>
        <v>0.56367105751229518</v>
      </c>
      <c r="W55" s="90">
        <f>VaBenefits[[#This Row],[timeFromValuation]]</f>
        <v>11.75</v>
      </c>
      <c r="X55" s="91">
        <f>IF(($G$8+VaBenefits[[#This Row],[timeFromValuation]])&lt;=120,VLOOKUP(G55,Table2[],Qx!L$6,FALSE),0)</f>
        <v>0.99296099999999998</v>
      </c>
      <c r="Y55" s="91">
        <f>IF(($H$8+VaBenefits[[#This Row],[timeFromValuation]])&lt;=120,VLOOKUP(H55,Table2[],Qx!M$6,FALSE),0)</f>
        <v>0.97645999999999999</v>
      </c>
      <c r="Z55" s="91">
        <f>PRODUCT($X$8:$X55)</f>
        <v>0.81924899053389577</v>
      </c>
      <c r="AA55" s="91">
        <f>PRODUCT($Y$8:$Y55)</f>
        <v>0.51858604659809182</v>
      </c>
      <c r="AB55" s="91">
        <f>VaBenefits[[#This Row],[Primary Annuitant Px]]+VaBenefits[[#This Row],[Secondary Annuitant Py]]-VaBenefits[[#This Row],[Primary Annuitant Px]]*VaBenefits[[#This Row],[Secondary Annuitant Py]]</f>
        <v>0.99983430194000011</v>
      </c>
      <c r="AC55" s="91">
        <f>PRODUCT($AB$8:$AB55)</f>
        <v>0.99697119545675228</v>
      </c>
      <c r="AD55" s="97">
        <f t="shared" ca="1" si="14"/>
        <v>0</v>
      </c>
      <c r="AE55" s="130">
        <f>IF((AND(VaBenefits[[#This Row],[Is Anniversary?]],VaBenefits[[#This Row],[Assumed Contract Value ]]&lt;75000)),-50,0)</f>
        <v>0</v>
      </c>
      <c r="AF55" s="133">
        <f>VaBenefits[[#This Row],[Assumed Contract Value ]]*-1.15%/4</f>
        <v>0</v>
      </c>
      <c r="AG55" s="129">
        <v>0</v>
      </c>
      <c r="AH55" s="131">
        <f>VaBenefits[[#This Row],[Maintenace Fee]]+VaBenefits[[#This Row],[Separate Account Charge]]+VaBenefits[[#This Row],[Rider Fee]]</f>
        <v>0</v>
      </c>
      <c r="AR55" s="23">
        <f t="shared" si="3"/>
        <v>23.5</v>
      </c>
      <c r="AS55" s="24">
        <v>0</v>
      </c>
      <c r="AT55" s="24">
        <v>0</v>
      </c>
      <c r="AU55" s="22">
        <v>0</v>
      </c>
      <c r="AV55" s="16">
        <v>0</v>
      </c>
      <c r="AW55" s="14">
        <v>299982</v>
      </c>
      <c r="AX55" s="15">
        <v>0</v>
      </c>
      <c r="AY55" s="15">
        <v>0</v>
      </c>
      <c r="AZ55" s="14">
        <v>0</v>
      </c>
      <c r="BA55" s="17">
        <v>11999</v>
      </c>
    </row>
    <row r="56" spans="1:53" ht="15" thickBot="1" x14ac:dyDescent="0.35">
      <c r="A56" s="32">
        <f t="shared" si="0"/>
        <v>48</v>
      </c>
      <c r="B56" s="29">
        <f t="shared" si="1"/>
        <v>12</v>
      </c>
      <c r="C56" s="29" t="b">
        <f>AND(VaBenefits[[#This Row],[timeFromValuation]]&gt;=ACT,VaBenefits[[#This Row],[Assumed Contract Value ]]&gt;0)</f>
        <v>0</v>
      </c>
      <c r="D56" s="20">
        <v>0</v>
      </c>
      <c r="E56" s="20">
        <v>0</v>
      </c>
      <c r="F56" s="20">
        <v>0</v>
      </c>
      <c r="G56" s="96">
        <f>ROUND($G$8+VaBenefits[[#This Row],[timeFromValuation]],0)</f>
        <v>67</v>
      </c>
      <c r="H56" s="20">
        <f>ROUND($H$8+VaBenefits[[#This Row],[timeFromValuation]],0)</f>
        <v>77</v>
      </c>
      <c r="I56" s="27" t="b">
        <f>VaBenefits[[#This Row],[Withdrawal Taken  ]]&gt;0</f>
        <v>0</v>
      </c>
      <c r="J56" s="41">
        <f>IF(AND(NOT(VaBenefits[[#This Row],[Is Activation]]),VaBenefits[[#This Row],[Assumed Contract Value ]]&gt;0),VaBenefits[[#This Row],[Withdrawal Taken  ]]/VaBenefits[[#This Row],[Assumed Contract Value ]],0)</f>
        <v>0</v>
      </c>
      <c r="K5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6" s="27" t="b">
        <f ca="1">AND(VaBenefits[[#This Row],[Is Activation]],SUMIFS($E$8:$E56,$C$8:$C56,TRUE)&gt;0)</f>
        <v>0</v>
      </c>
      <c r="M5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6" s="32" t="b">
        <f>IF(VaBenefits[[#This Row],[timeFromValuation]]=0,0, MOD(VaBenefits[[#This Row],[timeFromValuation]],1)=0)</f>
        <v>1</v>
      </c>
      <c r="O56" s="7">
        <f>IF(VaBenefits[[#This Row],[Is Anniversary?]]=TRUE,VaBenefits[[#This Row],[Assumed Contract Value ]],0)</f>
        <v>0</v>
      </c>
      <c r="P5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6" s="7" t="b">
        <f>VaBenefits[[#This Row],[Assumed Contract Value ]]&lt;0.1</f>
        <v>1</v>
      </c>
      <c r="R5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6" s="7">
        <f ca="1">IF(AND(VaBenefits[[#This Row],[Is Activation]]=FALSE,VaBenefits[[#This Row],[Is Anniversary?]]=TRUE),OFFSET( VaBenefits[[#This Row],[Income Credit Base]],-1,0)*ICP,0)</f>
        <v>0</v>
      </c>
      <c r="T56" s="5">
        <f>IF(VaBenefits[[#This Row],[Assumed Contract Value ]]&gt;0,VaBenefits[[#This Row],[Income Base]]*MAWA,0)</f>
        <v>0</v>
      </c>
      <c r="U56" s="95">
        <f ca="1">IF(AND(VaBenefits[[#This Row],[Has Income Credit]],VaBenefits[[#This Row],[Is Anniversary?]],VaBenefits[[#This Row],[Joint Mortality tPxy for the partial year]]),VaBenefits[[#This Row],[Income Base]]*PIP,0)</f>
        <v>12026.006800536559</v>
      </c>
      <c r="V56" s="8">
        <f>1/(1+InterestRate)^VaBenefits[[#This Row],[timeFromValuation]]</f>
        <v>0.5568374181775595</v>
      </c>
      <c r="W56" s="90">
        <f>VaBenefits[[#This Row],[timeFromValuation]]</f>
        <v>12</v>
      </c>
      <c r="X56" s="91">
        <f>IF(($G$8+VaBenefits[[#This Row],[timeFromValuation]])&lt;=120,VLOOKUP(G56,Table2[],Qx!L$6,FALSE),0)</f>
        <v>0.99296099999999998</v>
      </c>
      <c r="Y56" s="91">
        <f>IF(($H$8+VaBenefits[[#This Row],[timeFromValuation]])&lt;=120,VLOOKUP(H56,Table2[],Qx!M$6,FALSE),0)</f>
        <v>0.97645999999999999</v>
      </c>
      <c r="Z56" s="91">
        <f>PRODUCT($X$8:$X56)</f>
        <v>0.81348229688952767</v>
      </c>
      <c r="AA56" s="91">
        <f>PRODUCT($Y$8:$Y56)</f>
        <v>0.5063785310611727</v>
      </c>
      <c r="AB56" s="91">
        <f>VaBenefits[[#This Row],[Primary Annuitant Px]]+VaBenefits[[#This Row],[Secondary Annuitant Py]]-VaBenefits[[#This Row],[Primary Annuitant Px]]*VaBenefits[[#This Row],[Secondary Annuitant Py]]</f>
        <v>0.99983430194000011</v>
      </c>
      <c r="AC56" s="91">
        <f>PRODUCT($AB$8:$AB56)</f>
        <v>0.99680599926378932</v>
      </c>
      <c r="AD56" s="97">
        <f t="shared" ca="1" si="14"/>
        <v>0</v>
      </c>
      <c r="AE56" s="130">
        <f>IF((AND(VaBenefits[[#This Row],[Is Anniversary?]],VaBenefits[[#This Row],[Assumed Contract Value ]]&lt;75000)),-50,0)</f>
        <v>-50</v>
      </c>
      <c r="AF56" s="133">
        <f>VaBenefits[[#This Row],[Assumed Contract Value ]]*-1.15%/4</f>
        <v>0</v>
      </c>
      <c r="AG56" s="129">
        <v>0</v>
      </c>
      <c r="AH56" s="131">
        <f>VaBenefits[[#This Row],[Maintenace Fee]]+VaBenefits[[#This Row],[Separate Account Charge]]+VaBenefits[[#This Row],[Rider Fee]]</f>
        <v>-50</v>
      </c>
      <c r="AR56" s="23">
        <f t="shared" si="3"/>
        <v>24</v>
      </c>
      <c r="AS56" s="24">
        <v>0</v>
      </c>
      <c r="AT56" s="24">
        <v>0</v>
      </c>
      <c r="AU56" s="22">
        <v>0</v>
      </c>
      <c r="AV56" s="16">
        <v>0</v>
      </c>
      <c r="AW56" s="14">
        <v>299982</v>
      </c>
      <c r="AX56" s="15">
        <v>0</v>
      </c>
      <c r="AY56" s="15">
        <v>0</v>
      </c>
      <c r="AZ56" s="14">
        <v>0</v>
      </c>
      <c r="BA56" s="17">
        <v>11999</v>
      </c>
    </row>
    <row r="57" spans="1:53" ht="15" thickBot="1" x14ac:dyDescent="0.35">
      <c r="A57" s="32">
        <f t="shared" si="0"/>
        <v>49</v>
      </c>
      <c r="B57" s="29">
        <f t="shared" si="1"/>
        <v>12.25</v>
      </c>
      <c r="C57" s="29" t="b">
        <f>AND(VaBenefits[[#This Row],[timeFromValuation]]&gt;=ACT,VaBenefits[[#This Row],[Assumed Contract Value ]]&gt;0)</f>
        <v>0</v>
      </c>
      <c r="D57" s="20">
        <v>0</v>
      </c>
      <c r="E57" s="20">
        <v>0</v>
      </c>
      <c r="F57" s="20">
        <v>0</v>
      </c>
      <c r="G57" s="96">
        <f>ROUND($G$8+VaBenefits[[#This Row],[timeFromValuation]],0)</f>
        <v>67</v>
      </c>
      <c r="H57" s="20">
        <f>ROUND($H$8+VaBenefits[[#This Row],[timeFromValuation]],0)</f>
        <v>77</v>
      </c>
      <c r="I57" s="27" t="b">
        <f>VaBenefits[[#This Row],[Withdrawal Taken  ]]&gt;0</f>
        <v>0</v>
      </c>
      <c r="J57" s="41">
        <f>IF(AND(NOT(VaBenefits[[#This Row],[Is Activation]]),VaBenefits[[#This Row],[Assumed Contract Value ]]&gt;0),VaBenefits[[#This Row],[Withdrawal Taken  ]]/VaBenefits[[#This Row],[Assumed Contract Value ]],0)</f>
        <v>0</v>
      </c>
      <c r="K5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7" s="27" t="b">
        <f ca="1">AND(VaBenefits[[#This Row],[Is Activation]],SUMIFS($E$8:$E57,$C$8:$C57,TRUE)&gt;0)</f>
        <v>0</v>
      </c>
      <c r="M5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7" s="32" t="b">
        <f>IF(VaBenefits[[#This Row],[timeFromValuation]]=0,0, MOD(VaBenefits[[#This Row],[timeFromValuation]],1)=0)</f>
        <v>0</v>
      </c>
      <c r="O57" s="7">
        <f>IF(VaBenefits[[#This Row],[Is Anniversary?]]=TRUE,VaBenefits[[#This Row],[Assumed Contract Value ]],0)</f>
        <v>0</v>
      </c>
      <c r="P5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7" s="7" t="b">
        <f>VaBenefits[[#This Row],[Assumed Contract Value ]]&lt;0.1</f>
        <v>1</v>
      </c>
      <c r="R5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7" s="7">
        <f ca="1">IF(AND(VaBenefits[[#This Row],[Is Activation]]=FALSE,VaBenefits[[#This Row],[Is Anniversary?]]=TRUE),OFFSET( VaBenefits[[#This Row],[Income Credit Base]],-1,0)*ICP,0)</f>
        <v>0</v>
      </c>
      <c r="T57" s="5">
        <f>IF(VaBenefits[[#This Row],[Assumed Contract Value ]]&gt;0,VaBenefits[[#This Row],[Income Base]]*MAWA,0)</f>
        <v>0</v>
      </c>
      <c r="U57" s="95">
        <f>IF(AND(VaBenefits[[#This Row],[Has Income Credit]],VaBenefits[[#This Row],[Is Anniversary?]],VaBenefits[[#This Row],[Joint Mortality tPxy for the partial year]]),VaBenefits[[#This Row],[Income Base]]*PIP,0)</f>
        <v>0</v>
      </c>
      <c r="V57" s="8">
        <f>1/(1+InterestRate)^VaBenefits[[#This Row],[timeFromValuation]]</f>
        <v>0.55008662614522574</v>
      </c>
      <c r="W57" s="90">
        <f>VaBenefits[[#This Row],[timeFromValuation]]</f>
        <v>12.25</v>
      </c>
      <c r="X57" s="91">
        <f>IF(($G$8+VaBenefits[[#This Row],[timeFromValuation]])&lt;=120,VLOOKUP(G57,Table2[],Qx!L$6,FALSE),0)</f>
        <v>0.99296099999999998</v>
      </c>
      <c r="Y57" s="91">
        <f>IF(($H$8+VaBenefits[[#This Row],[timeFromValuation]])&lt;=120,VLOOKUP(H57,Table2[],Qx!M$6,FALSE),0)</f>
        <v>0.97645999999999999</v>
      </c>
      <c r="Z57" s="91">
        <f>PRODUCT($X$8:$X57)</f>
        <v>0.80775619500172224</v>
      </c>
      <c r="AA57" s="91">
        <f>PRODUCT($Y$8:$Y57)</f>
        <v>0.49445838043999268</v>
      </c>
      <c r="AB57" s="91">
        <f>VaBenefits[[#This Row],[Primary Annuitant Px]]+VaBenefits[[#This Row],[Secondary Annuitant Py]]-VaBenefits[[#This Row],[Primary Annuitant Px]]*VaBenefits[[#This Row],[Secondary Annuitant Py]]</f>
        <v>0.99983430194000011</v>
      </c>
      <c r="AC57" s="91">
        <f>PRODUCT($AB$8:$AB57)</f>
        <v>0.99664083044351504</v>
      </c>
      <c r="AD57" s="97">
        <f t="shared" ca="1" si="14"/>
        <v>0</v>
      </c>
      <c r="AE57" s="130">
        <f>IF((AND(VaBenefits[[#This Row],[Is Anniversary?]],VaBenefits[[#This Row],[Assumed Contract Value ]]&lt;75000)),-50,0)</f>
        <v>0</v>
      </c>
      <c r="AF57" s="133">
        <f>VaBenefits[[#This Row],[Assumed Contract Value ]]*-1.15%/4</f>
        <v>0</v>
      </c>
      <c r="AG57" s="129">
        <v>0</v>
      </c>
      <c r="AH57" s="131">
        <f>VaBenefits[[#This Row],[Maintenace Fee]]+VaBenefits[[#This Row],[Separate Account Charge]]+VaBenefits[[#This Row],[Rider Fee]]</f>
        <v>0</v>
      </c>
      <c r="AR57" s="23">
        <f t="shared" si="3"/>
        <v>24.5</v>
      </c>
      <c r="AS57" s="24">
        <v>0</v>
      </c>
      <c r="AT57" s="24">
        <v>0</v>
      </c>
      <c r="AU57" s="22">
        <v>0</v>
      </c>
      <c r="AV57" s="16">
        <v>0</v>
      </c>
      <c r="AW57" s="14">
        <v>299982</v>
      </c>
      <c r="AX57" s="15">
        <v>0</v>
      </c>
      <c r="AY57" s="15">
        <v>0</v>
      </c>
      <c r="AZ57" s="14">
        <v>0</v>
      </c>
      <c r="BA57" s="17">
        <v>11999</v>
      </c>
    </row>
    <row r="58" spans="1:53" ht="15" thickBot="1" x14ac:dyDescent="0.35">
      <c r="A58" s="32">
        <f t="shared" si="0"/>
        <v>50</v>
      </c>
      <c r="B58" s="29">
        <f t="shared" si="1"/>
        <v>12.5</v>
      </c>
      <c r="C58" s="29" t="b">
        <f>AND(VaBenefits[[#This Row],[timeFromValuation]]&gt;=ACT,VaBenefits[[#This Row],[Assumed Contract Value ]]&gt;0)</f>
        <v>0</v>
      </c>
      <c r="D58" s="20">
        <v>0</v>
      </c>
      <c r="E58" s="20">
        <v>0</v>
      </c>
      <c r="F58" s="20">
        <v>0</v>
      </c>
      <c r="G58" s="96">
        <f>ROUND($G$8+VaBenefits[[#This Row],[timeFromValuation]],0)</f>
        <v>68</v>
      </c>
      <c r="H58" s="20">
        <f>ROUND($H$8+VaBenefits[[#This Row],[timeFromValuation]],0)</f>
        <v>78</v>
      </c>
      <c r="I58" s="27" t="b">
        <f>VaBenefits[[#This Row],[Withdrawal Taken  ]]&gt;0</f>
        <v>0</v>
      </c>
      <c r="J58" s="41">
        <f>IF(AND(NOT(VaBenefits[[#This Row],[Is Activation]]),VaBenefits[[#This Row],[Assumed Contract Value ]]&gt;0),VaBenefits[[#This Row],[Withdrawal Taken  ]]/VaBenefits[[#This Row],[Assumed Contract Value ]],0)</f>
        <v>0</v>
      </c>
      <c r="K5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8" s="27" t="b">
        <f ca="1">AND(VaBenefits[[#This Row],[Is Activation]],SUMIFS($E$8:$E58,$C$8:$C58,TRUE)&gt;0)</f>
        <v>0</v>
      </c>
      <c r="M5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8" s="32" t="b">
        <f>IF(VaBenefits[[#This Row],[timeFromValuation]]=0,0, MOD(VaBenefits[[#This Row],[timeFromValuation]],1)=0)</f>
        <v>0</v>
      </c>
      <c r="O58" s="7">
        <f>IF(VaBenefits[[#This Row],[Is Anniversary?]]=TRUE,VaBenefits[[#This Row],[Assumed Contract Value ]],0)</f>
        <v>0</v>
      </c>
      <c r="P5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8" s="7" t="b">
        <f>VaBenefits[[#This Row],[Assumed Contract Value ]]&lt;0.1</f>
        <v>1</v>
      </c>
      <c r="R5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8" s="7">
        <f ca="1">IF(AND(VaBenefits[[#This Row],[Is Activation]]=FALSE,VaBenefits[[#This Row],[Is Anniversary?]]=TRUE),OFFSET( VaBenefits[[#This Row],[Income Credit Base]],-1,0)*ICP,0)</f>
        <v>0</v>
      </c>
      <c r="T58" s="5">
        <f>IF(VaBenefits[[#This Row],[Assumed Contract Value ]]&gt;0,VaBenefits[[#This Row],[Income Base]]*MAWA,0)</f>
        <v>0</v>
      </c>
      <c r="U58" s="95">
        <f>IF(AND(VaBenefits[[#This Row],[Has Income Credit]],VaBenefits[[#This Row],[Is Anniversary?]],VaBenefits[[#This Row],[Joint Mortality tPxy for the partial year]]),VaBenefits[[#This Row],[Income Base]]*PIP,0)</f>
        <v>0</v>
      </c>
      <c r="V58" s="8">
        <f>1/(1+InterestRate)^VaBenefits[[#This Row],[timeFromValuation]]</f>
        <v>0.54341767701995292</v>
      </c>
      <c r="W58" s="90">
        <f>VaBenefits[[#This Row],[timeFromValuation]]</f>
        <v>12.5</v>
      </c>
      <c r="X58" s="91">
        <f>IF(($G$8+VaBenefits[[#This Row],[timeFromValuation]])&lt;=120,VLOOKUP(G58,Table2[],Qx!L$6,FALSE),0)</f>
        <v>0.99237200000000003</v>
      </c>
      <c r="Y58" s="91">
        <f>IF(($H$8+VaBenefits[[#This Row],[timeFromValuation]])&lt;=120,VLOOKUP(H58,Table2[],Qx!M$6,FALSE),0)</f>
        <v>0.97362499999999996</v>
      </c>
      <c r="Z58" s="91">
        <f>PRODUCT($X$8:$X58)</f>
        <v>0.80159463074624915</v>
      </c>
      <c r="AA58" s="91">
        <f>PRODUCT($Y$8:$Y58)</f>
        <v>0.48141704065588786</v>
      </c>
      <c r="AB58" s="91">
        <f>VaBenefits[[#This Row],[Primary Annuitant Px]]+VaBenefits[[#This Row],[Secondary Annuitant Py]]-VaBenefits[[#This Row],[Primary Annuitant Px]]*VaBenefits[[#This Row],[Secondary Annuitant Py]]</f>
        <v>0.99979881150000005</v>
      </c>
      <c r="AC58" s="91">
        <f>PRODUCT($AB$8:$AB58)</f>
        <v>0.99644031776979936</v>
      </c>
      <c r="AD58" s="97">
        <f t="shared" ca="1" si="14"/>
        <v>0</v>
      </c>
      <c r="AE58" s="130">
        <f>IF((AND(VaBenefits[[#This Row],[Is Anniversary?]],VaBenefits[[#This Row],[Assumed Contract Value ]]&lt;75000)),-50,0)</f>
        <v>0</v>
      </c>
      <c r="AF58" s="133">
        <f>VaBenefits[[#This Row],[Assumed Contract Value ]]*-1.15%/4</f>
        <v>0</v>
      </c>
      <c r="AG58" s="129">
        <v>0</v>
      </c>
      <c r="AH58" s="131">
        <f>VaBenefits[[#This Row],[Maintenace Fee]]+VaBenefits[[#This Row],[Separate Account Charge]]+VaBenefits[[#This Row],[Rider Fee]]</f>
        <v>0</v>
      </c>
      <c r="AR58" s="23">
        <f t="shared" si="3"/>
        <v>25</v>
      </c>
      <c r="AS58" s="24">
        <v>0</v>
      </c>
      <c r="AT58" s="24">
        <v>0</v>
      </c>
      <c r="AU58" s="22">
        <v>0</v>
      </c>
      <c r="AV58" s="16">
        <v>0</v>
      </c>
      <c r="AW58" s="14">
        <v>299982</v>
      </c>
      <c r="AX58" s="15">
        <v>0</v>
      </c>
      <c r="AY58" s="15">
        <v>0</v>
      </c>
      <c r="AZ58" s="14">
        <v>0</v>
      </c>
      <c r="BA58" s="17">
        <v>11999</v>
      </c>
    </row>
    <row r="59" spans="1:53" ht="15" thickBot="1" x14ac:dyDescent="0.35">
      <c r="A59" s="32">
        <f t="shared" si="0"/>
        <v>51</v>
      </c>
      <c r="B59" s="29">
        <f t="shared" si="1"/>
        <v>12.75</v>
      </c>
      <c r="C59" s="29" t="b">
        <f>AND(VaBenefits[[#This Row],[timeFromValuation]]&gt;=ACT,VaBenefits[[#This Row],[Assumed Contract Value ]]&gt;0)</f>
        <v>0</v>
      </c>
      <c r="D59" s="20">
        <v>0</v>
      </c>
      <c r="E59" s="20">
        <v>0</v>
      </c>
      <c r="F59" s="20">
        <v>0</v>
      </c>
      <c r="G59" s="96">
        <f>ROUND($G$8+VaBenefits[[#This Row],[timeFromValuation]],0)</f>
        <v>68</v>
      </c>
      <c r="H59" s="20">
        <f>ROUND($H$8+VaBenefits[[#This Row],[timeFromValuation]],0)</f>
        <v>78</v>
      </c>
      <c r="I59" s="27" t="b">
        <f>VaBenefits[[#This Row],[Withdrawal Taken  ]]&gt;0</f>
        <v>0</v>
      </c>
      <c r="J59" s="41">
        <f>IF(AND(NOT(VaBenefits[[#This Row],[Is Activation]]),VaBenefits[[#This Row],[Assumed Contract Value ]]&gt;0),VaBenefits[[#This Row],[Withdrawal Taken  ]]/VaBenefits[[#This Row],[Assumed Contract Value ]],0)</f>
        <v>0</v>
      </c>
      <c r="K5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9" s="27" t="b">
        <f ca="1">AND(VaBenefits[[#This Row],[Is Activation]],SUMIFS($E$8:$E59,$C$8:$C59,TRUE)&gt;0)</f>
        <v>0</v>
      </c>
      <c r="M5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9" s="32" t="b">
        <f>IF(VaBenefits[[#This Row],[timeFromValuation]]=0,0, MOD(VaBenefits[[#This Row],[timeFromValuation]],1)=0)</f>
        <v>0</v>
      </c>
      <c r="O59" s="7">
        <f>IF(VaBenefits[[#This Row],[Is Anniversary?]]=TRUE,VaBenefits[[#This Row],[Assumed Contract Value ]],0)</f>
        <v>0</v>
      </c>
      <c r="P5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9" s="7" t="b">
        <f>VaBenefits[[#This Row],[Assumed Contract Value ]]&lt;0.1</f>
        <v>1</v>
      </c>
      <c r="R5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9" s="7">
        <f ca="1">IF(AND(VaBenefits[[#This Row],[Is Activation]]=FALSE,VaBenefits[[#This Row],[Is Anniversary?]]=TRUE),OFFSET( VaBenefits[[#This Row],[Income Credit Base]],-1,0)*ICP,0)</f>
        <v>0</v>
      </c>
      <c r="T59" s="5">
        <f>IF(VaBenefits[[#This Row],[Assumed Contract Value ]]&gt;0,VaBenefits[[#This Row],[Income Base]]*MAWA,0)</f>
        <v>0</v>
      </c>
      <c r="U59" s="95">
        <f>IF(AND(VaBenefits[[#This Row],[Has Income Credit]],VaBenefits[[#This Row],[Is Anniversary?]],VaBenefits[[#This Row],[Joint Mortality tPxy for the partial year]]),VaBenefits[[#This Row],[Income Base]]*PIP,0)</f>
        <v>0</v>
      </c>
      <c r="V59" s="8">
        <f>1/(1+InterestRate)^VaBenefits[[#This Row],[timeFromValuation]]</f>
        <v>0.53682957858313829</v>
      </c>
      <c r="W59" s="90">
        <f>VaBenefits[[#This Row],[timeFromValuation]]</f>
        <v>12.75</v>
      </c>
      <c r="X59" s="91">
        <f>IF(($G$8+VaBenefits[[#This Row],[timeFromValuation]])&lt;=120,VLOOKUP(G59,Table2[],Qx!L$6,FALSE),0)</f>
        <v>0.99237200000000003</v>
      </c>
      <c r="Y59" s="91">
        <f>IF(($H$8+VaBenefits[[#This Row],[timeFromValuation]])&lt;=120,VLOOKUP(H59,Table2[],Qx!M$6,FALSE),0)</f>
        <v>0.97362499999999996</v>
      </c>
      <c r="Z59" s="91">
        <f>PRODUCT($X$8:$X59)</f>
        <v>0.79548006690291684</v>
      </c>
      <c r="AA59" s="91">
        <f>PRODUCT($Y$8:$Y59)</f>
        <v>0.46871966620858879</v>
      </c>
      <c r="AB59" s="91">
        <f>VaBenefits[[#This Row],[Primary Annuitant Px]]+VaBenefits[[#This Row],[Secondary Annuitant Py]]-VaBenefits[[#This Row],[Primary Annuitant Px]]*VaBenefits[[#This Row],[Secondary Annuitant Py]]</f>
        <v>0.99979881150000005</v>
      </c>
      <c r="AC59" s="91">
        <f>PRODUCT($AB$8:$AB59)</f>
        <v>0.99623984543692778</v>
      </c>
      <c r="AD59" s="97">
        <f t="shared" ca="1" si="14"/>
        <v>0</v>
      </c>
      <c r="AE59" s="130">
        <f>IF((AND(VaBenefits[[#This Row],[Is Anniversary?]],VaBenefits[[#This Row],[Assumed Contract Value ]]&lt;75000)),-50,0)</f>
        <v>0</v>
      </c>
      <c r="AF59" s="133">
        <f>VaBenefits[[#This Row],[Assumed Contract Value ]]*-1.15%/4</f>
        <v>0</v>
      </c>
      <c r="AG59" s="129">
        <v>0</v>
      </c>
      <c r="AH59" s="131">
        <f>VaBenefits[[#This Row],[Maintenace Fee]]+VaBenefits[[#This Row],[Separate Account Charge]]+VaBenefits[[#This Row],[Rider Fee]]</f>
        <v>0</v>
      </c>
      <c r="AR59" s="23">
        <f t="shared" si="3"/>
        <v>25.5</v>
      </c>
      <c r="AS59" s="24">
        <v>0</v>
      </c>
      <c r="AT59" s="24">
        <v>0</v>
      </c>
      <c r="AU59" s="22">
        <v>0</v>
      </c>
      <c r="AV59" s="16">
        <v>0</v>
      </c>
      <c r="AW59" s="14">
        <v>299982</v>
      </c>
      <c r="AX59" s="15">
        <v>0</v>
      </c>
      <c r="AY59" s="15">
        <v>0</v>
      </c>
      <c r="AZ59" s="14">
        <v>0</v>
      </c>
      <c r="BA59" s="17">
        <v>11999</v>
      </c>
    </row>
    <row r="60" spans="1:53" ht="15" thickBot="1" x14ac:dyDescent="0.35">
      <c r="A60" s="32">
        <f t="shared" si="0"/>
        <v>52</v>
      </c>
      <c r="B60" s="29">
        <f t="shared" si="1"/>
        <v>13</v>
      </c>
      <c r="C60" s="29" t="b">
        <f>AND(VaBenefits[[#This Row],[timeFromValuation]]&gt;=ACT,VaBenefits[[#This Row],[Assumed Contract Value ]]&gt;0)</f>
        <v>0</v>
      </c>
      <c r="D60" s="20">
        <v>0</v>
      </c>
      <c r="E60" s="20">
        <v>0</v>
      </c>
      <c r="F60" s="20">
        <v>0</v>
      </c>
      <c r="G60" s="96">
        <f>ROUND($G$8+VaBenefits[[#This Row],[timeFromValuation]],0)</f>
        <v>68</v>
      </c>
      <c r="H60" s="20">
        <f>ROUND($H$8+VaBenefits[[#This Row],[timeFromValuation]],0)</f>
        <v>78</v>
      </c>
      <c r="I60" s="27" t="b">
        <f>VaBenefits[[#This Row],[Withdrawal Taken  ]]&gt;0</f>
        <v>0</v>
      </c>
      <c r="J60" s="41">
        <f>IF(AND(NOT(VaBenefits[[#This Row],[Is Activation]]),VaBenefits[[#This Row],[Assumed Contract Value ]]&gt;0),VaBenefits[[#This Row],[Withdrawal Taken  ]]/VaBenefits[[#This Row],[Assumed Contract Value ]],0)</f>
        <v>0</v>
      </c>
      <c r="K6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0" s="27" t="b">
        <f ca="1">AND(VaBenefits[[#This Row],[Is Activation]],SUMIFS($E$8:$E60,$C$8:$C60,TRUE)&gt;0)</f>
        <v>0</v>
      </c>
      <c r="M6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0" s="32" t="b">
        <f>IF(VaBenefits[[#This Row],[timeFromValuation]]=0,0, MOD(VaBenefits[[#This Row],[timeFromValuation]],1)=0)</f>
        <v>1</v>
      </c>
      <c r="O60" s="7">
        <f>IF(VaBenefits[[#This Row],[Is Anniversary?]]=TRUE,VaBenefits[[#This Row],[Assumed Contract Value ]],0)</f>
        <v>0</v>
      </c>
      <c r="P6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0" s="7" t="b">
        <f>VaBenefits[[#This Row],[Assumed Contract Value ]]&lt;0.1</f>
        <v>1</v>
      </c>
      <c r="R6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0" s="7">
        <f ca="1">IF(AND(VaBenefits[[#This Row],[Is Activation]]=FALSE,VaBenefits[[#This Row],[Is Anniversary?]]=TRUE),OFFSET( VaBenefits[[#This Row],[Income Credit Base]],-1,0)*ICP,0)</f>
        <v>0</v>
      </c>
      <c r="T60" s="5">
        <f>IF(VaBenefits[[#This Row],[Assumed Contract Value ]]&gt;0,VaBenefits[[#This Row],[Income Base]]*MAWA,0)</f>
        <v>0</v>
      </c>
      <c r="U60" s="95">
        <f ca="1">IF(AND(VaBenefits[[#This Row],[Has Income Credit]],VaBenefits[[#This Row],[Is Anniversary?]],VaBenefits[[#This Row],[Joint Mortality tPxy for the partial year]]),VaBenefits[[#This Row],[Income Base]]*PIP,0)</f>
        <v>12026.006800536559</v>
      </c>
      <c r="V60" s="8">
        <f>1/(1+InterestRate)^VaBenefits[[#This Row],[timeFromValuation]]</f>
        <v>0.53032135064529462</v>
      </c>
      <c r="W60" s="90">
        <f>VaBenefits[[#This Row],[timeFromValuation]]</f>
        <v>13</v>
      </c>
      <c r="X60" s="91">
        <f>IF(($G$8+VaBenefits[[#This Row],[timeFromValuation]])&lt;=120,VLOOKUP(G60,Table2[],Qx!L$6,FALSE),0)</f>
        <v>0.99237200000000003</v>
      </c>
      <c r="Y60" s="91">
        <f>IF(($H$8+VaBenefits[[#This Row],[timeFromValuation]])&lt;=120,VLOOKUP(H60,Table2[],Qx!M$6,FALSE),0)</f>
        <v>0.97362499999999996</v>
      </c>
      <c r="Z60" s="91">
        <f>PRODUCT($X$8:$X60)</f>
        <v>0.78941214495258138</v>
      </c>
      <c r="AA60" s="91">
        <f>PRODUCT($Y$8:$Y60)</f>
        <v>0.45635718501233724</v>
      </c>
      <c r="AB60" s="91">
        <f>VaBenefits[[#This Row],[Primary Annuitant Px]]+VaBenefits[[#This Row],[Secondary Annuitant Py]]-VaBenefits[[#This Row],[Primary Annuitant Px]]*VaBenefits[[#This Row],[Secondary Annuitant Py]]</f>
        <v>0.99979881150000005</v>
      </c>
      <c r="AC60" s="91">
        <f>PRODUCT($AB$8:$AB60)</f>
        <v>0.99603941343678415</v>
      </c>
      <c r="AD60" s="97">
        <f t="shared" ca="1" si="14"/>
        <v>0</v>
      </c>
      <c r="AE60" s="130">
        <f>IF((AND(VaBenefits[[#This Row],[Is Anniversary?]],VaBenefits[[#This Row],[Assumed Contract Value ]]&lt;75000)),-50,0)</f>
        <v>-50</v>
      </c>
      <c r="AF60" s="133">
        <f>VaBenefits[[#This Row],[Assumed Contract Value ]]*-1.15%/4</f>
        <v>0</v>
      </c>
      <c r="AG60" s="129">
        <v>0</v>
      </c>
      <c r="AH60" s="131">
        <f>VaBenefits[[#This Row],[Maintenace Fee]]+VaBenefits[[#This Row],[Separate Account Charge]]+VaBenefits[[#This Row],[Rider Fee]]</f>
        <v>-50</v>
      </c>
      <c r="AR60" s="23">
        <f t="shared" si="3"/>
        <v>26</v>
      </c>
      <c r="AS60" s="24">
        <v>0</v>
      </c>
      <c r="AT60" s="24">
        <v>0</v>
      </c>
      <c r="AU60" s="22">
        <v>0</v>
      </c>
      <c r="AV60" s="16">
        <v>0</v>
      </c>
      <c r="AW60" s="14">
        <v>299982</v>
      </c>
      <c r="AX60" s="15">
        <v>0</v>
      </c>
      <c r="AY60" s="15">
        <v>0</v>
      </c>
      <c r="AZ60" s="14">
        <v>0</v>
      </c>
      <c r="BA60" s="17">
        <v>11999</v>
      </c>
    </row>
    <row r="61" spans="1:53" ht="15" thickBot="1" x14ac:dyDescent="0.35">
      <c r="A61" s="32">
        <f t="shared" si="0"/>
        <v>53</v>
      </c>
      <c r="B61" s="29">
        <f t="shared" si="1"/>
        <v>13.25</v>
      </c>
      <c r="C61" s="29" t="b">
        <f>AND(VaBenefits[[#This Row],[timeFromValuation]]&gt;=ACT,VaBenefits[[#This Row],[Assumed Contract Value ]]&gt;0)</f>
        <v>0</v>
      </c>
      <c r="D61" s="20">
        <v>0</v>
      </c>
      <c r="E61" s="20">
        <v>0</v>
      </c>
      <c r="F61" s="20">
        <v>0</v>
      </c>
      <c r="G61" s="96">
        <f>ROUND($G$8+VaBenefits[[#This Row],[timeFromValuation]],0)</f>
        <v>68</v>
      </c>
      <c r="H61" s="20">
        <f>ROUND($H$8+VaBenefits[[#This Row],[timeFromValuation]],0)</f>
        <v>78</v>
      </c>
      <c r="I61" s="27" t="b">
        <f>VaBenefits[[#This Row],[Withdrawal Taken  ]]&gt;0</f>
        <v>0</v>
      </c>
      <c r="J61" s="41">
        <f>IF(AND(NOT(VaBenefits[[#This Row],[Is Activation]]),VaBenefits[[#This Row],[Assumed Contract Value ]]&gt;0),VaBenefits[[#This Row],[Withdrawal Taken  ]]/VaBenefits[[#This Row],[Assumed Contract Value ]],0)</f>
        <v>0</v>
      </c>
      <c r="K6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1" s="27" t="b">
        <f ca="1">AND(VaBenefits[[#This Row],[Is Activation]],SUMIFS($E$8:$E61,$C$8:$C61,TRUE)&gt;0)</f>
        <v>0</v>
      </c>
      <c r="M6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1" s="32" t="b">
        <f>IF(VaBenefits[[#This Row],[timeFromValuation]]=0,0, MOD(VaBenefits[[#This Row],[timeFromValuation]],1)=0)</f>
        <v>0</v>
      </c>
      <c r="O61" s="7">
        <f>IF(VaBenefits[[#This Row],[Is Anniversary?]]=TRUE,VaBenefits[[#This Row],[Assumed Contract Value ]],0)</f>
        <v>0</v>
      </c>
      <c r="P6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1" s="7" t="b">
        <f>VaBenefits[[#This Row],[Assumed Contract Value ]]&lt;0.1</f>
        <v>1</v>
      </c>
      <c r="R6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1" s="7">
        <f ca="1">IF(AND(VaBenefits[[#This Row],[Is Activation]]=FALSE,VaBenefits[[#This Row],[Is Anniversary?]]=TRUE),OFFSET( VaBenefits[[#This Row],[Income Credit Base]],-1,0)*ICP,0)</f>
        <v>0</v>
      </c>
      <c r="T61" s="5">
        <f>IF(VaBenefits[[#This Row],[Assumed Contract Value ]]&gt;0,VaBenefits[[#This Row],[Income Base]]*MAWA,0)</f>
        <v>0</v>
      </c>
      <c r="U61" s="95">
        <f>IF(AND(VaBenefits[[#This Row],[Has Income Credit]],VaBenefits[[#This Row],[Is Anniversary?]],VaBenefits[[#This Row],[Joint Mortality tPxy for the partial year]]),VaBenefits[[#This Row],[Income Base]]*PIP,0)</f>
        <v>0</v>
      </c>
      <c r="V61" s="8">
        <f>1/(1+InterestRate)^VaBenefits[[#This Row],[timeFromValuation]]</f>
        <v>0.52389202490021491</v>
      </c>
      <c r="W61" s="90">
        <f>VaBenefits[[#This Row],[timeFromValuation]]</f>
        <v>13.25</v>
      </c>
      <c r="X61" s="91">
        <f>IF(($G$8+VaBenefits[[#This Row],[timeFromValuation]])&lt;=120,VLOOKUP(G61,Table2[],Qx!L$6,FALSE),0)</f>
        <v>0.99237200000000003</v>
      </c>
      <c r="Y61" s="91">
        <f>IF(($H$8+VaBenefits[[#This Row],[timeFromValuation]])&lt;=120,VLOOKUP(H61,Table2[],Qx!M$6,FALSE),0)</f>
        <v>0.97362499999999996</v>
      </c>
      <c r="Z61" s="91">
        <f>PRODUCT($X$8:$X61)</f>
        <v>0.78339050911088315</v>
      </c>
      <c r="AA61" s="91">
        <f>PRODUCT($Y$8:$Y61)</f>
        <v>0.44432076425763684</v>
      </c>
      <c r="AB61" s="91">
        <f>VaBenefits[[#This Row],[Primary Annuitant Px]]+VaBenefits[[#This Row],[Secondary Annuitant Py]]-VaBenefits[[#This Row],[Primary Annuitant Px]]*VaBenefits[[#This Row],[Secondary Annuitant Py]]</f>
        <v>0.99979881150000005</v>
      </c>
      <c r="AC61" s="91">
        <f>PRODUCT($AB$8:$AB61)</f>
        <v>0.99583902176125394</v>
      </c>
      <c r="AD61" s="97">
        <f t="shared" ca="1" si="14"/>
        <v>0</v>
      </c>
      <c r="AE61" s="130">
        <f>IF((AND(VaBenefits[[#This Row],[Is Anniversary?]],VaBenefits[[#This Row],[Assumed Contract Value ]]&lt;75000)),-50,0)</f>
        <v>0</v>
      </c>
      <c r="AF61" s="133">
        <f>VaBenefits[[#This Row],[Assumed Contract Value ]]*-1.15%/4</f>
        <v>0</v>
      </c>
      <c r="AG61" s="129">
        <v>0</v>
      </c>
      <c r="AH61" s="131">
        <f>VaBenefits[[#This Row],[Maintenace Fee]]+VaBenefits[[#This Row],[Separate Account Charge]]+VaBenefits[[#This Row],[Rider Fee]]</f>
        <v>0</v>
      </c>
      <c r="AR61" s="23">
        <f t="shared" si="3"/>
        <v>26.5</v>
      </c>
      <c r="AS61" s="24">
        <v>0</v>
      </c>
      <c r="AT61" s="24">
        <v>0</v>
      </c>
      <c r="AU61" s="22">
        <v>0</v>
      </c>
      <c r="AV61" s="16">
        <v>0</v>
      </c>
      <c r="AW61" s="14">
        <v>299982</v>
      </c>
      <c r="AX61" s="15">
        <v>0</v>
      </c>
      <c r="AY61" s="15">
        <v>0</v>
      </c>
      <c r="AZ61" s="14">
        <v>0</v>
      </c>
      <c r="BA61" s="17">
        <v>11999</v>
      </c>
    </row>
    <row r="62" spans="1:53" ht="15" thickBot="1" x14ac:dyDescent="0.35">
      <c r="A62" s="32">
        <f t="shared" si="0"/>
        <v>54</v>
      </c>
      <c r="B62" s="29">
        <f t="shared" si="1"/>
        <v>13.5</v>
      </c>
      <c r="C62" s="29" t="b">
        <f>AND(VaBenefits[[#This Row],[timeFromValuation]]&gt;=ACT,VaBenefits[[#This Row],[Assumed Contract Value ]]&gt;0)</f>
        <v>0</v>
      </c>
      <c r="D62" s="20">
        <v>0</v>
      </c>
      <c r="E62" s="20">
        <v>0</v>
      </c>
      <c r="F62" s="20">
        <v>0</v>
      </c>
      <c r="G62" s="96">
        <f>ROUND($G$8+VaBenefits[[#This Row],[timeFromValuation]],0)</f>
        <v>69</v>
      </c>
      <c r="H62" s="20">
        <f>ROUND($H$8+VaBenefits[[#This Row],[timeFromValuation]],0)</f>
        <v>79</v>
      </c>
      <c r="I62" s="27" t="b">
        <f>VaBenefits[[#This Row],[Withdrawal Taken  ]]&gt;0</f>
        <v>0</v>
      </c>
      <c r="J62" s="41">
        <f>IF(AND(NOT(VaBenefits[[#This Row],[Is Activation]]),VaBenefits[[#This Row],[Assumed Contract Value ]]&gt;0),VaBenefits[[#This Row],[Withdrawal Taken  ]]/VaBenefits[[#This Row],[Assumed Contract Value ]],0)</f>
        <v>0</v>
      </c>
      <c r="K6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2" s="27" t="b">
        <f ca="1">AND(VaBenefits[[#This Row],[Is Activation]],SUMIFS($E$8:$E62,$C$8:$C62,TRUE)&gt;0)</f>
        <v>0</v>
      </c>
      <c r="M6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2" s="32" t="b">
        <f>IF(VaBenefits[[#This Row],[timeFromValuation]]=0,0, MOD(VaBenefits[[#This Row],[timeFromValuation]],1)=0)</f>
        <v>0</v>
      </c>
      <c r="O62" s="7">
        <f>IF(VaBenefits[[#This Row],[Is Anniversary?]]=TRUE,VaBenefits[[#This Row],[Assumed Contract Value ]],0)</f>
        <v>0</v>
      </c>
      <c r="P6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2" s="7" t="b">
        <f>VaBenefits[[#This Row],[Assumed Contract Value ]]&lt;0.1</f>
        <v>1</v>
      </c>
      <c r="R6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2" s="7">
        <f ca="1">IF(AND(VaBenefits[[#This Row],[Is Activation]]=FALSE,VaBenefits[[#This Row],[Is Anniversary?]]=TRUE),OFFSET( VaBenefits[[#This Row],[Income Credit Base]],-1,0)*ICP,0)</f>
        <v>0</v>
      </c>
      <c r="T62" s="5">
        <f>IF(VaBenefits[[#This Row],[Assumed Contract Value ]]&gt;0,VaBenefits[[#This Row],[Income Base]]*MAWA,0)</f>
        <v>0</v>
      </c>
      <c r="U62" s="95">
        <f>IF(AND(VaBenefits[[#This Row],[Has Income Credit]],VaBenefits[[#This Row],[Is Anniversary?]],VaBenefits[[#This Row],[Joint Mortality tPxy for the partial year]]),VaBenefits[[#This Row],[Income Base]]*PIP,0)</f>
        <v>0</v>
      </c>
      <c r="V62" s="8">
        <f>1/(1+InterestRate)^VaBenefits[[#This Row],[timeFromValuation]]</f>
        <v>0.51754064478090755</v>
      </c>
      <c r="W62" s="90">
        <f>VaBenefits[[#This Row],[timeFromValuation]]</f>
        <v>13.5</v>
      </c>
      <c r="X62" s="91">
        <f>IF(($G$8+VaBenefits[[#This Row],[timeFromValuation]])&lt;=120,VLOOKUP(G62,Table2[],Qx!L$6,FALSE),0)</f>
        <v>0.99168900000000004</v>
      </c>
      <c r="Y62" s="91">
        <f>IF(($H$8+VaBenefits[[#This Row],[timeFromValuation]])&lt;=120,VLOOKUP(H62,Table2[],Qx!M$6,FALSE),0)</f>
        <v>0.97042799999999996</v>
      </c>
      <c r="Z62" s="91">
        <f>PRODUCT($X$8:$X62)</f>
        <v>0.77687975058966263</v>
      </c>
      <c r="AA62" s="91">
        <f>PRODUCT($Y$8:$Y62)</f>
        <v>0.43118131061700998</v>
      </c>
      <c r="AB62" s="91">
        <f>VaBenefits[[#This Row],[Primary Annuitant Px]]+VaBenefits[[#This Row],[Secondary Annuitant Py]]-VaBenefits[[#This Row],[Primary Annuitant Px]]*VaBenefits[[#This Row],[Secondary Annuitant Py]]</f>
        <v>0.9997542271080001</v>
      </c>
      <c r="AC62" s="91">
        <f>PRODUCT($AB$8:$AB62)</f>
        <v>0.99559427152490931</v>
      </c>
      <c r="AD62" s="97">
        <f t="shared" ca="1" si="14"/>
        <v>0</v>
      </c>
      <c r="AE62" s="130">
        <f>IF((AND(VaBenefits[[#This Row],[Is Anniversary?]],VaBenefits[[#This Row],[Assumed Contract Value ]]&lt;75000)),-50,0)</f>
        <v>0</v>
      </c>
      <c r="AF62" s="133">
        <f>VaBenefits[[#This Row],[Assumed Contract Value ]]*-1.15%/4</f>
        <v>0</v>
      </c>
      <c r="AG62" s="129">
        <v>0</v>
      </c>
      <c r="AH62" s="131">
        <f>VaBenefits[[#This Row],[Maintenace Fee]]+VaBenefits[[#This Row],[Separate Account Charge]]+VaBenefits[[#This Row],[Rider Fee]]</f>
        <v>0</v>
      </c>
      <c r="AR62" s="23">
        <f t="shared" si="3"/>
        <v>27</v>
      </c>
      <c r="AS62" s="24">
        <v>0</v>
      </c>
      <c r="AT62" s="24">
        <v>0</v>
      </c>
      <c r="AU62" s="22">
        <v>0</v>
      </c>
      <c r="AV62" s="16">
        <v>0</v>
      </c>
      <c r="AW62" s="14">
        <v>299982</v>
      </c>
      <c r="AX62" s="15">
        <v>0</v>
      </c>
      <c r="AY62" s="15">
        <v>0</v>
      </c>
      <c r="AZ62" s="14">
        <v>0</v>
      </c>
      <c r="BA62" s="17">
        <v>11999</v>
      </c>
    </row>
    <row r="63" spans="1:53" ht="15" thickBot="1" x14ac:dyDescent="0.35">
      <c r="A63" s="32">
        <f t="shared" si="0"/>
        <v>55</v>
      </c>
      <c r="B63" s="29">
        <f t="shared" si="1"/>
        <v>13.75</v>
      </c>
      <c r="C63" s="29" t="b">
        <f>AND(VaBenefits[[#This Row],[timeFromValuation]]&gt;=ACT,VaBenefits[[#This Row],[Assumed Contract Value ]]&gt;0)</f>
        <v>0</v>
      </c>
      <c r="D63" s="20">
        <v>0</v>
      </c>
      <c r="E63" s="20">
        <v>0</v>
      </c>
      <c r="F63" s="20">
        <v>0</v>
      </c>
      <c r="G63" s="96">
        <f>ROUND($G$8+VaBenefits[[#This Row],[timeFromValuation]],0)</f>
        <v>69</v>
      </c>
      <c r="H63" s="20">
        <f>ROUND($H$8+VaBenefits[[#This Row],[timeFromValuation]],0)</f>
        <v>79</v>
      </c>
      <c r="I63" s="27" t="b">
        <f>VaBenefits[[#This Row],[Withdrawal Taken  ]]&gt;0</f>
        <v>0</v>
      </c>
      <c r="J63" s="41">
        <f>IF(AND(NOT(VaBenefits[[#This Row],[Is Activation]]),VaBenefits[[#This Row],[Assumed Contract Value ]]&gt;0),VaBenefits[[#This Row],[Withdrawal Taken  ]]/VaBenefits[[#This Row],[Assumed Contract Value ]],0)</f>
        <v>0</v>
      </c>
      <c r="K6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3" s="27" t="b">
        <f ca="1">AND(VaBenefits[[#This Row],[Is Activation]],SUMIFS($E$8:$E63,$C$8:$C63,TRUE)&gt;0)</f>
        <v>0</v>
      </c>
      <c r="M6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3" s="32" t="b">
        <f>IF(VaBenefits[[#This Row],[timeFromValuation]]=0,0, MOD(VaBenefits[[#This Row],[timeFromValuation]],1)=0)</f>
        <v>0</v>
      </c>
      <c r="O63" s="7">
        <f>IF(VaBenefits[[#This Row],[Is Anniversary?]]=TRUE,VaBenefits[[#This Row],[Assumed Contract Value ]],0)</f>
        <v>0</v>
      </c>
      <c r="P6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3" s="7" t="b">
        <f>VaBenefits[[#This Row],[Assumed Contract Value ]]&lt;0.1</f>
        <v>1</v>
      </c>
      <c r="R6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3" s="7">
        <f ca="1">IF(AND(VaBenefits[[#This Row],[Is Activation]]=FALSE,VaBenefits[[#This Row],[Is Anniversary?]]=TRUE),OFFSET( VaBenefits[[#This Row],[Income Credit Base]],-1,0)*ICP,0)</f>
        <v>0</v>
      </c>
      <c r="T63" s="5">
        <f>IF(VaBenefits[[#This Row],[Assumed Contract Value ]]&gt;0,VaBenefits[[#This Row],[Income Base]]*MAWA,0)</f>
        <v>0</v>
      </c>
      <c r="U63" s="95">
        <f>IF(AND(VaBenefits[[#This Row],[Has Income Credit]],VaBenefits[[#This Row],[Is Anniversary?]],VaBenefits[[#This Row],[Joint Mortality tPxy for the partial year]]),VaBenefits[[#This Row],[Income Base]]*PIP,0)</f>
        <v>0</v>
      </c>
      <c r="V63" s="8">
        <f>1/(1+InterestRate)^VaBenefits[[#This Row],[timeFromValuation]]</f>
        <v>0.51126626531727459</v>
      </c>
      <c r="W63" s="90">
        <f>VaBenefits[[#This Row],[timeFromValuation]]</f>
        <v>13.75</v>
      </c>
      <c r="X63" s="91">
        <f>IF(($G$8+VaBenefits[[#This Row],[timeFromValuation]])&lt;=120,VLOOKUP(G63,Table2[],Qx!L$6,FALSE),0)</f>
        <v>0.99168900000000004</v>
      </c>
      <c r="Y63" s="91">
        <f>IF(($H$8+VaBenefits[[#This Row],[timeFromValuation]])&lt;=120,VLOOKUP(H63,Table2[],Qx!M$6,FALSE),0)</f>
        <v>0.97042799999999996</v>
      </c>
      <c r="Z63" s="91">
        <f>PRODUCT($X$8:$X63)</f>
        <v>0.77042310298251193</v>
      </c>
      <c r="AA63" s="91">
        <f>PRODUCT($Y$8:$Y63)</f>
        <v>0.41843041689944377</v>
      </c>
      <c r="AB63" s="91">
        <f>VaBenefits[[#This Row],[Primary Annuitant Px]]+VaBenefits[[#This Row],[Secondary Annuitant Py]]-VaBenefits[[#This Row],[Primary Annuitant Px]]*VaBenefits[[#This Row],[Secondary Annuitant Py]]</f>
        <v>0.9997542271080001</v>
      </c>
      <c r="AC63" s="91">
        <f>PRODUCT($AB$8:$AB63)</f>
        <v>0.99534958144153807</v>
      </c>
      <c r="AD63" s="97">
        <f t="shared" ca="1" si="14"/>
        <v>0</v>
      </c>
      <c r="AE63" s="130">
        <f>IF((AND(VaBenefits[[#This Row],[Is Anniversary?]],VaBenefits[[#This Row],[Assumed Contract Value ]]&lt;75000)),-50,0)</f>
        <v>0</v>
      </c>
      <c r="AF63" s="133">
        <f>VaBenefits[[#This Row],[Assumed Contract Value ]]*-1.15%/4</f>
        <v>0</v>
      </c>
      <c r="AG63" s="129">
        <v>0</v>
      </c>
      <c r="AH63" s="131">
        <f>VaBenefits[[#This Row],[Maintenace Fee]]+VaBenefits[[#This Row],[Separate Account Charge]]+VaBenefits[[#This Row],[Rider Fee]]</f>
        <v>0</v>
      </c>
      <c r="AR63" s="23">
        <f t="shared" si="3"/>
        <v>27.5</v>
      </c>
      <c r="AS63" s="24">
        <v>0</v>
      </c>
      <c r="AT63" s="24">
        <v>0</v>
      </c>
      <c r="AU63" s="22">
        <v>0</v>
      </c>
      <c r="AV63" s="16">
        <v>0</v>
      </c>
      <c r="AW63" s="14">
        <v>299982</v>
      </c>
      <c r="AX63" s="15">
        <v>0</v>
      </c>
      <c r="AY63" s="15">
        <v>0</v>
      </c>
      <c r="AZ63" s="14">
        <v>0</v>
      </c>
      <c r="BA63" s="17">
        <v>11999</v>
      </c>
    </row>
    <row r="64" spans="1:53" ht="15" thickBot="1" x14ac:dyDescent="0.35">
      <c r="A64" s="32">
        <f t="shared" si="0"/>
        <v>56</v>
      </c>
      <c r="B64" s="29">
        <f t="shared" si="1"/>
        <v>14</v>
      </c>
      <c r="C64" s="29" t="b">
        <f>AND(VaBenefits[[#This Row],[timeFromValuation]]&gt;=ACT,VaBenefits[[#This Row],[Assumed Contract Value ]]&gt;0)</f>
        <v>0</v>
      </c>
      <c r="D64" s="20">
        <v>0</v>
      </c>
      <c r="E64" s="20">
        <v>0</v>
      </c>
      <c r="F64" s="20">
        <v>0</v>
      </c>
      <c r="G64" s="96">
        <f>ROUND($G$8+VaBenefits[[#This Row],[timeFromValuation]],0)</f>
        <v>69</v>
      </c>
      <c r="H64" s="20">
        <f>ROUND($H$8+VaBenefits[[#This Row],[timeFromValuation]],0)</f>
        <v>79</v>
      </c>
      <c r="I64" s="27" t="b">
        <f>VaBenefits[[#This Row],[Withdrawal Taken  ]]&gt;0</f>
        <v>0</v>
      </c>
      <c r="J64" s="41">
        <f>IF(AND(NOT(VaBenefits[[#This Row],[Is Activation]]),VaBenefits[[#This Row],[Assumed Contract Value ]]&gt;0),VaBenefits[[#This Row],[Withdrawal Taken  ]]/VaBenefits[[#This Row],[Assumed Contract Value ]],0)</f>
        <v>0</v>
      </c>
      <c r="K6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4" s="27" t="b">
        <f ca="1">AND(VaBenefits[[#This Row],[Is Activation]],SUMIFS($E$8:$E64,$C$8:$C64,TRUE)&gt;0)</f>
        <v>0</v>
      </c>
      <c r="M6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4" s="32" t="b">
        <f>IF(VaBenefits[[#This Row],[timeFromValuation]]=0,0, MOD(VaBenefits[[#This Row],[timeFromValuation]],1)=0)</f>
        <v>1</v>
      </c>
      <c r="O64" s="7">
        <f>IF(VaBenefits[[#This Row],[Is Anniversary?]]=TRUE,VaBenefits[[#This Row],[Assumed Contract Value ]],0)</f>
        <v>0</v>
      </c>
      <c r="P6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4" s="7" t="b">
        <f>VaBenefits[[#This Row],[Assumed Contract Value ]]&lt;0.1</f>
        <v>1</v>
      </c>
      <c r="R6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4" s="7">
        <f ca="1">IF(AND(VaBenefits[[#This Row],[Is Activation]]=FALSE,VaBenefits[[#This Row],[Is Anniversary?]]=TRUE),OFFSET( VaBenefits[[#This Row],[Income Credit Base]],-1,0)*ICP,0)</f>
        <v>0</v>
      </c>
      <c r="T64" s="5">
        <f>IF(VaBenefits[[#This Row],[Assumed Contract Value ]]&gt;0,VaBenefits[[#This Row],[Income Base]]*MAWA,0)</f>
        <v>0</v>
      </c>
      <c r="U64" s="95">
        <f ca="1">IF(AND(VaBenefits[[#This Row],[Has Income Credit]],VaBenefits[[#This Row],[Is Anniversary?]],VaBenefits[[#This Row],[Joint Mortality tPxy for the partial year]]),VaBenefits[[#This Row],[Income Base]]*PIP,0)</f>
        <v>12026.006800536559</v>
      </c>
      <c r="V64" s="8">
        <f>1/(1+InterestRate)^VaBenefits[[#This Row],[timeFromValuation]]</f>
        <v>0.50506795299551888</v>
      </c>
      <c r="W64" s="90">
        <f>VaBenefits[[#This Row],[timeFromValuation]]</f>
        <v>14</v>
      </c>
      <c r="X64" s="91">
        <f>IF(($G$8+VaBenefits[[#This Row],[timeFromValuation]])&lt;=120,VLOOKUP(G64,Table2[],Qx!L$6,FALSE),0)</f>
        <v>0.99168900000000004</v>
      </c>
      <c r="Y64" s="91">
        <f>IF(($H$8+VaBenefits[[#This Row],[timeFromValuation]])&lt;=120,VLOOKUP(H64,Table2[],Qx!M$6,FALSE),0)</f>
        <v>0.97042799999999996</v>
      </c>
      <c r="Z64" s="91">
        <f>PRODUCT($X$8:$X64)</f>
        <v>0.76402011657362434</v>
      </c>
      <c r="AA64" s="91">
        <f>PRODUCT($Y$8:$Y64)</f>
        <v>0.40605659261089339</v>
      </c>
      <c r="AB64" s="91">
        <f>VaBenefits[[#This Row],[Primary Annuitant Px]]+VaBenefits[[#This Row],[Secondary Annuitant Py]]-VaBenefits[[#This Row],[Primary Annuitant Px]]*VaBenefits[[#This Row],[Secondary Annuitant Py]]</f>
        <v>0.9997542271080001</v>
      </c>
      <c r="AC64" s="91">
        <f>PRODUCT($AB$8:$AB64)</f>
        <v>0.99510495149635625</v>
      </c>
      <c r="AD64" s="97">
        <f t="shared" ca="1" si="14"/>
        <v>0</v>
      </c>
      <c r="AE64" s="130">
        <f>IF((AND(VaBenefits[[#This Row],[Is Anniversary?]],VaBenefits[[#This Row],[Assumed Contract Value ]]&lt;75000)),-50,0)</f>
        <v>-50</v>
      </c>
      <c r="AF64" s="133">
        <f>VaBenefits[[#This Row],[Assumed Contract Value ]]*-1.15%/4</f>
        <v>0</v>
      </c>
      <c r="AG64" s="129">
        <v>0</v>
      </c>
      <c r="AH64" s="131">
        <f>VaBenefits[[#This Row],[Maintenace Fee]]+VaBenefits[[#This Row],[Separate Account Charge]]+VaBenefits[[#This Row],[Rider Fee]]</f>
        <v>-50</v>
      </c>
      <c r="AR64" s="23">
        <f t="shared" si="3"/>
        <v>28</v>
      </c>
      <c r="AS64" s="24">
        <v>0</v>
      </c>
      <c r="AT64" s="24">
        <v>0</v>
      </c>
      <c r="AU64" s="22">
        <v>0</v>
      </c>
      <c r="AV64" s="16">
        <v>0</v>
      </c>
      <c r="AW64" s="14">
        <v>299982</v>
      </c>
      <c r="AX64" s="15">
        <v>0</v>
      </c>
      <c r="AY64" s="15">
        <v>0</v>
      </c>
      <c r="AZ64" s="14">
        <v>0</v>
      </c>
      <c r="BA64" s="17">
        <v>11999</v>
      </c>
    </row>
    <row r="65" spans="1:53" ht="15" thickBot="1" x14ac:dyDescent="0.35">
      <c r="A65" s="32">
        <f t="shared" si="0"/>
        <v>57</v>
      </c>
      <c r="B65" s="29">
        <f t="shared" si="1"/>
        <v>14.25</v>
      </c>
      <c r="C65" s="29" t="b">
        <f>AND(VaBenefits[[#This Row],[timeFromValuation]]&gt;=ACT,VaBenefits[[#This Row],[Assumed Contract Value ]]&gt;0)</f>
        <v>0</v>
      </c>
      <c r="D65" s="20">
        <v>0</v>
      </c>
      <c r="E65" s="20">
        <v>0</v>
      </c>
      <c r="F65" s="20">
        <v>0</v>
      </c>
      <c r="G65" s="96">
        <f>ROUND($G$8+VaBenefits[[#This Row],[timeFromValuation]],0)</f>
        <v>69</v>
      </c>
      <c r="H65" s="20">
        <f>ROUND($H$8+VaBenefits[[#This Row],[timeFromValuation]],0)</f>
        <v>79</v>
      </c>
      <c r="I65" s="27" t="b">
        <f>VaBenefits[[#This Row],[Withdrawal Taken  ]]&gt;0</f>
        <v>0</v>
      </c>
      <c r="J65" s="41">
        <f>IF(AND(NOT(VaBenefits[[#This Row],[Is Activation]]),VaBenefits[[#This Row],[Assumed Contract Value ]]&gt;0),VaBenefits[[#This Row],[Withdrawal Taken  ]]/VaBenefits[[#This Row],[Assumed Contract Value ]],0)</f>
        <v>0</v>
      </c>
      <c r="K6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5" s="27" t="b">
        <f ca="1">AND(VaBenefits[[#This Row],[Is Activation]],SUMIFS($E$8:$E65,$C$8:$C65,TRUE)&gt;0)</f>
        <v>0</v>
      </c>
      <c r="M6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5" s="32" t="b">
        <f>IF(VaBenefits[[#This Row],[timeFromValuation]]=0,0, MOD(VaBenefits[[#This Row],[timeFromValuation]],1)=0)</f>
        <v>0</v>
      </c>
      <c r="O65" s="7">
        <f>IF(VaBenefits[[#This Row],[Is Anniversary?]]=TRUE,VaBenefits[[#This Row],[Assumed Contract Value ]],0)</f>
        <v>0</v>
      </c>
      <c r="P6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5" s="7" t="b">
        <f>VaBenefits[[#This Row],[Assumed Contract Value ]]&lt;0.1</f>
        <v>1</v>
      </c>
      <c r="R6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5" s="7">
        <f ca="1">IF(AND(VaBenefits[[#This Row],[Is Activation]]=FALSE,VaBenefits[[#This Row],[Is Anniversary?]]=TRUE),OFFSET( VaBenefits[[#This Row],[Income Credit Base]],-1,0)*ICP,0)</f>
        <v>0</v>
      </c>
      <c r="T65" s="5">
        <f>IF(VaBenefits[[#This Row],[Assumed Contract Value ]]&gt;0,VaBenefits[[#This Row],[Income Base]]*MAWA,0)</f>
        <v>0</v>
      </c>
      <c r="U65" s="95">
        <f>IF(AND(VaBenefits[[#This Row],[Has Income Credit]],VaBenefits[[#This Row],[Is Anniversary?]],VaBenefits[[#This Row],[Joint Mortality tPxy for the partial year]]),VaBenefits[[#This Row],[Income Base]]*PIP,0)</f>
        <v>0</v>
      </c>
      <c r="V65" s="8">
        <f>1/(1+InterestRate)^VaBenefits[[#This Row],[timeFromValuation]]</f>
        <v>0.49894478561925226</v>
      </c>
      <c r="W65" s="90">
        <f>VaBenefits[[#This Row],[timeFromValuation]]</f>
        <v>14.25</v>
      </c>
      <c r="X65" s="91">
        <f>IF(($G$8+VaBenefits[[#This Row],[timeFromValuation]])&lt;=120,VLOOKUP(G65,Table2[],Qx!L$6,FALSE),0)</f>
        <v>0.99168900000000004</v>
      </c>
      <c r="Y65" s="91">
        <f>IF(($H$8+VaBenefits[[#This Row],[timeFromValuation]])&lt;=120,VLOOKUP(H65,Table2[],Qx!M$6,FALSE),0)</f>
        <v>0.97042799999999996</v>
      </c>
      <c r="Z65" s="91">
        <f>PRODUCT($X$8:$X65)</f>
        <v>0.75767034538478095</v>
      </c>
      <c r="AA65" s="91">
        <f>PRODUCT($Y$8:$Y65)</f>
        <v>0.39404868705420404</v>
      </c>
      <c r="AB65" s="91">
        <f>VaBenefits[[#This Row],[Primary Annuitant Px]]+VaBenefits[[#This Row],[Secondary Annuitant Py]]-VaBenefits[[#This Row],[Primary Annuitant Px]]*VaBenefits[[#This Row],[Secondary Annuitant Py]]</f>
        <v>0.9997542271080001</v>
      </c>
      <c r="AC65" s="91">
        <f>PRODUCT($AB$8:$AB65)</f>
        <v>0.99486038167458357</v>
      </c>
      <c r="AD65" s="97">
        <f t="shared" ca="1" si="14"/>
        <v>0</v>
      </c>
      <c r="AE65" s="130">
        <f>IF((AND(VaBenefits[[#This Row],[Is Anniversary?]],VaBenefits[[#This Row],[Assumed Contract Value ]]&lt;75000)),-50,0)</f>
        <v>0</v>
      </c>
      <c r="AF65" s="133">
        <f>VaBenefits[[#This Row],[Assumed Contract Value ]]*-1.15%/4</f>
        <v>0</v>
      </c>
      <c r="AG65" s="129">
        <v>0</v>
      </c>
      <c r="AH65" s="131">
        <f>VaBenefits[[#This Row],[Maintenace Fee]]+VaBenefits[[#This Row],[Separate Account Charge]]+VaBenefits[[#This Row],[Rider Fee]]</f>
        <v>0</v>
      </c>
      <c r="AR65" s="23">
        <f t="shared" si="3"/>
        <v>28.5</v>
      </c>
      <c r="AS65" s="24">
        <v>0</v>
      </c>
      <c r="AT65" s="24">
        <v>0</v>
      </c>
      <c r="AU65" s="22">
        <v>0</v>
      </c>
      <c r="AV65" s="16">
        <v>0</v>
      </c>
      <c r="AW65" s="14">
        <v>299982</v>
      </c>
      <c r="AX65" s="15">
        <v>0</v>
      </c>
      <c r="AY65" s="15">
        <v>0</v>
      </c>
      <c r="AZ65" s="14">
        <v>0</v>
      </c>
      <c r="BA65" s="17">
        <v>11999</v>
      </c>
    </row>
    <row r="66" spans="1:53" ht="15" thickBot="1" x14ac:dyDescent="0.35">
      <c r="A66" s="32">
        <f t="shared" si="0"/>
        <v>58</v>
      </c>
      <c r="B66" s="29">
        <f t="shared" si="1"/>
        <v>14.5</v>
      </c>
      <c r="C66" s="29" t="b">
        <f>AND(VaBenefits[[#This Row],[timeFromValuation]]&gt;=ACT,VaBenefits[[#This Row],[Assumed Contract Value ]]&gt;0)</f>
        <v>0</v>
      </c>
      <c r="D66" s="20">
        <v>0</v>
      </c>
      <c r="E66" s="20">
        <v>0</v>
      </c>
      <c r="F66" s="20">
        <v>0</v>
      </c>
      <c r="G66" s="96">
        <f>ROUND($G$8+VaBenefits[[#This Row],[timeFromValuation]],0)</f>
        <v>70</v>
      </c>
      <c r="H66" s="20">
        <f>ROUND($H$8+VaBenefits[[#This Row],[timeFromValuation]],0)</f>
        <v>80</v>
      </c>
      <c r="I66" s="27" t="b">
        <f>VaBenefits[[#This Row],[Withdrawal Taken  ]]&gt;0</f>
        <v>0</v>
      </c>
      <c r="J66" s="41">
        <f>IF(AND(NOT(VaBenefits[[#This Row],[Is Activation]]),VaBenefits[[#This Row],[Assumed Contract Value ]]&gt;0),VaBenefits[[#This Row],[Withdrawal Taken  ]]/VaBenefits[[#This Row],[Assumed Contract Value ]],0)</f>
        <v>0</v>
      </c>
      <c r="K6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6" s="27" t="b">
        <f ca="1">AND(VaBenefits[[#This Row],[Is Activation]],SUMIFS($E$8:$E66,$C$8:$C66,TRUE)&gt;0)</f>
        <v>0</v>
      </c>
      <c r="M6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6" s="32" t="b">
        <f>IF(VaBenefits[[#This Row],[timeFromValuation]]=0,0, MOD(VaBenefits[[#This Row],[timeFromValuation]],1)=0)</f>
        <v>0</v>
      </c>
      <c r="O66" s="7">
        <f>IF(VaBenefits[[#This Row],[Is Anniversary?]]=TRUE,VaBenefits[[#This Row],[Assumed Contract Value ]],0)</f>
        <v>0</v>
      </c>
      <c r="P6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6" s="7" t="b">
        <f>VaBenefits[[#This Row],[Assumed Contract Value ]]&lt;0.1</f>
        <v>1</v>
      </c>
      <c r="R6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6" s="7">
        <f ca="1">IF(AND(VaBenefits[[#This Row],[Is Activation]]=FALSE,VaBenefits[[#This Row],[Is Anniversary?]]=TRUE),OFFSET( VaBenefits[[#This Row],[Income Credit Base]],-1,0)*ICP,0)</f>
        <v>0</v>
      </c>
      <c r="T66" s="5">
        <f>IF(VaBenefits[[#This Row],[Assumed Contract Value ]]&gt;0,VaBenefits[[#This Row],[Income Base]]*MAWA,0)</f>
        <v>0</v>
      </c>
      <c r="U66" s="95">
        <f>IF(AND(VaBenefits[[#This Row],[Has Income Credit]],VaBenefits[[#This Row],[Is Anniversary?]],VaBenefits[[#This Row],[Joint Mortality tPxy for the partial year]]),VaBenefits[[#This Row],[Income Base]]*PIP,0)</f>
        <v>0</v>
      </c>
      <c r="V66" s="8">
        <f>1/(1+InterestRate)^VaBenefits[[#This Row],[timeFromValuation]]</f>
        <v>0.49289585217229281</v>
      </c>
      <c r="W66" s="90">
        <f>VaBenefits[[#This Row],[timeFromValuation]]</f>
        <v>14.5</v>
      </c>
      <c r="X66" s="91">
        <f>IF(($G$8+VaBenefits[[#This Row],[timeFromValuation]])&lt;=120,VLOOKUP(G66,Table2[],Qx!L$6,FALSE),0)</f>
        <v>0.99092599999999997</v>
      </c>
      <c r="Y66" s="91">
        <f>IF(($H$8+VaBenefits[[#This Row],[timeFromValuation]])&lt;=120,VLOOKUP(H66,Table2[],Qx!M$6,FALSE),0)</f>
        <v>0.96676600000000001</v>
      </c>
      <c r="Z66" s="91">
        <f>PRODUCT($X$8:$X66)</f>
        <v>0.75079524467075942</v>
      </c>
      <c r="AA66" s="91">
        <f>PRODUCT($Y$8:$Y66)</f>
        <v>0.38095287298864461</v>
      </c>
      <c r="AB66" s="91">
        <f>VaBenefits[[#This Row],[Primary Annuitant Px]]+VaBenefits[[#This Row],[Secondary Annuitant Py]]-VaBenefits[[#This Row],[Primary Annuitant Px]]*VaBenefits[[#This Row],[Secondary Annuitant Py]]</f>
        <v>0.99969843468399999</v>
      </c>
      <c r="AC66" s="91">
        <f>PRODUCT($AB$8:$AB66)</f>
        <v>0.99456036628920796</v>
      </c>
      <c r="AD66" s="97">
        <f t="shared" ca="1" si="14"/>
        <v>0</v>
      </c>
      <c r="AE66" s="130">
        <f>IF((AND(VaBenefits[[#This Row],[Is Anniversary?]],VaBenefits[[#This Row],[Assumed Contract Value ]]&lt;75000)),-50,0)</f>
        <v>0</v>
      </c>
      <c r="AF66" s="133">
        <f>VaBenefits[[#This Row],[Assumed Contract Value ]]*-1.15%/4</f>
        <v>0</v>
      </c>
      <c r="AG66" s="129">
        <v>0</v>
      </c>
      <c r="AH66" s="131">
        <f>VaBenefits[[#This Row],[Maintenace Fee]]+VaBenefits[[#This Row],[Separate Account Charge]]+VaBenefits[[#This Row],[Rider Fee]]</f>
        <v>0</v>
      </c>
      <c r="AR66" s="23">
        <f t="shared" si="3"/>
        <v>29</v>
      </c>
      <c r="AS66" s="24">
        <v>0</v>
      </c>
      <c r="AT66" s="24">
        <v>0</v>
      </c>
      <c r="AU66" s="22">
        <v>0</v>
      </c>
      <c r="AV66" s="16">
        <v>0</v>
      </c>
      <c r="AW66" s="14">
        <v>299982</v>
      </c>
      <c r="AX66" s="15">
        <v>0</v>
      </c>
      <c r="AY66" s="15">
        <v>0</v>
      </c>
      <c r="AZ66" s="14">
        <v>0</v>
      </c>
      <c r="BA66" s="17">
        <v>11999</v>
      </c>
    </row>
    <row r="67" spans="1:53" ht="15" thickBot="1" x14ac:dyDescent="0.35">
      <c r="A67" s="32">
        <f t="shared" si="0"/>
        <v>59</v>
      </c>
      <c r="B67" s="29">
        <f t="shared" si="1"/>
        <v>14.75</v>
      </c>
      <c r="C67" s="29" t="b">
        <f>AND(VaBenefits[[#This Row],[timeFromValuation]]&gt;=ACT,VaBenefits[[#This Row],[Assumed Contract Value ]]&gt;0)</f>
        <v>0</v>
      </c>
      <c r="D67" s="20">
        <v>0</v>
      </c>
      <c r="E67" s="20">
        <v>0</v>
      </c>
      <c r="F67" s="20">
        <v>0</v>
      </c>
      <c r="G67" s="96">
        <f>ROUND($G$8+VaBenefits[[#This Row],[timeFromValuation]],0)</f>
        <v>70</v>
      </c>
      <c r="H67" s="20">
        <f>ROUND($H$8+VaBenefits[[#This Row],[timeFromValuation]],0)</f>
        <v>80</v>
      </c>
      <c r="I67" s="27" t="b">
        <f>VaBenefits[[#This Row],[Withdrawal Taken  ]]&gt;0</f>
        <v>0</v>
      </c>
      <c r="J67" s="41">
        <f>IF(AND(NOT(VaBenefits[[#This Row],[Is Activation]]),VaBenefits[[#This Row],[Assumed Contract Value ]]&gt;0),VaBenefits[[#This Row],[Withdrawal Taken  ]]/VaBenefits[[#This Row],[Assumed Contract Value ]],0)</f>
        <v>0</v>
      </c>
      <c r="K6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7" s="27" t="b">
        <f ca="1">AND(VaBenefits[[#This Row],[Is Activation]],SUMIFS($E$8:$E67,$C$8:$C67,TRUE)&gt;0)</f>
        <v>0</v>
      </c>
      <c r="M6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7" s="32" t="b">
        <f>IF(VaBenefits[[#This Row],[timeFromValuation]]=0,0, MOD(VaBenefits[[#This Row],[timeFromValuation]],1)=0)</f>
        <v>0</v>
      </c>
      <c r="O67" s="7">
        <f>IF(VaBenefits[[#This Row],[Is Anniversary?]]=TRUE,VaBenefits[[#This Row],[Assumed Contract Value ]],0)</f>
        <v>0</v>
      </c>
      <c r="P6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7" s="7" t="b">
        <f>VaBenefits[[#This Row],[Assumed Contract Value ]]&lt;0.1</f>
        <v>1</v>
      </c>
      <c r="R6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7" s="7">
        <f ca="1">IF(AND(VaBenefits[[#This Row],[Is Activation]]=FALSE,VaBenefits[[#This Row],[Is Anniversary?]]=TRUE),OFFSET( VaBenefits[[#This Row],[Income Credit Base]],-1,0)*ICP,0)</f>
        <v>0</v>
      </c>
      <c r="T67" s="5">
        <f>IF(VaBenefits[[#This Row],[Assumed Contract Value ]]&gt;0,VaBenefits[[#This Row],[Income Base]]*MAWA,0)</f>
        <v>0</v>
      </c>
      <c r="U67" s="95">
        <f>IF(AND(VaBenefits[[#This Row],[Has Income Credit]],VaBenefits[[#This Row],[Is Anniversary?]],VaBenefits[[#This Row],[Joint Mortality tPxy for the partial year]]),VaBenefits[[#This Row],[Income Base]]*PIP,0)</f>
        <v>0</v>
      </c>
      <c r="V67" s="8">
        <f>1/(1+InterestRate)^VaBenefits[[#This Row],[timeFromValuation]]</f>
        <v>0.4869202526831185</v>
      </c>
      <c r="W67" s="90">
        <f>VaBenefits[[#This Row],[timeFromValuation]]</f>
        <v>14.75</v>
      </c>
      <c r="X67" s="91">
        <f>IF(($G$8+VaBenefits[[#This Row],[timeFromValuation]])&lt;=120,VLOOKUP(G67,Table2[],Qx!L$6,FALSE),0)</f>
        <v>0.99092599999999997</v>
      </c>
      <c r="Y67" s="91">
        <f>IF(($H$8+VaBenefits[[#This Row],[timeFromValuation]])&lt;=120,VLOOKUP(H67,Table2[],Qx!M$6,FALSE),0)</f>
        <v>0.96676600000000001</v>
      </c>
      <c r="Z67" s="91">
        <f>PRODUCT($X$8:$X67)</f>
        <v>0.74398252862061698</v>
      </c>
      <c r="AA67" s="91">
        <f>PRODUCT($Y$8:$Y67)</f>
        <v>0.36829228520773999</v>
      </c>
      <c r="AB67" s="91">
        <f>VaBenefits[[#This Row],[Primary Annuitant Px]]+VaBenefits[[#This Row],[Secondary Annuitant Py]]-VaBenefits[[#This Row],[Primary Annuitant Px]]*VaBenefits[[#This Row],[Secondary Annuitant Py]]</f>
        <v>0.99969843468399999</v>
      </c>
      <c r="AC67" s="91">
        <f>PRODUCT($AB$8:$AB67)</f>
        <v>0.99426044137806691</v>
      </c>
      <c r="AD67" s="97">
        <f t="shared" ca="1" si="14"/>
        <v>0</v>
      </c>
      <c r="AE67" s="130">
        <f>IF((AND(VaBenefits[[#This Row],[Is Anniversary?]],VaBenefits[[#This Row],[Assumed Contract Value ]]&lt;75000)),-50,0)</f>
        <v>0</v>
      </c>
      <c r="AF67" s="133">
        <f>VaBenefits[[#This Row],[Assumed Contract Value ]]*-1.15%/4</f>
        <v>0</v>
      </c>
      <c r="AG67" s="129">
        <v>0</v>
      </c>
      <c r="AH67" s="131">
        <f>VaBenefits[[#This Row],[Maintenace Fee]]+VaBenefits[[#This Row],[Separate Account Charge]]+VaBenefits[[#This Row],[Rider Fee]]</f>
        <v>0</v>
      </c>
      <c r="AR67" s="23">
        <f t="shared" si="3"/>
        <v>29.5</v>
      </c>
      <c r="AS67" s="24">
        <v>0</v>
      </c>
      <c r="AT67" s="24">
        <v>0</v>
      </c>
      <c r="AU67" s="22">
        <v>0</v>
      </c>
      <c r="AV67" s="16">
        <v>0</v>
      </c>
      <c r="AW67" s="14">
        <v>299982</v>
      </c>
      <c r="AX67" s="15">
        <v>0</v>
      </c>
      <c r="AY67" s="15">
        <v>0</v>
      </c>
      <c r="AZ67" s="14">
        <v>0</v>
      </c>
      <c r="BA67" s="17">
        <v>11999</v>
      </c>
    </row>
    <row r="68" spans="1:53" ht="15" thickBot="1" x14ac:dyDescent="0.35">
      <c r="A68" s="32">
        <f t="shared" si="0"/>
        <v>60</v>
      </c>
      <c r="B68" s="29">
        <f t="shared" si="1"/>
        <v>15</v>
      </c>
      <c r="C68" s="29" t="b">
        <f>AND(VaBenefits[[#This Row],[timeFromValuation]]&gt;=ACT,VaBenefits[[#This Row],[Assumed Contract Value ]]&gt;0)</f>
        <v>0</v>
      </c>
      <c r="D68" s="20">
        <v>0</v>
      </c>
      <c r="E68" s="20">
        <v>0</v>
      </c>
      <c r="F68" s="20">
        <v>0</v>
      </c>
      <c r="G68" s="96">
        <f>ROUND($G$8+VaBenefits[[#This Row],[timeFromValuation]],0)</f>
        <v>70</v>
      </c>
      <c r="H68" s="20">
        <f>ROUND($H$8+VaBenefits[[#This Row],[timeFromValuation]],0)</f>
        <v>80</v>
      </c>
      <c r="I68" s="27" t="b">
        <f>VaBenefits[[#This Row],[Withdrawal Taken  ]]&gt;0</f>
        <v>0</v>
      </c>
      <c r="J68" s="41">
        <f>IF(AND(NOT(VaBenefits[[#This Row],[Is Activation]]),VaBenefits[[#This Row],[Assumed Contract Value ]]&gt;0),VaBenefits[[#This Row],[Withdrawal Taken  ]]/VaBenefits[[#This Row],[Assumed Contract Value ]],0)</f>
        <v>0</v>
      </c>
      <c r="K6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8" s="27" t="b">
        <f ca="1">AND(VaBenefits[[#This Row],[Is Activation]],SUMIFS($E$8:$E68,$C$8:$C68,TRUE)&gt;0)</f>
        <v>0</v>
      </c>
      <c r="M6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8" s="32" t="b">
        <f>IF(VaBenefits[[#This Row],[timeFromValuation]]=0,0, MOD(VaBenefits[[#This Row],[timeFromValuation]],1)=0)</f>
        <v>1</v>
      </c>
      <c r="O68" s="7">
        <f>IF(VaBenefits[[#This Row],[Is Anniversary?]]=TRUE,VaBenefits[[#This Row],[Assumed Contract Value ]],0)</f>
        <v>0</v>
      </c>
      <c r="P6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8" s="7" t="b">
        <f>VaBenefits[[#This Row],[Assumed Contract Value ]]&lt;0.1</f>
        <v>1</v>
      </c>
      <c r="R6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8" s="7">
        <f ca="1">IF(AND(VaBenefits[[#This Row],[Is Activation]]=FALSE,VaBenefits[[#This Row],[Is Anniversary?]]=TRUE),OFFSET( VaBenefits[[#This Row],[Income Credit Base]],-1,0)*ICP,0)</f>
        <v>0</v>
      </c>
      <c r="T68" s="5">
        <f>IF(VaBenefits[[#This Row],[Assumed Contract Value ]]&gt;0,VaBenefits[[#This Row],[Income Base]]*MAWA,0)</f>
        <v>0</v>
      </c>
      <c r="U68" s="95">
        <f ca="1">IF(AND(VaBenefits[[#This Row],[Has Income Credit]],VaBenefits[[#This Row],[Is Anniversary?]],VaBenefits[[#This Row],[Joint Mortality tPxy for the partial year]]),VaBenefits[[#This Row],[Income Base]]*PIP,0)</f>
        <v>12026.006800536559</v>
      </c>
      <c r="V68" s="8">
        <f>1/(1+InterestRate)^VaBenefits[[#This Row],[timeFromValuation]]</f>
        <v>0.48101709809097021</v>
      </c>
      <c r="W68" s="90">
        <f>VaBenefits[[#This Row],[timeFromValuation]]</f>
        <v>15</v>
      </c>
      <c r="X68" s="91">
        <f>IF(($G$8+VaBenefits[[#This Row],[timeFromValuation]])&lt;=120,VLOOKUP(G68,Table2[],Qx!L$6,FALSE),0)</f>
        <v>0.99092599999999997</v>
      </c>
      <c r="Y68" s="91">
        <f>IF(($H$8+VaBenefits[[#This Row],[timeFromValuation]])&lt;=120,VLOOKUP(H68,Table2[],Qx!M$6,FALSE),0)</f>
        <v>0.96676600000000001</v>
      </c>
      <c r="Z68" s="91">
        <f>PRODUCT($X$8:$X68)</f>
        <v>0.7372316311559135</v>
      </c>
      <c r="AA68" s="91">
        <f>PRODUCT($Y$8:$Y68)</f>
        <v>0.35605245940114594</v>
      </c>
      <c r="AB68" s="91">
        <f>VaBenefits[[#This Row],[Primary Annuitant Px]]+VaBenefits[[#This Row],[Secondary Annuitant Py]]-VaBenefits[[#This Row],[Primary Annuitant Px]]*VaBenefits[[#This Row],[Secondary Annuitant Py]]</f>
        <v>0.99969843468399999</v>
      </c>
      <c r="AC68" s="91">
        <f>PRODUCT($AB$8:$AB68)</f>
        <v>0.99396060691387644</v>
      </c>
      <c r="AD68" s="97">
        <f t="shared" ca="1" si="14"/>
        <v>0</v>
      </c>
      <c r="AE68" s="130">
        <f>IF((AND(VaBenefits[[#This Row],[Is Anniversary?]],VaBenefits[[#This Row],[Assumed Contract Value ]]&lt;75000)),-50,0)</f>
        <v>-50</v>
      </c>
      <c r="AF68" s="133">
        <f>VaBenefits[[#This Row],[Assumed Contract Value ]]*-1.15%/4</f>
        <v>0</v>
      </c>
      <c r="AG68" s="129">
        <v>0</v>
      </c>
      <c r="AH68" s="131">
        <f>VaBenefits[[#This Row],[Maintenace Fee]]+VaBenefits[[#This Row],[Separate Account Charge]]+VaBenefits[[#This Row],[Rider Fee]]</f>
        <v>-50</v>
      </c>
      <c r="AR68" s="23">
        <f t="shared" si="3"/>
        <v>30</v>
      </c>
      <c r="AS68" s="24">
        <v>0</v>
      </c>
      <c r="AT68" s="24">
        <v>0</v>
      </c>
      <c r="AU68" s="22">
        <v>0</v>
      </c>
      <c r="AV68" s="16">
        <v>0</v>
      </c>
      <c r="AW68" s="14">
        <v>299982</v>
      </c>
      <c r="AX68" s="15">
        <v>0</v>
      </c>
      <c r="AY68" s="15">
        <v>0</v>
      </c>
      <c r="AZ68" s="14">
        <v>0</v>
      </c>
      <c r="BA68" s="17">
        <v>11999</v>
      </c>
    </row>
    <row r="69" spans="1:53" ht="15" thickBot="1" x14ac:dyDescent="0.35">
      <c r="A69" s="32">
        <f t="shared" si="0"/>
        <v>61</v>
      </c>
      <c r="B69" s="29">
        <f t="shared" si="1"/>
        <v>15.25</v>
      </c>
      <c r="C69" s="29" t="b">
        <f>AND(VaBenefits[[#This Row],[timeFromValuation]]&gt;=ACT,VaBenefits[[#This Row],[Assumed Contract Value ]]&gt;0)</f>
        <v>0</v>
      </c>
      <c r="D69" s="20">
        <v>0</v>
      </c>
      <c r="E69" s="20">
        <v>0</v>
      </c>
      <c r="F69" s="20">
        <v>0</v>
      </c>
      <c r="G69" s="96">
        <f>ROUND($G$8+VaBenefits[[#This Row],[timeFromValuation]],0)</f>
        <v>70</v>
      </c>
      <c r="H69" s="20">
        <f>ROUND($H$8+VaBenefits[[#This Row],[timeFromValuation]],0)</f>
        <v>80</v>
      </c>
      <c r="I69" s="27" t="b">
        <f>VaBenefits[[#This Row],[Withdrawal Taken  ]]&gt;0</f>
        <v>0</v>
      </c>
      <c r="J69" s="41">
        <f>IF(AND(NOT(VaBenefits[[#This Row],[Is Activation]]),VaBenefits[[#This Row],[Assumed Contract Value ]]&gt;0),VaBenefits[[#This Row],[Withdrawal Taken  ]]/VaBenefits[[#This Row],[Assumed Contract Value ]],0)</f>
        <v>0</v>
      </c>
      <c r="K6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9" s="27" t="b">
        <f ca="1">AND(VaBenefits[[#This Row],[Is Activation]],SUMIFS($E$8:$E69,$C$8:$C69,TRUE)&gt;0)</f>
        <v>0</v>
      </c>
      <c r="M6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9" s="32" t="b">
        <f>IF(VaBenefits[[#This Row],[timeFromValuation]]=0,0, MOD(VaBenefits[[#This Row],[timeFromValuation]],1)=0)</f>
        <v>0</v>
      </c>
      <c r="O69" s="7">
        <f>IF(VaBenefits[[#This Row],[Is Anniversary?]]=TRUE,VaBenefits[[#This Row],[Assumed Contract Value ]],0)</f>
        <v>0</v>
      </c>
      <c r="P6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9" s="7" t="b">
        <f>VaBenefits[[#This Row],[Assumed Contract Value ]]&lt;0.1</f>
        <v>1</v>
      </c>
      <c r="R6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9" s="7">
        <f ca="1">IF(AND(VaBenefits[[#This Row],[Is Activation]]=FALSE,VaBenefits[[#This Row],[Is Anniversary?]]=TRUE),OFFSET( VaBenefits[[#This Row],[Income Credit Base]],-1,0)*ICP,0)</f>
        <v>0</v>
      </c>
      <c r="T69" s="5">
        <f>IF(VaBenefits[[#This Row],[Assumed Contract Value ]]&gt;0,VaBenefits[[#This Row],[Income Base]]*MAWA,0)</f>
        <v>0</v>
      </c>
      <c r="U69" s="95">
        <f>IF(AND(VaBenefits[[#This Row],[Has Income Credit]],VaBenefits[[#This Row],[Is Anniversary?]],VaBenefits[[#This Row],[Joint Mortality tPxy for the partial year]]),VaBenefits[[#This Row],[Income Base]]*PIP,0)</f>
        <v>0</v>
      </c>
      <c r="V69" s="8">
        <f>1/(1+InterestRate)^VaBenefits[[#This Row],[timeFromValuation]]</f>
        <v>0.47518551011357363</v>
      </c>
      <c r="W69" s="90">
        <f>VaBenefits[[#This Row],[timeFromValuation]]</f>
        <v>15.25</v>
      </c>
      <c r="X69" s="91">
        <f>IF(($G$8+VaBenefits[[#This Row],[timeFromValuation]])&lt;=120,VLOOKUP(G69,Table2[],Qx!L$6,FALSE),0)</f>
        <v>0.99092599999999997</v>
      </c>
      <c r="Y69" s="91">
        <f>IF(($H$8+VaBenefits[[#This Row],[timeFromValuation]])&lt;=120,VLOOKUP(H69,Table2[],Qx!M$6,FALSE),0)</f>
        <v>0.96676600000000001</v>
      </c>
      <c r="Z69" s="91">
        <f>PRODUCT($X$8:$X69)</f>
        <v>0.73054199133480469</v>
      </c>
      <c r="AA69" s="91">
        <f>PRODUCT($Y$8:$Y69)</f>
        <v>0.34421941196540828</v>
      </c>
      <c r="AB69" s="91">
        <f>VaBenefits[[#This Row],[Primary Annuitant Px]]+VaBenefits[[#This Row],[Secondary Annuitant Py]]-VaBenefits[[#This Row],[Primary Annuitant Px]]*VaBenefits[[#This Row],[Secondary Annuitant Py]]</f>
        <v>0.99969843468399999</v>
      </c>
      <c r="AC69" s="91">
        <f>PRODUCT($AB$8:$AB69)</f>
        <v>0.99366086286936095</v>
      </c>
      <c r="AD69" s="97">
        <f t="shared" ca="1" si="14"/>
        <v>0</v>
      </c>
      <c r="AE69" s="130">
        <f>IF((AND(VaBenefits[[#This Row],[Is Anniversary?]],VaBenefits[[#This Row],[Assumed Contract Value ]]&lt;75000)),-50,0)</f>
        <v>0</v>
      </c>
      <c r="AF69" s="133">
        <f>VaBenefits[[#This Row],[Assumed Contract Value ]]*-1.15%/4</f>
        <v>0</v>
      </c>
      <c r="AG69" s="129">
        <v>0</v>
      </c>
      <c r="AH69" s="131">
        <f>VaBenefits[[#This Row],[Maintenace Fee]]+VaBenefits[[#This Row],[Separate Account Charge]]+VaBenefits[[#This Row],[Rider Fee]]</f>
        <v>0</v>
      </c>
      <c r="AR69" s="23">
        <f t="shared" si="3"/>
        <v>30.5</v>
      </c>
      <c r="AS69" s="24">
        <v>0</v>
      </c>
      <c r="AT69" s="24">
        <v>0</v>
      </c>
      <c r="AU69" s="22">
        <v>0</v>
      </c>
      <c r="AV69" s="16">
        <v>0</v>
      </c>
      <c r="AW69" s="14">
        <v>299982</v>
      </c>
      <c r="AX69" s="15">
        <v>0</v>
      </c>
      <c r="AY69" s="15">
        <v>0</v>
      </c>
      <c r="AZ69" s="14">
        <v>0</v>
      </c>
      <c r="BA69" s="17">
        <v>11999</v>
      </c>
    </row>
    <row r="70" spans="1:53" ht="15" thickBot="1" x14ac:dyDescent="0.35">
      <c r="A70" s="32">
        <f t="shared" si="0"/>
        <v>62</v>
      </c>
      <c r="B70" s="29">
        <f t="shared" si="1"/>
        <v>15.5</v>
      </c>
      <c r="C70" s="29" t="b">
        <f>AND(VaBenefits[[#This Row],[timeFromValuation]]&gt;=ACT,VaBenefits[[#This Row],[Assumed Contract Value ]]&gt;0)</f>
        <v>0</v>
      </c>
      <c r="D70" s="20">
        <v>0</v>
      </c>
      <c r="E70" s="20">
        <v>0</v>
      </c>
      <c r="F70" s="20">
        <v>0</v>
      </c>
      <c r="G70" s="96">
        <f>ROUND($G$8+VaBenefits[[#This Row],[timeFromValuation]],0)</f>
        <v>71</v>
      </c>
      <c r="H70" s="20">
        <f>ROUND($H$8+VaBenefits[[#This Row],[timeFromValuation]],0)</f>
        <v>81</v>
      </c>
      <c r="I70" s="27" t="b">
        <f>VaBenefits[[#This Row],[Withdrawal Taken  ]]&gt;0</f>
        <v>0</v>
      </c>
      <c r="J70" s="41">
        <f>IF(AND(NOT(VaBenefits[[#This Row],[Is Activation]]),VaBenefits[[#This Row],[Assumed Contract Value ]]&gt;0),VaBenefits[[#This Row],[Withdrawal Taken  ]]/VaBenefits[[#This Row],[Assumed Contract Value ]],0)</f>
        <v>0</v>
      </c>
      <c r="K7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0" s="27" t="b">
        <f ca="1">AND(VaBenefits[[#This Row],[Is Activation]],SUMIFS($E$8:$E70,$C$8:$C70,TRUE)&gt;0)</f>
        <v>0</v>
      </c>
      <c r="M7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0" s="32" t="b">
        <f>IF(VaBenefits[[#This Row],[timeFromValuation]]=0,0, MOD(VaBenefits[[#This Row],[timeFromValuation]],1)=0)</f>
        <v>0</v>
      </c>
      <c r="O70" s="7">
        <f>IF(VaBenefits[[#This Row],[Is Anniversary?]]=TRUE,VaBenefits[[#This Row],[Assumed Contract Value ]],0)</f>
        <v>0</v>
      </c>
      <c r="P7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0" s="7" t="b">
        <f>VaBenefits[[#This Row],[Assumed Contract Value ]]&lt;0.1</f>
        <v>1</v>
      </c>
      <c r="R7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0" s="7">
        <f ca="1">IF(AND(VaBenefits[[#This Row],[Is Activation]]=FALSE,VaBenefits[[#This Row],[Is Anniversary?]]=TRUE),OFFSET( VaBenefits[[#This Row],[Income Credit Base]],-1,0)*ICP,0)</f>
        <v>0</v>
      </c>
      <c r="T70" s="5">
        <f>IF(VaBenefits[[#This Row],[Assumed Contract Value ]]&gt;0,VaBenefits[[#This Row],[Income Base]]*MAWA,0)</f>
        <v>0</v>
      </c>
      <c r="U70" s="95">
        <f>IF(AND(VaBenefits[[#This Row],[Has Income Credit]],VaBenefits[[#This Row],[Is Anniversary?]],VaBenefits[[#This Row],[Joint Mortality tPxy for the partial year]]),VaBenefits[[#This Row],[Income Base]]*PIP,0)</f>
        <v>0</v>
      </c>
      <c r="V70" s="8">
        <f>1/(1+InterestRate)^VaBenefits[[#This Row],[timeFromValuation]]</f>
        <v>0.46942462111646938</v>
      </c>
      <c r="W70" s="90">
        <f>VaBenefits[[#This Row],[timeFromValuation]]</f>
        <v>15.5</v>
      </c>
      <c r="X70" s="91">
        <f>IF(($G$8+VaBenefits[[#This Row],[timeFromValuation]])&lt;=120,VLOOKUP(G70,Table2[],Qx!L$6,FALSE),0)</f>
        <v>0.99009000000000003</v>
      </c>
      <c r="Y70" s="91">
        <f>IF(($H$8+VaBenefits[[#This Row],[timeFromValuation]])&lt;=120,VLOOKUP(H70,Table2[],Qx!M$6,FALSE),0)</f>
        <v>0.96246699999999996</v>
      </c>
      <c r="Z70" s="91">
        <f>PRODUCT($X$8:$X70)</f>
        <v>0.72330232020067675</v>
      </c>
      <c r="AA70" s="91">
        <f>PRODUCT($Y$8:$Y70)</f>
        <v>0.33129982477611059</v>
      </c>
      <c r="AB70" s="91">
        <f>VaBenefits[[#This Row],[Primary Annuitant Px]]+VaBenefits[[#This Row],[Secondary Annuitant Py]]-VaBenefits[[#This Row],[Primary Annuitant Px]]*VaBenefits[[#This Row],[Secondary Annuitant Py]]</f>
        <v>0.99962804797000016</v>
      </c>
      <c r="AC70" s="91">
        <f>PRODUCT($AB$8:$AB70)</f>
        <v>0.9932912686942853</v>
      </c>
      <c r="AD70" s="97">
        <f t="shared" ca="1" si="14"/>
        <v>0</v>
      </c>
      <c r="AE70" s="130">
        <f>IF((AND(VaBenefits[[#This Row],[Is Anniversary?]],VaBenefits[[#This Row],[Assumed Contract Value ]]&lt;75000)),-50,0)</f>
        <v>0</v>
      </c>
      <c r="AF70" s="133">
        <f>VaBenefits[[#This Row],[Assumed Contract Value ]]*-1.15%/4</f>
        <v>0</v>
      </c>
      <c r="AG70" s="129">
        <v>0</v>
      </c>
      <c r="AH70" s="131">
        <f>VaBenefits[[#This Row],[Maintenace Fee]]+VaBenefits[[#This Row],[Separate Account Charge]]+VaBenefits[[#This Row],[Rider Fee]]</f>
        <v>0</v>
      </c>
      <c r="AR70" s="23">
        <f t="shared" si="3"/>
        <v>31</v>
      </c>
      <c r="AS70" s="24">
        <v>0</v>
      </c>
      <c r="AT70" s="24">
        <v>0</v>
      </c>
      <c r="AU70" s="22">
        <v>0</v>
      </c>
      <c r="AV70" s="16">
        <v>0</v>
      </c>
      <c r="AW70" s="14">
        <v>299982</v>
      </c>
      <c r="AX70" s="15">
        <v>0</v>
      </c>
      <c r="AY70" s="15">
        <v>0</v>
      </c>
      <c r="AZ70" s="14">
        <v>0</v>
      </c>
      <c r="BA70" s="17">
        <v>11999</v>
      </c>
    </row>
    <row r="71" spans="1:53" ht="15" thickBot="1" x14ac:dyDescent="0.35">
      <c r="A71" s="32">
        <f t="shared" si="0"/>
        <v>63</v>
      </c>
      <c r="B71" s="29">
        <f t="shared" si="1"/>
        <v>15.75</v>
      </c>
      <c r="C71" s="29" t="b">
        <f>AND(VaBenefits[[#This Row],[timeFromValuation]]&gt;=ACT,VaBenefits[[#This Row],[Assumed Contract Value ]]&gt;0)</f>
        <v>0</v>
      </c>
      <c r="D71" s="20">
        <v>0</v>
      </c>
      <c r="E71" s="20">
        <v>0</v>
      </c>
      <c r="F71" s="20">
        <v>0</v>
      </c>
      <c r="G71" s="96">
        <f>ROUND($G$8+VaBenefits[[#This Row],[timeFromValuation]],0)</f>
        <v>71</v>
      </c>
      <c r="H71" s="20">
        <f>ROUND($H$8+VaBenefits[[#This Row],[timeFromValuation]],0)</f>
        <v>81</v>
      </c>
      <c r="I71" s="27" t="b">
        <f>VaBenefits[[#This Row],[Withdrawal Taken  ]]&gt;0</f>
        <v>0</v>
      </c>
      <c r="J71" s="41">
        <f>IF(AND(NOT(VaBenefits[[#This Row],[Is Activation]]),VaBenefits[[#This Row],[Assumed Contract Value ]]&gt;0),VaBenefits[[#This Row],[Withdrawal Taken  ]]/VaBenefits[[#This Row],[Assumed Contract Value ]],0)</f>
        <v>0</v>
      </c>
      <c r="K7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1" s="27" t="b">
        <f ca="1">AND(VaBenefits[[#This Row],[Is Activation]],SUMIFS($E$8:$E71,$C$8:$C71,TRUE)&gt;0)</f>
        <v>0</v>
      </c>
      <c r="M7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1" s="32" t="b">
        <f>IF(VaBenefits[[#This Row],[timeFromValuation]]=0,0, MOD(VaBenefits[[#This Row],[timeFromValuation]],1)=0)</f>
        <v>0</v>
      </c>
      <c r="O71" s="7">
        <f>IF(VaBenefits[[#This Row],[Is Anniversary?]]=TRUE,VaBenefits[[#This Row],[Assumed Contract Value ]],0)</f>
        <v>0</v>
      </c>
      <c r="P7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1" s="7" t="b">
        <f>VaBenefits[[#This Row],[Assumed Contract Value ]]&lt;0.1</f>
        <v>1</v>
      </c>
      <c r="R7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1" s="7">
        <f ca="1">IF(AND(VaBenefits[[#This Row],[Is Activation]]=FALSE,VaBenefits[[#This Row],[Is Anniversary?]]=TRUE),OFFSET( VaBenefits[[#This Row],[Income Credit Base]],-1,0)*ICP,0)</f>
        <v>0</v>
      </c>
      <c r="T71" s="5">
        <f>IF(VaBenefits[[#This Row],[Assumed Contract Value ]]&gt;0,VaBenefits[[#This Row],[Income Base]]*MAWA,0)</f>
        <v>0</v>
      </c>
      <c r="U71" s="95">
        <f>IF(AND(VaBenefits[[#This Row],[Has Income Credit]],VaBenefits[[#This Row],[Is Anniversary?]],VaBenefits[[#This Row],[Joint Mortality tPxy for the partial year]]),VaBenefits[[#This Row],[Income Base]]*PIP,0)</f>
        <v>0</v>
      </c>
      <c r="V71" s="8">
        <f>1/(1+InterestRate)^VaBenefits[[#This Row],[timeFromValuation]]</f>
        <v>0.4637335739839224</v>
      </c>
      <c r="W71" s="90">
        <f>VaBenefits[[#This Row],[timeFromValuation]]</f>
        <v>15.75</v>
      </c>
      <c r="X71" s="91">
        <f>IF(($G$8+VaBenefits[[#This Row],[timeFromValuation]])&lt;=120,VLOOKUP(G71,Table2[],Qx!L$6,FALSE),0)</f>
        <v>0.99009000000000003</v>
      </c>
      <c r="Y71" s="91">
        <f>IF(($H$8+VaBenefits[[#This Row],[timeFromValuation]])&lt;=120,VLOOKUP(H71,Table2[],Qx!M$6,FALSE),0)</f>
        <v>0.96246699999999996</v>
      </c>
      <c r="Z71" s="91">
        <f>PRODUCT($X$8:$X71)</f>
        <v>0.71613439420748803</v>
      </c>
      <c r="AA71" s="91">
        <f>PRODUCT($Y$8:$Y71)</f>
        <v>0.31886514845278879</v>
      </c>
      <c r="AB71" s="91">
        <f>VaBenefits[[#This Row],[Primary Annuitant Px]]+VaBenefits[[#This Row],[Secondary Annuitant Py]]-VaBenefits[[#This Row],[Primary Annuitant Px]]*VaBenefits[[#This Row],[Secondary Annuitant Py]]</f>
        <v>0.99962804797000016</v>
      </c>
      <c r="AC71" s="91">
        <f>PRODUCT($AB$8:$AB71)</f>
        <v>0.99292181199051333</v>
      </c>
      <c r="AD71" s="97">
        <f t="shared" ca="1" si="14"/>
        <v>0</v>
      </c>
      <c r="AE71" s="130">
        <f>IF((AND(VaBenefits[[#This Row],[Is Anniversary?]],VaBenefits[[#This Row],[Assumed Contract Value ]]&lt;75000)),-50,0)</f>
        <v>0</v>
      </c>
      <c r="AF71" s="133">
        <f>VaBenefits[[#This Row],[Assumed Contract Value ]]*-1.15%/4</f>
        <v>0</v>
      </c>
      <c r="AG71" s="129">
        <v>0</v>
      </c>
      <c r="AH71" s="131">
        <f>VaBenefits[[#This Row],[Maintenace Fee]]+VaBenefits[[#This Row],[Separate Account Charge]]+VaBenefits[[#This Row],[Rider Fee]]</f>
        <v>0</v>
      </c>
      <c r="AR71" s="23">
        <f t="shared" si="3"/>
        <v>31.5</v>
      </c>
      <c r="AS71" s="24">
        <v>0</v>
      </c>
      <c r="AT71" s="24">
        <v>0</v>
      </c>
      <c r="AU71" s="22">
        <v>0</v>
      </c>
      <c r="AV71" s="16">
        <v>0</v>
      </c>
      <c r="AW71" s="14">
        <v>299982</v>
      </c>
      <c r="AX71" s="15">
        <v>0</v>
      </c>
      <c r="AY71" s="15">
        <v>0</v>
      </c>
      <c r="AZ71" s="14">
        <v>0</v>
      </c>
      <c r="BA71" s="17">
        <v>11999</v>
      </c>
    </row>
    <row r="72" spans="1:53" ht="15" thickBot="1" x14ac:dyDescent="0.35">
      <c r="A72" s="32">
        <f t="shared" si="0"/>
        <v>64</v>
      </c>
      <c r="B72" s="29">
        <f t="shared" si="1"/>
        <v>16</v>
      </c>
      <c r="C72" s="29" t="b">
        <f>AND(VaBenefits[[#This Row],[timeFromValuation]]&gt;=ACT,VaBenefits[[#This Row],[Assumed Contract Value ]]&gt;0)</f>
        <v>0</v>
      </c>
      <c r="D72" s="20">
        <v>0</v>
      </c>
      <c r="E72" s="20">
        <v>0</v>
      </c>
      <c r="F72" s="20">
        <v>0</v>
      </c>
      <c r="G72" s="96">
        <f>ROUND($G$8+VaBenefits[[#This Row],[timeFromValuation]],0)</f>
        <v>71</v>
      </c>
      <c r="H72" s="20">
        <f>ROUND($H$8+VaBenefits[[#This Row],[timeFromValuation]],0)</f>
        <v>81</v>
      </c>
      <c r="I72" s="27" t="b">
        <f>VaBenefits[[#This Row],[Withdrawal Taken  ]]&gt;0</f>
        <v>0</v>
      </c>
      <c r="J72" s="41">
        <f>IF(AND(NOT(VaBenefits[[#This Row],[Is Activation]]),VaBenefits[[#This Row],[Assumed Contract Value ]]&gt;0),VaBenefits[[#This Row],[Withdrawal Taken  ]]/VaBenefits[[#This Row],[Assumed Contract Value ]],0)</f>
        <v>0</v>
      </c>
      <c r="K7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2" s="27" t="b">
        <f ca="1">AND(VaBenefits[[#This Row],[Is Activation]],SUMIFS($E$8:$E72,$C$8:$C72,TRUE)&gt;0)</f>
        <v>0</v>
      </c>
      <c r="M7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2" s="32" t="b">
        <f>IF(VaBenefits[[#This Row],[timeFromValuation]]=0,0, MOD(VaBenefits[[#This Row],[timeFromValuation]],1)=0)</f>
        <v>1</v>
      </c>
      <c r="O72" s="7">
        <f>IF(VaBenefits[[#This Row],[Is Anniversary?]]=TRUE,VaBenefits[[#This Row],[Assumed Contract Value ]],0)</f>
        <v>0</v>
      </c>
      <c r="P7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2" s="7" t="b">
        <f>VaBenefits[[#This Row],[Assumed Contract Value ]]&lt;0.1</f>
        <v>1</v>
      </c>
      <c r="R7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2" s="7">
        <f ca="1">IF(AND(VaBenefits[[#This Row],[Is Activation]]=FALSE,VaBenefits[[#This Row],[Is Anniversary?]]=TRUE),OFFSET( VaBenefits[[#This Row],[Income Credit Base]],-1,0)*ICP,0)</f>
        <v>0</v>
      </c>
      <c r="T72" s="5">
        <f>IF(VaBenefits[[#This Row],[Assumed Contract Value ]]&gt;0,VaBenefits[[#This Row],[Income Base]]*MAWA,0)</f>
        <v>0</v>
      </c>
      <c r="U72" s="95">
        <f ca="1">IF(AND(VaBenefits[[#This Row],[Has Income Credit]],VaBenefits[[#This Row],[Is Anniversary?]],VaBenefits[[#This Row],[Joint Mortality tPxy for the partial year]]),VaBenefits[[#This Row],[Income Base]]*PIP,0)</f>
        <v>12026.006800536559</v>
      </c>
      <c r="V72" s="8">
        <f>1/(1+InterestRate)^VaBenefits[[#This Row],[timeFromValuation]]</f>
        <v>0.45811152199140021</v>
      </c>
      <c r="W72" s="90">
        <f>VaBenefits[[#This Row],[timeFromValuation]]</f>
        <v>16</v>
      </c>
      <c r="X72" s="91">
        <f>IF(($G$8+VaBenefits[[#This Row],[timeFromValuation]])&lt;=120,VLOOKUP(G72,Table2[],Qx!L$6,FALSE),0)</f>
        <v>0.99009000000000003</v>
      </c>
      <c r="Y72" s="91">
        <f>IF(($H$8+VaBenefits[[#This Row],[timeFromValuation]])&lt;=120,VLOOKUP(H72,Table2[],Qx!M$6,FALSE),0)</f>
        <v>0.96246699999999996</v>
      </c>
      <c r="Z72" s="91">
        <f>PRODUCT($X$8:$X72)</f>
        <v>0.7090375023608918</v>
      </c>
      <c r="AA72" s="91">
        <f>PRODUCT($Y$8:$Y72)</f>
        <v>0.30689718283591028</v>
      </c>
      <c r="AB72" s="91">
        <f>VaBenefits[[#This Row],[Primary Annuitant Px]]+VaBenefits[[#This Row],[Secondary Annuitant Py]]-VaBenefits[[#This Row],[Primary Annuitant Px]]*VaBenefits[[#This Row],[Secondary Annuitant Py]]</f>
        <v>0.99962804797000016</v>
      </c>
      <c r="AC72" s="91">
        <f>PRODUCT($AB$8:$AB72)</f>
        <v>0.99255249270691237</v>
      </c>
      <c r="AD72" s="97">
        <f t="shared" ca="1" si="14"/>
        <v>0</v>
      </c>
      <c r="AE72" s="130">
        <f>IF((AND(VaBenefits[[#This Row],[Is Anniversary?]],VaBenefits[[#This Row],[Assumed Contract Value ]]&lt;75000)),-50,0)</f>
        <v>-50</v>
      </c>
      <c r="AF72" s="133">
        <f>VaBenefits[[#This Row],[Assumed Contract Value ]]*-1.15%/4</f>
        <v>0</v>
      </c>
      <c r="AG72" s="129">
        <v>0</v>
      </c>
      <c r="AH72" s="131">
        <f>VaBenefits[[#This Row],[Maintenace Fee]]+VaBenefits[[#This Row],[Separate Account Charge]]+VaBenefits[[#This Row],[Rider Fee]]</f>
        <v>-50</v>
      </c>
      <c r="AR72" s="23">
        <f t="shared" si="3"/>
        <v>32</v>
      </c>
      <c r="AS72" s="24">
        <v>0</v>
      </c>
      <c r="AT72" s="24">
        <v>0</v>
      </c>
      <c r="AU72" s="22">
        <v>0</v>
      </c>
      <c r="AV72" s="16">
        <v>0</v>
      </c>
      <c r="AW72" s="14">
        <v>299982</v>
      </c>
      <c r="AX72" s="15">
        <v>0</v>
      </c>
      <c r="AY72" s="15">
        <v>0</v>
      </c>
      <c r="AZ72" s="14">
        <v>0</v>
      </c>
      <c r="BA72" s="17">
        <v>11999</v>
      </c>
    </row>
    <row r="73" spans="1:53" ht="15" thickBot="1" x14ac:dyDescent="0.35">
      <c r="A73" s="32">
        <f t="shared" si="0"/>
        <v>65</v>
      </c>
      <c r="B73" s="29">
        <f t="shared" si="1"/>
        <v>16.25</v>
      </c>
      <c r="C73" s="29" t="b">
        <f>AND(VaBenefits[[#This Row],[timeFromValuation]]&gt;=ACT,VaBenefits[[#This Row],[Assumed Contract Value ]]&gt;0)</f>
        <v>0</v>
      </c>
      <c r="D73" s="20">
        <v>0</v>
      </c>
      <c r="E73" s="20">
        <v>0</v>
      </c>
      <c r="F73" s="20">
        <v>0</v>
      </c>
      <c r="G73" s="96">
        <f>ROUND($G$8+VaBenefits[[#This Row],[timeFromValuation]],0)</f>
        <v>71</v>
      </c>
      <c r="H73" s="20">
        <f>ROUND($H$8+VaBenefits[[#This Row],[timeFromValuation]],0)</f>
        <v>81</v>
      </c>
      <c r="I73" s="27" t="b">
        <f>VaBenefits[[#This Row],[Withdrawal Taken  ]]&gt;0</f>
        <v>0</v>
      </c>
      <c r="J73" s="41">
        <f>IF(AND(NOT(VaBenefits[[#This Row],[Is Activation]]),VaBenefits[[#This Row],[Assumed Contract Value ]]&gt;0),VaBenefits[[#This Row],[Withdrawal Taken  ]]/VaBenefits[[#This Row],[Assumed Contract Value ]],0)</f>
        <v>0</v>
      </c>
      <c r="K7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3" s="27" t="b">
        <f ca="1">AND(VaBenefits[[#This Row],[Is Activation]],SUMIFS($E$8:$E73,$C$8:$C73,TRUE)&gt;0)</f>
        <v>0</v>
      </c>
      <c r="M7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3" s="32" t="b">
        <f>IF(VaBenefits[[#This Row],[timeFromValuation]]=0,0, MOD(VaBenefits[[#This Row],[timeFromValuation]],1)=0)</f>
        <v>0</v>
      </c>
      <c r="O73" s="7">
        <f>IF(VaBenefits[[#This Row],[Is Anniversary?]]=TRUE,VaBenefits[[#This Row],[Assumed Contract Value ]],0)</f>
        <v>0</v>
      </c>
      <c r="P7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3" s="7" t="b">
        <f>VaBenefits[[#This Row],[Assumed Contract Value ]]&lt;0.1</f>
        <v>1</v>
      </c>
      <c r="R7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3" s="7">
        <f ca="1">IF(AND(VaBenefits[[#This Row],[Is Activation]]=FALSE,VaBenefits[[#This Row],[Is Anniversary?]]=TRUE),OFFSET( VaBenefits[[#This Row],[Income Credit Base]],-1,0)*ICP,0)</f>
        <v>0</v>
      </c>
      <c r="T73" s="5">
        <f>IF(VaBenefits[[#This Row],[Assumed Contract Value ]]&gt;0,VaBenefits[[#This Row],[Income Base]]*MAWA,0)</f>
        <v>0</v>
      </c>
      <c r="U73" s="95">
        <f>IF(AND(VaBenefits[[#This Row],[Has Income Credit]],VaBenefits[[#This Row],[Is Anniversary?]],VaBenefits[[#This Row],[Joint Mortality tPxy for the partial year]]),VaBenefits[[#This Row],[Income Base]]*PIP,0)</f>
        <v>0</v>
      </c>
      <c r="V73" s="8">
        <f>1/(1+InterestRate)^VaBenefits[[#This Row],[timeFromValuation]]</f>
        <v>0.45255762867959387</v>
      </c>
      <c r="W73" s="90">
        <f>VaBenefits[[#This Row],[timeFromValuation]]</f>
        <v>16.25</v>
      </c>
      <c r="X73" s="91">
        <f>IF(($G$8+VaBenefits[[#This Row],[timeFromValuation]])&lt;=120,VLOOKUP(G73,Table2[],Qx!L$6,FALSE),0)</f>
        <v>0.99009000000000003</v>
      </c>
      <c r="Y73" s="91">
        <f>IF(($H$8+VaBenefits[[#This Row],[timeFromValuation]])&lt;=120,VLOOKUP(H73,Table2[],Qx!M$6,FALSE),0)</f>
        <v>0.96246699999999996</v>
      </c>
      <c r="Z73" s="90">
        <f>PRODUCT($X$8:$X73)</f>
        <v>0.70201094071249537</v>
      </c>
      <c r="AA73" s="90">
        <f>PRODUCT($Y$8:$Y73)</f>
        <v>0.29537841087253003</v>
      </c>
      <c r="AB73" s="91">
        <f>VaBenefits[[#This Row],[Primary Annuitant Px]]+VaBenefits[[#This Row],[Secondary Annuitant Py]]-VaBenefits[[#This Row],[Primary Annuitant Px]]*VaBenefits[[#This Row],[Secondary Annuitant Py]]</f>
        <v>0.99962804797000016</v>
      </c>
      <c r="AC73" s="91">
        <f>PRODUCT($AB$8:$AB73)</f>
        <v>0.99218331079236866</v>
      </c>
      <c r="AD73" s="97">
        <f t="shared" ca="1" si="14"/>
        <v>0</v>
      </c>
      <c r="AE73" s="130">
        <f>IF((AND(VaBenefits[[#This Row],[Is Anniversary?]],VaBenefits[[#This Row],[Assumed Contract Value ]]&lt;75000)),-50,0)</f>
        <v>0</v>
      </c>
      <c r="AF73" s="133">
        <f>VaBenefits[[#This Row],[Assumed Contract Value ]]*-1.15%/4</f>
        <v>0</v>
      </c>
      <c r="AG73" s="129">
        <v>0</v>
      </c>
      <c r="AH73" s="131">
        <f>VaBenefits[[#This Row],[Maintenace Fee]]+VaBenefits[[#This Row],[Separate Account Charge]]+VaBenefits[[#This Row],[Rider Fee]]</f>
        <v>0</v>
      </c>
      <c r="AR73" s="23">
        <f t="shared" si="3"/>
        <v>32.5</v>
      </c>
      <c r="AS73" s="24">
        <v>0</v>
      </c>
      <c r="AT73" s="24">
        <v>0</v>
      </c>
      <c r="AU73" s="22">
        <v>0</v>
      </c>
      <c r="AV73" s="16">
        <v>0</v>
      </c>
      <c r="AW73" s="14">
        <v>299982</v>
      </c>
      <c r="AX73" s="15">
        <v>0</v>
      </c>
      <c r="AY73" s="15">
        <v>0</v>
      </c>
      <c r="AZ73" s="14">
        <v>0</v>
      </c>
      <c r="BA73" s="17">
        <v>11999</v>
      </c>
    </row>
    <row r="74" spans="1:53" ht="15" thickBot="1" x14ac:dyDescent="0.35">
      <c r="A74" s="32">
        <f t="shared" ref="A74:A137" si="15">A73+1</f>
        <v>66</v>
      </c>
      <c r="B74" s="29">
        <f t="shared" ref="B74:B137" si="16">B73+0.25</f>
        <v>16.5</v>
      </c>
      <c r="C74" s="29" t="b">
        <f>AND(VaBenefits[[#This Row],[timeFromValuation]]&gt;=ACT,VaBenefits[[#This Row],[Assumed Contract Value ]]&gt;0)</f>
        <v>0</v>
      </c>
      <c r="D74" s="20">
        <v>0</v>
      </c>
      <c r="E74" s="20">
        <v>0</v>
      </c>
      <c r="F74" s="20">
        <v>0</v>
      </c>
      <c r="G74" s="96">
        <f>ROUND($G$8+VaBenefits[[#This Row],[timeFromValuation]],0)</f>
        <v>72</v>
      </c>
      <c r="H74" s="20">
        <f>ROUND($H$8+VaBenefits[[#This Row],[timeFromValuation]],0)</f>
        <v>82</v>
      </c>
      <c r="I74" s="27" t="b">
        <f>VaBenefits[[#This Row],[Withdrawal Taken  ]]&gt;0</f>
        <v>0</v>
      </c>
      <c r="J74" s="41">
        <f>IF(AND(NOT(VaBenefits[[#This Row],[Is Activation]]),VaBenefits[[#This Row],[Assumed Contract Value ]]&gt;0),VaBenefits[[#This Row],[Withdrawal Taken  ]]/VaBenefits[[#This Row],[Assumed Contract Value ]],0)</f>
        <v>0</v>
      </c>
      <c r="K7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4" s="27" t="b">
        <f ca="1">AND(VaBenefits[[#This Row],[Is Activation]],SUMIFS($E$8:$E74,$C$8:$C74,TRUE)&gt;0)</f>
        <v>0</v>
      </c>
      <c r="M7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4" s="32" t="b">
        <f>IF(VaBenefits[[#This Row],[timeFromValuation]]=0,0, MOD(VaBenefits[[#This Row],[timeFromValuation]],1)=0)</f>
        <v>0</v>
      </c>
      <c r="O74" s="7">
        <f>IF(VaBenefits[[#This Row],[Is Anniversary?]]=TRUE,VaBenefits[[#This Row],[Assumed Contract Value ]],0)</f>
        <v>0</v>
      </c>
      <c r="P7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4" s="7" t="b">
        <f>VaBenefits[[#This Row],[Assumed Contract Value ]]&lt;0.1</f>
        <v>1</v>
      </c>
      <c r="R7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4" s="7">
        <f ca="1">IF(AND(VaBenefits[[#This Row],[Is Activation]]=FALSE,VaBenefits[[#This Row],[Is Anniversary?]]=TRUE),OFFSET( VaBenefits[[#This Row],[Income Credit Base]],-1,0)*ICP,0)</f>
        <v>0</v>
      </c>
      <c r="T74" s="5">
        <f>IF(VaBenefits[[#This Row],[Assumed Contract Value ]]&gt;0,VaBenefits[[#This Row],[Income Base]]*MAWA,0)</f>
        <v>0</v>
      </c>
      <c r="U74" s="95">
        <f>IF(AND(VaBenefits[[#This Row],[Has Income Credit]],VaBenefits[[#This Row],[Is Anniversary?]],VaBenefits[[#This Row],[Joint Mortality tPxy for the partial year]]),VaBenefits[[#This Row],[Income Base]]*PIP,0)</f>
        <v>0</v>
      </c>
      <c r="V74" s="8">
        <f>1/(1+InterestRate)^VaBenefits[[#This Row],[timeFromValuation]]</f>
        <v>0.44707106772997074</v>
      </c>
      <c r="W74" s="90">
        <f>VaBenefits[[#This Row],[timeFromValuation]]</f>
        <v>16.5</v>
      </c>
      <c r="X74" s="91">
        <f>IF(($G$8+VaBenefits[[#This Row],[timeFromValuation]])&lt;=120,VLOOKUP(G74,Table2[],Qx!L$6,FALSE),0)</f>
        <v>0.98917299999999997</v>
      </c>
      <c r="Y74" s="91">
        <f>IF(($H$8+VaBenefits[[#This Row],[timeFromValuation]])&lt;=120,VLOOKUP(H74,Table2[],Qx!M$6,FALSE),0)</f>
        <v>0.95773900000000001</v>
      </c>
      <c r="Z74" s="90">
        <f>PRODUCT($X$8:$X74)</f>
        <v>0.69441026825740115</v>
      </c>
      <c r="AA74" s="90">
        <f>PRODUCT($Y$8:$Y74)</f>
        <v>0.28289542385064603</v>
      </c>
      <c r="AB74" s="91">
        <f>VaBenefits[[#This Row],[Primary Annuitant Px]]+VaBenefits[[#This Row],[Secondary Annuitant Py]]-VaBenefits[[#This Row],[Primary Annuitant Px]]*VaBenefits[[#This Row],[Secondary Annuitant Py]]</f>
        <v>0.99954244015299998</v>
      </c>
      <c r="AC74" s="91">
        <f>PRODUCT($AB$8:$AB74)</f>
        <v>0.99172932754848653</v>
      </c>
      <c r="AD74" s="97">
        <f t="shared" ca="1" si="14"/>
        <v>0</v>
      </c>
      <c r="AE74" s="130">
        <f>IF((AND(VaBenefits[[#This Row],[Is Anniversary?]],VaBenefits[[#This Row],[Assumed Contract Value ]]&lt;75000)),-50,0)</f>
        <v>0</v>
      </c>
      <c r="AF74" s="133">
        <f>VaBenefits[[#This Row],[Assumed Contract Value ]]*-1.15%/4</f>
        <v>0</v>
      </c>
      <c r="AG74" s="129">
        <v>0</v>
      </c>
      <c r="AH74" s="131">
        <f>VaBenefits[[#This Row],[Maintenace Fee]]+VaBenefits[[#This Row],[Separate Account Charge]]+VaBenefits[[#This Row],[Rider Fee]]</f>
        <v>0</v>
      </c>
      <c r="AR74" s="23">
        <f t="shared" ref="AR74:AR137" si="17">AR73+0.5</f>
        <v>33</v>
      </c>
      <c r="AS74" s="24">
        <v>0</v>
      </c>
      <c r="AT74" s="24">
        <v>0</v>
      </c>
      <c r="AU74" s="22">
        <v>0</v>
      </c>
      <c r="AV74" s="16">
        <v>0</v>
      </c>
      <c r="AW74" s="14">
        <v>299982</v>
      </c>
      <c r="AX74" s="15">
        <v>0</v>
      </c>
      <c r="AY74" s="15">
        <v>0</v>
      </c>
      <c r="AZ74" s="14">
        <v>0</v>
      </c>
      <c r="BA74" s="17">
        <v>11999</v>
      </c>
    </row>
    <row r="75" spans="1:53" ht="15" thickBot="1" x14ac:dyDescent="0.35">
      <c r="A75" s="32">
        <f t="shared" si="15"/>
        <v>67</v>
      </c>
      <c r="B75" s="29">
        <f t="shared" si="16"/>
        <v>16.75</v>
      </c>
      <c r="C75" s="29" t="b">
        <f>AND(VaBenefits[[#This Row],[timeFromValuation]]&gt;=ACT,VaBenefits[[#This Row],[Assumed Contract Value ]]&gt;0)</f>
        <v>0</v>
      </c>
      <c r="D75" s="20">
        <v>0</v>
      </c>
      <c r="E75" s="20">
        <v>0</v>
      </c>
      <c r="F75" s="20">
        <v>0</v>
      </c>
      <c r="G75" s="96">
        <f>ROUND($G$8+VaBenefits[[#This Row],[timeFromValuation]],0)</f>
        <v>72</v>
      </c>
      <c r="H75" s="20">
        <f>ROUND($H$8+VaBenefits[[#This Row],[timeFromValuation]],0)</f>
        <v>82</v>
      </c>
      <c r="I75" s="27" t="b">
        <f>VaBenefits[[#This Row],[Withdrawal Taken  ]]&gt;0</f>
        <v>0</v>
      </c>
      <c r="J75" s="41">
        <f>IF(AND(NOT(VaBenefits[[#This Row],[Is Activation]]),VaBenefits[[#This Row],[Assumed Contract Value ]]&gt;0),VaBenefits[[#This Row],[Withdrawal Taken  ]]/VaBenefits[[#This Row],[Assumed Contract Value ]],0)</f>
        <v>0</v>
      </c>
      <c r="K7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5" s="27" t="b">
        <f ca="1">AND(VaBenefits[[#This Row],[Is Activation]],SUMIFS($E$8:$E75,$C$8:$C75,TRUE)&gt;0)</f>
        <v>0</v>
      </c>
      <c r="M7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5" s="32" t="b">
        <f>IF(VaBenefits[[#This Row],[timeFromValuation]]=0,0, MOD(VaBenefits[[#This Row],[timeFromValuation]],1)=0)</f>
        <v>0</v>
      </c>
      <c r="O75" s="7">
        <f>IF(VaBenefits[[#This Row],[Is Anniversary?]]=TRUE,VaBenefits[[#This Row],[Assumed Contract Value ]],0)</f>
        <v>0</v>
      </c>
      <c r="P7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5" s="7" t="b">
        <f>VaBenefits[[#This Row],[Assumed Contract Value ]]&lt;0.1</f>
        <v>1</v>
      </c>
      <c r="R7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5" s="7">
        <f ca="1">IF(AND(VaBenefits[[#This Row],[Is Activation]]=FALSE,VaBenefits[[#This Row],[Is Anniversary?]]=TRUE),OFFSET( VaBenefits[[#This Row],[Income Credit Base]],-1,0)*ICP,0)</f>
        <v>0</v>
      </c>
      <c r="T75" s="5">
        <f>IF(VaBenefits[[#This Row],[Assumed Contract Value ]]&gt;0,VaBenefits[[#This Row],[Income Base]]*MAWA,0)</f>
        <v>0</v>
      </c>
      <c r="U75" s="95">
        <f>IF(AND(VaBenefits[[#This Row],[Has Income Credit]],VaBenefits[[#This Row],[Is Anniversary?]],VaBenefits[[#This Row],[Joint Mortality tPxy for the partial year]]),VaBenefits[[#This Row],[Income Base]]*PIP,0)</f>
        <v>0</v>
      </c>
      <c r="V75" s="8">
        <f>1/(1+InterestRate)^VaBenefits[[#This Row],[timeFromValuation]]</f>
        <v>0.44165102284183089</v>
      </c>
      <c r="W75" s="90">
        <f>VaBenefits[[#This Row],[timeFromValuation]]</f>
        <v>16.75</v>
      </c>
      <c r="X75" s="91">
        <f>IF(($G$8+VaBenefits[[#This Row],[timeFromValuation]])&lt;=120,VLOOKUP(G75,Table2[],Qx!L$6,FALSE),0)</f>
        <v>0.98917299999999997</v>
      </c>
      <c r="Y75" s="91">
        <f>IF(($H$8+VaBenefits[[#This Row],[timeFromValuation]])&lt;=120,VLOOKUP(H75,Table2[],Qx!M$6,FALSE),0)</f>
        <v>0.95773900000000001</v>
      </c>
      <c r="Z75" s="90">
        <f>PRODUCT($X$8:$X75)</f>
        <v>0.6868918882829782</v>
      </c>
      <c r="AA75" s="90">
        <f>PRODUCT($Y$8:$Y75)</f>
        <v>0.27093998034329386</v>
      </c>
      <c r="AB75" s="91">
        <f>VaBenefits[[#This Row],[Primary Annuitant Px]]+VaBenefits[[#This Row],[Secondary Annuitant Py]]-VaBenefits[[#This Row],[Primary Annuitant Px]]*VaBenefits[[#This Row],[Secondary Annuitant Py]]</f>
        <v>0.99954244015299998</v>
      </c>
      <c r="AC75" s="91">
        <f>PRODUCT($AB$8:$AB75)</f>
        <v>0.991275552029108</v>
      </c>
      <c r="AD75" s="97">
        <f t="shared" ca="1" si="14"/>
        <v>0</v>
      </c>
      <c r="AE75" s="130">
        <f>IF((AND(VaBenefits[[#This Row],[Is Anniversary?]],VaBenefits[[#This Row],[Assumed Contract Value ]]&lt;75000)),-50,0)</f>
        <v>0</v>
      </c>
      <c r="AF75" s="133">
        <f>VaBenefits[[#This Row],[Assumed Contract Value ]]*-1.15%/4</f>
        <v>0</v>
      </c>
      <c r="AG75" s="129">
        <v>0</v>
      </c>
      <c r="AH75" s="131">
        <f>VaBenefits[[#This Row],[Maintenace Fee]]+VaBenefits[[#This Row],[Separate Account Charge]]+VaBenefits[[#This Row],[Rider Fee]]</f>
        <v>0</v>
      </c>
      <c r="AR75" s="23">
        <f t="shared" si="17"/>
        <v>33.5</v>
      </c>
      <c r="AS75" s="24">
        <v>0</v>
      </c>
      <c r="AT75" s="24">
        <v>0</v>
      </c>
      <c r="AU75" s="22">
        <v>0</v>
      </c>
      <c r="AV75" s="16">
        <v>0</v>
      </c>
      <c r="AW75" s="14">
        <v>299982</v>
      </c>
      <c r="AX75" s="15">
        <v>0</v>
      </c>
      <c r="AY75" s="15">
        <v>0</v>
      </c>
      <c r="AZ75" s="14">
        <v>0</v>
      </c>
      <c r="BA75" s="17">
        <v>11999</v>
      </c>
    </row>
    <row r="76" spans="1:53" ht="15" thickBot="1" x14ac:dyDescent="0.35">
      <c r="A76" s="32">
        <f t="shared" si="15"/>
        <v>68</v>
      </c>
      <c r="B76" s="29">
        <f t="shared" si="16"/>
        <v>17</v>
      </c>
      <c r="C76" s="29" t="b">
        <f>AND(VaBenefits[[#This Row],[timeFromValuation]]&gt;=ACT,VaBenefits[[#This Row],[Assumed Contract Value ]]&gt;0)</f>
        <v>0</v>
      </c>
      <c r="D76" s="20">
        <v>0</v>
      </c>
      <c r="E76" s="20">
        <v>0</v>
      </c>
      <c r="F76" s="20">
        <v>0</v>
      </c>
      <c r="G76" s="96">
        <f>ROUND($G$8+VaBenefits[[#This Row],[timeFromValuation]],0)</f>
        <v>72</v>
      </c>
      <c r="H76" s="20">
        <f>ROUND($H$8+VaBenefits[[#This Row],[timeFromValuation]],0)</f>
        <v>82</v>
      </c>
      <c r="I76" s="27" t="b">
        <f>VaBenefits[[#This Row],[Withdrawal Taken  ]]&gt;0</f>
        <v>0</v>
      </c>
      <c r="J76" s="41">
        <f>IF(AND(NOT(VaBenefits[[#This Row],[Is Activation]]),VaBenefits[[#This Row],[Assumed Contract Value ]]&gt;0),VaBenefits[[#This Row],[Withdrawal Taken  ]]/VaBenefits[[#This Row],[Assumed Contract Value ]],0)</f>
        <v>0</v>
      </c>
      <c r="K7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6" s="27" t="b">
        <f ca="1">AND(VaBenefits[[#This Row],[Is Activation]],SUMIFS($E$8:$E76,$C$8:$C76,TRUE)&gt;0)</f>
        <v>0</v>
      </c>
      <c r="M7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6" s="32" t="b">
        <f>IF(VaBenefits[[#This Row],[timeFromValuation]]=0,0, MOD(VaBenefits[[#This Row],[timeFromValuation]],1)=0)</f>
        <v>1</v>
      </c>
      <c r="O76" s="7">
        <f>IF(VaBenefits[[#This Row],[Is Anniversary?]]=TRUE,VaBenefits[[#This Row],[Assumed Contract Value ]],0)</f>
        <v>0</v>
      </c>
      <c r="P7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6" s="7" t="b">
        <f>VaBenefits[[#This Row],[Assumed Contract Value ]]&lt;0.1</f>
        <v>1</v>
      </c>
      <c r="R7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6" s="7">
        <f ca="1">IF(AND(VaBenefits[[#This Row],[Is Activation]]=FALSE,VaBenefits[[#This Row],[Is Anniversary?]]=TRUE),OFFSET( VaBenefits[[#This Row],[Income Credit Base]],-1,0)*ICP,0)</f>
        <v>0</v>
      </c>
      <c r="T76" s="5">
        <f>IF(VaBenefits[[#This Row],[Assumed Contract Value ]]&gt;0,VaBenefits[[#This Row],[Income Base]]*MAWA,0)</f>
        <v>0</v>
      </c>
      <c r="U76" s="95">
        <f ca="1">IF(AND(VaBenefits[[#This Row],[Has Income Credit]],VaBenefits[[#This Row],[Is Anniversary?]],VaBenefits[[#This Row],[Joint Mortality tPxy for the partial year]]),VaBenefits[[#This Row],[Income Base]]*PIP,0)</f>
        <v>12026.006800536559</v>
      </c>
      <c r="V76" s="8">
        <f>1/(1+InterestRate)^VaBenefits[[#This Row],[timeFromValuation]]</f>
        <v>0.43629668761085727</v>
      </c>
      <c r="W76" s="90">
        <f>VaBenefits[[#This Row],[timeFromValuation]]</f>
        <v>17</v>
      </c>
      <c r="X76" s="91">
        <f>IF(($G$8+VaBenefits[[#This Row],[timeFromValuation]])&lt;=120,VLOOKUP(G76,Table2[],Qx!L$6,FALSE),0)</f>
        <v>0.98917299999999997</v>
      </c>
      <c r="Y76" s="91">
        <f>IF(($H$8+VaBenefits[[#This Row],[timeFromValuation]])&lt;=120,VLOOKUP(H76,Table2[],Qx!M$6,FALSE),0)</f>
        <v>0.95773900000000001</v>
      </c>
      <c r="Z76" s="90">
        <f>PRODUCT($X$8:$X76)</f>
        <v>0.6794549098085384</v>
      </c>
      <c r="AA76" s="90">
        <f>PRODUCT($Y$8:$Y76)</f>
        <v>0.25948978583400595</v>
      </c>
      <c r="AB76" s="91">
        <f>VaBenefits[[#This Row],[Primary Annuitant Px]]+VaBenefits[[#This Row],[Secondary Annuitant Py]]-VaBenefits[[#This Row],[Primary Annuitant Px]]*VaBenefits[[#This Row],[Secondary Annuitant Py]]</f>
        <v>0.99954244015299998</v>
      </c>
      <c r="AC76" s="91">
        <f>PRODUCT($AB$8:$AB76)</f>
        <v>0.99082198413918665</v>
      </c>
      <c r="AD76" s="97">
        <f t="shared" ca="1" si="14"/>
        <v>0</v>
      </c>
      <c r="AE76" s="130">
        <f>IF((AND(VaBenefits[[#This Row],[Is Anniversary?]],VaBenefits[[#This Row],[Assumed Contract Value ]]&lt;75000)),-50,0)</f>
        <v>-50</v>
      </c>
      <c r="AF76" s="133">
        <f>VaBenefits[[#This Row],[Assumed Contract Value ]]*-1.15%/4</f>
        <v>0</v>
      </c>
      <c r="AG76" s="129">
        <v>0</v>
      </c>
      <c r="AH76" s="131">
        <f>VaBenefits[[#This Row],[Maintenace Fee]]+VaBenefits[[#This Row],[Separate Account Charge]]+VaBenefits[[#This Row],[Rider Fee]]</f>
        <v>-50</v>
      </c>
      <c r="AR76" s="23">
        <f t="shared" si="17"/>
        <v>34</v>
      </c>
      <c r="AS76" s="24">
        <v>0</v>
      </c>
      <c r="AT76" s="24">
        <v>0</v>
      </c>
      <c r="AU76" s="22">
        <v>0</v>
      </c>
      <c r="AV76" s="16">
        <v>0</v>
      </c>
      <c r="AW76" s="14">
        <v>299982</v>
      </c>
      <c r="AX76" s="15">
        <v>0</v>
      </c>
      <c r="AY76" s="15">
        <v>0</v>
      </c>
      <c r="AZ76" s="14">
        <v>0</v>
      </c>
      <c r="BA76" s="17">
        <v>11999</v>
      </c>
    </row>
    <row r="77" spans="1:53" ht="15" thickBot="1" x14ac:dyDescent="0.35">
      <c r="A77" s="32">
        <f t="shared" si="15"/>
        <v>69</v>
      </c>
      <c r="B77" s="29">
        <f t="shared" si="16"/>
        <v>17.25</v>
      </c>
      <c r="C77" s="29" t="b">
        <f>AND(VaBenefits[[#This Row],[timeFromValuation]]&gt;=ACT,VaBenefits[[#This Row],[Assumed Contract Value ]]&gt;0)</f>
        <v>0</v>
      </c>
      <c r="D77" s="20">
        <v>0</v>
      </c>
      <c r="E77" s="20">
        <v>0</v>
      </c>
      <c r="F77" s="20">
        <v>0</v>
      </c>
      <c r="G77" s="96">
        <f>ROUND($G$8+VaBenefits[[#This Row],[timeFromValuation]],0)</f>
        <v>72</v>
      </c>
      <c r="H77" s="20">
        <f>ROUND($H$8+VaBenefits[[#This Row],[timeFromValuation]],0)</f>
        <v>82</v>
      </c>
      <c r="I77" s="27" t="b">
        <f>VaBenefits[[#This Row],[Withdrawal Taken  ]]&gt;0</f>
        <v>0</v>
      </c>
      <c r="J77" s="41">
        <f>IF(AND(NOT(VaBenefits[[#This Row],[Is Activation]]),VaBenefits[[#This Row],[Assumed Contract Value ]]&gt;0),VaBenefits[[#This Row],[Withdrawal Taken  ]]/VaBenefits[[#This Row],[Assumed Contract Value ]],0)</f>
        <v>0</v>
      </c>
      <c r="K7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7" s="27" t="b">
        <f ca="1">AND(VaBenefits[[#This Row],[Is Activation]],SUMIFS($E$8:$E77,$C$8:$C77,TRUE)&gt;0)</f>
        <v>0</v>
      </c>
      <c r="M7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7" s="32" t="b">
        <f>IF(VaBenefits[[#This Row],[timeFromValuation]]=0,0, MOD(VaBenefits[[#This Row],[timeFromValuation]],1)=0)</f>
        <v>0</v>
      </c>
      <c r="O77" s="7">
        <f>IF(VaBenefits[[#This Row],[Is Anniversary?]]=TRUE,VaBenefits[[#This Row],[Assumed Contract Value ]],0)</f>
        <v>0</v>
      </c>
      <c r="P7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7" s="7" t="b">
        <f>VaBenefits[[#This Row],[Assumed Contract Value ]]&lt;0.1</f>
        <v>1</v>
      </c>
      <c r="R7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7" s="7">
        <f ca="1">IF(AND(VaBenefits[[#This Row],[Is Activation]]=FALSE,VaBenefits[[#This Row],[Is Anniversary?]]=TRUE),OFFSET( VaBenefits[[#This Row],[Income Credit Base]],-1,0)*ICP,0)</f>
        <v>0</v>
      </c>
      <c r="T77" s="5">
        <f>IF(VaBenefits[[#This Row],[Assumed Contract Value ]]&gt;0,VaBenefits[[#This Row],[Income Base]]*MAWA,0)</f>
        <v>0</v>
      </c>
      <c r="U77" s="95">
        <f>IF(AND(VaBenefits[[#This Row],[Has Income Credit]],VaBenefits[[#This Row],[Is Anniversary?]],VaBenefits[[#This Row],[Joint Mortality tPxy for the partial year]]),VaBenefits[[#This Row],[Income Base]]*PIP,0)</f>
        <v>0</v>
      </c>
      <c r="V77" s="8">
        <f>1/(1+InterestRate)^VaBenefits[[#This Row],[timeFromValuation]]</f>
        <v>0.43100726540913703</v>
      </c>
      <c r="W77" s="90">
        <f>VaBenefits[[#This Row],[timeFromValuation]]</f>
        <v>17.25</v>
      </c>
      <c r="X77" s="91">
        <f>IF(($G$8+VaBenefits[[#This Row],[timeFromValuation]])&lt;=120,VLOOKUP(G77,Table2[],Qx!L$6,FALSE),0)</f>
        <v>0.98917299999999997</v>
      </c>
      <c r="Y77" s="91">
        <f>IF(($H$8+VaBenefits[[#This Row],[timeFromValuation]])&lt;=120,VLOOKUP(H77,Table2[],Qx!M$6,FALSE),0)</f>
        <v>0.95773900000000001</v>
      </c>
      <c r="Z77" s="90">
        <f>PRODUCT($X$8:$X77)</f>
        <v>0.67209845150004133</v>
      </c>
      <c r="AA77" s="90">
        <f>PRODUCT($Y$8:$Y77)</f>
        <v>0.24852348799487503</v>
      </c>
      <c r="AB77" s="91">
        <f>VaBenefits[[#This Row],[Primary Annuitant Px]]+VaBenefits[[#This Row],[Secondary Annuitant Py]]-VaBenefits[[#This Row],[Primary Annuitant Px]]*VaBenefits[[#This Row],[Secondary Annuitant Py]]</f>
        <v>0.99954244015299998</v>
      </c>
      <c r="AC77" s="91">
        <f>PRODUCT($AB$8:$AB77)</f>
        <v>0.9903686237837197</v>
      </c>
      <c r="AD77" s="97">
        <f t="shared" ca="1" si="14"/>
        <v>0</v>
      </c>
      <c r="AE77" s="130">
        <f>IF((AND(VaBenefits[[#This Row],[Is Anniversary?]],VaBenefits[[#This Row],[Assumed Contract Value ]]&lt;75000)),-50,0)</f>
        <v>0</v>
      </c>
      <c r="AF77" s="133">
        <f>VaBenefits[[#This Row],[Assumed Contract Value ]]*-1.15%/4</f>
        <v>0</v>
      </c>
      <c r="AG77" s="129">
        <v>0</v>
      </c>
      <c r="AH77" s="131">
        <f>VaBenefits[[#This Row],[Maintenace Fee]]+VaBenefits[[#This Row],[Separate Account Charge]]+VaBenefits[[#This Row],[Rider Fee]]</f>
        <v>0</v>
      </c>
      <c r="AR77" s="23">
        <f t="shared" si="17"/>
        <v>34.5</v>
      </c>
      <c r="AS77" s="24">
        <v>0</v>
      </c>
      <c r="AT77" s="24">
        <v>0</v>
      </c>
      <c r="AU77" s="22">
        <v>0</v>
      </c>
      <c r="AV77" s="16">
        <v>0</v>
      </c>
      <c r="AW77" s="14">
        <v>299982</v>
      </c>
      <c r="AX77" s="15">
        <v>0</v>
      </c>
      <c r="AY77" s="15">
        <v>0</v>
      </c>
      <c r="AZ77" s="14">
        <v>0</v>
      </c>
      <c r="BA77" s="17">
        <v>11999</v>
      </c>
    </row>
    <row r="78" spans="1:53" ht="15" thickBot="1" x14ac:dyDescent="0.35">
      <c r="A78" s="32">
        <f t="shared" si="15"/>
        <v>70</v>
      </c>
      <c r="B78" s="29">
        <f t="shared" si="16"/>
        <v>17.5</v>
      </c>
      <c r="C78" s="29" t="b">
        <f>AND(VaBenefits[[#This Row],[timeFromValuation]]&gt;=ACT,VaBenefits[[#This Row],[Assumed Contract Value ]]&gt;0)</f>
        <v>0</v>
      </c>
      <c r="D78" s="20">
        <v>0</v>
      </c>
      <c r="E78" s="20">
        <v>0</v>
      </c>
      <c r="F78" s="20">
        <v>0</v>
      </c>
      <c r="G78" s="96">
        <f>ROUND($G$8+VaBenefits[[#This Row],[timeFromValuation]],0)</f>
        <v>73</v>
      </c>
      <c r="H78" s="20">
        <f>ROUND($H$8+VaBenefits[[#This Row],[timeFromValuation]],0)</f>
        <v>83</v>
      </c>
      <c r="I78" s="27" t="b">
        <f>VaBenefits[[#This Row],[Withdrawal Taken  ]]&gt;0</f>
        <v>0</v>
      </c>
      <c r="J78" s="41">
        <f>IF(AND(NOT(VaBenefits[[#This Row],[Is Activation]]),VaBenefits[[#This Row],[Assumed Contract Value ]]&gt;0),VaBenefits[[#This Row],[Withdrawal Taken  ]]/VaBenefits[[#This Row],[Assumed Contract Value ]],0)</f>
        <v>0</v>
      </c>
      <c r="K7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8" s="27" t="b">
        <f ca="1">AND(VaBenefits[[#This Row],[Is Activation]],SUMIFS($E$8:$E78,$C$8:$C78,TRUE)&gt;0)</f>
        <v>0</v>
      </c>
      <c r="M7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8" s="32" t="b">
        <f>IF(VaBenefits[[#This Row],[timeFromValuation]]=0,0, MOD(VaBenefits[[#This Row],[timeFromValuation]],1)=0)</f>
        <v>0</v>
      </c>
      <c r="O78" s="7">
        <f>IF(VaBenefits[[#This Row],[Is Anniversary?]]=TRUE,VaBenefits[[#This Row],[Assumed Contract Value ]],0)</f>
        <v>0</v>
      </c>
      <c r="P7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8" s="7" t="b">
        <f>VaBenefits[[#This Row],[Assumed Contract Value ]]&lt;0.1</f>
        <v>1</v>
      </c>
      <c r="R7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8" s="7">
        <f ca="1">IF(AND(VaBenefits[[#This Row],[Is Activation]]=FALSE,VaBenefits[[#This Row],[Is Anniversary?]]=TRUE),OFFSET( VaBenefits[[#This Row],[Income Credit Base]],-1,0)*ICP,0)</f>
        <v>0</v>
      </c>
      <c r="T78" s="5">
        <f>IF(VaBenefits[[#This Row],[Assumed Contract Value ]]&gt;0,VaBenefits[[#This Row],[Income Base]]*MAWA,0)</f>
        <v>0</v>
      </c>
      <c r="U78" s="95">
        <f>IF(AND(VaBenefits[[#This Row],[Has Income Credit]],VaBenefits[[#This Row],[Is Anniversary?]],VaBenefits[[#This Row],[Joint Mortality tPxy for the partial year]]),VaBenefits[[#This Row],[Income Base]]*PIP,0)</f>
        <v>0</v>
      </c>
      <c r="V78" s="8">
        <f>1/(1+InterestRate)^VaBenefits[[#This Row],[timeFromValuation]]</f>
        <v>0.42578196926663886</v>
      </c>
      <c r="W78" s="90">
        <f>VaBenefits[[#This Row],[timeFromValuation]]</f>
        <v>17.5</v>
      </c>
      <c r="X78" s="91">
        <f>IF(($G$8+VaBenefits[[#This Row],[timeFromValuation]])&lt;=120,VLOOKUP(G78,Table2[],Qx!L$6,FALSE),0)</f>
        <v>0.98816099999999996</v>
      </c>
      <c r="Y78" s="91">
        <f>IF(($H$8+VaBenefits[[#This Row],[timeFromValuation]])&lt;=120,VLOOKUP(H78,Table2[],Qx!M$6,FALSE),0)</f>
        <v>0.95255900000000004</v>
      </c>
      <c r="Z78" s="90">
        <f>PRODUCT($X$8:$X78)</f>
        <v>0.66414147793273226</v>
      </c>
      <c r="AA78" s="90">
        <f>PRODUCT($Y$8:$Y78)</f>
        <v>0.23673328520091017</v>
      </c>
      <c r="AB78" s="91">
        <f>VaBenefits[[#This Row],[Primary Annuitant Px]]+VaBenefits[[#This Row],[Secondary Annuitant Py]]-VaBenefits[[#This Row],[Primary Annuitant Px]]*VaBenefits[[#This Row],[Secondary Annuitant Py]]</f>
        <v>0.99943834600100001</v>
      </c>
      <c r="AC78" s="91">
        <f>PRODUCT($AB$8:$AB78)</f>
        <v>0.98981237928568744</v>
      </c>
      <c r="AD78" s="97">
        <f t="shared" ca="1" si="14"/>
        <v>0</v>
      </c>
      <c r="AE78" s="130">
        <f>IF((AND(VaBenefits[[#This Row],[Is Anniversary?]],VaBenefits[[#This Row],[Assumed Contract Value ]]&lt;75000)),-50,0)</f>
        <v>0</v>
      </c>
      <c r="AF78" s="133">
        <f>VaBenefits[[#This Row],[Assumed Contract Value ]]*-1.15%/4</f>
        <v>0</v>
      </c>
      <c r="AG78" s="129">
        <v>0</v>
      </c>
      <c r="AH78" s="131">
        <f>VaBenefits[[#This Row],[Maintenace Fee]]+VaBenefits[[#This Row],[Separate Account Charge]]+VaBenefits[[#This Row],[Rider Fee]]</f>
        <v>0</v>
      </c>
      <c r="AR78" s="23">
        <f t="shared" si="17"/>
        <v>35</v>
      </c>
      <c r="AS78" s="24">
        <v>0</v>
      </c>
      <c r="AT78" s="24">
        <v>0</v>
      </c>
      <c r="AU78" s="22">
        <v>0</v>
      </c>
      <c r="AV78" s="16">
        <v>0</v>
      </c>
      <c r="AW78" s="14">
        <v>299982</v>
      </c>
      <c r="AX78" s="15">
        <v>0</v>
      </c>
      <c r="AY78" s="15">
        <v>0</v>
      </c>
      <c r="AZ78" s="14">
        <v>0</v>
      </c>
      <c r="BA78" s="17">
        <v>11999</v>
      </c>
    </row>
    <row r="79" spans="1:53" ht="15" thickBot="1" x14ac:dyDescent="0.35">
      <c r="A79" s="32">
        <f t="shared" si="15"/>
        <v>71</v>
      </c>
      <c r="B79" s="29">
        <f t="shared" si="16"/>
        <v>17.75</v>
      </c>
      <c r="C79" s="29" t="b">
        <f>AND(VaBenefits[[#This Row],[timeFromValuation]]&gt;=ACT,VaBenefits[[#This Row],[Assumed Contract Value ]]&gt;0)</f>
        <v>0</v>
      </c>
      <c r="D79" s="20">
        <v>0</v>
      </c>
      <c r="E79" s="20">
        <v>0</v>
      </c>
      <c r="F79" s="20">
        <v>0</v>
      </c>
      <c r="G79" s="96">
        <f>ROUND($G$8+VaBenefits[[#This Row],[timeFromValuation]],0)</f>
        <v>73</v>
      </c>
      <c r="H79" s="20">
        <f>ROUND($H$8+VaBenefits[[#This Row],[timeFromValuation]],0)</f>
        <v>83</v>
      </c>
      <c r="I79" s="27" t="b">
        <f>VaBenefits[[#This Row],[Withdrawal Taken  ]]&gt;0</f>
        <v>0</v>
      </c>
      <c r="J79" s="41">
        <f>IF(AND(NOT(VaBenefits[[#This Row],[Is Activation]]),VaBenefits[[#This Row],[Assumed Contract Value ]]&gt;0),VaBenefits[[#This Row],[Withdrawal Taken  ]]/VaBenefits[[#This Row],[Assumed Contract Value ]],0)</f>
        <v>0</v>
      </c>
      <c r="K7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9" s="27" t="b">
        <f ca="1">AND(VaBenefits[[#This Row],[Is Activation]],SUMIFS($E$8:$E79,$C$8:$C79,TRUE)&gt;0)</f>
        <v>0</v>
      </c>
      <c r="M7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9" s="32" t="b">
        <f>IF(VaBenefits[[#This Row],[timeFromValuation]]=0,0, MOD(VaBenefits[[#This Row],[timeFromValuation]],1)=0)</f>
        <v>0</v>
      </c>
      <c r="O79" s="7">
        <f>IF(VaBenefits[[#This Row],[Is Anniversary?]]=TRUE,VaBenefits[[#This Row],[Assumed Contract Value ]],0)</f>
        <v>0</v>
      </c>
      <c r="P7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9" s="7" t="b">
        <f>VaBenefits[[#This Row],[Assumed Contract Value ]]&lt;0.1</f>
        <v>1</v>
      </c>
      <c r="R7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9" s="7">
        <f ca="1">IF(AND(VaBenefits[[#This Row],[Is Activation]]=FALSE,VaBenefits[[#This Row],[Is Anniversary?]]=TRUE),OFFSET( VaBenefits[[#This Row],[Income Credit Base]],-1,0)*ICP,0)</f>
        <v>0</v>
      </c>
      <c r="T79" s="5">
        <f>IF(VaBenefits[[#This Row],[Assumed Contract Value ]]&gt;0,VaBenefits[[#This Row],[Income Base]]*MAWA,0)</f>
        <v>0</v>
      </c>
      <c r="U79" s="95">
        <f>IF(AND(VaBenefits[[#This Row],[Has Income Credit]],VaBenefits[[#This Row],[Is Anniversary?]],VaBenefits[[#This Row],[Joint Mortality tPxy for the partial year]]),VaBenefits[[#This Row],[Income Base]]*PIP,0)</f>
        <v>0</v>
      </c>
      <c r="V79" s="8">
        <f>1/(1+InterestRate)^VaBenefits[[#This Row],[timeFromValuation]]</f>
        <v>0.42062002175412466</v>
      </c>
      <c r="W79" s="90">
        <f>VaBenefits[[#This Row],[timeFromValuation]]</f>
        <v>17.75</v>
      </c>
      <c r="X79" s="91">
        <f>IF(($G$8+VaBenefits[[#This Row],[timeFromValuation]])&lt;=120,VLOOKUP(G79,Table2[],Qx!L$6,FALSE),0)</f>
        <v>0.98816099999999996</v>
      </c>
      <c r="Y79" s="91">
        <f>IF(($H$8+VaBenefits[[#This Row],[timeFromValuation]])&lt;=120,VLOOKUP(H79,Table2[],Qx!M$6,FALSE),0)</f>
        <v>0.95255900000000004</v>
      </c>
      <c r="Z79" s="90">
        <f>PRODUCT($X$8:$X79)</f>
        <v>0.65627870697548663</v>
      </c>
      <c r="AA79" s="90">
        <f>PRODUCT($Y$8:$Y79)</f>
        <v>0.2255024214176938</v>
      </c>
      <c r="AB79" s="91">
        <f>VaBenefits[[#This Row],[Primary Annuitant Px]]+VaBenefits[[#This Row],[Secondary Annuitant Py]]-VaBenefits[[#This Row],[Primary Annuitant Px]]*VaBenefits[[#This Row],[Secondary Annuitant Py]]</f>
        <v>0.99943834600100001</v>
      </c>
      <c r="AC79" s="91">
        <f>PRODUCT($AB$8:$AB79)</f>
        <v>0.98925644720460193</v>
      </c>
      <c r="AD79" s="97">
        <f t="shared" ca="1" si="14"/>
        <v>0</v>
      </c>
      <c r="AE79" s="130">
        <f>IF((AND(VaBenefits[[#This Row],[Is Anniversary?]],VaBenefits[[#This Row],[Assumed Contract Value ]]&lt;75000)),-50,0)</f>
        <v>0</v>
      </c>
      <c r="AF79" s="133">
        <f>VaBenefits[[#This Row],[Assumed Contract Value ]]*-1.15%/4</f>
        <v>0</v>
      </c>
      <c r="AG79" s="129">
        <v>0</v>
      </c>
      <c r="AH79" s="131">
        <f>VaBenefits[[#This Row],[Maintenace Fee]]+VaBenefits[[#This Row],[Separate Account Charge]]+VaBenefits[[#This Row],[Rider Fee]]</f>
        <v>0</v>
      </c>
      <c r="AR79" s="23">
        <f t="shared" si="17"/>
        <v>35.5</v>
      </c>
      <c r="AS79" s="24">
        <v>0</v>
      </c>
      <c r="AT79" s="24">
        <v>0</v>
      </c>
      <c r="AU79" s="22">
        <v>0</v>
      </c>
      <c r="AV79" s="16">
        <v>0</v>
      </c>
      <c r="AW79" s="14">
        <v>299982</v>
      </c>
      <c r="AX79" s="15">
        <v>0</v>
      </c>
      <c r="AY79" s="15">
        <v>0</v>
      </c>
      <c r="AZ79" s="14">
        <v>0</v>
      </c>
      <c r="BA79" s="17">
        <v>11999</v>
      </c>
    </row>
    <row r="80" spans="1:53" ht="15" thickBot="1" x14ac:dyDescent="0.35">
      <c r="A80" s="32">
        <f t="shared" si="15"/>
        <v>72</v>
      </c>
      <c r="B80" s="29">
        <f t="shared" si="16"/>
        <v>18</v>
      </c>
      <c r="C80" s="29" t="b">
        <f>AND(VaBenefits[[#This Row],[timeFromValuation]]&gt;=ACT,VaBenefits[[#This Row],[Assumed Contract Value ]]&gt;0)</f>
        <v>0</v>
      </c>
      <c r="D80" s="20">
        <v>0</v>
      </c>
      <c r="E80" s="20">
        <v>0</v>
      </c>
      <c r="F80" s="20">
        <v>0</v>
      </c>
      <c r="G80" s="96">
        <f>ROUND($G$8+VaBenefits[[#This Row],[timeFromValuation]],0)</f>
        <v>73</v>
      </c>
      <c r="H80" s="20">
        <f>ROUND($H$8+VaBenefits[[#This Row],[timeFromValuation]],0)</f>
        <v>83</v>
      </c>
      <c r="I80" s="27" t="b">
        <f>VaBenefits[[#This Row],[Withdrawal Taken  ]]&gt;0</f>
        <v>0</v>
      </c>
      <c r="J80" s="41">
        <f>IF(AND(NOT(VaBenefits[[#This Row],[Is Activation]]),VaBenefits[[#This Row],[Assumed Contract Value ]]&gt;0),VaBenefits[[#This Row],[Withdrawal Taken  ]]/VaBenefits[[#This Row],[Assumed Contract Value ]],0)</f>
        <v>0</v>
      </c>
      <c r="K8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0" s="27" t="b">
        <f ca="1">AND(VaBenefits[[#This Row],[Is Activation]],SUMIFS($E$8:$E80,$C$8:$C80,TRUE)&gt;0)</f>
        <v>0</v>
      </c>
      <c r="M8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0" s="32" t="b">
        <f>IF(VaBenefits[[#This Row],[timeFromValuation]]=0,0, MOD(VaBenefits[[#This Row],[timeFromValuation]],1)=0)</f>
        <v>1</v>
      </c>
      <c r="O80" s="7">
        <f>IF(VaBenefits[[#This Row],[Is Anniversary?]]=TRUE,VaBenefits[[#This Row],[Assumed Contract Value ]],0)</f>
        <v>0</v>
      </c>
      <c r="P8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0" s="7" t="b">
        <f>VaBenefits[[#This Row],[Assumed Contract Value ]]&lt;0.1</f>
        <v>1</v>
      </c>
      <c r="R8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0" s="7">
        <f ca="1">IF(AND(VaBenefits[[#This Row],[Is Activation]]=FALSE,VaBenefits[[#This Row],[Is Anniversary?]]=TRUE),OFFSET( VaBenefits[[#This Row],[Income Credit Base]],-1,0)*ICP,0)</f>
        <v>0</v>
      </c>
      <c r="T80" s="5">
        <f>IF(VaBenefits[[#This Row],[Assumed Contract Value ]]&gt;0,VaBenefits[[#This Row],[Income Base]]*MAWA,0)</f>
        <v>0</v>
      </c>
      <c r="U80" s="95">
        <f ca="1">IF(AND(VaBenefits[[#This Row],[Has Income Credit]],VaBenefits[[#This Row],[Is Anniversary?]],VaBenefits[[#This Row],[Joint Mortality tPxy for the partial year]]),VaBenefits[[#This Row],[Income Base]]*PIP,0)</f>
        <v>12026.006800536559</v>
      </c>
      <c r="V80" s="8">
        <f>1/(1+InterestRate)^VaBenefits[[#This Row],[timeFromValuation]]</f>
        <v>0.41552065486748313</v>
      </c>
      <c r="W80" s="90">
        <f>VaBenefits[[#This Row],[timeFromValuation]]</f>
        <v>18</v>
      </c>
      <c r="X80" s="91">
        <f>IF(($G$8+VaBenefits[[#This Row],[timeFromValuation]])&lt;=120,VLOOKUP(G80,Table2[],Qx!L$6,FALSE),0)</f>
        <v>0.98816099999999996</v>
      </c>
      <c r="Y80" s="91">
        <f>IF(($H$8+VaBenefits[[#This Row],[timeFromValuation]])&lt;=120,VLOOKUP(H80,Table2[],Qx!M$6,FALSE),0)</f>
        <v>0.95255900000000004</v>
      </c>
      <c r="Z80" s="90">
        <f>PRODUCT($X$8:$X80)</f>
        <v>0.64850902336360383</v>
      </c>
      <c r="AA80" s="90">
        <f>PRODUCT($Y$8:$Y80)</f>
        <v>0.21480436104321701</v>
      </c>
      <c r="AB80" s="91">
        <f>VaBenefits[[#This Row],[Primary Annuitant Px]]+VaBenefits[[#This Row],[Secondary Annuitant Py]]-VaBenefits[[#This Row],[Primary Annuitant Px]]*VaBenefits[[#This Row],[Secondary Annuitant Py]]</f>
        <v>0.99943834600100001</v>
      </c>
      <c r="AC80" s="91">
        <f>PRODUCT($AB$8:$AB80)</f>
        <v>0.98870082736499298</v>
      </c>
      <c r="AD80" s="97">
        <f t="shared" ca="1" si="14"/>
        <v>0</v>
      </c>
      <c r="AE80" s="130">
        <f>IF((AND(VaBenefits[[#This Row],[Is Anniversary?]],VaBenefits[[#This Row],[Assumed Contract Value ]]&lt;75000)),-50,0)</f>
        <v>-50</v>
      </c>
      <c r="AF80" s="133">
        <f>VaBenefits[[#This Row],[Assumed Contract Value ]]*-1.15%/4</f>
        <v>0</v>
      </c>
      <c r="AG80" s="129">
        <v>0</v>
      </c>
      <c r="AH80" s="131">
        <f>VaBenefits[[#This Row],[Maintenace Fee]]+VaBenefits[[#This Row],[Separate Account Charge]]+VaBenefits[[#This Row],[Rider Fee]]</f>
        <v>-50</v>
      </c>
      <c r="AR80" s="23">
        <f t="shared" si="17"/>
        <v>36</v>
      </c>
      <c r="AS80" s="24">
        <v>0</v>
      </c>
      <c r="AT80" s="24">
        <v>0</v>
      </c>
      <c r="AU80" s="22">
        <v>0</v>
      </c>
      <c r="AV80" s="16">
        <v>0</v>
      </c>
      <c r="AW80" s="14">
        <v>299982</v>
      </c>
      <c r="AX80" s="15">
        <v>0</v>
      </c>
      <c r="AY80" s="15">
        <v>0</v>
      </c>
      <c r="AZ80" s="14">
        <v>0</v>
      </c>
      <c r="BA80" s="17">
        <v>11999</v>
      </c>
    </row>
    <row r="81" spans="1:53" ht="15" thickBot="1" x14ac:dyDescent="0.35">
      <c r="A81" s="32">
        <f t="shared" si="15"/>
        <v>73</v>
      </c>
      <c r="B81" s="29">
        <f t="shared" si="16"/>
        <v>18.25</v>
      </c>
      <c r="C81" s="29" t="b">
        <f>AND(VaBenefits[[#This Row],[timeFromValuation]]&gt;=ACT,VaBenefits[[#This Row],[Assumed Contract Value ]]&gt;0)</f>
        <v>0</v>
      </c>
      <c r="D81" s="20">
        <v>0</v>
      </c>
      <c r="E81" s="20">
        <v>0</v>
      </c>
      <c r="F81" s="20">
        <v>0</v>
      </c>
      <c r="G81" s="96">
        <f>ROUND($G$8+VaBenefits[[#This Row],[timeFromValuation]],0)</f>
        <v>73</v>
      </c>
      <c r="H81" s="20">
        <f>ROUND($H$8+VaBenefits[[#This Row],[timeFromValuation]],0)</f>
        <v>83</v>
      </c>
      <c r="I81" s="27" t="b">
        <f>VaBenefits[[#This Row],[Withdrawal Taken  ]]&gt;0</f>
        <v>0</v>
      </c>
      <c r="J81" s="41">
        <f>IF(AND(NOT(VaBenefits[[#This Row],[Is Activation]]),VaBenefits[[#This Row],[Assumed Contract Value ]]&gt;0),VaBenefits[[#This Row],[Withdrawal Taken  ]]/VaBenefits[[#This Row],[Assumed Contract Value ]],0)</f>
        <v>0</v>
      </c>
      <c r="K8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1" s="27" t="b">
        <f ca="1">AND(VaBenefits[[#This Row],[Is Activation]],SUMIFS($E$8:$E81,$C$8:$C81,TRUE)&gt;0)</f>
        <v>0</v>
      </c>
      <c r="M8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1" s="32" t="b">
        <f>IF(VaBenefits[[#This Row],[timeFromValuation]]=0,0, MOD(VaBenefits[[#This Row],[timeFromValuation]],1)=0)</f>
        <v>0</v>
      </c>
      <c r="O81" s="7">
        <f>IF(VaBenefits[[#This Row],[Is Anniversary?]]=TRUE,VaBenefits[[#This Row],[Assumed Contract Value ]],0)</f>
        <v>0</v>
      </c>
      <c r="P8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1" s="7" t="b">
        <f>VaBenefits[[#This Row],[Assumed Contract Value ]]&lt;0.1</f>
        <v>1</v>
      </c>
      <c r="R8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1" s="7">
        <f ca="1">IF(AND(VaBenefits[[#This Row],[Is Activation]]=FALSE,VaBenefits[[#This Row],[Is Anniversary?]]=TRUE),OFFSET( VaBenefits[[#This Row],[Income Credit Base]],-1,0)*ICP,0)</f>
        <v>0</v>
      </c>
      <c r="T81" s="5">
        <f>IF(VaBenefits[[#This Row],[Assumed Contract Value ]]&gt;0,VaBenefits[[#This Row],[Income Base]]*MAWA,0)</f>
        <v>0</v>
      </c>
      <c r="U81" s="95">
        <f>IF(AND(VaBenefits[[#This Row],[Has Income Credit]],VaBenefits[[#This Row],[Is Anniversary?]],VaBenefits[[#This Row],[Joint Mortality tPxy for the partial year]]),VaBenefits[[#This Row],[Income Base]]*PIP,0)</f>
        <v>0</v>
      </c>
      <c r="V81" s="8">
        <f>1/(1+InterestRate)^VaBenefits[[#This Row],[timeFromValuation]]</f>
        <v>0.41048310991346382</v>
      </c>
      <c r="W81" s="90">
        <f>VaBenefits[[#This Row],[timeFromValuation]]</f>
        <v>18.25</v>
      </c>
      <c r="X81" s="91">
        <f>IF(($G$8+VaBenefits[[#This Row],[timeFromValuation]])&lt;=120,VLOOKUP(G81,Table2[],Qx!L$6,FALSE),0)</f>
        <v>0.98816099999999996</v>
      </c>
      <c r="Y81" s="91">
        <f>IF(($H$8+VaBenefits[[#This Row],[timeFromValuation]])&lt;=120,VLOOKUP(H81,Table2[],Qx!M$6,FALSE),0)</f>
        <v>0.95255900000000004</v>
      </c>
      <c r="Z81" s="90">
        <f>PRODUCT($X$8:$X81)</f>
        <v>0.64083132503600204</v>
      </c>
      <c r="AA81" s="90">
        <f>PRODUCT($Y$8:$Y81)</f>
        <v>0.20461382735096575</v>
      </c>
      <c r="AB81" s="91">
        <f>VaBenefits[[#This Row],[Primary Annuitant Px]]+VaBenefits[[#This Row],[Secondary Annuitant Py]]-VaBenefits[[#This Row],[Primary Annuitant Px]]*VaBenefits[[#This Row],[Secondary Annuitant Py]]</f>
        <v>0.99943834600100001</v>
      </c>
      <c r="AC81" s="91">
        <f>PRODUCT($AB$8:$AB81)</f>
        <v>0.98814551959148889</v>
      </c>
      <c r="AD81" s="97">
        <f t="shared" ca="1" si="14"/>
        <v>0</v>
      </c>
      <c r="AE81" s="130">
        <f>IF((AND(VaBenefits[[#This Row],[Is Anniversary?]],VaBenefits[[#This Row],[Assumed Contract Value ]]&lt;75000)),-50,0)</f>
        <v>0</v>
      </c>
      <c r="AF81" s="133">
        <f>VaBenefits[[#This Row],[Assumed Contract Value ]]*-1.15%/4</f>
        <v>0</v>
      </c>
      <c r="AG81" s="129">
        <v>0</v>
      </c>
      <c r="AH81" s="131">
        <f>VaBenefits[[#This Row],[Maintenace Fee]]+VaBenefits[[#This Row],[Separate Account Charge]]+VaBenefits[[#This Row],[Rider Fee]]</f>
        <v>0</v>
      </c>
      <c r="AR81" s="23">
        <f t="shared" si="17"/>
        <v>36.5</v>
      </c>
      <c r="AS81" s="24">
        <v>0</v>
      </c>
      <c r="AT81" s="24">
        <v>0</v>
      </c>
      <c r="AU81" s="22">
        <v>0</v>
      </c>
      <c r="AV81" s="16">
        <v>0</v>
      </c>
      <c r="AW81" s="14">
        <v>299982</v>
      </c>
      <c r="AX81" s="15">
        <v>0</v>
      </c>
      <c r="AY81" s="15">
        <v>0</v>
      </c>
      <c r="AZ81" s="14">
        <v>0</v>
      </c>
      <c r="BA81" s="17">
        <v>11999</v>
      </c>
    </row>
    <row r="82" spans="1:53" ht="15" thickBot="1" x14ac:dyDescent="0.35">
      <c r="A82" s="32">
        <f t="shared" si="15"/>
        <v>74</v>
      </c>
      <c r="B82" s="29">
        <f t="shared" si="16"/>
        <v>18.5</v>
      </c>
      <c r="C82" s="29" t="b">
        <f>AND(VaBenefits[[#This Row],[timeFromValuation]]&gt;=ACT,VaBenefits[[#This Row],[Assumed Contract Value ]]&gt;0)</f>
        <v>0</v>
      </c>
      <c r="D82" s="20">
        <v>0</v>
      </c>
      <c r="E82" s="20">
        <v>0</v>
      </c>
      <c r="F82" s="20">
        <v>0</v>
      </c>
      <c r="G82" s="96">
        <f>ROUND($G$8+VaBenefits[[#This Row],[timeFromValuation]],0)</f>
        <v>74</v>
      </c>
      <c r="H82" s="20">
        <f>ROUND($H$8+VaBenefits[[#This Row],[timeFromValuation]],0)</f>
        <v>84</v>
      </c>
      <c r="I82" s="27" t="b">
        <f>VaBenefits[[#This Row],[Withdrawal Taken  ]]&gt;0</f>
        <v>0</v>
      </c>
      <c r="J82" s="41">
        <f>IF(AND(NOT(VaBenefits[[#This Row],[Is Activation]]),VaBenefits[[#This Row],[Assumed Contract Value ]]&gt;0),VaBenefits[[#This Row],[Withdrawal Taken  ]]/VaBenefits[[#This Row],[Assumed Contract Value ]],0)</f>
        <v>0</v>
      </c>
      <c r="K8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2" s="27" t="b">
        <f ca="1">AND(VaBenefits[[#This Row],[Is Activation]],SUMIFS($E$8:$E82,$C$8:$C82,TRUE)&gt;0)</f>
        <v>0</v>
      </c>
      <c r="M8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2" s="32" t="b">
        <f>IF(VaBenefits[[#This Row],[timeFromValuation]]=0,0, MOD(VaBenefits[[#This Row],[timeFromValuation]],1)=0)</f>
        <v>0</v>
      </c>
      <c r="O82" s="7">
        <f>IF(VaBenefits[[#This Row],[Is Anniversary?]]=TRUE,VaBenefits[[#This Row],[Assumed Contract Value ]],0)</f>
        <v>0</v>
      </c>
      <c r="P8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2" s="7" t="b">
        <f>VaBenefits[[#This Row],[Assumed Contract Value ]]&lt;0.1</f>
        <v>1</v>
      </c>
      <c r="R8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2" s="7">
        <f ca="1">IF(AND(VaBenefits[[#This Row],[Is Activation]]=FALSE,VaBenefits[[#This Row],[Is Anniversary?]]=TRUE),OFFSET( VaBenefits[[#This Row],[Income Credit Base]],-1,0)*ICP,0)</f>
        <v>0</v>
      </c>
      <c r="T82" s="5">
        <f>IF(VaBenefits[[#This Row],[Assumed Contract Value ]]&gt;0,VaBenefits[[#This Row],[Income Base]]*MAWA,0)</f>
        <v>0</v>
      </c>
      <c r="U82" s="95">
        <f>IF(AND(VaBenefits[[#This Row],[Has Income Credit]],VaBenefits[[#This Row],[Is Anniversary?]],VaBenefits[[#This Row],[Joint Mortality tPxy for the partial year]]),VaBenefits[[#This Row],[Income Base]]*PIP,0)</f>
        <v>0</v>
      </c>
      <c r="V82" s="8">
        <f>1/(1+InterestRate)^VaBenefits[[#This Row],[timeFromValuation]]</f>
        <v>0.40550663739679882</v>
      </c>
      <c r="W82" s="90">
        <f>VaBenefits[[#This Row],[timeFromValuation]]</f>
        <v>18.5</v>
      </c>
      <c r="X82" s="91">
        <f>IF(($G$8+VaBenefits[[#This Row],[timeFromValuation]])&lt;=120,VLOOKUP(G82,Table2[],Qx!L$6,FALSE),0)</f>
        <v>0.98702599999999996</v>
      </c>
      <c r="Y82" s="91">
        <f>IF(($H$8+VaBenefits[[#This Row],[timeFromValuation]])&lt;=120,VLOOKUP(H82,Table2[],Qx!M$6,FALSE),0)</f>
        <v>0.94676700000000003</v>
      </c>
      <c r="Z82" s="90">
        <f>PRODUCT($X$8:$X82)</f>
        <v>0.63251717942498498</v>
      </c>
      <c r="AA82" s="90">
        <f>PRODUCT($Y$8:$Y82)</f>
        <v>0.19372161947959179</v>
      </c>
      <c r="AB82" s="91">
        <f>VaBenefits[[#This Row],[Primary Annuitant Px]]+VaBenefits[[#This Row],[Secondary Annuitant Py]]-VaBenefits[[#This Row],[Primary Annuitant Px]]*VaBenefits[[#This Row],[Secondary Annuitant Py]]</f>
        <v>0.99930935505800011</v>
      </c>
      <c r="AC82" s="91">
        <f>PRODUCT($AB$8:$AB82)</f>
        <v>0.98746306188642319</v>
      </c>
      <c r="AD82" s="97">
        <f t="shared" ca="1" si="14"/>
        <v>0</v>
      </c>
      <c r="AE82" s="130">
        <f>IF((AND(VaBenefits[[#This Row],[Is Anniversary?]],VaBenefits[[#This Row],[Assumed Contract Value ]]&lt;75000)),-50,0)</f>
        <v>0</v>
      </c>
      <c r="AF82" s="133">
        <f>VaBenefits[[#This Row],[Assumed Contract Value ]]*-1.15%/4</f>
        <v>0</v>
      </c>
      <c r="AG82" s="129">
        <v>0</v>
      </c>
      <c r="AH82" s="131">
        <f>VaBenefits[[#This Row],[Maintenace Fee]]+VaBenefits[[#This Row],[Separate Account Charge]]+VaBenefits[[#This Row],[Rider Fee]]</f>
        <v>0</v>
      </c>
      <c r="AR82" s="23">
        <f t="shared" si="17"/>
        <v>37</v>
      </c>
      <c r="AS82" s="24">
        <v>0</v>
      </c>
      <c r="AT82" s="24">
        <v>0</v>
      </c>
      <c r="AU82" s="22">
        <v>0</v>
      </c>
      <c r="AV82" s="16">
        <v>0</v>
      </c>
      <c r="AW82" s="14">
        <v>299982</v>
      </c>
      <c r="AX82" s="15">
        <v>0</v>
      </c>
      <c r="AY82" s="15">
        <v>0</v>
      </c>
      <c r="AZ82" s="14">
        <v>0</v>
      </c>
      <c r="BA82" s="17">
        <v>11999</v>
      </c>
    </row>
    <row r="83" spans="1:53" ht="15" thickBot="1" x14ac:dyDescent="0.35">
      <c r="A83" s="32">
        <f t="shared" si="15"/>
        <v>75</v>
      </c>
      <c r="B83" s="29">
        <f t="shared" si="16"/>
        <v>18.75</v>
      </c>
      <c r="C83" s="29" t="b">
        <f>AND(VaBenefits[[#This Row],[timeFromValuation]]&gt;=ACT,VaBenefits[[#This Row],[Assumed Contract Value ]]&gt;0)</f>
        <v>0</v>
      </c>
      <c r="D83" s="20">
        <v>0</v>
      </c>
      <c r="E83" s="20">
        <v>0</v>
      </c>
      <c r="F83" s="20">
        <v>0</v>
      </c>
      <c r="G83" s="96">
        <f>ROUND($G$8+VaBenefits[[#This Row],[timeFromValuation]],0)</f>
        <v>74</v>
      </c>
      <c r="H83" s="20">
        <f>ROUND($H$8+VaBenefits[[#This Row],[timeFromValuation]],0)</f>
        <v>84</v>
      </c>
      <c r="I83" s="27" t="b">
        <f>VaBenefits[[#This Row],[Withdrawal Taken  ]]&gt;0</f>
        <v>0</v>
      </c>
      <c r="J83" s="41">
        <f>IF(AND(NOT(VaBenefits[[#This Row],[Is Activation]]),VaBenefits[[#This Row],[Assumed Contract Value ]]&gt;0),VaBenefits[[#This Row],[Withdrawal Taken  ]]/VaBenefits[[#This Row],[Assumed Contract Value ]],0)</f>
        <v>0</v>
      </c>
      <c r="K8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3" s="27" t="b">
        <f ca="1">AND(VaBenefits[[#This Row],[Is Activation]],SUMIFS($E$8:$E83,$C$8:$C83,TRUE)&gt;0)</f>
        <v>0</v>
      </c>
      <c r="M8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3" s="32" t="b">
        <f>IF(VaBenefits[[#This Row],[timeFromValuation]]=0,0, MOD(VaBenefits[[#This Row],[timeFromValuation]],1)=0)</f>
        <v>0</v>
      </c>
      <c r="O83" s="7">
        <f>IF(VaBenefits[[#This Row],[Is Anniversary?]]=TRUE,VaBenefits[[#This Row],[Assumed Contract Value ]],0)</f>
        <v>0</v>
      </c>
      <c r="P8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3" s="7" t="b">
        <f>VaBenefits[[#This Row],[Assumed Contract Value ]]&lt;0.1</f>
        <v>1</v>
      </c>
      <c r="R8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3" s="7">
        <f ca="1">IF(AND(VaBenefits[[#This Row],[Is Activation]]=FALSE,VaBenefits[[#This Row],[Is Anniversary?]]=TRUE),OFFSET( VaBenefits[[#This Row],[Income Credit Base]],-1,0)*ICP,0)</f>
        <v>0</v>
      </c>
      <c r="T83" s="5">
        <f>IF(VaBenefits[[#This Row],[Assumed Contract Value ]]&gt;0,VaBenefits[[#This Row],[Income Base]]*MAWA,0)</f>
        <v>0</v>
      </c>
      <c r="U83" s="95">
        <f>IF(AND(VaBenefits[[#This Row],[Has Income Credit]],VaBenefits[[#This Row],[Is Anniversary?]],VaBenefits[[#This Row],[Joint Mortality tPxy for the partial year]]),VaBenefits[[#This Row],[Income Base]]*PIP,0)</f>
        <v>0</v>
      </c>
      <c r="V83" s="8">
        <f>1/(1+InterestRate)^VaBenefits[[#This Row],[timeFromValuation]]</f>
        <v>0.40059049690869014</v>
      </c>
      <c r="W83" s="90">
        <f>VaBenefits[[#This Row],[timeFromValuation]]</f>
        <v>18.75</v>
      </c>
      <c r="X83" s="91">
        <f>IF(($G$8+VaBenefits[[#This Row],[timeFromValuation]])&lt;=120,VLOOKUP(G83,Table2[],Qx!L$6,FALSE),0)</f>
        <v>0.98702599999999996</v>
      </c>
      <c r="Y83" s="91">
        <f>IF(($H$8+VaBenefits[[#This Row],[timeFromValuation]])&lt;=120,VLOOKUP(H83,Table2[],Qx!M$6,FALSE),0)</f>
        <v>0.94676700000000003</v>
      </c>
      <c r="Z83" s="90">
        <f>PRODUCT($X$8:$X83)</f>
        <v>0.62431090153912516</v>
      </c>
      <c r="AA83" s="90">
        <f>PRODUCT($Y$8:$Y83)</f>
        <v>0.18340923650983468</v>
      </c>
      <c r="AB83" s="91">
        <f>VaBenefits[[#This Row],[Primary Annuitant Px]]+VaBenefits[[#This Row],[Secondary Annuitant Py]]-VaBenefits[[#This Row],[Primary Annuitant Px]]*VaBenefits[[#This Row],[Secondary Annuitant Py]]</f>
        <v>0.99930935505800011</v>
      </c>
      <c r="AC83" s="91">
        <f>PRODUCT($AB$8:$AB83)</f>
        <v>0.98678107551731964</v>
      </c>
      <c r="AD83" s="97">
        <f t="shared" ca="1" si="14"/>
        <v>0</v>
      </c>
      <c r="AE83" s="130">
        <f>IF((AND(VaBenefits[[#This Row],[Is Anniversary?]],VaBenefits[[#This Row],[Assumed Contract Value ]]&lt;75000)),-50,0)</f>
        <v>0</v>
      </c>
      <c r="AF83" s="133">
        <f>VaBenefits[[#This Row],[Assumed Contract Value ]]*-1.15%/4</f>
        <v>0</v>
      </c>
      <c r="AG83" s="129">
        <v>0</v>
      </c>
      <c r="AH83" s="131">
        <f>VaBenefits[[#This Row],[Maintenace Fee]]+VaBenefits[[#This Row],[Separate Account Charge]]+VaBenefits[[#This Row],[Rider Fee]]</f>
        <v>0</v>
      </c>
      <c r="AR83" s="23">
        <f t="shared" si="17"/>
        <v>37.5</v>
      </c>
      <c r="AS83" s="24">
        <v>0</v>
      </c>
      <c r="AT83" s="24">
        <v>0</v>
      </c>
      <c r="AU83" s="22">
        <v>0</v>
      </c>
      <c r="AV83" s="16">
        <v>0</v>
      </c>
      <c r="AW83" s="14">
        <v>299982</v>
      </c>
      <c r="AX83" s="15">
        <v>0</v>
      </c>
      <c r="AY83" s="15">
        <v>0</v>
      </c>
      <c r="AZ83" s="14">
        <v>0</v>
      </c>
      <c r="BA83" s="17">
        <v>11999</v>
      </c>
    </row>
    <row r="84" spans="1:53" ht="15" thickBot="1" x14ac:dyDescent="0.35">
      <c r="A84" s="32">
        <f t="shared" si="15"/>
        <v>76</v>
      </c>
      <c r="B84" s="29">
        <f t="shared" si="16"/>
        <v>19</v>
      </c>
      <c r="C84" s="29" t="b">
        <f>AND(VaBenefits[[#This Row],[timeFromValuation]]&gt;=ACT,VaBenefits[[#This Row],[Assumed Contract Value ]]&gt;0)</f>
        <v>0</v>
      </c>
      <c r="D84" s="20">
        <v>0</v>
      </c>
      <c r="E84" s="20">
        <v>0</v>
      </c>
      <c r="F84" s="20">
        <v>0</v>
      </c>
      <c r="G84" s="96">
        <f>ROUND($G$8+VaBenefits[[#This Row],[timeFromValuation]],0)</f>
        <v>74</v>
      </c>
      <c r="H84" s="20">
        <f>ROUND($H$8+VaBenefits[[#This Row],[timeFromValuation]],0)</f>
        <v>84</v>
      </c>
      <c r="I84" s="27" t="b">
        <f>VaBenefits[[#This Row],[Withdrawal Taken  ]]&gt;0</f>
        <v>0</v>
      </c>
      <c r="J84" s="41">
        <f>IF(AND(NOT(VaBenefits[[#This Row],[Is Activation]]),VaBenefits[[#This Row],[Assumed Contract Value ]]&gt;0),VaBenefits[[#This Row],[Withdrawal Taken  ]]/VaBenefits[[#This Row],[Assumed Contract Value ]],0)</f>
        <v>0</v>
      </c>
      <c r="K8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4" s="27" t="b">
        <f ca="1">AND(VaBenefits[[#This Row],[Is Activation]],SUMIFS($E$8:$E84,$C$8:$C84,TRUE)&gt;0)</f>
        <v>0</v>
      </c>
      <c r="M8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4" s="32" t="b">
        <f>IF(VaBenefits[[#This Row],[timeFromValuation]]=0,0, MOD(VaBenefits[[#This Row],[timeFromValuation]],1)=0)</f>
        <v>1</v>
      </c>
      <c r="O84" s="7">
        <f>IF(VaBenefits[[#This Row],[Is Anniversary?]]=TRUE,VaBenefits[[#This Row],[Assumed Contract Value ]],0)</f>
        <v>0</v>
      </c>
      <c r="P8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4" s="7" t="b">
        <f>VaBenefits[[#This Row],[Assumed Contract Value ]]&lt;0.1</f>
        <v>1</v>
      </c>
      <c r="R8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4" s="7">
        <f ca="1">IF(AND(VaBenefits[[#This Row],[Is Activation]]=FALSE,VaBenefits[[#This Row],[Is Anniversary?]]=TRUE),OFFSET( VaBenefits[[#This Row],[Income Credit Base]],-1,0)*ICP,0)</f>
        <v>0</v>
      </c>
      <c r="T84" s="5">
        <f>IF(VaBenefits[[#This Row],[Assumed Contract Value ]]&gt;0,VaBenefits[[#This Row],[Income Base]]*MAWA,0)</f>
        <v>0</v>
      </c>
      <c r="U84" s="95">
        <f ca="1">IF(AND(VaBenefits[[#This Row],[Has Income Credit]],VaBenefits[[#This Row],[Is Anniversary?]],VaBenefits[[#This Row],[Joint Mortality tPxy for the partial year]]),VaBenefits[[#This Row],[Income Base]]*PIP,0)</f>
        <v>12026.006800536559</v>
      </c>
      <c r="V84" s="8">
        <f>1/(1+InterestRate)^VaBenefits[[#This Row],[timeFromValuation]]</f>
        <v>0.39573395701665059</v>
      </c>
      <c r="W84" s="90">
        <f>VaBenefits[[#This Row],[timeFromValuation]]</f>
        <v>19</v>
      </c>
      <c r="X84" s="91">
        <f>IF(($G$8+VaBenefits[[#This Row],[timeFromValuation]])&lt;=120,VLOOKUP(G84,Table2[],Qx!L$6,FALSE),0)</f>
        <v>0.98702599999999996</v>
      </c>
      <c r="Y84" s="91">
        <f>IF(($H$8+VaBenefits[[#This Row],[timeFromValuation]])&lt;=120,VLOOKUP(H84,Table2[],Qx!M$6,FALSE),0)</f>
        <v>0.94676700000000003</v>
      </c>
      <c r="Z84" s="90">
        <f>PRODUCT($X$8:$X84)</f>
        <v>0.61621109190255652</v>
      </c>
      <c r="AA84" s="90">
        <f>PRODUCT($Y$8:$Y84)</f>
        <v>0.17364581262270665</v>
      </c>
      <c r="AB84" s="91">
        <f>VaBenefits[[#This Row],[Primary Annuitant Px]]+VaBenefits[[#This Row],[Secondary Annuitant Py]]-VaBenefits[[#This Row],[Primary Annuitant Px]]*VaBenefits[[#This Row],[Secondary Annuitant Py]]</f>
        <v>0.99930935505800011</v>
      </c>
      <c r="AC84" s="91">
        <f>PRODUCT($AB$8:$AB84)</f>
        <v>0.98609956015865241</v>
      </c>
      <c r="AD84" s="97">
        <f t="shared" ca="1" si="14"/>
        <v>0</v>
      </c>
      <c r="AE84" s="130">
        <f>IF((AND(VaBenefits[[#This Row],[Is Anniversary?]],VaBenefits[[#This Row],[Assumed Contract Value ]]&lt;75000)),-50,0)</f>
        <v>-50</v>
      </c>
      <c r="AF84" s="133">
        <f>VaBenefits[[#This Row],[Assumed Contract Value ]]*-1.15%/4</f>
        <v>0</v>
      </c>
      <c r="AG84" s="129">
        <v>0</v>
      </c>
      <c r="AH84" s="131">
        <f>VaBenefits[[#This Row],[Maintenace Fee]]+VaBenefits[[#This Row],[Separate Account Charge]]+VaBenefits[[#This Row],[Rider Fee]]</f>
        <v>-50</v>
      </c>
      <c r="AR84" s="23">
        <f t="shared" si="17"/>
        <v>38</v>
      </c>
      <c r="AS84" s="24">
        <v>0</v>
      </c>
      <c r="AT84" s="24">
        <v>0</v>
      </c>
      <c r="AU84" s="22">
        <v>0</v>
      </c>
      <c r="AV84" s="16">
        <v>0</v>
      </c>
      <c r="AW84" s="14">
        <v>299982</v>
      </c>
      <c r="AX84" s="15">
        <v>0</v>
      </c>
      <c r="AY84" s="15">
        <v>0</v>
      </c>
      <c r="AZ84" s="14">
        <v>0</v>
      </c>
      <c r="BA84" s="17">
        <v>11999</v>
      </c>
    </row>
    <row r="85" spans="1:53" ht="15" thickBot="1" x14ac:dyDescent="0.35">
      <c r="A85" s="32">
        <f t="shared" si="15"/>
        <v>77</v>
      </c>
      <c r="B85" s="29">
        <f t="shared" si="16"/>
        <v>19.25</v>
      </c>
      <c r="C85" s="29" t="b">
        <f>AND(VaBenefits[[#This Row],[timeFromValuation]]&gt;=ACT,VaBenefits[[#This Row],[Assumed Contract Value ]]&gt;0)</f>
        <v>0</v>
      </c>
      <c r="D85" s="20">
        <v>0</v>
      </c>
      <c r="E85" s="20">
        <v>0</v>
      </c>
      <c r="F85" s="20">
        <v>0</v>
      </c>
      <c r="G85" s="96">
        <f>ROUND($G$8+VaBenefits[[#This Row],[timeFromValuation]],0)</f>
        <v>74</v>
      </c>
      <c r="H85" s="20">
        <f>ROUND($H$8+VaBenefits[[#This Row],[timeFromValuation]],0)</f>
        <v>84</v>
      </c>
      <c r="I85" s="27" t="b">
        <f>VaBenefits[[#This Row],[Withdrawal Taken  ]]&gt;0</f>
        <v>0</v>
      </c>
      <c r="J85" s="41">
        <f>IF(AND(NOT(VaBenefits[[#This Row],[Is Activation]]),VaBenefits[[#This Row],[Assumed Contract Value ]]&gt;0),VaBenefits[[#This Row],[Withdrawal Taken  ]]/VaBenefits[[#This Row],[Assumed Contract Value ]],0)</f>
        <v>0</v>
      </c>
      <c r="K8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5" s="27" t="b">
        <f ca="1">AND(VaBenefits[[#This Row],[Is Activation]],SUMIFS($E$8:$E85,$C$8:$C85,TRUE)&gt;0)</f>
        <v>0</v>
      </c>
      <c r="M8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5" s="32" t="b">
        <f>IF(VaBenefits[[#This Row],[timeFromValuation]]=0,0, MOD(VaBenefits[[#This Row],[timeFromValuation]],1)=0)</f>
        <v>0</v>
      </c>
      <c r="O85" s="7">
        <f>IF(VaBenefits[[#This Row],[Is Anniversary?]]=TRUE,VaBenefits[[#This Row],[Assumed Contract Value ]],0)</f>
        <v>0</v>
      </c>
      <c r="P8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5" s="7" t="b">
        <f>VaBenefits[[#This Row],[Assumed Contract Value ]]&lt;0.1</f>
        <v>1</v>
      </c>
      <c r="R8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5" s="7">
        <f ca="1">IF(AND(VaBenefits[[#This Row],[Is Activation]]=FALSE,VaBenefits[[#This Row],[Is Anniversary?]]=TRUE),OFFSET( VaBenefits[[#This Row],[Income Credit Base]],-1,0)*ICP,0)</f>
        <v>0</v>
      </c>
      <c r="T85" s="5">
        <f>IF(VaBenefits[[#This Row],[Assumed Contract Value ]]&gt;0,VaBenefits[[#This Row],[Income Base]]*MAWA,0)</f>
        <v>0</v>
      </c>
      <c r="U85" s="95">
        <f>IF(AND(VaBenefits[[#This Row],[Has Income Credit]],VaBenefits[[#This Row],[Is Anniversary?]],VaBenefits[[#This Row],[Joint Mortality tPxy for the partial year]]),VaBenefits[[#This Row],[Income Base]]*PIP,0)</f>
        <v>0</v>
      </c>
      <c r="V85" s="8">
        <f>1/(1+InterestRate)^VaBenefits[[#This Row],[timeFromValuation]]</f>
        <v>0.39093629515567979</v>
      </c>
      <c r="W85" s="90">
        <f>VaBenefits[[#This Row],[timeFromValuation]]</f>
        <v>19.25</v>
      </c>
      <c r="X85" s="91">
        <f>IF(($G$8+VaBenefits[[#This Row],[timeFromValuation]])&lt;=120,VLOOKUP(G85,Table2[],Qx!L$6,FALSE),0)</f>
        <v>0.98702599999999996</v>
      </c>
      <c r="Y85" s="91">
        <f>IF(($H$8+VaBenefits[[#This Row],[timeFromValuation]])&lt;=120,VLOOKUP(H85,Table2[],Qx!M$6,FALSE),0)</f>
        <v>0.94676700000000003</v>
      </c>
      <c r="Z85" s="90">
        <f>PRODUCT($X$8:$X85)</f>
        <v>0.60821636919621269</v>
      </c>
      <c r="AA85" s="90">
        <f>PRODUCT($Y$8:$Y85)</f>
        <v>0.16440212507936211</v>
      </c>
      <c r="AB85" s="91">
        <f>VaBenefits[[#This Row],[Primary Annuitant Px]]+VaBenefits[[#This Row],[Secondary Annuitant Py]]-VaBenefits[[#This Row],[Primary Annuitant Px]]*VaBenefits[[#This Row],[Secondary Annuitant Py]]</f>
        <v>0.99930935505800011</v>
      </c>
      <c r="AC85" s="91">
        <f>PRODUCT($AB$8:$AB85)</f>
        <v>0.98541851548512049</v>
      </c>
      <c r="AD85" s="97">
        <f t="shared" ca="1" si="14"/>
        <v>0</v>
      </c>
      <c r="AE85" s="130">
        <f>IF((AND(VaBenefits[[#This Row],[Is Anniversary?]],VaBenefits[[#This Row],[Assumed Contract Value ]]&lt;75000)),-50,0)</f>
        <v>0</v>
      </c>
      <c r="AF85" s="133">
        <f>VaBenefits[[#This Row],[Assumed Contract Value ]]*-1.15%/4</f>
        <v>0</v>
      </c>
      <c r="AG85" s="129">
        <v>0</v>
      </c>
      <c r="AH85" s="131">
        <f>VaBenefits[[#This Row],[Maintenace Fee]]+VaBenefits[[#This Row],[Separate Account Charge]]+VaBenefits[[#This Row],[Rider Fee]]</f>
        <v>0</v>
      </c>
      <c r="AR85" s="23">
        <f t="shared" si="17"/>
        <v>38.5</v>
      </c>
      <c r="AS85" s="24">
        <v>0</v>
      </c>
      <c r="AT85" s="24">
        <v>0</v>
      </c>
      <c r="AU85" s="22">
        <v>0</v>
      </c>
      <c r="AV85" s="16">
        <v>0</v>
      </c>
      <c r="AW85" s="14">
        <v>299982</v>
      </c>
      <c r="AX85" s="15">
        <v>0</v>
      </c>
      <c r="AY85" s="15">
        <v>0</v>
      </c>
      <c r="AZ85" s="14">
        <v>0</v>
      </c>
      <c r="BA85" s="17">
        <v>11999</v>
      </c>
    </row>
    <row r="86" spans="1:53" ht="15" thickBot="1" x14ac:dyDescent="0.35">
      <c r="A86" s="32">
        <f t="shared" si="15"/>
        <v>78</v>
      </c>
      <c r="B86" s="29">
        <f t="shared" si="16"/>
        <v>19.5</v>
      </c>
      <c r="C86" s="29" t="b">
        <f>AND(VaBenefits[[#This Row],[timeFromValuation]]&gt;=ACT,VaBenefits[[#This Row],[Assumed Contract Value ]]&gt;0)</f>
        <v>0</v>
      </c>
      <c r="D86" s="20">
        <v>0</v>
      </c>
      <c r="E86" s="20">
        <v>0</v>
      </c>
      <c r="F86" s="20">
        <v>0</v>
      </c>
      <c r="G86" s="96">
        <f>ROUND($G$8+VaBenefits[[#This Row],[timeFromValuation]],0)</f>
        <v>75</v>
      </c>
      <c r="H86" s="20">
        <f>ROUND($H$8+VaBenefits[[#This Row],[timeFromValuation]],0)</f>
        <v>85</v>
      </c>
      <c r="I86" s="27" t="b">
        <f>VaBenefits[[#This Row],[Withdrawal Taken  ]]&gt;0</f>
        <v>0</v>
      </c>
      <c r="J86" s="41">
        <f>IF(AND(NOT(VaBenefits[[#This Row],[Is Activation]]),VaBenefits[[#This Row],[Assumed Contract Value ]]&gt;0),VaBenefits[[#This Row],[Withdrawal Taken  ]]/VaBenefits[[#This Row],[Assumed Contract Value ]],0)</f>
        <v>0</v>
      </c>
      <c r="K8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6" s="27" t="b">
        <f ca="1">AND(VaBenefits[[#This Row],[Is Activation]],SUMIFS($E$8:$E86,$C$8:$C86,TRUE)&gt;0)</f>
        <v>0</v>
      </c>
      <c r="M8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6" s="32" t="b">
        <f>IF(VaBenefits[[#This Row],[timeFromValuation]]=0,0, MOD(VaBenefits[[#This Row],[timeFromValuation]],1)=0)</f>
        <v>0</v>
      </c>
      <c r="O86" s="7">
        <f>IF(VaBenefits[[#This Row],[Is Anniversary?]]=TRUE,VaBenefits[[#This Row],[Assumed Contract Value ]],0)</f>
        <v>0</v>
      </c>
      <c r="P8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6" s="7" t="b">
        <f>VaBenefits[[#This Row],[Assumed Contract Value ]]&lt;0.1</f>
        <v>1</v>
      </c>
      <c r="R8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6" s="7">
        <f ca="1">IF(AND(VaBenefits[[#This Row],[Is Activation]]=FALSE,VaBenefits[[#This Row],[Is Anniversary?]]=TRUE),OFFSET( VaBenefits[[#This Row],[Income Credit Base]],-1,0)*ICP,0)</f>
        <v>0</v>
      </c>
      <c r="T86" s="5">
        <f>IF(VaBenefits[[#This Row],[Assumed Contract Value ]]&gt;0,VaBenefits[[#This Row],[Income Base]]*MAWA,0)</f>
        <v>0</v>
      </c>
      <c r="U86" s="95">
        <f>IF(AND(VaBenefits[[#This Row],[Has Income Credit]],VaBenefits[[#This Row],[Is Anniversary?]],VaBenefits[[#This Row],[Joint Mortality tPxy for the partial year]]),VaBenefits[[#This Row],[Income Base]]*PIP,0)</f>
        <v>0</v>
      </c>
      <c r="V86" s="8">
        <f>1/(1+InterestRate)^VaBenefits[[#This Row],[timeFromValuation]]</f>
        <v>0.3861967975207608</v>
      </c>
      <c r="W86" s="90">
        <f>VaBenefits[[#This Row],[timeFromValuation]]</f>
        <v>19.5</v>
      </c>
      <c r="X86" s="91">
        <f>IF(($G$8+VaBenefits[[#This Row],[timeFromValuation]])&lt;=120,VLOOKUP(G86,Table2[],Qx!L$6,FALSE),0)</f>
        <v>0.98571799999999998</v>
      </c>
      <c r="Y86" s="91">
        <f>IF(($H$8+VaBenefits[[#This Row],[timeFromValuation]])&lt;=120,VLOOKUP(H86,Table2[],Qx!M$6,FALSE),0)</f>
        <v>0.94014500000000001</v>
      </c>
      <c r="Z86" s="90">
        <f>PRODUCT($X$8:$X86)</f>
        <v>0.59952982301135238</v>
      </c>
      <c r="AA86" s="90">
        <f>PRODUCT($Y$8:$Y86)</f>
        <v>0.15456183588273689</v>
      </c>
      <c r="AB86" s="91">
        <f>VaBenefits[[#This Row],[Primary Annuitant Px]]+VaBenefits[[#This Row],[Secondary Annuitant Py]]-VaBenefits[[#This Row],[Primary Annuitant Px]]*VaBenefits[[#This Row],[Secondary Annuitant Py]]</f>
        <v>0.99914515089000011</v>
      </c>
      <c r="AC86" s="91">
        <f>PRODUCT($AB$8:$AB86)</f>
        <v>0.98457613134418065</v>
      </c>
      <c r="AD86" s="97">
        <f t="shared" ca="1" si="14"/>
        <v>0</v>
      </c>
      <c r="AE86" s="130">
        <f>IF((AND(VaBenefits[[#This Row],[Is Anniversary?]],VaBenefits[[#This Row],[Assumed Contract Value ]]&lt;75000)),-50,0)</f>
        <v>0</v>
      </c>
      <c r="AF86" s="133">
        <f>VaBenefits[[#This Row],[Assumed Contract Value ]]*-1.15%/4</f>
        <v>0</v>
      </c>
      <c r="AG86" s="129">
        <v>0</v>
      </c>
      <c r="AH86" s="131">
        <f>VaBenefits[[#This Row],[Maintenace Fee]]+VaBenefits[[#This Row],[Separate Account Charge]]+VaBenefits[[#This Row],[Rider Fee]]</f>
        <v>0</v>
      </c>
      <c r="AR86" s="23">
        <f t="shared" si="17"/>
        <v>39</v>
      </c>
      <c r="AS86" s="24">
        <v>0</v>
      </c>
      <c r="AT86" s="24">
        <v>0</v>
      </c>
      <c r="AU86" s="22">
        <v>0</v>
      </c>
      <c r="AV86" s="16">
        <v>0</v>
      </c>
      <c r="AW86" s="14">
        <v>299982</v>
      </c>
      <c r="AX86" s="15">
        <v>0</v>
      </c>
      <c r="AY86" s="15">
        <v>0</v>
      </c>
      <c r="AZ86" s="14">
        <v>0</v>
      </c>
      <c r="BA86" s="17">
        <v>11999</v>
      </c>
    </row>
    <row r="87" spans="1:53" ht="15" thickBot="1" x14ac:dyDescent="0.35">
      <c r="A87" s="32">
        <f t="shared" si="15"/>
        <v>79</v>
      </c>
      <c r="B87" s="29">
        <f t="shared" si="16"/>
        <v>19.75</v>
      </c>
      <c r="C87" s="29" t="b">
        <f>AND(VaBenefits[[#This Row],[timeFromValuation]]&gt;=ACT,VaBenefits[[#This Row],[Assumed Contract Value ]]&gt;0)</f>
        <v>0</v>
      </c>
      <c r="D87" s="20">
        <v>0</v>
      </c>
      <c r="E87" s="20">
        <v>0</v>
      </c>
      <c r="F87" s="20">
        <v>0</v>
      </c>
      <c r="G87" s="96">
        <f>ROUND($G$8+VaBenefits[[#This Row],[timeFromValuation]],0)</f>
        <v>75</v>
      </c>
      <c r="H87" s="20">
        <f>ROUND($H$8+VaBenefits[[#This Row],[timeFromValuation]],0)</f>
        <v>85</v>
      </c>
      <c r="I87" s="27" t="b">
        <f>VaBenefits[[#This Row],[Withdrawal Taken  ]]&gt;0</f>
        <v>0</v>
      </c>
      <c r="J87" s="41">
        <f>IF(AND(NOT(VaBenefits[[#This Row],[Is Activation]]),VaBenefits[[#This Row],[Assumed Contract Value ]]&gt;0),VaBenefits[[#This Row],[Withdrawal Taken  ]]/VaBenefits[[#This Row],[Assumed Contract Value ]],0)</f>
        <v>0</v>
      </c>
      <c r="K8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7" s="27" t="b">
        <f ca="1">AND(VaBenefits[[#This Row],[Is Activation]],SUMIFS($E$8:$E87,$C$8:$C87,TRUE)&gt;0)</f>
        <v>0</v>
      </c>
      <c r="M8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7" s="32" t="b">
        <f>IF(VaBenefits[[#This Row],[timeFromValuation]]=0,0, MOD(VaBenefits[[#This Row],[timeFromValuation]],1)=0)</f>
        <v>0</v>
      </c>
      <c r="O87" s="7">
        <f>IF(VaBenefits[[#This Row],[Is Anniversary?]]=TRUE,VaBenefits[[#This Row],[Assumed Contract Value ]],0)</f>
        <v>0</v>
      </c>
      <c r="P8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7" s="7" t="b">
        <f>VaBenefits[[#This Row],[Assumed Contract Value ]]&lt;0.1</f>
        <v>1</v>
      </c>
      <c r="R8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7" s="7">
        <f ca="1">IF(AND(VaBenefits[[#This Row],[Is Activation]]=FALSE,VaBenefits[[#This Row],[Is Anniversary?]]=TRUE),OFFSET( VaBenefits[[#This Row],[Income Credit Base]],-1,0)*ICP,0)</f>
        <v>0</v>
      </c>
      <c r="T87" s="5">
        <f>IF(VaBenefits[[#This Row],[Assumed Contract Value ]]&gt;0,VaBenefits[[#This Row],[Income Base]]*MAWA,0)</f>
        <v>0</v>
      </c>
      <c r="U87" s="95">
        <f>IF(AND(VaBenefits[[#This Row],[Has Income Credit]],VaBenefits[[#This Row],[Is Anniversary?]],VaBenefits[[#This Row],[Joint Mortality tPxy for the partial year]]),VaBenefits[[#This Row],[Income Base]]*PIP,0)</f>
        <v>0</v>
      </c>
      <c r="V87" s="8">
        <f>1/(1+InterestRate)^VaBenefits[[#This Row],[timeFromValuation]]</f>
        <v>0.38151475896065723</v>
      </c>
      <c r="W87" s="90">
        <f>VaBenefits[[#This Row],[timeFromValuation]]</f>
        <v>19.75</v>
      </c>
      <c r="X87" s="91">
        <f>IF(($G$8+VaBenefits[[#This Row],[timeFromValuation]])&lt;=120,VLOOKUP(G87,Table2[],Qx!L$6,FALSE),0)</f>
        <v>0.98571799999999998</v>
      </c>
      <c r="Y87" s="91">
        <f>IF(($H$8+VaBenefits[[#This Row],[timeFromValuation]])&lt;=120,VLOOKUP(H87,Table2[],Qx!M$6,FALSE),0)</f>
        <v>0.94014500000000001</v>
      </c>
      <c r="Z87" s="90">
        <f>PRODUCT($X$8:$X87)</f>
        <v>0.59096733807910429</v>
      </c>
      <c r="AA87" s="90">
        <f>PRODUCT($Y$8:$Y87)</f>
        <v>0.14531053719597567</v>
      </c>
      <c r="AB87" s="91">
        <f>VaBenefits[[#This Row],[Primary Annuitant Px]]+VaBenefits[[#This Row],[Secondary Annuitant Py]]-VaBenefits[[#This Row],[Primary Annuitant Px]]*VaBenefits[[#This Row],[Secondary Annuitant Py]]</f>
        <v>0.99914515089000011</v>
      </c>
      <c r="AC87" s="91">
        <f>PRODUCT($AB$8:$AB87)</f>
        <v>0.98373446731457392</v>
      </c>
      <c r="AD87" s="97">
        <f t="shared" ca="1" si="14"/>
        <v>0</v>
      </c>
      <c r="AE87" s="130">
        <f>IF((AND(VaBenefits[[#This Row],[Is Anniversary?]],VaBenefits[[#This Row],[Assumed Contract Value ]]&lt;75000)),-50,0)</f>
        <v>0</v>
      </c>
      <c r="AF87" s="133">
        <f>VaBenefits[[#This Row],[Assumed Contract Value ]]*-1.15%/4</f>
        <v>0</v>
      </c>
      <c r="AG87" s="129">
        <v>0</v>
      </c>
      <c r="AH87" s="131">
        <f>VaBenefits[[#This Row],[Maintenace Fee]]+VaBenefits[[#This Row],[Separate Account Charge]]+VaBenefits[[#This Row],[Rider Fee]]</f>
        <v>0</v>
      </c>
      <c r="AR87" s="23">
        <f t="shared" si="17"/>
        <v>39.5</v>
      </c>
      <c r="AS87" s="24">
        <v>0</v>
      </c>
      <c r="AT87" s="24">
        <v>0</v>
      </c>
      <c r="AU87" s="22">
        <v>0</v>
      </c>
      <c r="AV87" s="16">
        <v>0</v>
      </c>
      <c r="AW87" s="14">
        <v>299982</v>
      </c>
      <c r="AX87" s="15">
        <v>0</v>
      </c>
      <c r="AY87" s="15">
        <v>0</v>
      </c>
      <c r="AZ87" s="14">
        <v>0</v>
      </c>
      <c r="BA87" s="17">
        <v>11999</v>
      </c>
    </row>
    <row r="88" spans="1:53" ht="15" thickBot="1" x14ac:dyDescent="0.35">
      <c r="A88" s="32">
        <f t="shared" si="15"/>
        <v>80</v>
      </c>
      <c r="B88" s="29">
        <f t="shared" si="16"/>
        <v>20</v>
      </c>
      <c r="C88" s="29" t="b">
        <f>AND(VaBenefits[[#This Row],[timeFromValuation]]&gt;=ACT,VaBenefits[[#This Row],[Assumed Contract Value ]]&gt;0)</f>
        <v>0</v>
      </c>
      <c r="D88" s="20">
        <v>0</v>
      </c>
      <c r="E88" s="20">
        <v>0</v>
      </c>
      <c r="F88" s="20">
        <v>0</v>
      </c>
      <c r="G88" s="96">
        <f>ROUND($G$8+VaBenefits[[#This Row],[timeFromValuation]],0)</f>
        <v>75</v>
      </c>
      <c r="H88" s="20">
        <f>ROUND($H$8+VaBenefits[[#This Row],[timeFromValuation]],0)</f>
        <v>85</v>
      </c>
      <c r="I88" s="27" t="b">
        <f>VaBenefits[[#This Row],[Withdrawal Taken  ]]&gt;0</f>
        <v>0</v>
      </c>
      <c r="J88" s="41">
        <f>IF(AND(NOT(VaBenefits[[#This Row],[Is Activation]]),VaBenefits[[#This Row],[Assumed Contract Value ]]&gt;0),VaBenefits[[#This Row],[Withdrawal Taken  ]]/VaBenefits[[#This Row],[Assumed Contract Value ]],0)</f>
        <v>0</v>
      </c>
      <c r="K8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8" s="27" t="b">
        <f ca="1">AND(VaBenefits[[#This Row],[Is Activation]],SUMIFS($E$8:$E88,$C$8:$C88,TRUE)&gt;0)</f>
        <v>0</v>
      </c>
      <c r="M8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8" s="32" t="b">
        <f>IF(VaBenefits[[#This Row],[timeFromValuation]]=0,0, MOD(VaBenefits[[#This Row],[timeFromValuation]],1)=0)</f>
        <v>1</v>
      </c>
      <c r="O88" s="7">
        <f>IF(VaBenefits[[#This Row],[Is Anniversary?]]=TRUE,VaBenefits[[#This Row],[Assumed Contract Value ]],0)</f>
        <v>0</v>
      </c>
      <c r="P8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8" s="7" t="b">
        <f>VaBenefits[[#This Row],[Assumed Contract Value ]]&lt;0.1</f>
        <v>1</v>
      </c>
      <c r="R8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8" s="7">
        <f ca="1">IF(AND(VaBenefits[[#This Row],[Is Activation]]=FALSE,VaBenefits[[#This Row],[Is Anniversary?]]=TRUE),OFFSET( VaBenefits[[#This Row],[Income Credit Base]],-1,0)*ICP,0)</f>
        <v>0</v>
      </c>
      <c r="T88" s="5">
        <f>IF(VaBenefits[[#This Row],[Assumed Contract Value ]]&gt;0,VaBenefits[[#This Row],[Income Base]]*MAWA,0)</f>
        <v>0</v>
      </c>
      <c r="U88" s="95">
        <f ca="1">IF(AND(VaBenefits[[#This Row],[Has Income Credit]],VaBenefits[[#This Row],[Is Anniversary?]],VaBenefits[[#This Row],[Joint Mortality tPxy for the partial year]]),VaBenefits[[#This Row],[Income Base]]*PIP,0)</f>
        <v>12026.006800536559</v>
      </c>
      <c r="V88" s="8">
        <f>1/(1+InterestRate)^VaBenefits[[#This Row],[timeFromValuation]]</f>
        <v>0.37688948287300061</v>
      </c>
      <c r="W88" s="90">
        <f>VaBenefits[[#This Row],[timeFromValuation]]</f>
        <v>20</v>
      </c>
      <c r="X88" s="91">
        <f>IF(($G$8+VaBenefits[[#This Row],[timeFromValuation]])&lt;=120,VLOOKUP(G88,Table2[],Qx!L$6,FALSE),0)</f>
        <v>0.98571799999999998</v>
      </c>
      <c r="Y88" s="91">
        <f>IF(($H$8+VaBenefits[[#This Row],[timeFromValuation]])&lt;=120,VLOOKUP(H88,Table2[],Qx!M$6,FALSE),0)</f>
        <v>0.94014500000000001</v>
      </c>
      <c r="Z88" s="90">
        <f>PRODUCT($X$8:$X88)</f>
        <v>0.58252714255665849</v>
      </c>
      <c r="AA88" s="90">
        <f>PRODUCT($Y$8:$Y88)</f>
        <v>0.13661297499211056</v>
      </c>
      <c r="AB88" s="91">
        <f>VaBenefits[[#This Row],[Primary Annuitant Px]]+VaBenefits[[#This Row],[Secondary Annuitant Py]]-VaBenefits[[#This Row],[Primary Annuitant Px]]*VaBenefits[[#This Row],[Secondary Annuitant Py]]</f>
        <v>0.99914515089000011</v>
      </c>
      <c r="AC88" s="91">
        <f>PRODUCT($AB$8:$AB88)</f>
        <v>0.98289352278071385</v>
      </c>
      <c r="AD88" s="97">
        <f t="shared" ca="1" si="14"/>
        <v>0</v>
      </c>
      <c r="AE88" s="130">
        <f>IF((AND(VaBenefits[[#This Row],[Is Anniversary?]],VaBenefits[[#This Row],[Assumed Contract Value ]]&lt;75000)),-50,0)</f>
        <v>-50</v>
      </c>
      <c r="AF88" s="133">
        <f>VaBenefits[[#This Row],[Assumed Contract Value ]]*-1.15%/4</f>
        <v>0</v>
      </c>
      <c r="AG88" s="129">
        <v>0</v>
      </c>
      <c r="AH88" s="131">
        <f>VaBenefits[[#This Row],[Maintenace Fee]]+VaBenefits[[#This Row],[Separate Account Charge]]+VaBenefits[[#This Row],[Rider Fee]]</f>
        <v>-50</v>
      </c>
      <c r="AR88" s="23">
        <f t="shared" si="17"/>
        <v>40</v>
      </c>
      <c r="AS88" s="24">
        <v>0</v>
      </c>
      <c r="AT88" s="24">
        <v>0</v>
      </c>
      <c r="AU88" s="22">
        <v>0</v>
      </c>
      <c r="AV88" s="16">
        <v>0</v>
      </c>
      <c r="AW88" s="14">
        <v>299982</v>
      </c>
      <c r="AX88" s="15">
        <v>0</v>
      </c>
      <c r="AY88" s="15">
        <v>0</v>
      </c>
      <c r="AZ88" s="14">
        <v>0</v>
      </c>
      <c r="BA88" s="17">
        <v>11999</v>
      </c>
    </row>
    <row r="89" spans="1:53" ht="15" thickBot="1" x14ac:dyDescent="0.35">
      <c r="A89" s="32">
        <f t="shared" si="15"/>
        <v>81</v>
      </c>
      <c r="B89" s="29">
        <f t="shared" si="16"/>
        <v>20.25</v>
      </c>
      <c r="C89" s="29" t="b">
        <f>AND(VaBenefits[[#This Row],[timeFromValuation]]&gt;=ACT,VaBenefits[[#This Row],[Assumed Contract Value ]]&gt;0)</f>
        <v>0</v>
      </c>
      <c r="D89" s="20">
        <v>0</v>
      </c>
      <c r="E89" s="20">
        <v>0</v>
      </c>
      <c r="F89" s="20">
        <v>0</v>
      </c>
      <c r="G89" s="96">
        <f>ROUND($G$8+VaBenefits[[#This Row],[timeFromValuation]],0)</f>
        <v>75</v>
      </c>
      <c r="H89" s="20">
        <f>ROUND($H$8+VaBenefits[[#This Row],[timeFromValuation]],0)</f>
        <v>85</v>
      </c>
      <c r="I89" s="27" t="b">
        <f>VaBenefits[[#This Row],[Withdrawal Taken  ]]&gt;0</f>
        <v>0</v>
      </c>
      <c r="J89" s="41">
        <f>IF(AND(NOT(VaBenefits[[#This Row],[Is Activation]]),VaBenefits[[#This Row],[Assumed Contract Value ]]&gt;0),VaBenefits[[#This Row],[Withdrawal Taken  ]]/VaBenefits[[#This Row],[Assumed Contract Value ]],0)</f>
        <v>0</v>
      </c>
      <c r="K8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9" s="27" t="b">
        <f ca="1">AND(VaBenefits[[#This Row],[Is Activation]],SUMIFS($E$8:$E89,$C$8:$C89,TRUE)&gt;0)</f>
        <v>0</v>
      </c>
      <c r="M8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9" s="32" t="b">
        <f>IF(VaBenefits[[#This Row],[timeFromValuation]]=0,0, MOD(VaBenefits[[#This Row],[timeFromValuation]],1)=0)</f>
        <v>0</v>
      </c>
      <c r="O89" s="7">
        <f>IF(VaBenefits[[#This Row],[Is Anniversary?]]=TRUE,VaBenefits[[#This Row],[Assumed Contract Value ]],0)</f>
        <v>0</v>
      </c>
      <c r="P8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9" s="7" t="b">
        <f>VaBenefits[[#This Row],[Assumed Contract Value ]]&lt;0.1</f>
        <v>1</v>
      </c>
      <c r="R8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9" s="7">
        <f ca="1">IF(AND(VaBenefits[[#This Row],[Is Activation]]=FALSE,VaBenefits[[#This Row],[Is Anniversary?]]=TRUE),OFFSET( VaBenefits[[#This Row],[Income Credit Base]],-1,0)*ICP,0)</f>
        <v>0</v>
      </c>
      <c r="T89" s="5">
        <f>IF(VaBenefits[[#This Row],[Assumed Contract Value ]]&gt;0,VaBenefits[[#This Row],[Income Base]]*MAWA,0)</f>
        <v>0</v>
      </c>
      <c r="U89" s="95">
        <f>IF(AND(VaBenefits[[#This Row],[Has Income Credit]],VaBenefits[[#This Row],[Is Anniversary?]],VaBenefits[[#This Row],[Joint Mortality tPxy for the partial year]]),VaBenefits[[#This Row],[Income Base]]*PIP,0)</f>
        <v>0</v>
      </c>
      <c r="V89" s="8">
        <f>1/(1+InterestRate)^VaBenefits[[#This Row],[timeFromValuation]]</f>
        <v>0.37232028110064735</v>
      </c>
      <c r="W89" s="90">
        <f>VaBenefits[[#This Row],[timeFromValuation]]</f>
        <v>20.25</v>
      </c>
      <c r="X89" s="91">
        <f>IF(($G$8+VaBenefits[[#This Row],[timeFromValuation]])&lt;=120,VLOOKUP(G89,Table2[],Qx!L$6,FALSE),0)</f>
        <v>0.98571799999999998</v>
      </c>
      <c r="Y89" s="91">
        <f>IF(($H$8+VaBenefits[[#This Row],[timeFromValuation]])&lt;=120,VLOOKUP(H89,Table2[],Qx!M$6,FALSE),0)</f>
        <v>0.94014500000000001</v>
      </c>
      <c r="Z89" s="90">
        <f>PRODUCT($X$8:$X89)</f>
        <v>0.57420748990666426</v>
      </c>
      <c r="AA89" s="90">
        <f>PRODUCT($Y$8:$Y89)</f>
        <v>0.12843600537395777</v>
      </c>
      <c r="AB89" s="91">
        <f>VaBenefits[[#This Row],[Primary Annuitant Px]]+VaBenefits[[#This Row],[Secondary Annuitant Py]]-VaBenefits[[#This Row],[Primary Annuitant Px]]*VaBenefits[[#This Row],[Secondary Annuitant Py]]</f>
        <v>0.99914515089000011</v>
      </c>
      <c r="AC89" s="91">
        <f>PRODUCT($AB$8:$AB89)</f>
        <v>0.98205329712754008</v>
      </c>
      <c r="AD89" s="97">
        <f t="shared" ca="1" si="14"/>
        <v>0</v>
      </c>
      <c r="AE89" s="130">
        <f>IF((AND(VaBenefits[[#This Row],[Is Anniversary?]],VaBenefits[[#This Row],[Assumed Contract Value ]]&lt;75000)),-50,0)</f>
        <v>0</v>
      </c>
      <c r="AF89" s="133">
        <f>VaBenefits[[#This Row],[Assumed Contract Value ]]*-1.15%/4</f>
        <v>0</v>
      </c>
      <c r="AG89" s="129">
        <v>0</v>
      </c>
      <c r="AH89" s="131">
        <f>VaBenefits[[#This Row],[Maintenace Fee]]+VaBenefits[[#This Row],[Separate Account Charge]]+VaBenefits[[#This Row],[Rider Fee]]</f>
        <v>0</v>
      </c>
      <c r="AR89" s="23">
        <f t="shared" si="17"/>
        <v>40.5</v>
      </c>
      <c r="AS89" s="24">
        <v>0</v>
      </c>
      <c r="AT89" s="24">
        <v>0</v>
      </c>
      <c r="AU89" s="22">
        <v>0</v>
      </c>
      <c r="AV89" s="16">
        <v>0</v>
      </c>
      <c r="AW89" s="14">
        <v>299982</v>
      </c>
      <c r="AX89" s="15">
        <v>0</v>
      </c>
      <c r="AY89" s="15">
        <v>0</v>
      </c>
      <c r="AZ89" s="14">
        <v>0</v>
      </c>
      <c r="BA89" s="17">
        <v>11999</v>
      </c>
    </row>
    <row r="90" spans="1:53" ht="15" thickBot="1" x14ac:dyDescent="0.35">
      <c r="A90" s="32">
        <f t="shared" si="15"/>
        <v>82</v>
      </c>
      <c r="B90" s="29">
        <f t="shared" si="16"/>
        <v>20.5</v>
      </c>
      <c r="C90" s="29" t="b">
        <f>AND(VaBenefits[[#This Row],[timeFromValuation]]&gt;=ACT,VaBenefits[[#This Row],[Assumed Contract Value ]]&gt;0)</f>
        <v>0</v>
      </c>
      <c r="D90" s="20">
        <v>0</v>
      </c>
      <c r="E90" s="20">
        <v>0</v>
      </c>
      <c r="F90" s="20">
        <v>0</v>
      </c>
      <c r="G90" s="96">
        <f>ROUND($G$8+VaBenefits[[#This Row],[timeFromValuation]],0)</f>
        <v>76</v>
      </c>
      <c r="H90" s="20">
        <f>ROUND($H$8+VaBenefits[[#This Row],[timeFromValuation]],0)</f>
        <v>86</v>
      </c>
      <c r="I90" s="27" t="b">
        <f>VaBenefits[[#This Row],[Withdrawal Taken  ]]&gt;0</f>
        <v>0</v>
      </c>
      <c r="J90" s="41">
        <f>IF(AND(NOT(VaBenefits[[#This Row],[Is Activation]]),VaBenefits[[#This Row],[Assumed Contract Value ]]&gt;0),VaBenefits[[#This Row],[Withdrawal Taken  ]]/VaBenefits[[#This Row],[Assumed Contract Value ]],0)</f>
        <v>0</v>
      </c>
      <c r="K9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0" s="27" t="b">
        <f ca="1">AND(VaBenefits[[#This Row],[Is Activation]],SUMIFS($E$8:$E90,$C$8:$C90,TRUE)&gt;0)</f>
        <v>0</v>
      </c>
      <c r="M9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0" s="32" t="b">
        <f>IF(VaBenefits[[#This Row],[timeFromValuation]]=0,0, MOD(VaBenefits[[#This Row],[timeFromValuation]],1)=0)</f>
        <v>0</v>
      </c>
      <c r="O90" s="7">
        <f>IF(VaBenefits[[#This Row],[Is Anniversary?]]=TRUE,VaBenefits[[#This Row],[Assumed Contract Value ]],0)</f>
        <v>0</v>
      </c>
      <c r="P9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0" s="7" t="b">
        <f>VaBenefits[[#This Row],[Assumed Contract Value ]]&lt;0.1</f>
        <v>1</v>
      </c>
      <c r="R9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0" s="7">
        <f ca="1">IF(AND(VaBenefits[[#This Row],[Is Activation]]=FALSE,VaBenefits[[#This Row],[Is Anniversary?]]=TRUE),OFFSET( VaBenefits[[#This Row],[Income Credit Base]],-1,0)*ICP,0)</f>
        <v>0</v>
      </c>
      <c r="T90" s="5">
        <f>IF(VaBenefits[[#This Row],[Assumed Contract Value ]]&gt;0,VaBenefits[[#This Row],[Income Base]]*MAWA,0)</f>
        <v>0</v>
      </c>
      <c r="U90" s="95">
        <f>IF(AND(VaBenefits[[#This Row],[Has Income Credit]],VaBenefits[[#This Row],[Is Anniversary?]],VaBenefits[[#This Row],[Joint Mortality tPxy for the partial year]]),VaBenefits[[#This Row],[Income Base]]*PIP,0)</f>
        <v>0</v>
      </c>
      <c r="V90" s="8">
        <f>1/(1+InterestRate)^VaBenefits[[#This Row],[timeFromValuation]]</f>
        <v>0.36780647382929599</v>
      </c>
      <c r="W90" s="90">
        <f>VaBenefits[[#This Row],[timeFromValuation]]</f>
        <v>20.5</v>
      </c>
      <c r="X90" s="91">
        <f>IF(($G$8+VaBenefits[[#This Row],[timeFromValuation]])&lt;=120,VLOOKUP(G90,Table2[],Qx!L$6,FALSE),0)</f>
        <v>0.98420099999999999</v>
      </c>
      <c r="Y90" s="91">
        <f>IF(($H$8+VaBenefits[[#This Row],[timeFromValuation]])&lt;=120,VLOOKUP(H90,Table2[],Qx!M$6,FALSE),0)</f>
        <v>0.93248600000000004</v>
      </c>
      <c r="Z90" s="90">
        <f>PRODUCT($X$8:$X90)</f>
        <v>0.56513558577362888</v>
      </c>
      <c r="AA90" s="90">
        <f>PRODUCT($Y$8:$Y90)</f>
        <v>0.11976477690714039</v>
      </c>
      <c r="AB90" s="91">
        <f>VaBenefits[[#This Row],[Primary Annuitant Px]]+VaBenefits[[#This Row],[Secondary Annuitant Py]]-VaBenefits[[#This Row],[Primary Annuitant Px]]*VaBenefits[[#This Row],[Secondary Annuitant Py]]</f>
        <v>0.99893334631399999</v>
      </c>
      <c r="AC90" s="91">
        <f>PRODUCT($AB$8:$AB90)</f>
        <v>0.98100578635831048</v>
      </c>
      <c r="AD90" s="97">
        <f t="shared" ca="1" si="14"/>
        <v>0</v>
      </c>
      <c r="AE90" s="130">
        <f>IF((AND(VaBenefits[[#This Row],[Is Anniversary?]],VaBenefits[[#This Row],[Assumed Contract Value ]]&lt;75000)),-50,0)</f>
        <v>0</v>
      </c>
      <c r="AF90" s="133">
        <f>VaBenefits[[#This Row],[Assumed Contract Value ]]*-1.15%/4</f>
        <v>0</v>
      </c>
      <c r="AG90" s="129">
        <v>0</v>
      </c>
      <c r="AH90" s="131">
        <f>VaBenefits[[#This Row],[Maintenace Fee]]+VaBenefits[[#This Row],[Separate Account Charge]]+VaBenefits[[#This Row],[Rider Fee]]</f>
        <v>0</v>
      </c>
      <c r="AR90" s="23">
        <f t="shared" si="17"/>
        <v>41</v>
      </c>
      <c r="AS90" s="24">
        <v>0</v>
      </c>
      <c r="AT90" s="24">
        <v>0</v>
      </c>
      <c r="AU90" s="22">
        <v>0</v>
      </c>
      <c r="AV90" s="16">
        <v>0</v>
      </c>
      <c r="AW90" s="14">
        <v>299982</v>
      </c>
      <c r="AX90" s="15">
        <v>0</v>
      </c>
      <c r="AY90" s="15">
        <v>0</v>
      </c>
      <c r="AZ90" s="14">
        <v>0</v>
      </c>
      <c r="BA90" s="17">
        <v>11999</v>
      </c>
    </row>
    <row r="91" spans="1:53" ht="15" thickBot="1" x14ac:dyDescent="0.35">
      <c r="A91" s="32">
        <f t="shared" si="15"/>
        <v>83</v>
      </c>
      <c r="B91" s="29">
        <f t="shared" si="16"/>
        <v>20.75</v>
      </c>
      <c r="C91" s="29" t="b">
        <f>AND(VaBenefits[[#This Row],[timeFromValuation]]&gt;=ACT,VaBenefits[[#This Row],[Assumed Contract Value ]]&gt;0)</f>
        <v>0</v>
      </c>
      <c r="D91" s="20">
        <v>0</v>
      </c>
      <c r="E91" s="20">
        <v>0</v>
      </c>
      <c r="F91" s="20">
        <v>0</v>
      </c>
      <c r="G91" s="96">
        <f>ROUND($G$8+VaBenefits[[#This Row],[timeFromValuation]],0)</f>
        <v>76</v>
      </c>
      <c r="H91" s="20">
        <f>ROUND($H$8+VaBenefits[[#This Row],[timeFromValuation]],0)</f>
        <v>86</v>
      </c>
      <c r="I91" s="27" t="b">
        <f>VaBenefits[[#This Row],[Withdrawal Taken  ]]&gt;0</f>
        <v>0</v>
      </c>
      <c r="J91" s="41">
        <f>IF(AND(NOT(VaBenefits[[#This Row],[Is Activation]]),VaBenefits[[#This Row],[Assumed Contract Value ]]&gt;0),VaBenefits[[#This Row],[Withdrawal Taken  ]]/VaBenefits[[#This Row],[Assumed Contract Value ]],0)</f>
        <v>0</v>
      </c>
      <c r="K9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1" s="27" t="b">
        <f ca="1">AND(VaBenefits[[#This Row],[Is Activation]],SUMIFS($E$8:$E91,$C$8:$C91,TRUE)&gt;0)</f>
        <v>0</v>
      </c>
      <c r="M9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1" s="32" t="b">
        <f>IF(VaBenefits[[#This Row],[timeFromValuation]]=0,0, MOD(VaBenefits[[#This Row],[timeFromValuation]],1)=0)</f>
        <v>0</v>
      </c>
      <c r="O91" s="7">
        <f>IF(VaBenefits[[#This Row],[Is Anniversary?]]=TRUE,VaBenefits[[#This Row],[Assumed Contract Value ]],0)</f>
        <v>0</v>
      </c>
      <c r="P9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1" s="7" t="b">
        <f>VaBenefits[[#This Row],[Assumed Contract Value ]]&lt;0.1</f>
        <v>1</v>
      </c>
      <c r="R9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1" s="7">
        <f ca="1">IF(AND(VaBenefits[[#This Row],[Is Activation]]=FALSE,VaBenefits[[#This Row],[Is Anniversary?]]=TRUE),OFFSET( VaBenefits[[#This Row],[Income Credit Base]],-1,0)*ICP,0)</f>
        <v>0</v>
      </c>
      <c r="T91" s="5">
        <f>IF(VaBenefits[[#This Row],[Assumed Contract Value ]]&gt;0,VaBenefits[[#This Row],[Income Base]]*MAWA,0)</f>
        <v>0</v>
      </c>
      <c r="U91" s="95">
        <f>IF(AND(VaBenefits[[#This Row],[Has Income Credit]],VaBenefits[[#This Row],[Is Anniversary?]],VaBenefits[[#This Row],[Joint Mortality tPxy for the partial year]]),VaBenefits[[#This Row],[Income Base]]*PIP,0)</f>
        <v>0</v>
      </c>
      <c r="V91" s="8">
        <f>1/(1+InterestRate)^VaBenefits[[#This Row],[timeFromValuation]]</f>
        <v>0.36334738948634016</v>
      </c>
      <c r="W91" s="90">
        <f>VaBenefits[[#This Row],[timeFromValuation]]</f>
        <v>20.75</v>
      </c>
      <c r="X91" s="91">
        <f>IF(($G$8+VaBenefits[[#This Row],[timeFromValuation]])&lt;=120,VLOOKUP(G91,Table2[],Qx!L$6,FALSE),0)</f>
        <v>0.98420099999999999</v>
      </c>
      <c r="Y91" s="91">
        <f>IF(($H$8+VaBenefits[[#This Row],[timeFromValuation]])&lt;=120,VLOOKUP(H91,Table2[],Qx!M$6,FALSE),0)</f>
        <v>0.93248600000000004</v>
      </c>
      <c r="Z91" s="90">
        <f>PRODUCT($X$8:$X91)</f>
        <v>0.55620700865399131</v>
      </c>
      <c r="AA91" s="90">
        <f>PRODUCT($Y$8:$Y91)</f>
        <v>0.11167897775903173</v>
      </c>
      <c r="AB91" s="91">
        <f>VaBenefits[[#This Row],[Primary Annuitant Px]]+VaBenefits[[#This Row],[Secondary Annuitant Py]]-VaBenefits[[#This Row],[Primary Annuitant Px]]*VaBenefits[[#This Row],[Secondary Annuitant Py]]</f>
        <v>0.99893334631399999</v>
      </c>
      <c r="AC91" s="91">
        <f>PRODUCT($AB$8:$AB91)</f>
        <v>0.9799593929203041</v>
      </c>
      <c r="AD91" s="97">
        <f t="shared" ca="1" si="14"/>
        <v>0</v>
      </c>
      <c r="AE91" s="130">
        <f>IF((AND(VaBenefits[[#This Row],[Is Anniversary?]],VaBenefits[[#This Row],[Assumed Contract Value ]]&lt;75000)),-50,0)</f>
        <v>0</v>
      </c>
      <c r="AF91" s="133">
        <f>VaBenefits[[#This Row],[Assumed Contract Value ]]*-1.15%/4</f>
        <v>0</v>
      </c>
      <c r="AG91" s="129">
        <v>0</v>
      </c>
      <c r="AH91" s="131">
        <f>VaBenefits[[#This Row],[Maintenace Fee]]+VaBenefits[[#This Row],[Separate Account Charge]]+VaBenefits[[#This Row],[Rider Fee]]</f>
        <v>0</v>
      </c>
      <c r="AR91" s="23">
        <f t="shared" si="17"/>
        <v>41.5</v>
      </c>
      <c r="AS91" s="24">
        <v>0</v>
      </c>
      <c r="AT91" s="24">
        <v>0</v>
      </c>
      <c r="AU91" s="22">
        <v>0</v>
      </c>
      <c r="AV91" s="16">
        <v>0</v>
      </c>
      <c r="AW91" s="14">
        <v>299982</v>
      </c>
      <c r="AX91" s="15">
        <v>0</v>
      </c>
      <c r="AY91" s="15">
        <v>0</v>
      </c>
      <c r="AZ91" s="14">
        <v>0</v>
      </c>
      <c r="BA91" s="17">
        <v>11999</v>
      </c>
    </row>
    <row r="92" spans="1:53" ht="15" thickBot="1" x14ac:dyDescent="0.35">
      <c r="A92" s="32">
        <f t="shared" si="15"/>
        <v>84</v>
      </c>
      <c r="B92" s="29">
        <f t="shared" si="16"/>
        <v>21</v>
      </c>
      <c r="C92" s="29" t="b">
        <f>AND(VaBenefits[[#This Row],[timeFromValuation]]&gt;=ACT,VaBenefits[[#This Row],[Assumed Contract Value ]]&gt;0)</f>
        <v>0</v>
      </c>
      <c r="D92" s="20">
        <v>0</v>
      </c>
      <c r="E92" s="20">
        <v>0</v>
      </c>
      <c r="F92" s="20">
        <v>0</v>
      </c>
      <c r="G92" s="96">
        <f>ROUND($G$8+VaBenefits[[#This Row],[timeFromValuation]],0)</f>
        <v>76</v>
      </c>
      <c r="H92" s="20">
        <f>ROUND($H$8+VaBenefits[[#This Row],[timeFromValuation]],0)</f>
        <v>86</v>
      </c>
      <c r="I92" s="27" t="b">
        <f>VaBenefits[[#This Row],[Withdrawal Taken  ]]&gt;0</f>
        <v>0</v>
      </c>
      <c r="J92" s="41">
        <f>IF(AND(NOT(VaBenefits[[#This Row],[Is Activation]]),VaBenefits[[#This Row],[Assumed Contract Value ]]&gt;0),VaBenefits[[#This Row],[Withdrawal Taken  ]]/VaBenefits[[#This Row],[Assumed Contract Value ]],0)</f>
        <v>0</v>
      </c>
      <c r="K9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2" s="27" t="b">
        <f ca="1">AND(VaBenefits[[#This Row],[Is Activation]],SUMIFS($E$8:$E92,$C$8:$C92,TRUE)&gt;0)</f>
        <v>0</v>
      </c>
      <c r="M9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2" s="32" t="b">
        <f>IF(VaBenefits[[#This Row],[timeFromValuation]]=0,0, MOD(VaBenefits[[#This Row],[timeFromValuation]],1)=0)</f>
        <v>1</v>
      </c>
      <c r="O92" s="7">
        <f>IF(VaBenefits[[#This Row],[Is Anniversary?]]=TRUE,VaBenefits[[#This Row],[Assumed Contract Value ]],0)</f>
        <v>0</v>
      </c>
      <c r="P9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2" s="7" t="b">
        <f>VaBenefits[[#This Row],[Assumed Contract Value ]]&lt;0.1</f>
        <v>1</v>
      </c>
      <c r="R9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2" s="7">
        <f ca="1">IF(AND(VaBenefits[[#This Row],[Is Activation]]=FALSE,VaBenefits[[#This Row],[Is Anniversary?]]=TRUE),OFFSET( VaBenefits[[#This Row],[Income Credit Base]],-1,0)*ICP,0)</f>
        <v>0</v>
      </c>
      <c r="T92" s="5">
        <f>IF(VaBenefits[[#This Row],[Assumed Contract Value ]]&gt;0,VaBenefits[[#This Row],[Income Base]]*MAWA,0)</f>
        <v>0</v>
      </c>
      <c r="U92" s="95">
        <f ca="1">IF(AND(VaBenefits[[#This Row],[Has Income Credit]],VaBenefits[[#This Row],[Is Anniversary?]],VaBenefits[[#This Row],[Joint Mortality tPxy for the partial year]]),VaBenefits[[#This Row],[Income Base]]*PIP,0)</f>
        <v>12026.006800536559</v>
      </c>
      <c r="V92" s="8">
        <f>1/(1+InterestRate)^VaBenefits[[#This Row],[timeFromValuation]]</f>
        <v>0.35894236464095297</v>
      </c>
      <c r="W92" s="90">
        <f>VaBenefits[[#This Row],[timeFromValuation]]</f>
        <v>21</v>
      </c>
      <c r="X92" s="91">
        <f>IF(($G$8+VaBenefits[[#This Row],[timeFromValuation]])&lt;=120,VLOOKUP(G92,Table2[],Qx!L$6,FALSE),0)</f>
        <v>0.98420099999999999</v>
      </c>
      <c r="Y92" s="91">
        <f>IF(($H$8+VaBenefits[[#This Row],[timeFromValuation]])&lt;=120,VLOOKUP(H92,Table2[],Qx!M$6,FALSE),0)</f>
        <v>0.93248600000000004</v>
      </c>
      <c r="Z92" s="90">
        <f>PRODUCT($X$8:$X92)</f>
        <v>0.54741949412426694</v>
      </c>
      <c r="AA92" s="90">
        <f>PRODUCT($Y$8:$Y92)</f>
        <v>0.10413908325460847</v>
      </c>
      <c r="AB92" s="91">
        <f>VaBenefits[[#This Row],[Primary Annuitant Px]]+VaBenefits[[#This Row],[Secondary Annuitant Py]]-VaBenefits[[#This Row],[Primary Annuitant Px]]*VaBenefits[[#This Row],[Secondary Annuitant Py]]</f>
        <v>0.99893334631399999</v>
      </c>
      <c r="AC92" s="91">
        <f>PRODUCT($AB$8:$AB92)</f>
        <v>0.97891411562171537</v>
      </c>
      <c r="AD92" s="97">
        <f t="shared" ca="1" si="14"/>
        <v>0</v>
      </c>
      <c r="AE92" s="130">
        <f>IF((AND(VaBenefits[[#This Row],[Is Anniversary?]],VaBenefits[[#This Row],[Assumed Contract Value ]]&lt;75000)),-50,0)</f>
        <v>-50</v>
      </c>
      <c r="AF92" s="133">
        <f>VaBenefits[[#This Row],[Assumed Contract Value ]]*-1.15%/4</f>
        <v>0</v>
      </c>
      <c r="AG92" s="129">
        <v>0</v>
      </c>
      <c r="AH92" s="131">
        <f>VaBenefits[[#This Row],[Maintenace Fee]]+VaBenefits[[#This Row],[Separate Account Charge]]+VaBenefits[[#This Row],[Rider Fee]]</f>
        <v>-50</v>
      </c>
      <c r="AR92" s="23">
        <f t="shared" si="17"/>
        <v>42</v>
      </c>
      <c r="AS92" s="24">
        <v>0</v>
      </c>
      <c r="AT92" s="24">
        <v>0</v>
      </c>
      <c r="AU92" s="22">
        <v>0</v>
      </c>
      <c r="AV92" s="16">
        <v>0</v>
      </c>
      <c r="AW92" s="14">
        <v>299982</v>
      </c>
      <c r="AX92" s="15">
        <v>0</v>
      </c>
      <c r="AY92" s="15">
        <v>0</v>
      </c>
      <c r="AZ92" s="14">
        <v>0</v>
      </c>
      <c r="BA92" s="17">
        <v>11999</v>
      </c>
    </row>
    <row r="93" spans="1:53" ht="15" thickBot="1" x14ac:dyDescent="0.35">
      <c r="A93" s="32">
        <f t="shared" si="15"/>
        <v>85</v>
      </c>
      <c r="B93" s="29">
        <f t="shared" si="16"/>
        <v>21.25</v>
      </c>
      <c r="C93" s="29" t="b">
        <f>AND(VaBenefits[[#This Row],[timeFromValuation]]&gt;=ACT,VaBenefits[[#This Row],[Assumed Contract Value ]]&gt;0)</f>
        <v>0</v>
      </c>
      <c r="D93" s="20">
        <v>0</v>
      </c>
      <c r="E93" s="20">
        <v>0</v>
      </c>
      <c r="F93" s="20">
        <v>0</v>
      </c>
      <c r="G93" s="96">
        <f>ROUND($G$8+VaBenefits[[#This Row],[timeFromValuation]],0)</f>
        <v>76</v>
      </c>
      <c r="H93" s="20">
        <f>ROUND($H$8+VaBenefits[[#This Row],[timeFromValuation]],0)</f>
        <v>86</v>
      </c>
      <c r="I93" s="27" t="b">
        <f>VaBenefits[[#This Row],[Withdrawal Taken  ]]&gt;0</f>
        <v>0</v>
      </c>
      <c r="J93" s="41">
        <f>IF(AND(NOT(VaBenefits[[#This Row],[Is Activation]]),VaBenefits[[#This Row],[Assumed Contract Value ]]&gt;0),VaBenefits[[#This Row],[Withdrawal Taken  ]]/VaBenefits[[#This Row],[Assumed Contract Value ]],0)</f>
        <v>0</v>
      </c>
      <c r="K9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3" s="27" t="b">
        <f ca="1">AND(VaBenefits[[#This Row],[Is Activation]],SUMIFS($E$8:$E93,$C$8:$C93,TRUE)&gt;0)</f>
        <v>0</v>
      </c>
      <c r="M9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3" s="32" t="b">
        <f>IF(VaBenefits[[#This Row],[timeFromValuation]]=0,0, MOD(VaBenefits[[#This Row],[timeFromValuation]],1)=0)</f>
        <v>0</v>
      </c>
      <c r="O93" s="7">
        <f>IF(VaBenefits[[#This Row],[Is Anniversary?]]=TRUE,VaBenefits[[#This Row],[Assumed Contract Value ]],0)</f>
        <v>0</v>
      </c>
      <c r="P9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3" s="7" t="b">
        <f>VaBenefits[[#This Row],[Assumed Contract Value ]]&lt;0.1</f>
        <v>1</v>
      </c>
      <c r="R9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3" s="7">
        <f ca="1">IF(AND(VaBenefits[[#This Row],[Is Activation]]=FALSE,VaBenefits[[#This Row],[Is Anniversary?]]=TRUE),OFFSET( VaBenefits[[#This Row],[Income Credit Base]],-1,0)*ICP,0)</f>
        <v>0</v>
      </c>
      <c r="T93" s="5">
        <f>IF(VaBenefits[[#This Row],[Assumed Contract Value ]]&gt;0,VaBenefits[[#This Row],[Income Base]]*MAWA,0)</f>
        <v>0</v>
      </c>
      <c r="U93" s="95">
        <f>IF(AND(VaBenefits[[#This Row],[Has Income Credit]],VaBenefits[[#This Row],[Is Anniversary?]],VaBenefits[[#This Row],[Joint Mortality tPxy for the partial year]]),VaBenefits[[#This Row],[Income Base]]*PIP,0)</f>
        <v>0</v>
      </c>
      <c r="V93" s="8">
        <f>1/(1+InterestRate)^VaBenefits[[#This Row],[timeFromValuation]]</f>
        <v>0.35459074390537848</v>
      </c>
      <c r="W93" s="90">
        <f>VaBenefits[[#This Row],[timeFromValuation]]</f>
        <v>21.25</v>
      </c>
      <c r="X93" s="91">
        <f>IF(($G$8+VaBenefits[[#This Row],[timeFromValuation]])&lt;=120,VLOOKUP(G93,Table2[],Qx!L$6,FALSE),0)</f>
        <v>0.98420099999999999</v>
      </c>
      <c r="Y93" s="91">
        <f>IF(($H$8+VaBenefits[[#This Row],[timeFromValuation]])&lt;=120,VLOOKUP(H93,Table2[],Qx!M$6,FALSE),0)</f>
        <v>0.93248600000000004</v>
      </c>
      <c r="Z93" s="90">
        <f>PRODUCT($X$8:$X93)</f>
        <v>0.53877081353659761</v>
      </c>
      <c r="AA93" s="90">
        <f>PRODUCT($Y$8:$Y93)</f>
        <v>9.7108237187756838E-2</v>
      </c>
      <c r="AB93" s="91">
        <f>VaBenefits[[#This Row],[Primary Annuitant Px]]+VaBenefits[[#This Row],[Secondary Annuitant Py]]-VaBenefits[[#This Row],[Primary Annuitant Px]]*VaBenefits[[#This Row],[Secondary Annuitant Py]]</f>
        <v>0.99893334631399999</v>
      </c>
      <c r="AC93" s="91">
        <f>PRODUCT($AB$8:$AB93)</f>
        <v>0.97786995327200998</v>
      </c>
      <c r="AD93" s="97">
        <f t="shared" ca="1" si="14"/>
        <v>0</v>
      </c>
      <c r="AE93" s="130">
        <f>IF((AND(VaBenefits[[#This Row],[Is Anniversary?]],VaBenefits[[#This Row],[Assumed Contract Value ]]&lt;75000)),-50,0)</f>
        <v>0</v>
      </c>
      <c r="AF93" s="133">
        <f>VaBenefits[[#This Row],[Assumed Contract Value ]]*-1.15%/4</f>
        <v>0</v>
      </c>
      <c r="AG93" s="129">
        <v>0</v>
      </c>
      <c r="AH93" s="131">
        <f>VaBenefits[[#This Row],[Maintenace Fee]]+VaBenefits[[#This Row],[Separate Account Charge]]+VaBenefits[[#This Row],[Rider Fee]]</f>
        <v>0</v>
      </c>
      <c r="AR93" s="23">
        <f t="shared" si="17"/>
        <v>42.5</v>
      </c>
      <c r="AS93" s="24">
        <v>0</v>
      </c>
      <c r="AT93" s="24">
        <v>0</v>
      </c>
      <c r="AU93" s="22">
        <v>0</v>
      </c>
      <c r="AV93" s="16">
        <v>0</v>
      </c>
      <c r="AW93" s="14">
        <v>299982</v>
      </c>
      <c r="AX93" s="15">
        <v>0</v>
      </c>
      <c r="AY93" s="15">
        <v>0</v>
      </c>
      <c r="AZ93" s="14">
        <v>0</v>
      </c>
      <c r="BA93" s="17">
        <v>11999</v>
      </c>
    </row>
    <row r="94" spans="1:53" ht="15" thickBot="1" x14ac:dyDescent="0.35">
      <c r="A94" s="32">
        <f t="shared" si="15"/>
        <v>86</v>
      </c>
      <c r="B94" s="29">
        <f t="shared" si="16"/>
        <v>21.5</v>
      </c>
      <c r="C94" s="29" t="b">
        <f>AND(VaBenefits[[#This Row],[timeFromValuation]]&gt;=ACT,VaBenefits[[#This Row],[Assumed Contract Value ]]&gt;0)</f>
        <v>0</v>
      </c>
      <c r="D94" s="20">
        <v>0</v>
      </c>
      <c r="E94" s="20">
        <v>0</v>
      </c>
      <c r="F94" s="20">
        <v>0</v>
      </c>
      <c r="G94" s="96">
        <f>ROUND($G$8+VaBenefits[[#This Row],[timeFromValuation]],0)</f>
        <v>77</v>
      </c>
      <c r="H94" s="20">
        <f>ROUND($H$8+VaBenefits[[#This Row],[timeFromValuation]],0)</f>
        <v>87</v>
      </c>
      <c r="I94" s="27" t="b">
        <f>VaBenefits[[#This Row],[Withdrawal Taken  ]]&gt;0</f>
        <v>0</v>
      </c>
      <c r="J94" s="41">
        <f>IF(AND(NOT(VaBenefits[[#This Row],[Is Activation]]),VaBenefits[[#This Row],[Assumed Contract Value ]]&gt;0),VaBenefits[[#This Row],[Withdrawal Taken  ]]/VaBenefits[[#This Row],[Assumed Contract Value ]],0)</f>
        <v>0</v>
      </c>
      <c r="K9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4" s="27" t="b">
        <f ca="1">AND(VaBenefits[[#This Row],[Is Activation]],SUMIFS($E$8:$E94,$C$8:$C94,TRUE)&gt;0)</f>
        <v>0</v>
      </c>
      <c r="M9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4" s="32" t="b">
        <f>IF(VaBenefits[[#This Row],[timeFromValuation]]=0,0, MOD(VaBenefits[[#This Row],[timeFromValuation]],1)=0)</f>
        <v>0</v>
      </c>
      <c r="O94" s="7">
        <f>IF(VaBenefits[[#This Row],[Is Anniversary?]]=TRUE,VaBenefits[[#This Row],[Assumed Contract Value ]],0)</f>
        <v>0</v>
      </c>
      <c r="P9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4" s="7" t="b">
        <f>VaBenefits[[#This Row],[Assumed Contract Value ]]&lt;0.1</f>
        <v>1</v>
      </c>
      <c r="R9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4" s="7">
        <f ca="1">IF(AND(VaBenefits[[#This Row],[Is Activation]]=FALSE,VaBenefits[[#This Row],[Is Anniversary?]]=TRUE),OFFSET( VaBenefits[[#This Row],[Income Credit Base]],-1,0)*ICP,0)</f>
        <v>0</v>
      </c>
      <c r="T94" s="5">
        <f>IF(VaBenefits[[#This Row],[Assumed Contract Value ]]&gt;0,VaBenefits[[#This Row],[Income Base]]*MAWA,0)</f>
        <v>0</v>
      </c>
      <c r="U94" s="95">
        <f>IF(AND(VaBenefits[[#This Row],[Has Income Credit]],VaBenefits[[#This Row],[Is Anniversary?]],VaBenefits[[#This Row],[Joint Mortality tPxy for the partial year]]),VaBenefits[[#This Row],[Income Base]]*PIP,0)</f>
        <v>0</v>
      </c>
      <c r="V94" s="8">
        <f>1/(1+InterestRate)^VaBenefits[[#This Row],[timeFromValuation]]</f>
        <v>0.35029187983742477</v>
      </c>
      <c r="W94" s="90">
        <f>VaBenefits[[#This Row],[timeFromValuation]]</f>
        <v>21.5</v>
      </c>
      <c r="X94" s="91">
        <f>IF(($G$8+VaBenefits[[#This Row],[timeFromValuation]])&lt;=120,VLOOKUP(G94,Table2[],Qx!L$6,FALSE),0)</f>
        <v>0.98245000000000005</v>
      </c>
      <c r="Y94" s="91">
        <f>IF(($H$8+VaBenefits[[#This Row],[timeFromValuation]])&lt;=120,VLOOKUP(H94,Table2[],Qx!M$6,FALSE),0)</f>
        <v>0.92366000000000004</v>
      </c>
      <c r="Z94" s="90">
        <f>PRODUCT($X$8:$X94)</f>
        <v>0.52931538575903037</v>
      </c>
      <c r="AA94" s="90">
        <f>PRODUCT($Y$8:$Y94)</f>
        <v>8.969499436084348E-2</v>
      </c>
      <c r="AB94" s="91">
        <f>VaBenefits[[#This Row],[Primary Annuitant Px]]+VaBenefits[[#This Row],[Secondary Annuitant Py]]-VaBenefits[[#This Row],[Primary Annuitant Px]]*VaBenefits[[#This Row],[Secondary Annuitant Py]]</f>
        <v>0.99866023299999984</v>
      </c>
      <c r="AC94" s="91">
        <f>PRODUCT($AB$8:$AB94)</f>
        <v>0.97655983537832447</v>
      </c>
      <c r="AD94" s="97">
        <f t="shared" ca="1" si="14"/>
        <v>0</v>
      </c>
      <c r="AE94" s="130">
        <f>IF((AND(VaBenefits[[#This Row],[Is Anniversary?]],VaBenefits[[#This Row],[Assumed Contract Value ]]&lt;75000)),-50,0)</f>
        <v>0</v>
      </c>
      <c r="AF94" s="133">
        <f>VaBenefits[[#This Row],[Assumed Contract Value ]]*-1.15%/4</f>
        <v>0</v>
      </c>
      <c r="AG94" s="129">
        <v>0</v>
      </c>
      <c r="AH94" s="131">
        <f>VaBenefits[[#This Row],[Maintenace Fee]]+VaBenefits[[#This Row],[Separate Account Charge]]+VaBenefits[[#This Row],[Rider Fee]]</f>
        <v>0</v>
      </c>
      <c r="AR94" s="23">
        <f t="shared" si="17"/>
        <v>43</v>
      </c>
      <c r="AS94" s="24">
        <v>0</v>
      </c>
      <c r="AT94" s="24">
        <v>0</v>
      </c>
      <c r="AU94" s="22">
        <v>0</v>
      </c>
      <c r="AV94" s="16">
        <v>0</v>
      </c>
      <c r="AW94" s="14">
        <v>299982</v>
      </c>
      <c r="AX94" s="15">
        <v>0</v>
      </c>
      <c r="AY94" s="15">
        <v>0</v>
      </c>
      <c r="AZ94" s="14">
        <v>0</v>
      </c>
      <c r="BA94" s="17">
        <v>11999</v>
      </c>
    </row>
    <row r="95" spans="1:53" ht="15" thickBot="1" x14ac:dyDescent="0.35">
      <c r="A95" s="32">
        <f t="shared" si="15"/>
        <v>87</v>
      </c>
      <c r="B95" s="29">
        <f t="shared" si="16"/>
        <v>21.75</v>
      </c>
      <c r="C95" s="29" t="b">
        <f>AND(VaBenefits[[#This Row],[timeFromValuation]]&gt;=ACT,VaBenefits[[#This Row],[Assumed Contract Value ]]&gt;0)</f>
        <v>0</v>
      </c>
      <c r="D95" s="20">
        <v>0</v>
      </c>
      <c r="E95" s="20">
        <v>0</v>
      </c>
      <c r="F95" s="20">
        <v>0</v>
      </c>
      <c r="G95" s="96">
        <f>ROUND($G$8+VaBenefits[[#This Row],[timeFromValuation]],0)</f>
        <v>77</v>
      </c>
      <c r="H95" s="20">
        <f>ROUND($H$8+VaBenefits[[#This Row],[timeFromValuation]],0)</f>
        <v>87</v>
      </c>
      <c r="I95" s="27" t="b">
        <f>VaBenefits[[#This Row],[Withdrawal Taken  ]]&gt;0</f>
        <v>0</v>
      </c>
      <c r="J95" s="41">
        <f>IF(AND(NOT(VaBenefits[[#This Row],[Is Activation]]),VaBenefits[[#This Row],[Assumed Contract Value ]]&gt;0),VaBenefits[[#This Row],[Withdrawal Taken  ]]/VaBenefits[[#This Row],[Assumed Contract Value ]],0)</f>
        <v>0</v>
      </c>
      <c r="K9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5" s="27" t="b">
        <f ca="1">AND(VaBenefits[[#This Row],[Is Activation]],SUMIFS($E$8:$E95,$C$8:$C95,TRUE)&gt;0)</f>
        <v>0</v>
      </c>
      <c r="M9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5" s="32" t="b">
        <f>IF(VaBenefits[[#This Row],[timeFromValuation]]=0,0, MOD(VaBenefits[[#This Row],[timeFromValuation]],1)=0)</f>
        <v>0</v>
      </c>
      <c r="O95" s="7">
        <f>IF(VaBenefits[[#This Row],[Is Anniversary?]]=TRUE,VaBenefits[[#This Row],[Assumed Contract Value ]],0)</f>
        <v>0</v>
      </c>
      <c r="P9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5" s="7" t="b">
        <f>VaBenefits[[#This Row],[Assumed Contract Value ]]&lt;0.1</f>
        <v>1</v>
      </c>
      <c r="R9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5" s="7">
        <f ca="1">IF(AND(VaBenefits[[#This Row],[Is Activation]]=FALSE,VaBenefits[[#This Row],[Is Anniversary?]]=TRUE),OFFSET( VaBenefits[[#This Row],[Income Credit Base]],-1,0)*ICP,0)</f>
        <v>0</v>
      </c>
      <c r="T95" s="5">
        <f>IF(VaBenefits[[#This Row],[Assumed Contract Value ]]&gt;0,VaBenefits[[#This Row],[Income Base]]*MAWA,0)</f>
        <v>0</v>
      </c>
      <c r="U95" s="95">
        <f>IF(AND(VaBenefits[[#This Row],[Has Income Credit]],VaBenefits[[#This Row],[Is Anniversary?]],VaBenefits[[#This Row],[Joint Mortality tPxy for the partial year]]),VaBenefits[[#This Row],[Income Base]]*PIP,0)</f>
        <v>0</v>
      </c>
      <c r="V95" s="8">
        <f>1/(1+InterestRate)^VaBenefits[[#This Row],[timeFromValuation]]</f>
        <v>0.34604513284413352</v>
      </c>
      <c r="W95" s="90">
        <f>VaBenefits[[#This Row],[timeFromValuation]]</f>
        <v>21.75</v>
      </c>
      <c r="X95" s="91">
        <f>IF(($G$8+VaBenefits[[#This Row],[timeFromValuation]])&lt;=120,VLOOKUP(G95,Table2[],Qx!L$6,FALSE),0)</f>
        <v>0.98245000000000005</v>
      </c>
      <c r="Y95" s="91">
        <f>IF(($H$8+VaBenefits[[#This Row],[timeFromValuation]])&lt;=120,VLOOKUP(H95,Table2[],Qx!M$6,FALSE),0)</f>
        <v>0.92366000000000004</v>
      </c>
      <c r="Z95" s="90">
        <f>PRODUCT($X$8:$X95)</f>
        <v>0.52002590073895938</v>
      </c>
      <c r="AA95" s="90">
        <f>PRODUCT($Y$8:$Y95)</f>
        <v>8.2847678491336688E-2</v>
      </c>
      <c r="AB95" s="91">
        <f>VaBenefits[[#This Row],[Primary Annuitant Px]]+VaBenefits[[#This Row],[Secondary Annuitant Py]]-VaBenefits[[#This Row],[Primary Annuitant Px]]*VaBenefits[[#This Row],[Secondary Annuitant Py]]</f>
        <v>0.99866023299999984</v>
      </c>
      <c r="AC95" s="91">
        <f>PRODUCT($AB$8:$AB95)</f>
        <v>0.97525147273735902</v>
      </c>
      <c r="AD95" s="97">
        <f t="shared" ca="1" si="14"/>
        <v>0</v>
      </c>
      <c r="AE95" s="130">
        <f>IF((AND(VaBenefits[[#This Row],[Is Anniversary?]],VaBenefits[[#This Row],[Assumed Contract Value ]]&lt;75000)),-50,0)</f>
        <v>0</v>
      </c>
      <c r="AF95" s="133">
        <f>VaBenefits[[#This Row],[Assumed Contract Value ]]*-1.15%/4</f>
        <v>0</v>
      </c>
      <c r="AG95" s="129">
        <v>0</v>
      </c>
      <c r="AH95" s="131">
        <f>VaBenefits[[#This Row],[Maintenace Fee]]+VaBenefits[[#This Row],[Separate Account Charge]]+VaBenefits[[#This Row],[Rider Fee]]</f>
        <v>0</v>
      </c>
      <c r="AR95" s="23">
        <f t="shared" si="17"/>
        <v>43.5</v>
      </c>
      <c r="AS95" s="24">
        <v>0</v>
      </c>
      <c r="AT95" s="24">
        <v>0</v>
      </c>
      <c r="AU95" s="22">
        <v>0</v>
      </c>
      <c r="AV95" s="16">
        <v>0</v>
      </c>
      <c r="AW95" s="14">
        <v>299982</v>
      </c>
      <c r="AX95" s="15">
        <v>0</v>
      </c>
      <c r="AY95" s="15">
        <v>0</v>
      </c>
      <c r="AZ95" s="14">
        <v>0</v>
      </c>
      <c r="BA95" s="17">
        <v>11999</v>
      </c>
    </row>
    <row r="96" spans="1:53" ht="15" thickBot="1" x14ac:dyDescent="0.35">
      <c r="A96" s="32">
        <f t="shared" si="15"/>
        <v>88</v>
      </c>
      <c r="B96" s="29">
        <f t="shared" si="16"/>
        <v>22</v>
      </c>
      <c r="C96" s="29" t="b">
        <f>AND(VaBenefits[[#This Row],[timeFromValuation]]&gt;=ACT,VaBenefits[[#This Row],[Assumed Contract Value ]]&gt;0)</f>
        <v>0</v>
      </c>
      <c r="D96" s="20">
        <v>0</v>
      </c>
      <c r="E96" s="20">
        <v>0</v>
      </c>
      <c r="F96" s="20">
        <v>0</v>
      </c>
      <c r="G96" s="96">
        <f>ROUND($G$8+VaBenefits[[#This Row],[timeFromValuation]],0)</f>
        <v>77</v>
      </c>
      <c r="H96" s="20">
        <f>ROUND($H$8+VaBenefits[[#This Row],[timeFromValuation]],0)</f>
        <v>87</v>
      </c>
      <c r="I96" s="27" t="b">
        <f>VaBenefits[[#This Row],[Withdrawal Taken  ]]&gt;0</f>
        <v>0</v>
      </c>
      <c r="J96" s="41">
        <f>IF(AND(NOT(VaBenefits[[#This Row],[Is Activation]]),VaBenefits[[#This Row],[Assumed Contract Value ]]&gt;0),VaBenefits[[#This Row],[Withdrawal Taken  ]]/VaBenefits[[#This Row],[Assumed Contract Value ]],0)</f>
        <v>0</v>
      </c>
      <c r="K9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6" s="27" t="b">
        <f ca="1">AND(VaBenefits[[#This Row],[Is Activation]],SUMIFS($E$8:$E96,$C$8:$C96,TRUE)&gt;0)</f>
        <v>0</v>
      </c>
      <c r="M9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6" s="32" t="b">
        <f>IF(VaBenefits[[#This Row],[timeFromValuation]]=0,0, MOD(VaBenefits[[#This Row],[timeFromValuation]],1)=0)</f>
        <v>1</v>
      </c>
      <c r="O96" s="7">
        <f>IF(VaBenefits[[#This Row],[Is Anniversary?]]=TRUE,VaBenefits[[#This Row],[Assumed Contract Value ]],0)</f>
        <v>0</v>
      </c>
      <c r="P9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6" s="7" t="b">
        <f>VaBenefits[[#This Row],[Assumed Contract Value ]]&lt;0.1</f>
        <v>1</v>
      </c>
      <c r="R9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6" s="7">
        <f ca="1">IF(AND(VaBenefits[[#This Row],[Is Activation]]=FALSE,VaBenefits[[#This Row],[Is Anniversary?]]=TRUE),OFFSET( VaBenefits[[#This Row],[Income Credit Base]],-1,0)*ICP,0)</f>
        <v>0</v>
      </c>
      <c r="T96" s="5">
        <f>IF(VaBenefits[[#This Row],[Assumed Contract Value ]]&gt;0,VaBenefits[[#This Row],[Income Base]]*MAWA,0)</f>
        <v>0</v>
      </c>
      <c r="U96" s="95">
        <f ca="1">IF(AND(VaBenefits[[#This Row],[Has Income Credit]],VaBenefits[[#This Row],[Is Anniversary?]],VaBenefits[[#This Row],[Joint Mortality tPxy for the partial year]]),VaBenefits[[#This Row],[Income Base]]*PIP,0)</f>
        <v>12026.006800536559</v>
      </c>
      <c r="V96" s="8">
        <f>1/(1+InterestRate)^VaBenefits[[#This Row],[timeFromValuation]]</f>
        <v>0.3418498710866219</v>
      </c>
      <c r="W96" s="90">
        <f>VaBenefits[[#This Row],[timeFromValuation]]</f>
        <v>22</v>
      </c>
      <c r="X96" s="91">
        <f>IF(($G$8+VaBenefits[[#This Row],[timeFromValuation]])&lt;=120,VLOOKUP(G96,Table2[],Qx!L$6,FALSE),0)</f>
        <v>0.98245000000000005</v>
      </c>
      <c r="Y96" s="91">
        <f>IF(($H$8+VaBenefits[[#This Row],[timeFromValuation]])&lt;=120,VLOOKUP(H96,Table2[],Qx!M$6,FALSE),0)</f>
        <v>0.92366000000000004</v>
      </c>
      <c r="Z96" s="90">
        <f>PRODUCT($X$8:$X96)</f>
        <v>0.5108994461809907</v>
      </c>
      <c r="AA96" s="90">
        <f>PRODUCT($Y$8:$Y96)</f>
        <v>7.6523086715308053E-2</v>
      </c>
      <c r="AB96" s="91">
        <f>VaBenefits[[#This Row],[Primary Annuitant Px]]+VaBenefits[[#This Row],[Secondary Annuitant Py]]-VaBenefits[[#This Row],[Primary Annuitant Px]]*VaBenefits[[#This Row],[Secondary Annuitant Py]]</f>
        <v>0.99866023299999984</v>
      </c>
      <c r="AC96" s="91">
        <f>PRODUCT($AB$8:$AB96)</f>
        <v>0.97394486299748395</v>
      </c>
      <c r="AD96" s="97">
        <f t="shared" ca="1" si="14"/>
        <v>0</v>
      </c>
      <c r="AE96" s="130">
        <f>IF((AND(VaBenefits[[#This Row],[Is Anniversary?]],VaBenefits[[#This Row],[Assumed Contract Value ]]&lt;75000)),-50,0)</f>
        <v>-50</v>
      </c>
      <c r="AF96" s="133">
        <f>VaBenefits[[#This Row],[Assumed Contract Value ]]*-1.15%/4</f>
        <v>0</v>
      </c>
      <c r="AG96" s="129">
        <v>0</v>
      </c>
      <c r="AH96" s="131">
        <f>VaBenefits[[#This Row],[Maintenace Fee]]+VaBenefits[[#This Row],[Separate Account Charge]]+VaBenefits[[#This Row],[Rider Fee]]</f>
        <v>-50</v>
      </c>
      <c r="AR96" s="23">
        <f t="shared" si="17"/>
        <v>44</v>
      </c>
      <c r="AS96" s="24">
        <v>0</v>
      </c>
      <c r="AT96" s="24">
        <v>0</v>
      </c>
      <c r="AU96" s="22">
        <v>0</v>
      </c>
      <c r="AV96" s="16">
        <v>0</v>
      </c>
      <c r="AW96" s="14">
        <v>299982</v>
      </c>
      <c r="AX96" s="15">
        <v>0</v>
      </c>
      <c r="AY96" s="15">
        <v>0</v>
      </c>
      <c r="AZ96" s="14">
        <v>0</v>
      </c>
      <c r="BA96" s="17">
        <v>11999</v>
      </c>
    </row>
    <row r="97" spans="1:53" ht="15" thickBot="1" x14ac:dyDescent="0.35">
      <c r="A97" s="32">
        <f t="shared" si="15"/>
        <v>89</v>
      </c>
      <c r="B97" s="29">
        <f t="shared" si="16"/>
        <v>22.25</v>
      </c>
      <c r="C97" s="29" t="b">
        <f>AND(VaBenefits[[#This Row],[timeFromValuation]]&gt;=ACT,VaBenefits[[#This Row],[Assumed Contract Value ]]&gt;0)</f>
        <v>0</v>
      </c>
      <c r="D97" s="20">
        <v>0</v>
      </c>
      <c r="E97" s="20">
        <v>0</v>
      </c>
      <c r="F97" s="20">
        <v>0</v>
      </c>
      <c r="G97" s="96">
        <f>ROUND($G$8+VaBenefits[[#This Row],[timeFromValuation]],0)</f>
        <v>77</v>
      </c>
      <c r="H97" s="20">
        <f>ROUND($H$8+VaBenefits[[#This Row],[timeFromValuation]],0)</f>
        <v>87</v>
      </c>
      <c r="I97" s="27" t="b">
        <f>VaBenefits[[#This Row],[Withdrawal Taken  ]]&gt;0</f>
        <v>0</v>
      </c>
      <c r="J97" s="41">
        <f>IF(AND(NOT(VaBenefits[[#This Row],[Is Activation]]),VaBenefits[[#This Row],[Assumed Contract Value ]]&gt;0),VaBenefits[[#This Row],[Withdrawal Taken  ]]/VaBenefits[[#This Row],[Assumed Contract Value ]],0)</f>
        <v>0</v>
      </c>
      <c r="K9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7" s="27" t="b">
        <f ca="1">AND(VaBenefits[[#This Row],[Is Activation]],SUMIFS($E$8:$E97,$C$8:$C97,TRUE)&gt;0)</f>
        <v>0</v>
      </c>
      <c r="M9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7" s="32" t="b">
        <f>IF(VaBenefits[[#This Row],[timeFromValuation]]=0,0, MOD(VaBenefits[[#This Row],[timeFromValuation]],1)=0)</f>
        <v>0</v>
      </c>
      <c r="O97" s="7">
        <f>IF(VaBenefits[[#This Row],[Is Anniversary?]]=TRUE,VaBenefits[[#This Row],[Assumed Contract Value ]],0)</f>
        <v>0</v>
      </c>
      <c r="P9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7" s="7" t="b">
        <f>VaBenefits[[#This Row],[Assumed Contract Value ]]&lt;0.1</f>
        <v>1</v>
      </c>
      <c r="R9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7" s="7">
        <f ca="1">IF(AND(VaBenefits[[#This Row],[Is Activation]]=FALSE,VaBenefits[[#This Row],[Is Anniversary?]]=TRUE),OFFSET( VaBenefits[[#This Row],[Income Credit Base]],-1,0)*ICP,0)</f>
        <v>0</v>
      </c>
      <c r="T97" s="5">
        <f>IF(VaBenefits[[#This Row],[Assumed Contract Value ]]&gt;0,VaBenefits[[#This Row],[Income Base]]*MAWA,0)</f>
        <v>0</v>
      </c>
      <c r="U97" s="95">
        <f>IF(AND(VaBenefits[[#This Row],[Has Income Credit]],VaBenefits[[#This Row],[Is Anniversary?]],VaBenefits[[#This Row],[Joint Mortality tPxy for the partial year]]),VaBenefits[[#This Row],[Income Base]]*PIP,0)</f>
        <v>0</v>
      </c>
      <c r="V97" s="8">
        <f>1/(1+InterestRate)^VaBenefits[[#This Row],[timeFromValuation]]</f>
        <v>0.33770547038607468</v>
      </c>
      <c r="W97" s="90">
        <f>VaBenefits[[#This Row],[timeFromValuation]]</f>
        <v>22.25</v>
      </c>
      <c r="X97" s="91">
        <f>IF(($G$8+VaBenefits[[#This Row],[timeFromValuation]])&lt;=120,VLOOKUP(G97,Table2[],Qx!L$6,FALSE),0)</f>
        <v>0.98245000000000005</v>
      </c>
      <c r="Y97" s="91">
        <f>IF(($H$8+VaBenefits[[#This Row],[timeFromValuation]])&lt;=120,VLOOKUP(H97,Table2[],Qx!M$6,FALSE),0)</f>
        <v>0.92366000000000004</v>
      </c>
      <c r="Z97" s="90">
        <f>PRODUCT($X$8:$X97)</f>
        <v>0.50193316090051432</v>
      </c>
      <c r="AA97" s="90">
        <f>PRODUCT($Y$8:$Y97)</f>
        <v>7.068131427546144E-2</v>
      </c>
      <c r="AB97" s="91">
        <f>VaBenefits[[#This Row],[Primary Annuitant Px]]+VaBenefits[[#This Row],[Secondary Annuitant Py]]-VaBenefits[[#This Row],[Primary Annuitant Px]]*VaBenefits[[#This Row],[Secondary Annuitant Py]]</f>
        <v>0.99866023299999984</v>
      </c>
      <c r="AC97" s="91">
        <f>PRODUCT($AB$8:$AB97)</f>
        <v>0.9726400038102202</v>
      </c>
      <c r="AD97" s="97">
        <f t="shared" ref="AD97:AD118" ca="1" si="18">PV(1.03,20,-AD95)</f>
        <v>0</v>
      </c>
      <c r="AE97" s="130">
        <f>IF((AND(VaBenefits[[#This Row],[Is Anniversary?]],VaBenefits[[#This Row],[Assumed Contract Value ]]&lt;75000)),-50,0)</f>
        <v>0</v>
      </c>
      <c r="AF97" s="133">
        <f>VaBenefits[[#This Row],[Assumed Contract Value ]]*-1.15%/4</f>
        <v>0</v>
      </c>
      <c r="AG97" s="129">
        <v>0</v>
      </c>
      <c r="AH97" s="131">
        <f>VaBenefits[[#This Row],[Maintenace Fee]]+VaBenefits[[#This Row],[Separate Account Charge]]+VaBenefits[[#This Row],[Rider Fee]]</f>
        <v>0</v>
      </c>
      <c r="AR97" s="23">
        <f t="shared" si="17"/>
        <v>44.5</v>
      </c>
      <c r="AS97" s="24">
        <v>0</v>
      </c>
      <c r="AT97" s="24">
        <v>0</v>
      </c>
      <c r="AU97" s="22">
        <v>0</v>
      </c>
      <c r="AV97" s="16">
        <v>0</v>
      </c>
      <c r="AW97" s="14">
        <v>299982</v>
      </c>
      <c r="AX97" s="15">
        <v>0</v>
      </c>
      <c r="AY97" s="15">
        <v>0</v>
      </c>
      <c r="AZ97" s="14">
        <v>0</v>
      </c>
      <c r="BA97" s="17">
        <v>11999</v>
      </c>
    </row>
    <row r="98" spans="1:53" ht="15" thickBot="1" x14ac:dyDescent="0.35">
      <c r="A98" s="32">
        <f t="shared" si="15"/>
        <v>90</v>
      </c>
      <c r="B98" s="29">
        <f t="shared" si="16"/>
        <v>22.5</v>
      </c>
      <c r="C98" s="29" t="b">
        <f>AND(VaBenefits[[#This Row],[timeFromValuation]]&gt;=ACT,VaBenefits[[#This Row],[Assumed Contract Value ]]&gt;0)</f>
        <v>0</v>
      </c>
      <c r="D98" s="20">
        <v>0</v>
      </c>
      <c r="E98" s="20">
        <v>0</v>
      </c>
      <c r="F98" s="20">
        <v>0</v>
      </c>
      <c r="G98" s="96">
        <f>ROUND($G$8+VaBenefits[[#This Row],[timeFromValuation]],0)</f>
        <v>78</v>
      </c>
      <c r="H98" s="20">
        <f>ROUND($H$8+VaBenefits[[#This Row],[timeFromValuation]],0)</f>
        <v>88</v>
      </c>
      <c r="I98" s="27" t="b">
        <f>VaBenefits[[#This Row],[Withdrawal Taken  ]]&gt;0</f>
        <v>0</v>
      </c>
      <c r="J98" s="41">
        <f>IF(AND(NOT(VaBenefits[[#This Row],[Is Activation]]),VaBenefits[[#This Row],[Assumed Contract Value ]]&gt;0),VaBenefits[[#This Row],[Withdrawal Taken  ]]/VaBenefits[[#This Row],[Assumed Contract Value ]],0)</f>
        <v>0</v>
      </c>
      <c r="K9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8" s="27" t="b">
        <f ca="1">AND(VaBenefits[[#This Row],[Is Activation]],SUMIFS($E$8:$E98,$C$8:$C98,TRUE)&gt;0)</f>
        <v>0</v>
      </c>
      <c r="M9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8" s="32" t="b">
        <f>IF(VaBenefits[[#This Row],[timeFromValuation]]=0,0, MOD(VaBenefits[[#This Row],[timeFromValuation]],1)=0)</f>
        <v>0</v>
      </c>
      <c r="O98" s="7">
        <f>IF(VaBenefits[[#This Row],[Is Anniversary?]]=TRUE,VaBenefits[[#This Row],[Assumed Contract Value ]],0)</f>
        <v>0</v>
      </c>
      <c r="P9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8" s="7" t="b">
        <f>VaBenefits[[#This Row],[Assumed Contract Value ]]&lt;0.1</f>
        <v>1</v>
      </c>
      <c r="R9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8" s="7">
        <f ca="1">IF(AND(VaBenefits[[#This Row],[Is Activation]]=FALSE,VaBenefits[[#This Row],[Is Anniversary?]]=TRUE),OFFSET( VaBenefits[[#This Row],[Income Credit Base]],-1,0)*ICP,0)</f>
        <v>0</v>
      </c>
      <c r="T98" s="5">
        <f>IF(VaBenefits[[#This Row],[Assumed Contract Value ]]&gt;0,VaBenefits[[#This Row],[Income Base]]*MAWA,0)</f>
        <v>0</v>
      </c>
      <c r="U98" s="95">
        <f>IF(AND(VaBenefits[[#This Row],[Has Income Credit]],VaBenefits[[#This Row],[Is Anniversary?]],VaBenefits[[#This Row],[Joint Mortality tPxy for the partial year]]),VaBenefits[[#This Row],[Income Base]]*PIP,0)</f>
        <v>0</v>
      </c>
      <c r="V98" s="8">
        <f>1/(1+InterestRate)^VaBenefits[[#This Row],[timeFromValuation]]</f>
        <v>0.33361131413088069</v>
      </c>
      <c r="W98" s="90">
        <f>VaBenefits[[#This Row],[timeFromValuation]]</f>
        <v>22.5</v>
      </c>
      <c r="X98" s="91">
        <f>IF(($G$8+VaBenefits[[#This Row],[timeFromValuation]])&lt;=120,VLOOKUP(G98,Table2[],Qx!L$6,FALSE),0)</f>
        <v>0.98041800000000001</v>
      </c>
      <c r="Y98" s="91">
        <f>IF(($H$8+VaBenefits[[#This Row],[timeFromValuation]])&lt;=120,VLOOKUP(H98,Table2[],Qx!M$6,FALSE),0)</f>
        <v>0.91361199999999998</v>
      </c>
      <c r="Z98" s="90">
        <f>PRODUCT($X$8:$X98)</f>
        <v>0.49210430574376046</v>
      </c>
      <c r="AA98" s="90">
        <f>PRODUCT($Y$8:$Y98)</f>
        <v>6.4575296897832882E-2</v>
      </c>
      <c r="AB98" s="91">
        <f>VaBenefits[[#This Row],[Primary Annuitant Px]]+VaBenefits[[#This Row],[Secondary Annuitant Py]]-VaBenefits[[#This Row],[Primary Annuitant Px]]*VaBenefits[[#This Row],[Secondary Annuitant Py]]</f>
        <v>0.99830835018399988</v>
      </c>
      <c r="AC98" s="91">
        <f>PRODUCT($AB$8:$AB98)</f>
        <v>0.97099463752674031</v>
      </c>
      <c r="AD98" s="97">
        <f t="shared" ca="1" si="18"/>
        <v>0</v>
      </c>
      <c r="AE98" s="130">
        <f>IF((AND(VaBenefits[[#This Row],[Is Anniversary?]],VaBenefits[[#This Row],[Assumed Contract Value ]]&lt;75000)),-50,0)</f>
        <v>0</v>
      </c>
      <c r="AF98" s="133">
        <f>VaBenefits[[#This Row],[Assumed Contract Value ]]*-1.15%/4</f>
        <v>0</v>
      </c>
      <c r="AG98" s="129">
        <v>0</v>
      </c>
      <c r="AH98" s="131">
        <f>VaBenefits[[#This Row],[Maintenace Fee]]+VaBenefits[[#This Row],[Separate Account Charge]]+VaBenefits[[#This Row],[Rider Fee]]</f>
        <v>0</v>
      </c>
      <c r="AR98" s="23">
        <f t="shared" si="17"/>
        <v>45</v>
      </c>
      <c r="AS98" s="24">
        <v>0</v>
      </c>
      <c r="AT98" s="24">
        <v>0</v>
      </c>
      <c r="AU98" s="22">
        <v>0</v>
      </c>
      <c r="AV98" s="16">
        <v>0</v>
      </c>
      <c r="AW98" s="14">
        <v>299982</v>
      </c>
      <c r="AX98" s="15">
        <v>0</v>
      </c>
      <c r="AY98" s="15">
        <v>0</v>
      </c>
      <c r="AZ98" s="14">
        <v>0</v>
      </c>
      <c r="BA98" s="17">
        <v>11999</v>
      </c>
    </row>
    <row r="99" spans="1:53" ht="15" thickBot="1" x14ac:dyDescent="0.35">
      <c r="A99" s="32">
        <f t="shared" si="15"/>
        <v>91</v>
      </c>
      <c r="B99" s="29">
        <f t="shared" si="16"/>
        <v>22.75</v>
      </c>
      <c r="C99" s="29" t="b">
        <f>AND(VaBenefits[[#This Row],[timeFromValuation]]&gt;=ACT,VaBenefits[[#This Row],[Assumed Contract Value ]]&gt;0)</f>
        <v>0</v>
      </c>
      <c r="D99" s="20">
        <v>0</v>
      </c>
      <c r="E99" s="20">
        <v>0</v>
      </c>
      <c r="F99" s="20">
        <v>0</v>
      </c>
      <c r="G99" s="96">
        <f>ROUND($G$8+VaBenefits[[#This Row],[timeFromValuation]],0)</f>
        <v>78</v>
      </c>
      <c r="H99" s="20">
        <f>ROUND($H$8+VaBenefits[[#This Row],[timeFromValuation]],0)</f>
        <v>88</v>
      </c>
      <c r="I99" s="27" t="b">
        <f>VaBenefits[[#This Row],[Withdrawal Taken  ]]&gt;0</f>
        <v>0</v>
      </c>
      <c r="J99" s="41">
        <f>IF(AND(NOT(VaBenefits[[#This Row],[Is Activation]]),VaBenefits[[#This Row],[Assumed Contract Value ]]&gt;0),VaBenefits[[#This Row],[Withdrawal Taken  ]]/VaBenefits[[#This Row],[Assumed Contract Value ]],0)</f>
        <v>0</v>
      </c>
      <c r="K9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9" s="27" t="b">
        <f ca="1">AND(VaBenefits[[#This Row],[Is Activation]],SUMIFS($E$8:$E99,$C$8:$C99,TRUE)&gt;0)</f>
        <v>0</v>
      </c>
      <c r="M9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9" s="32" t="b">
        <f>IF(VaBenefits[[#This Row],[timeFromValuation]]=0,0, MOD(VaBenefits[[#This Row],[timeFromValuation]],1)=0)</f>
        <v>0</v>
      </c>
      <c r="O99" s="7">
        <f>IF(VaBenefits[[#This Row],[Is Anniversary?]]=TRUE,VaBenefits[[#This Row],[Assumed Contract Value ]],0)</f>
        <v>0</v>
      </c>
      <c r="P9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9" s="7" t="b">
        <f>VaBenefits[[#This Row],[Assumed Contract Value ]]&lt;0.1</f>
        <v>1</v>
      </c>
      <c r="R9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9" s="7">
        <f ca="1">IF(AND(VaBenefits[[#This Row],[Is Activation]]=FALSE,VaBenefits[[#This Row],[Is Anniversary?]]=TRUE),OFFSET( VaBenefits[[#This Row],[Income Credit Base]],-1,0)*ICP,0)</f>
        <v>0</v>
      </c>
      <c r="T99" s="5">
        <f>IF(VaBenefits[[#This Row],[Assumed Contract Value ]]&gt;0,VaBenefits[[#This Row],[Income Base]]*MAWA,0)</f>
        <v>0</v>
      </c>
      <c r="U99" s="95">
        <f>IF(AND(VaBenefits[[#This Row],[Has Income Credit]],VaBenefits[[#This Row],[Is Anniversary?]],VaBenefits[[#This Row],[Joint Mortality tPxy for the partial year]]),VaBenefits[[#This Row],[Income Base]]*PIP,0)</f>
        <v>0</v>
      </c>
      <c r="V99" s="8">
        <f>1/(1+InterestRate)^VaBenefits[[#This Row],[timeFromValuation]]</f>
        <v>0.32956679318488902</v>
      </c>
      <c r="W99" s="90">
        <f>VaBenefits[[#This Row],[timeFromValuation]]</f>
        <v>22.75</v>
      </c>
      <c r="X99" s="91">
        <f>IF(($G$8+VaBenefits[[#This Row],[timeFromValuation]])&lt;=120,VLOOKUP(G99,Table2[],Qx!L$6,FALSE),0)</f>
        <v>0.98041800000000001</v>
      </c>
      <c r="Y99" s="91">
        <f>IF(($H$8+VaBenefits[[#This Row],[timeFromValuation]])&lt;=120,VLOOKUP(H99,Table2[],Qx!M$6,FALSE),0)</f>
        <v>0.91361199999999998</v>
      </c>
      <c r="Z99" s="90">
        <f>PRODUCT($X$8:$X99)</f>
        <v>0.48246791922868615</v>
      </c>
      <c r="AA99" s="90">
        <f>PRODUCT($Y$8:$Y99)</f>
        <v>5.8996766149422897E-2</v>
      </c>
      <c r="AB99" s="91">
        <f>VaBenefits[[#This Row],[Primary Annuitant Px]]+VaBenefits[[#This Row],[Secondary Annuitant Py]]-VaBenefits[[#This Row],[Primary Annuitant Px]]*VaBenefits[[#This Row],[Secondary Annuitant Py]]</f>
        <v>0.99830835018399988</v>
      </c>
      <c r="AC99" s="91">
        <f>PRODUCT($AB$8:$AB99)</f>
        <v>0.96935205462683105</v>
      </c>
      <c r="AD99" s="97">
        <f t="shared" ca="1" si="18"/>
        <v>0</v>
      </c>
      <c r="AE99" s="130">
        <f>IF((AND(VaBenefits[[#This Row],[Is Anniversary?]],VaBenefits[[#This Row],[Assumed Contract Value ]]&lt;75000)),-50,0)</f>
        <v>0</v>
      </c>
      <c r="AF99" s="133">
        <f>VaBenefits[[#This Row],[Assumed Contract Value ]]*-1.15%/4</f>
        <v>0</v>
      </c>
      <c r="AG99" s="129">
        <v>0</v>
      </c>
      <c r="AH99" s="131">
        <f>VaBenefits[[#This Row],[Maintenace Fee]]+VaBenefits[[#This Row],[Separate Account Charge]]+VaBenefits[[#This Row],[Rider Fee]]</f>
        <v>0</v>
      </c>
      <c r="AR99" s="23">
        <f t="shared" si="17"/>
        <v>45.5</v>
      </c>
      <c r="AS99" s="24">
        <v>0</v>
      </c>
      <c r="AT99" s="24">
        <v>0</v>
      </c>
      <c r="AU99" s="22">
        <v>0</v>
      </c>
      <c r="AV99" s="16">
        <v>0</v>
      </c>
      <c r="AW99" s="14">
        <v>299982</v>
      </c>
      <c r="AX99" s="15">
        <v>0</v>
      </c>
      <c r="AY99" s="15">
        <v>0</v>
      </c>
      <c r="AZ99" s="14">
        <v>0</v>
      </c>
      <c r="BA99" s="17">
        <v>11999</v>
      </c>
    </row>
    <row r="100" spans="1:53" ht="15" thickBot="1" x14ac:dyDescent="0.35">
      <c r="A100" s="32">
        <f t="shared" si="15"/>
        <v>92</v>
      </c>
      <c r="B100" s="29">
        <f t="shared" si="16"/>
        <v>23</v>
      </c>
      <c r="C100" s="29" t="b">
        <f>AND(VaBenefits[[#This Row],[timeFromValuation]]&gt;=ACT,VaBenefits[[#This Row],[Assumed Contract Value ]]&gt;0)</f>
        <v>0</v>
      </c>
      <c r="D100" s="20">
        <v>0</v>
      </c>
      <c r="E100" s="20">
        <v>0</v>
      </c>
      <c r="F100" s="20">
        <v>0</v>
      </c>
      <c r="G100" s="96">
        <f>ROUND($G$8+VaBenefits[[#This Row],[timeFromValuation]],0)</f>
        <v>78</v>
      </c>
      <c r="H100" s="20">
        <f>ROUND($H$8+VaBenefits[[#This Row],[timeFromValuation]],0)</f>
        <v>88</v>
      </c>
      <c r="I100" s="27" t="b">
        <f>VaBenefits[[#This Row],[Withdrawal Taken  ]]&gt;0</f>
        <v>0</v>
      </c>
      <c r="J100" s="41">
        <f>IF(AND(NOT(VaBenefits[[#This Row],[Is Activation]]),VaBenefits[[#This Row],[Assumed Contract Value ]]&gt;0),VaBenefits[[#This Row],[Withdrawal Taken  ]]/VaBenefits[[#This Row],[Assumed Contract Value ]],0)</f>
        <v>0</v>
      </c>
      <c r="K10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0" s="27" t="b">
        <f ca="1">AND(VaBenefits[[#This Row],[Is Activation]],SUMIFS($E$8:$E100,$C$8:$C100,TRUE)&gt;0)</f>
        <v>0</v>
      </c>
      <c r="M10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0" s="32" t="b">
        <f>IF(VaBenefits[[#This Row],[timeFromValuation]]=0,0, MOD(VaBenefits[[#This Row],[timeFromValuation]],1)=0)</f>
        <v>1</v>
      </c>
      <c r="O100" s="7">
        <f>IF(VaBenefits[[#This Row],[Is Anniversary?]]=TRUE,VaBenefits[[#This Row],[Assumed Contract Value ]],0)</f>
        <v>0</v>
      </c>
      <c r="P10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0" s="7" t="b">
        <f>VaBenefits[[#This Row],[Assumed Contract Value ]]&lt;0.1</f>
        <v>1</v>
      </c>
      <c r="R10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0" s="7">
        <f ca="1">IF(AND(VaBenefits[[#This Row],[Is Activation]]=FALSE,VaBenefits[[#This Row],[Is Anniversary?]]=TRUE),OFFSET( VaBenefits[[#This Row],[Income Credit Base]],-1,0)*ICP,0)</f>
        <v>0</v>
      </c>
      <c r="T100" s="5">
        <f>IF(VaBenefits[[#This Row],[Assumed Contract Value ]]&gt;0,VaBenefits[[#This Row],[Income Base]]*MAWA,0)</f>
        <v>0</v>
      </c>
      <c r="U100" s="95">
        <f ca="1">IF(AND(VaBenefits[[#This Row],[Has Income Credit]],VaBenefits[[#This Row],[Is Anniversary?]],VaBenefits[[#This Row],[Joint Mortality tPxy for the partial year]]),VaBenefits[[#This Row],[Income Base]]*PIP,0)</f>
        <v>12026.006800536559</v>
      </c>
      <c r="V100" s="8">
        <f>1/(1+InterestRate)^VaBenefits[[#This Row],[timeFromValuation]]</f>
        <v>0.32557130579678267</v>
      </c>
      <c r="W100" s="90">
        <f>VaBenefits[[#This Row],[timeFromValuation]]</f>
        <v>23</v>
      </c>
      <c r="X100" s="91">
        <f>IF(($G$8+VaBenefits[[#This Row],[timeFromValuation]])&lt;=120,VLOOKUP(G100,Table2[],Qx!L$6,FALSE),0)</f>
        <v>0.98041800000000001</v>
      </c>
      <c r="Y100" s="91">
        <f>IF(($H$8+VaBenefits[[#This Row],[timeFromValuation]])&lt;=120,VLOOKUP(H100,Table2[],Qx!M$6,FALSE),0)</f>
        <v>0.91361199999999998</v>
      </c>
      <c r="Z100" s="90">
        <f>PRODUCT($X$8:$X100)</f>
        <v>0.47302023243435004</v>
      </c>
      <c r="AA100" s="90">
        <f>PRODUCT($Y$8:$Y100)</f>
        <v>5.3900153515306554E-2</v>
      </c>
      <c r="AB100" s="91">
        <f>VaBenefits[[#This Row],[Primary Annuitant Px]]+VaBenefits[[#This Row],[Secondary Annuitant Py]]-VaBenefits[[#This Row],[Primary Annuitant Px]]*VaBenefits[[#This Row],[Secondary Annuitant Py]]</f>
        <v>0.99830835018399988</v>
      </c>
      <c r="AC100" s="91">
        <f>PRODUCT($AB$8:$AB100)</f>
        <v>0.96771225040198228</v>
      </c>
      <c r="AD100" s="97">
        <f t="shared" ca="1" si="18"/>
        <v>0</v>
      </c>
      <c r="AE100" s="130">
        <f>IF((AND(VaBenefits[[#This Row],[Is Anniversary?]],VaBenefits[[#This Row],[Assumed Contract Value ]]&lt;75000)),-50,0)</f>
        <v>-50</v>
      </c>
      <c r="AF100" s="133">
        <f>VaBenefits[[#This Row],[Assumed Contract Value ]]*-1.15%/4</f>
        <v>0</v>
      </c>
      <c r="AG100" s="129">
        <v>0</v>
      </c>
      <c r="AH100" s="131">
        <f>VaBenefits[[#This Row],[Maintenace Fee]]+VaBenefits[[#This Row],[Separate Account Charge]]+VaBenefits[[#This Row],[Rider Fee]]</f>
        <v>-50</v>
      </c>
      <c r="AR100" s="23">
        <f t="shared" si="17"/>
        <v>46</v>
      </c>
      <c r="AS100" s="24">
        <v>0</v>
      </c>
      <c r="AT100" s="24">
        <v>0</v>
      </c>
      <c r="AU100" s="22">
        <v>0</v>
      </c>
      <c r="AV100" s="16">
        <v>0</v>
      </c>
      <c r="AW100" s="14">
        <v>299982</v>
      </c>
      <c r="AX100" s="15">
        <v>0</v>
      </c>
      <c r="AY100" s="15">
        <v>0</v>
      </c>
      <c r="AZ100" s="14">
        <v>0</v>
      </c>
      <c r="BA100" s="17">
        <v>11999</v>
      </c>
    </row>
    <row r="101" spans="1:53" ht="15" thickBot="1" x14ac:dyDescent="0.35">
      <c r="A101" s="32">
        <f t="shared" si="15"/>
        <v>93</v>
      </c>
      <c r="B101" s="29">
        <f t="shared" si="16"/>
        <v>23.25</v>
      </c>
      <c r="C101" s="29" t="b">
        <f>AND(VaBenefits[[#This Row],[timeFromValuation]]&gt;=ACT,VaBenefits[[#This Row],[Assumed Contract Value ]]&gt;0)</f>
        <v>0</v>
      </c>
      <c r="D101" s="20">
        <v>0</v>
      </c>
      <c r="E101" s="20">
        <v>0</v>
      </c>
      <c r="F101" s="20">
        <v>0</v>
      </c>
      <c r="G101" s="96">
        <f>ROUND($G$8+VaBenefits[[#This Row],[timeFromValuation]],0)</f>
        <v>78</v>
      </c>
      <c r="H101" s="20">
        <f>ROUND($H$8+VaBenefits[[#This Row],[timeFromValuation]],0)</f>
        <v>88</v>
      </c>
      <c r="I101" s="27" t="b">
        <f>VaBenefits[[#This Row],[Withdrawal Taken  ]]&gt;0</f>
        <v>0</v>
      </c>
      <c r="J101" s="41">
        <f>IF(AND(NOT(VaBenefits[[#This Row],[Is Activation]]),VaBenefits[[#This Row],[Assumed Contract Value ]]&gt;0),VaBenefits[[#This Row],[Withdrawal Taken  ]]/VaBenefits[[#This Row],[Assumed Contract Value ]],0)</f>
        <v>0</v>
      </c>
      <c r="K10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1" s="27" t="b">
        <f ca="1">AND(VaBenefits[[#This Row],[Is Activation]],SUMIFS($E$8:$E101,$C$8:$C101,TRUE)&gt;0)</f>
        <v>0</v>
      </c>
      <c r="M10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1" s="32" t="b">
        <f>IF(VaBenefits[[#This Row],[timeFromValuation]]=0,0, MOD(VaBenefits[[#This Row],[timeFromValuation]],1)=0)</f>
        <v>0</v>
      </c>
      <c r="O101" s="7">
        <f>IF(VaBenefits[[#This Row],[Is Anniversary?]]=TRUE,VaBenefits[[#This Row],[Assumed Contract Value ]],0)</f>
        <v>0</v>
      </c>
      <c r="P10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1" s="7" t="b">
        <f>VaBenefits[[#This Row],[Assumed Contract Value ]]&lt;0.1</f>
        <v>1</v>
      </c>
      <c r="R10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1" s="7">
        <f ca="1">IF(AND(VaBenefits[[#This Row],[Is Activation]]=FALSE,VaBenefits[[#This Row],[Is Anniversary?]]=TRUE),OFFSET( VaBenefits[[#This Row],[Income Credit Base]],-1,0)*ICP,0)</f>
        <v>0</v>
      </c>
      <c r="T101" s="5">
        <f>IF(VaBenefits[[#This Row],[Assumed Contract Value ]]&gt;0,VaBenefits[[#This Row],[Income Base]]*MAWA,0)</f>
        <v>0</v>
      </c>
      <c r="U101" s="95">
        <f>IF(AND(VaBenefits[[#This Row],[Has Income Credit]],VaBenefits[[#This Row],[Is Anniversary?]],VaBenefits[[#This Row],[Joint Mortality tPxy for the partial year]]),VaBenefits[[#This Row],[Income Base]]*PIP,0)</f>
        <v>0</v>
      </c>
      <c r="V101" s="8">
        <f>1/(1+InterestRate)^VaBenefits[[#This Row],[timeFromValuation]]</f>
        <v>0.32162425751054735</v>
      </c>
      <c r="W101" s="90">
        <f>VaBenefits[[#This Row],[timeFromValuation]]</f>
        <v>23.25</v>
      </c>
      <c r="X101" s="91">
        <f>IF(($G$8+VaBenefits[[#This Row],[timeFromValuation]])&lt;=120,VLOOKUP(G101,Table2[],Qx!L$6,FALSE),0)</f>
        <v>0.98041800000000001</v>
      </c>
      <c r="Y101" s="91">
        <f>IF(($H$8+VaBenefits[[#This Row],[timeFromValuation]])&lt;=120,VLOOKUP(H101,Table2[],Qx!M$6,FALSE),0)</f>
        <v>0.91361199999999998</v>
      </c>
      <c r="Z101" s="90">
        <f>PRODUCT($X$8:$X101)</f>
        <v>0.46375755024282062</v>
      </c>
      <c r="AA101" s="90">
        <f>PRODUCT($Y$8:$Y101)</f>
        <v>4.9243827053426253E-2</v>
      </c>
      <c r="AB101" s="91">
        <f>VaBenefits[[#This Row],[Primary Annuitant Px]]+VaBenefits[[#This Row],[Secondary Annuitant Py]]-VaBenefits[[#This Row],[Primary Annuitant Px]]*VaBenefits[[#This Row],[Secondary Annuitant Py]]</f>
        <v>0.99830835018399988</v>
      </c>
      <c r="AC101" s="91">
        <f>PRODUCT($AB$8:$AB101)</f>
        <v>0.96607522015164871</v>
      </c>
      <c r="AD101" s="97">
        <f t="shared" ca="1" si="18"/>
        <v>0</v>
      </c>
      <c r="AE101" s="130">
        <f>IF((AND(VaBenefits[[#This Row],[Is Anniversary?]],VaBenefits[[#This Row],[Assumed Contract Value ]]&lt;75000)),-50,0)</f>
        <v>0</v>
      </c>
      <c r="AF101" s="133">
        <f>VaBenefits[[#This Row],[Assumed Contract Value ]]*-1.15%/4</f>
        <v>0</v>
      </c>
      <c r="AG101" s="129">
        <v>0</v>
      </c>
      <c r="AH101" s="131">
        <f>VaBenefits[[#This Row],[Maintenace Fee]]+VaBenefits[[#This Row],[Separate Account Charge]]+VaBenefits[[#This Row],[Rider Fee]]</f>
        <v>0</v>
      </c>
      <c r="AR101" s="23">
        <f t="shared" si="17"/>
        <v>46.5</v>
      </c>
      <c r="AS101" s="24">
        <v>0</v>
      </c>
      <c r="AT101" s="24">
        <v>0</v>
      </c>
      <c r="AU101" s="22">
        <v>0</v>
      </c>
      <c r="AV101" s="16">
        <v>0</v>
      </c>
      <c r="AW101" s="14">
        <v>299982</v>
      </c>
      <c r="AX101" s="15">
        <v>0</v>
      </c>
      <c r="AY101" s="15">
        <v>0</v>
      </c>
      <c r="AZ101" s="14">
        <v>0</v>
      </c>
      <c r="BA101" s="17">
        <v>11999</v>
      </c>
    </row>
    <row r="102" spans="1:53" ht="15" thickBot="1" x14ac:dyDescent="0.35">
      <c r="A102" s="32">
        <f t="shared" si="15"/>
        <v>94</v>
      </c>
      <c r="B102" s="29">
        <f t="shared" si="16"/>
        <v>23.5</v>
      </c>
      <c r="C102" s="29" t="b">
        <f>AND(VaBenefits[[#This Row],[timeFromValuation]]&gt;=ACT,VaBenefits[[#This Row],[Assumed Contract Value ]]&gt;0)</f>
        <v>0</v>
      </c>
      <c r="D102" s="20">
        <v>0</v>
      </c>
      <c r="E102" s="20">
        <v>0</v>
      </c>
      <c r="F102" s="20">
        <v>0</v>
      </c>
      <c r="G102" s="96">
        <f>ROUND($G$8+VaBenefits[[#This Row],[timeFromValuation]],0)</f>
        <v>79</v>
      </c>
      <c r="H102" s="20">
        <f>ROUND($H$8+VaBenefits[[#This Row],[timeFromValuation]],0)</f>
        <v>89</v>
      </c>
      <c r="I102" s="27" t="b">
        <f>VaBenefits[[#This Row],[Withdrawal Taken  ]]&gt;0</f>
        <v>0</v>
      </c>
      <c r="J102" s="41">
        <f>IF(AND(NOT(VaBenefits[[#This Row],[Is Activation]]),VaBenefits[[#This Row],[Assumed Contract Value ]]&gt;0),VaBenefits[[#This Row],[Withdrawal Taken  ]]/VaBenefits[[#This Row],[Assumed Contract Value ]],0)</f>
        <v>0</v>
      </c>
      <c r="K10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2" s="27" t="b">
        <f ca="1">AND(VaBenefits[[#This Row],[Is Activation]],SUMIFS($E$8:$E102,$C$8:$C102,TRUE)&gt;0)</f>
        <v>0</v>
      </c>
      <c r="M10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2" s="32" t="b">
        <f>IF(VaBenefits[[#This Row],[timeFromValuation]]=0,0, MOD(VaBenefits[[#This Row],[timeFromValuation]],1)=0)</f>
        <v>0</v>
      </c>
      <c r="O102" s="7">
        <f>IF(VaBenefits[[#This Row],[Is Anniversary?]]=TRUE,VaBenefits[[#This Row],[Assumed Contract Value ]],0)</f>
        <v>0</v>
      </c>
      <c r="P10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2" s="7" t="b">
        <f>VaBenefits[[#This Row],[Assumed Contract Value ]]&lt;0.1</f>
        <v>1</v>
      </c>
      <c r="R10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2" s="7">
        <f ca="1">IF(AND(VaBenefits[[#This Row],[Is Activation]]=FALSE,VaBenefits[[#This Row],[Is Anniversary?]]=TRUE),OFFSET( VaBenefits[[#This Row],[Income Credit Base]],-1,0)*ICP,0)</f>
        <v>0</v>
      </c>
      <c r="T102" s="5">
        <f>IF(VaBenefits[[#This Row],[Assumed Contract Value ]]&gt;0,VaBenefits[[#This Row],[Income Base]]*MAWA,0)</f>
        <v>0</v>
      </c>
      <c r="U102" s="95">
        <f>IF(AND(VaBenefits[[#This Row],[Has Income Credit]],VaBenefits[[#This Row],[Is Anniversary?]],VaBenefits[[#This Row],[Joint Mortality tPxy for the partial year]]),VaBenefits[[#This Row],[Income Base]]*PIP,0)</f>
        <v>0</v>
      </c>
      <c r="V102" s="8">
        <f>1/(1+InterestRate)^VaBenefits[[#This Row],[timeFromValuation]]</f>
        <v>0.31772506107702925</v>
      </c>
      <c r="W102" s="90">
        <f>VaBenefits[[#This Row],[timeFromValuation]]</f>
        <v>23.5</v>
      </c>
      <c r="X102" s="91">
        <f>IF(($G$8+VaBenefits[[#This Row],[timeFromValuation]])&lt;=120,VLOOKUP(G102,Table2[],Qx!L$6,FALSE),0)</f>
        <v>0.97802999999999995</v>
      </c>
      <c r="Y102" s="91">
        <f>IF(($H$8+VaBenefits[[#This Row],[timeFromValuation]])&lt;=120,VLOOKUP(H102,Table2[],Qx!M$6,FALSE),0)</f>
        <v>0.902366</v>
      </c>
      <c r="Z102" s="90">
        <f>PRODUCT($X$8:$X102)</f>
        <v>0.45356879686398582</v>
      </c>
      <c r="AA102" s="90">
        <f>PRODUCT($Y$8:$Y102)</f>
        <v>4.4435955242892032E-2</v>
      </c>
      <c r="AB102" s="91">
        <f>VaBenefits[[#This Row],[Primary Annuitant Px]]+VaBenefits[[#This Row],[Secondary Annuitant Py]]-VaBenefits[[#This Row],[Primary Annuitant Px]]*VaBenefits[[#This Row],[Secondary Annuitant Py]]</f>
        <v>0.99785498102000003</v>
      </c>
      <c r="AC102" s="91">
        <f>PRODUCT($AB$8:$AB102)</f>
        <v>0.96400297046831573</v>
      </c>
      <c r="AD102" s="97">
        <f t="shared" ca="1" si="18"/>
        <v>0</v>
      </c>
      <c r="AE102" s="130">
        <f>IF((AND(VaBenefits[[#This Row],[Is Anniversary?]],VaBenefits[[#This Row],[Assumed Contract Value ]]&lt;75000)),-50,0)</f>
        <v>0</v>
      </c>
      <c r="AF102" s="133">
        <f>VaBenefits[[#This Row],[Assumed Contract Value ]]*-1.15%/4</f>
        <v>0</v>
      </c>
      <c r="AG102" s="129">
        <v>0</v>
      </c>
      <c r="AH102" s="131">
        <f>VaBenefits[[#This Row],[Maintenace Fee]]+VaBenefits[[#This Row],[Separate Account Charge]]+VaBenefits[[#This Row],[Rider Fee]]</f>
        <v>0</v>
      </c>
      <c r="AR102" s="23">
        <f t="shared" si="17"/>
        <v>47</v>
      </c>
      <c r="AS102" s="24">
        <v>0</v>
      </c>
      <c r="AT102" s="24">
        <v>0</v>
      </c>
      <c r="AU102" s="22">
        <v>0</v>
      </c>
      <c r="AV102" s="16">
        <v>0</v>
      </c>
      <c r="AW102" s="14">
        <v>299982</v>
      </c>
      <c r="AX102" s="15">
        <v>0</v>
      </c>
      <c r="AY102" s="15">
        <v>0</v>
      </c>
      <c r="AZ102" s="14">
        <v>0</v>
      </c>
      <c r="BA102" s="17">
        <v>11999</v>
      </c>
    </row>
    <row r="103" spans="1:53" ht="15" thickBot="1" x14ac:dyDescent="0.35">
      <c r="A103" s="32">
        <f t="shared" si="15"/>
        <v>95</v>
      </c>
      <c r="B103" s="29">
        <f t="shared" si="16"/>
        <v>23.75</v>
      </c>
      <c r="C103" s="29" t="b">
        <f>AND(VaBenefits[[#This Row],[timeFromValuation]]&gt;=ACT,VaBenefits[[#This Row],[Assumed Contract Value ]]&gt;0)</f>
        <v>0</v>
      </c>
      <c r="D103" s="20">
        <v>0</v>
      </c>
      <c r="E103" s="20">
        <v>0</v>
      </c>
      <c r="F103" s="20">
        <v>0</v>
      </c>
      <c r="G103" s="96">
        <f>ROUND($G$8+VaBenefits[[#This Row],[timeFromValuation]],0)</f>
        <v>79</v>
      </c>
      <c r="H103" s="20">
        <f>ROUND($H$8+VaBenefits[[#This Row],[timeFromValuation]],0)</f>
        <v>89</v>
      </c>
      <c r="I103" s="27" t="b">
        <f>VaBenefits[[#This Row],[Withdrawal Taken  ]]&gt;0</f>
        <v>0</v>
      </c>
      <c r="J103" s="41">
        <f>IF(AND(NOT(VaBenefits[[#This Row],[Is Activation]]),VaBenefits[[#This Row],[Assumed Contract Value ]]&gt;0),VaBenefits[[#This Row],[Withdrawal Taken  ]]/VaBenefits[[#This Row],[Assumed Contract Value ]],0)</f>
        <v>0</v>
      </c>
      <c r="K10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3" s="27" t="b">
        <f ca="1">AND(VaBenefits[[#This Row],[Is Activation]],SUMIFS($E$8:$E103,$C$8:$C103,TRUE)&gt;0)</f>
        <v>0</v>
      </c>
      <c r="M10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3" s="32" t="b">
        <f>IF(VaBenefits[[#This Row],[timeFromValuation]]=0,0, MOD(VaBenefits[[#This Row],[timeFromValuation]],1)=0)</f>
        <v>0</v>
      </c>
      <c r="O103" s="7">
        <f>IF(VaBenefits[[#This Row],[Is Anniversary?]]=TRUE,VaBenefits[[#This Row],[Assumed Contract Value ]],0)</f>
        <v>0</v>
      </c>
      <c r="P10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3" s="7" t="b">
        <f>VaBenefits[[#This Row],[Assumed Contract Value ]]&lt;0.1</f>
        <v>1</v>
      </c>
      <c r="R10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3" s="7">
        <f ca="1">IF(AND(VaBenefits[[#This Row],[Is Activation]]=FALSE,VaBenefits[[#This Row],[Is Anniversary?]]=TRUE),OFFSET( VaBenefits[[#This Row],[Income Credit Base]],-1,0)*ICP,0)</f>
        <v>0</v>
      </c>
      <c r="T103" s="5">
        <f>IF(VaBenefits[[#This Row],[Assumed Contract Value ]]&gt;0,VaBenefits[[#This Row],[Income Base]]*MAWA,0)</f>
        <v>0</v>
      </c>
      <c r="U103" s="95">
        <f>IF(AND(VaBenefits[[#This Row],[Has Income Credit]],VaBenefits[[#This Row],[Is Anniversary?]],VaBenefits[[#This Row],[Joint Mortality tPxy for the partial year]]),VaBenefits[[#This Row],[Income Base]]*PIP,0)</f>
        <v>0</v>
      </c>
      <c r="V103" s="8">
        <f>1/(1+InterestRate)^VaBenefits[[#This Row],[timeFromValuation]]</f>
        <v>0.31387313636656095</v>
      </c>
      <c r="W103" s="90">
        <f>VaBenefits[[#This Row],[timeFromValuation]]</f>
        <v>23.75</v>
      </c>
      <c r="X103" s="91">
        <f>IF(($G$8+VaBenefits[[#This Row],[timeFromValuation]])&lt;=120,VLOOKUP(G103,Table2[],Qx!L$6,FALSE),0)</f>
        <v>0.97802999999999995</v>
      </c>
      <c r="Y103" s="91">
        <f>IF(($H$8+VaBenefits[[#This Row],[timeFromValuation]])&lt;=120,VLOOKUP(H103,Table2[],Qx!M$6,FALSE),0)</f>
        <v>0.902366</v>
      </c>
      <c r="Z103" s="90">
        <f>PRODUCT($X$8:$X103)</f>
        <v>0.44360389039688403</v>
      </c>
      <c r="AA103" s="90">
        <f>PRODUCT($Y$8:$Y103)</f>
        <v>4.0097495188707512E-2</v>
      </c>
      <c r="AB103" s="91">
        <f>VaBenefits[[#This Row],[Primary Annuitant Px]]+VaBenefits[[#This Row],[Secondary Annuitant Py]]-VaBenefits[[#This Row],[Primary Annuitant Px]]*VaBenefits[[#This Row],[Secondary Annuitant Py]]</f>
        <v>0.99785498102000003</v>
      </c>
      <c r="AC103" s="91">
        <f>PRODUCT($AB$8:$AB103)</f>
        <v>0.96193516579988481</v>
      </c>
      <c r="AD103" s="97">
        <f t="shared" ca="1" si="18"/>
        <v>0</v>
      </c>
      <c r="AE103" s="130">
        <f>IF((AND(VaBenefits[[#This Row],[Is Anniversary?]],VaBenefits[[#This Row],[Assumed Contract Value ]]&lt;75000)),-50,0)</f>
        <v>0</v>
      </c>
      <c r="AF103" s="133">
        <f>VaBenefits[[#This Row],[Assumed Contract Value ]]*-1.15%/4</f>
        <v>0</v>
      </c>
      <c r="AG103" s="129">
        <v>0</v>
      </c>
      <c r="AH103" s="131">
        <f>VaBenefits[[#This Row],[Maintenace Fee]]+VaBenefits[[#This Row],[Separate Account Charge]]+VaBenefits[[#This Row],[Rider Fee]]</f>
        <v>0</v>
      </c>
      <c r="AR103" s="23">
        <f t="shared" si="17"/>
        <v>47.5</v>
      </c>
      <c r="AS103" s="24">
        <v>0</v>
      </c>
      <c r="AT103" s="24">
        <v>0</v>
      </c>
      <c r="AU103" s="22">
        <v>0</v>
      </c>
      <c r="AV103" s="16">
        <v>0</v>
      </c>
      <c r="AW103" s="14">
        <v>299982</v>
      </c>
      <c r="AX103" s="15">
        <v>0</v>
      </c>
      <c r="AY103" s="15">
        <v>0</v>
      </c>
      <c r="AZ103" s="14">
        <v>0</v>
      </c>
      <c r="BA103" s="17">
        <v>11999</v>
      </c>
    </row>
    <row r="104" spans="1:53" ht="15" thickBot="1" x14ac:dyDescent="0.35">
      <c r="A104" s="32">
        <f t="shared" si="15"/>
        <v>96</v>
      </c>
      <c r="B104" s="29">
        <f t="shared" si="16"/>
        <v>24</v>
      </c>
      <c r="C104" s="29" t="b">
        <f>AND(VaBenefits[[#This Row],[timeFromValuation]]&gt;=ACT,VaBenefits[[#This Row],[Assumed Contract Value ]]&gt;0)</f>
        <v>0</v>
      </c>
      <c r="D104" s="20">
        <v>0</v>
      </c>
      <c r="E104" s="20">
        <v>0</v>
      </c>
      <c r="F104" s="20">
        <v>0</v>
      </c>
      <c r="G104" s="96">
        <f>ROUND($G$8+VaBenefits[[#This Row],[timeFromValuation]],0)</f>
        <v>79</v>
      </c>
      <c r="H104" s="20">
        <f>ROUND($H$8+VaBenefits[[#This Row],[timeFromValuation]],0)</f>
        <v>89</v>
      </c>
      <c r="I104" s="27" t="b">
        <f>VaBenefits[[#This Row],[Withdrawal Taken  ]]&gt;0</f>
        <v>0</v>
      </c>
      <c r="J104" s="41">
        <f>IF(AND(NOT(VaBenefits[[#This Row],[Is Activation]]),VaBenefits[[#This Row],[Assumed Contract Value ]]&gt;0),VaBenefits[[#This Row],[Withdrawal Taken  ]]/VaBenefits[[#This Row],[Assumed Contract Value ]],0)</f>
        <v>0</v>
      </c>
      <c r="K10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4" s="27" t="b">
        <f ca="1">AND(VaBenefits[[#This Row],[Is Activation]],SUMIFS($E$8:$E104,$C$8:$C104,TRUE)&gt;0)</f>
        <v>0</v>
      </c>
      <c r="M10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4" s="32" t="b">
        <f>IF(VaBenefits[[#This Row],[timeFromValuation]]=0,0, MOD(VaBenefits[[#This Row],[timeFromValuation]],1)=0)</f>
        <v>1</v>
      </c>
      <c r="O104" s="7">
        <f>IF(VaBenefits[[#This Row],[Is Anniversary?]]=TRUE,VaBenefits[[#This Row],[Assumed Contract Value ]],0)</f>
        <v>0</v>
      </c>
      <c r="P10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4" s="7" t="b">
        <f>VaBenefits[[#This Row],[Assumed Contract Value ]]&lt;0.1</f>
        <v>1</v>
      </c>
      <c r="R10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4" s="7">
        <f ca="1">IF(AND(VaBenefits[[#This Row],[Is Activation]]=FALSE,VaBenefits[[#This Row],[Is Anniversary?]]=TRUE),OFFSET( VaBenefits[[#This Row],[Income Credit Base]],-1,0)*ICP,0)</f>
        <v>0</v>
      </c>
      <c r="T104" s="5">
        <f>IF(VaBenefits[[#This Row],[Assumed Contract Value ]]&gt;0,VaBenefits[[#This Row],[Income Base]]*MAWA,0)</f>
        <v>0</v>
      </c>
      <c r="U104" s="95">
        <f ca="1">IF(AND(VaBenefits[[#This Row],[Has Income Credit]],VaBenefits[[#This Row],[Is Anniversary?]],VaBenefits[[#This Row],[Joint Mortality tPxy for the partial year]]),VaBenefits[[#This Row],[Income Base]]*PIP,0)</f>
        <v>12026.006800536559</v>
      </c>
      <c r="V104" s="8">
        <f>1/(1+InterestRate)^VaBenefits[[#This Row],[timeFromValuation]]</f>
        <v>0.31006791028265024</v>
      </c>
      <c r="W104" s="90">
        <f>VaBenefits[[#This Row],[timeFromValuation]]</f>
        <v>24</v>
      </c>
      <c r="X104" s="91">
        <f>IF(($G$8+VaBenefits[[#This Row],[timeFromValuation]])&lt;=120,VLOOKUP(G104,Table2[],Qx!L$6,FALSE),0)</f>
        <v>0.97802999999999995</v>
      </c>
      <c r="Y104" s="91">
        <f>IF(($H$8+VaBenefits[[#This Row],[timeFromValuation]])&lt;=120,VLOOKUP(H104,Table2[],Qx!M$6,FALSE),0)</f>
        <v>0.902366</v>
      </c>
      <c r="Z104" s="90">
        <f>PRODUCT($X$8:$X104)</f>
        <v>0.43385791292486448</v>
      </c>
      <c r="AA104" s="90">
        <f>PRODUCT($Y$8:$Y104)</f>
        <v>3.6182616343453246E-2</v>
      </c>
      <c r="AB104" s="91">
        <f>VaBenefits[[#This Row],[Primary Annuitant Px]]+VaBenefits[[#This Row],[Secondary Annuitant Py]]-VaBenefits[[#This Row],[Primary Annuitant Px]]*VaBenefits[[#This Row],[Secondary Annuitant Py]]</f>
        <v>0.99785498102000003</v>
      </c>
      <c r="AC104" s="91">
        <f>PRODUCT($AB$8:$AB104)</f>
        <v>0.95987179661171462</v>
      </c>
      <c r="AD104" s="97">
        <f t="shared" ca="1" si="18"/>
        <v>0</v>
      </c>
      <c r="AE104" s="130">
        <f>IF((AND(VaBenefits[[#This Row],[Is Anniversary?]],VaBenefits[[#This Row],[Assumed Contract Value ]]&lt;75000)),-50,0)</f>
        <v>-50</v>
      </c>
      <c r="AF104" s="133">
        <f>VaBenefits[[#This Row],[Assumed Contract Value ]]*-1.15%/4</f>
        <v>0</v>
      </c>
      <c r="AG104" s="129">
        <v>0</v>
      </c>
      <c r="AH104" s="131">
        <f>VaBenefits[[#This Row],[Maintenace Fee]]+VaBenefits[[#This Row],[Separate Account Charge]]+VaBenefits[[#This Row],[Rider Fee]]</f>
        <v>-50</v>
      </c>
      <c r="AR104" s="23">
        <f t="shared" si="17"/>
        <v>48</v>
      </c>
      <c r="AS104" s="24">
        <v>0</v>
      </c>
      <c r="AT104" s="24">
        <v>0</v>
      </c>
      <c r="AU104" s="22">
        <v>0</v>
      </c>
      <c r="AV104" s="16">
        <v>0</v>
      </c>
      <c r="AW104" s="14">
        <v>299982</v>
      </c>
      <c r="AX104" s="15">
        <v>0</v>
      </c>
      <c r="AY104" s="15">
        <v>0</v>
      </c>
      <c r="AZ104" s="14">
        <v>0</v>
      </c>
      <c r="BA104" s="17">
        <v>11999</v>
      </c>
    </row>
    <row r="105" spans="1:53" ht="15" thickBot="1" x14ac:dyDescent="0.35">
      <c r="A105" s="32">
        <f t="shared" si="15"/>
        <v>97</v>
      </c>
      <c r="B105" s="29">
        <f t="shared" si="16"/>
        <v>24.25</v>
      </c>
      <c r="C105" s="29" t="b">
        <f>AND(VaBenefits[[#This Row],[timeFromValuation]]&gt;=ACT,VaBenefits[[#This Row],[Assumed Contract Value ]]&gt;0)</f>
        <v>0</v>
      </c>
      <c r="D105" s="20">
        <v>0</v>
      </c>
      <c r="E105" s="20">
        <v>0</v>
      </c>
      <c r="F105" s="20">
        <v>0</v>
      </c>
      <c r="G105" s="96">
        <f>ROUND($G$8+VaBenefits[[#This Row],[timeFromValuation]],0)</f>
        <v>79</v>
      </c>
      <c r="H105" s="20">
        <f>ROUND($H$8+VaBenefits[[#This Row],[timeFromValuation]],0)</f>
        <v>89</v>
      </c>
      <c r="I105" s="27" t="b">
        <f>VaBenefits[[#This Row],[Withdrawal Taken  ]]&gt;0</f>
        <v>0</v>
      </c>
      <c r="J105" s="41">
        <f>IF(AND(NOT(VaBenefits[[#This Row],[Is Activation]]),VaBenefits[[#This Row],[Assumed Contract Value ]]&gt;0),VaBenefits[[#This Row],[Withdrawal Taken  ]]/VaBenefits[[#This Row],[Assumed Contract Value ]],0)</f>
        <v>0</v>
      </c>
      <c r="K10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5" s="27" t="b">
        <f ca="1">AND(VaBenefits[[#This Row],[Is Activation]],SUMIFS($E$8:$E105,$C$8:$C105,TRUE)&gt;0)</f>
        <v>0</v>
      </c>
      <c r="M10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5" s="32" t="b">
        <f>IF(VaBenefits[[#This Row],[timeFromValuation]]=0,0, MOD(VaBenefits[[#This Row],[timeFromValuation]],1)=0)</f>
        <v>0</v>
      </c>
      <c r="O105" s="7">
        <f>IF(VaBenefits[[#This Row],[Is Anniversary?]]=TRUE,VaBenefits[[#This Row],[Assumed Contract Value ]],0)</f>
        <v>0</v>
      </c>
      <c r="P10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5" s="7" t="b">
        <f>VaBenefits[[#This Row],[Assumed Contract Value ]]&lt;0.1</f>
        <v>1</v>
      </c>
      <c r="R10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5" s="7">
        <f ca="1">IF(AND(VaBenefits[[#This Row],[Is Activation]]=FALSE,VaBenefits[[#This Row],[Is Anniversary?]]=TRUE),OFFSET( VaBenefits[[#This Row],[Income Credit Base]],-1,0)*ICP,0)</f>
        <v>0</v>
      </c>
      <c r="T105" s="5">
        <f>IF(VaBenefits[[#This Row],[Assumed Contract Value ]]&gt;0,VaBenefits[[#This Row],[Income Base]]*MAWA,0)</f>
        <v>0</v>
      </c>
      <c r="U105" s="95">
        <f>IF(AND(VaBenefits[[#This Row],[Has Income Credit]],VaBenefits[[#This Row],[Is Anniversary?]],VaBenefits[[#This Row],[Joint Mortality tPxy for the partial year]]),VaBenefits[[#This Row],[Income Base]]*PIP,0)</f>
        <v>0</v>
      </c>
      <c r="V105" s="8">
        <f>1/(1+InterestRate)^VaBenefits[[#This Row],[timeFromValuation]]</f>
        <v>0.30630881667671173</v>
      </c>
      <c r="W105" s="90">
        <f>VaBenefits[[#This Row],[timeFromValuation]]</f>
        <v>24.25</v>
      </c>
      <c r="X105" s="91">
        <f>IF(($G$8+VaBenefits[[#This Row],[timeFromValuation]])&lt;=120,VLOOKUP(G105,Table2[],Qx!L$6,FALSE),0)</f>
        <v>0.97802999999999995</v>
      </c>
      <c r="Y105" s="91">
        <f>IF(($H$8+VaBenefits[[#This Row],[timeFromValuation]])&lt;=120,VLOOKUP(H105,Table2[],Qx!M$6,FALSE),0)</f>
        <v>0.902366</v>
      </c>
      <c r="Z105" s="90">
        <f>PRODUCT($X$8:$X105)</f>
        <v>0.42432605457790518</v>
      </c>
      <c r="AA105" s="90">
        <f>PRODUCT($Y$8:$Y105)</f>
        <v>3.2649962779376533E-2</v>
      </c>
      <c r="AB105" s="91">
        <f>VaBenefits[[#This Row],[Primary Annuitant Px]]+VaBenefits[[#This Row],[Secondary Annuitant Py]]-VaBenefits[[#This Row],[Primary Annuitant Px]]*VaBenefits[[#This Row],[Secondary Annuitant Py]]</f>
        <v>0.99785498102000003</v>
      </c>
      <c r="AC105" s="91">
        <f>PRODUCT($AB$8:$AB105)</f>
        <v>0.95781285338961586</v>
      </c>
      <c r="AD105" s="97">
        <f t="shared" ca="1" si="18"/>
        <v>0</v>
      </c>
      <c r="AE105" s="130">
        <f>IF((AND(VaBenefits[[#This Row],[Is Anniversary?]],VaBenefits[[#This Row],[Assumed Contract Value ]]&lt;75000)),-50,0)</f>
        <v>0</v>
      </c>
      <c r="AF105" s="133">
        <f>VaBenefits[[#This Row],[Assumed Contract Value ]]*-1.15%/4</f>
        <v>0</v>
      </c>
      <c r="AG105" s="129">
        <v>0</v>
      </c>
      <c r="AH105" s="131">
        <f>VaBenefits[[#This Row],[Maintenace Fee]]+VaBenefits[[#This Row],[Separate Account Charge]]+VaBenefits[[#This Row],[Rider Fee]]</f>
        <v>0</v>
      </c>
      <c r="AR105" s="23">
        <f t="shared" si="17"/>
        <v>48.5</v>
      </c>
      <c r="AS105" s="24">
        <v>0</v>
      </c>
      <c r="AT105" s="24">
        <v>0</v>
      </c>
      <c r="AU105" s="22">
        <v>0</v>
      </c>
      <c r="AV105" s="16">
        <v>0</v>
      </c>
      <c r="AW105" s="14">
        <v>299982</v>
      </c>
      <c r="AX105" s="15">
        <v>0</v>
      </c>
      <c r="AY105" s="15">
        <v>0</v>
      </c>
      <c r="AZ105" s="14">
        <v>0</v>
      </c>
      <c r="BA105" s="17">
        <v>11999</v>
      </c>
    </row>
    <row r="106" spans="1:53" ht="15" thickBot="1" x14ac:dyDescent="0.35">
      <c r="A106" s="32">
        <f t="shared" si="15"/>
        <v>98</v>
      </c>
      <c r="B106" s="29">
        <f t="shared" si="16"/>
        <v>24.5</v>
      </c>
      <c r="C106" s="29" t="b">
        <f>AND(VaBenefits[[#This Row],[timeFromValuation]]&gt;=ACT,VaBenefits[[#This Row],[Assumed Contract Value ]]&gt;0)</f>
        <v>0</v>
      </c>
      <c r="D106" s="20">
        <v>0</v>
      </c>
      <c r="E106" s="20">
        <v>0</v>
      </c>
      <c r="F106" s="20">
        <v>0</v>
      </c>
      <c r="G106" s="96">
        <f>ROUND($G$8+VaBenefits[[#This Row],[timeFromValuation]],0)</f>
        <v>80</v>
      </c>
      <c r="H106" s="20">
        <f>ROUND($H$8+VaBenefits[[#This Row],[timeFromValuation]],0)</f>
        <v>90</v>
      </c>
      <c r="I106" s="27" t="b">
        <f>VaBenefits[[#This Row],[Withdrawal Taken  ]]&gt;0</f>
        <v>0</v>
      </c>
      <c r="J106" s="41">
        <f>IF(AND(NOT(VaBenefits[[#This Row],[Is Activation]]),VaBenefits[[#This Row],[Assumed Contract Value ]]&gt;0),VaBenefits[[#This Row],[Withdrawal Taken  ]]/VaBenefits[[#This Row],[Assumed Contract Value ]],0)</f>
        <v>0</v>
      </c>
      <c r="K10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6" s="27" t="b">
        <f ca="1">AND(VaBenefits[[#This Row],[Is Activation]],SUMIFS($E$8:$E106,$C$8:$C106,TRUE)&gt;0)</f>
        <v>0</v>
      </c>
      <c r="M10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6" s="32" t="b">
        <f>IF(VaBenefits[[#This Row],[timeFromValuation]]=0,0, MOD(VaBenefits[[#This Row],[timeFromValuation]],1)=0)</f>
        <v>0</v>
      </c>
      <c r="O106" s="7">
        <f>IF(VaBenefits[[#This Row],[Is Anniversary?]]=TRUE,VaBenefits[[#This Row],[Assumed Contract Value ]],0)</f>
        <v>0</v>
      </c>
      <c r="P10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6" s="7" t="b">
        <f>VaBenefits[[#This Row],[Assumed Contract Value ]]&lt;0.1</f>
        <v>1</v>
      </c>
      <c r="R10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6" s="7">
        <f ca="1">IF(AND(VaBenefits[[#This Row],[Is Activation]]=FALSE,VaBenefits[[#This Row],[Is Anniversary?]]=TRUE),OFFSET( VaBenefits[[#This Row],[Income Credit Base]],-1,0)*ICP,0)</f>
        <v>0</v>
      </c>
      <c r="T106" s="5">
        <f>IF(VaBenefits[[#This Row],[Assumed Contract Value ]]&gt;0,VaBenefits[[#This Row],[Income Base]]*MAWA,0)</f>
        <v>0</v>
      </c>
      <c r="U106" s="95">
        <f>IF(AND(VaBenefits[[#This Row],[Has Income Credit]],VaBenefits[[#This Row],[Is Anniversary?]],VaBenefits[[#This Row],[Joint Mortality tPxy for the partial year]]),VaBenefits[[#This Row],[Income Base]]*PIP,0)</f>
        <v>0</v>
      </c>
      <c r="V106" s="8">
        <f>1/(1+InterestRate)^VaBenefits[[#This Row],[timeFromValuation]]</f>
        <v>0.3025952962638373</v>
      </c>
      <c r="W106" s="90">
        <f>VaBenefits[[#This Row],[timeFromValuation]]</f>
        <v>24.5</v>
      </c>
      <c r="X106" s="91">
        <f>IF(($G$8+VaBenefits[[#This Row],[timeFromValuation]])&lt;=120,VLOOKUP(G106,Table2[],Qx!L$6,FALSE),0)</f>
        <v>0.97517900000000002</v>
      </c>
      <c r="Y106" s="91">
        <f>IF(($H$8+VaBenefits[[#This Row],[timeFromValuation]])&lt;=120,VLOOKUP(H106,Table2[],Qx!M$6,FALSE),0)</f>
        <v>0.89000699999999999</v>
      </c>
      <c r="Z106" s="90">
        <f>PRODUCT($X$8:$X106)</f>
        <v>0.41379385757722698</v>
      </c>
      <c r="AA106" s="90">
        <f>PRODUCT($Y$8:$Y106)</f>
        <v>2.9058695423384569E-2</v>
      </c>
      <c r="AB106" s="91">
        <f>VaBenefits[[#This Row],[Primary Annuitant Px]]+VaBenefits[[#This Row],[Secondary Annuitant Py]]-VaBenefits[[#This Row],[Primary Annuitant Px]]*VaBenefits[[#This Row],[Secondary Annuitant Py]]</f>
        <v>0.997269863747</v>
      </c>
      <c r="AC106" s="91">
        <f>PRODUCT($AB$8:$AB106)</f>
        <v>0.95519789379498754</v>
      </c>
      <c r="AD106" s="97">
        <f t="shared" ca="1" si="18"/>
        <v>0</v>
      </c>
      <c r="AE106" s="130">
        <f>IF((AND(VaBenefits[[#This Row],[Is Anniversary?]],VaBenefits[[#This Row],[Assumed Contract Value ]]&lt;75000)),-50,0)</f>
        <v>0</v>
      </c>
      <c r="AF106" s="133">
        <f>VaBenefits[[#This Row],[Assumed Contract Value ]]*-1.15%/4</f>
        <v>0</v>
      </c>
      <c r="AG106" s="129">
        <v>0</v>
      </c>
      <c r="AH106" s="131">
        <f>VaBenefits[[#This Row],[Maintenace Fee]]+VaBenefits[[#This Row],[Separate Account Charge]]+VaBenefits[[#This Row],[Rider Fee]]</f>
        <v>0</v>
      </c>
      <c r="AR106" s="23">
        <f t="shared" si="17"/>
        <v>49</v>
      </c>
      <c r="AS106" s="24">
        <v>0</v>
      </c>
      <c r="AT106" s="24">
        <v>0</v>
      </c>
      <c r="AU106" s="22">
        <v>0</v>
      </c>
      <c r="AV106" s="16">
        <v>0</v>
      </c>
      <c r="AW106" s="14">
        <v>299982</v>
      </c>
      <c r="AX106" s="15">
        <v>0</v>
      </c>
      <c r="AY106" s="15">
        <v>0</v>
      </c>
      <c r="AZ106" s="14">
        <v>0</v>
      </c>
      <c r="BA106" s="17">
        <v>11999</v>
      </c>
    </row>
    <row r="107" spans="1:53" ht="15" thickBot="1" x14ac:dyDescent="0.35">
      <c r="A107" s="32">
        <f t="shared" si="15"/>
        <v>99</v>
      </c>
      <c r="B107" s="29">
        <f t="shared" si="16"/>
        <v>24.75</v>
      </c>
      <c r="C107" s="29" t="b">
        <f>AND(VaBenefits[[#This Row],[timeFromValuation]]&gt;=ACT,VaBenefits[[#This Row],[Assumed Contract Value ]]&gt;0)</f>
        <v>0</v>
      </c>
      <c r="D107" s="20">
        <v>0</v>
      </c>
      <c r="E107" s="20">
        <v>0</v>
      </c>
      <c r="F107" s="20">
        <v>0</v>
      </c>
      <c r="G107" s="96">
        <f>ROUND($G$8+VaBenefits[[#This Row],[timeFromValuation]],0)</f>
        <v>80</v>
      </c>
      <c r="H107" s="20">
        <f>ROUND($H$8+VaBenefits[[#This Row],[timeFromValuation]],0)</f>
        <v>90</v>
      </c>
      <c r="I107" s="27" t="b">
        <f>VaBenefits[[#This Row],[Withdrawal Taken  ]]&gt;0</f>
        <v>0</v>
      </c>
      <c r="J107" s="41">
        <f>IF(AND(NOT(VaBenefits[[#This Row],[Is Activation]]),VaBenefits[[#This Row],[Assumed Contract Value ]]&gt;0),VaBenefits[[#This Row],[Withdrawal Taken  ]]/VaBenefits[[#This Row],[Assumed Contract Value ]],0)</f>
        <v>0</v>
      </c>
      <c r="K10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7" s="27" t="b">
        <f ca="1">AND(VaBenefits[[#This Row],[Is Activation]],SUMIFS($E$8:$E107,$C$8:$C107,TRUE)&gt;0)</f>
        <v>0</v>
      </c>
      <c r="M10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7" s="32" t="b">
        <f>IF(VaBenefits[[#This Row],[timeFromValuation]]=0,0, MOD(VaBenefits[[#This Row],[timeFromValuation]],1)=0)</f>
        <v>0</v>
      </c>
      <c r="O107" s="7">
        <f>IF(VaBenefits[[#This Row],[Is Anniversary?]]=TRUE,VaBenefits[[#This Row],[Assumed Contract Value ]],0)</f>
        <v>0</v>
      </c>
      <c r="P10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7" s="7" t="b">
        <f>VaBenefits[[#This Row],[Assumed Contract Value ]]&lt;0.1</f>
        <v>1</v>
      </c>
      <c r="R10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7" s="7">
        <f ca="1">IF(AND(VaBenefits[[#This Row],[Is Activation]]=FALSE,VaBenefits[[#This Row],[Is Anniversary?]]=TRUE),OFFSET( VaBenefits[[#This Row],[Income Credit Base]],-1,0)*ICP,0)</f>
        <v>0</v>
      </c>
      <c r="T107" s="5">
        <f>IF(VaBenefits[[#This Row],[Assumed Contract Value ]]&gt;0,VaBenefits[[#This Row],[Income Base]]*MAWA,0)</f>
        <v>0</v>
      </c>
      <c r="U107" s="95">
        <f>IF(AND(VaBenefits[[#This Row],[Has Income Credit]],VaBenefits[[#This Row],[Is Anniversary?]],VaBenefits[[#This Row],[Joint Mortality tPxy for the partial year]]),VaBenefits[[#This Row],[Income Base]]*PIP,0)</f>
        <v>0</v>
      </c>
      <c r="V107" s="8">
        <f>1/(1+InterestRate)^VaBenefits[[#This Row],[timeFromValuation]]</f>
        <v>0.29892679653958182</v>
      </c>
      <c r="W107" s="90">
        <f>VaBenefits[[#This Row],[timeFromValuation]]</f>
        <v>24.75</v>
      </c>
      <c r="X107" s="91">
        <f>IF(($G$8+VaBenefits[[#This Row],[timeFromValuation]])&lt;=120,VLOOKUP(G107,Table2[],Qx!L$6,FALSE),0)</f>
        <v>0.97517900000000002</v>
      </c>
      <c r="Y107" s="91">
        <f>IF(($H$8+VaBenefits[[#This Row],[timeFromValuation]])&lt;=120,VLOOKUP(H107,Table2[],Qx!M$6,FALSE),0)</f>
        <v>0.89000699999999999</v>
      </c>
      <c r="Z107" s="90">
        <f>PRODUCT($X$8:$X107)</f>
        <v>0.40352308023830263</v>
      </c>
      <c r="AA107" s="90">
        <f>PRODUCT($Y$8:$Y107)</f>
        <v>2.586244233768023E-2</v>
      </c>
      <c r="AB107" s="91">
        <f>VaBenefits[[#This Row],[Primary Annuitant Px]]+VaBenefits[[#This Row],[Secondary Annuitant Py]]-VaBenefits[[#This Row],[Primary Annuitant Px]]*VaBenefits[[#This Row],[Secondary Annuitant Py]]</f>
        <v>0.997269863747</v>
      </c>
      <c r="AC107" s="91">
        <f>PRODUCT($AB$8:$AB107)</f>
        <v>0.9525900733963486</v>
      </c>
      <c r="AD107" s="97">
        <f t="shared" ca="1" si="18"/>
        <v>0</v>
      </c>
      <c r="AE107" s="130">
        <f>IF((AND(VaBenefits[[#This Row],[Is Anniversary?]],VaBenefits[[#This Row],[Assumed Contract Value ]]&lt;75000)),-50,0)</f>
        <v>0</v>
      </c>
      <c r="AF107" s="133">
        <f>VaBenefits[[#This Row],[Assumed Contract Value ]]*-1.15%/4</f>
        <v>0</v>
      </c>
      <c r="AG107" s="129">
        <v>0</v>
      </c>
      <c r="AH107" s="131">
        <f>VaBenefits[[#This Row],[Maintenace Fee]]+VaBenefits[[#This Row],[Separate Account Charge]]+VaBenefits[[#This Row],[Rider Fee]]</f>
        <v>0</v>
      </c>
      <c r="AR107" s="23">
        <f t="shared" si="17"/>
        <v>49.5</v>
      </c>
      <c r="AS107" s="24">
        <v>0</v>
      </c>
      <c r="AT107" s="24">
        <v>0</v>
      </c>
      <c r="AU107" s="22">
        <v>0</v>
      </c>
      <c r="AV107" s="16">
        <v>0</v>
      </c>
      <c r="AW107" s="14">
        <v>299982</v>
      </c>
      <c r="AX107" s="15">
        <v>0</v>
      </c>
      <c r="AY107" s="15">
        <v>0</v>
      </c>
      <c r="AZ107" s="14">
        <v>0</v>
      </c>
      <c r="BA107" s="17">
        <v>11999</v>
      </c>
    </row>
    <row r="108" spans="1:53" ht="15" thickBot="1" x14ac:dyDescent="0.35">
      <c r="A108" s="32">
        <f t="shared" si="15"/>
        <v>100</v>
      </c>
      <c r="B108" s="29">
        <f t="shared" si="16"/>
        <v>25</v>
      </c>
      <c r="C108" s="29" t="b">
        <f>AND(VaBenefits[[#This Row],[timeFromValuation]]&gt;=ACT,VaBenefits[[#This Row],[Assumed Contract Value ]]&gt;0)</f>
        <v>0</v>
      </c>
      <c r="D108" s="20">
        <v>0</v>
      </c>
      <c r="E108" s="20">
        <v>0</v>
      </c>
      <c r="F108" s="20">
        <v>0</v>
      </c>
      <c r="G108" s="96">
        <f>ROUND($G$8+VaBenefits[[#This Row],[timeFromValuation]],0)</f>
        <v>80</v>
      </c>
      <c r="H108" s="20">
        <f>ROUND($H$8+VaBenefits[[#This Row],[timeFromValuation]],0)</f>
        <v>90</v>
      </c>
      <c r="I108" s="27" t="b">
        <f>VaBenefits[[#This Row],[Withdrawal Taken  ]]&gt;0</f>
        <v>0</v>
      </c>
      <c r="J108" s="41">
        <f>IF(AND(NOT(VaBenefits[[#This Row],[Is Activation]]),VaBenefits[[#This Row],[Assumed Contract Value ]]&gt;0),VaBenefits[[#This Row],[Withdrawal Taken  ]]/VaBenefits[[#This Row],[Assumed Contract Value ]],0)</f>
        <v>0</v>
      </c>
      <c r="K10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8" s="27" t="b">
        <f ca="1">AND(VaBenefits[[#This Row],[Is Activation]],SUMIFS($E$8:$E108,$C$8:$C108,TRUE)&gt;0)</f>
        <v>0</v>
      </c>
      <c r="M10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8" s="32" t="b">
        <f>IF(VaBenefits[[#This Row],[timeFromValuation]]=0,0, MOD(VaBenefits[[#This Row],[timeFromValuation]],1)=0)</f>
        <v>1</v>
      </c>
      <c r="O108" s="7">
        <f>IF(VaBenefits[[#This Row],[Is Anniversary?]]=TRUE,VaBenefits[[#This Row],[Assumed Contract Value ]],0)</f>
        <v>0</v>
      </c>
      <c r="P10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8" s="7" t="b">
        <f>VaBenefits[[#This Row],[Assumed Contract Value ]]&lt;0.1</f>
        <v>1</v>
      </c>
      <c r="R10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8" s="7">
        <f ca="1">IF(AND(VaBenefits[[#This Row],[Is Activation]]=FALSE,VaBenefits[[#This Row],[Is Anniversary?]]=TRUE),OFFSET( VaBenefits[[#This Row],[Income Credit Base]],-1,0)*ICP,0)</f>
        <v>0</v>
      </c>
      <c r="T108" s="5">
        <f>IF(VaBenefits[[#This Row],[Assumed Contract Value ]]&gt;0,VaBenefits[[#This Row],[Income Base]]*MAWA,0)</f>
        <v>0</v>
      </c>
      <c r="U108" s="95">
        <f ca="1">IF(AND(VaBenefits[[#This Row],[Has Income Credit]],VaBenefits[[#This Row],[Is Anniversary?]],VaBenefits[[#This Row],[Joint Mortality tPxy for the partial year]]),VaBenefits[[#This Row],[Income Base]]*PIP,0)</f>
        <v>12026.006800536559</v>
      </c>
      <c r="V108" s="8">
        <f>1/(1+InterestRate)^VaBenefits[[#This Row],[timeFromValuation]]</f>
        <v>0.29530277169776209</v>
      </c>
      <c r="W108" s="90">
        <f>VaBenefits[[#This Row],[timeFromValuation]]</f>
        <v>25</v>
      </c>
      <c r="X108" s="91">
        <f>IF(($G$8+VaBenefits[[#This Row],[timeFromValuation]])&lt;=120,VLOOKUP(G108,Table2[],Qx!L$6,FALSE),0)</f>
        <v>0.97517900000000002</v>
      </c>
      <c r="Y108" s="91">
        <f>IF(($H$8+VaBenefits[[#This Row],[timeFromValuation]])&lt;=120,VLOOKUP(H108,Table2[],Qx!M$6,FALSE),0)</f>
        <v>0.89000699999999999</v>
      </c>
      <c r="Z108" s="90">
        <f>PRODUCT($X$8:$X108)</f>
        <v>0.39350723386370773</v>
      </c>
      <c r="AA108" s="90">
        <f>PRODUCT($Y$8:$Y108)</f>
        <v>2.3017754717631768E-2</v>
      </c>
      <c r="AB108" s="91">
        <f>VaBenefits[[#This Row],[Primary Annuitant Px]]+VaBenefits[[#This Row],[Secondary Annuitant Py]]-VaBenefits[[#This Row],[Primary Annuitant Px]]*VaBenefits[[#This Row],[Secondary Annuitant Py]]</f>
        <v>0.997269863747</v>
      </c>
      <c r="AC108" s="91">
        <f>PRODUCT($AB$8:$AB108)</f>
        <v>0.94998937270272132</v>
      </c>
      <c r="AD108" s="97">
        <f t="shared" ca="1" si="18"/>
        <v>0</v>
      </c>
      <c r="AE108" s="130">
        <f>IF((AND(VaBenefits[[#This Row],[Is Anniversary?]],VaBenefits[[#This Row],[Assumed Contract Value ]]&lt;75000)),-50,0)</f>
        <v>-50</v>
      </c>
      <c r="AF108" s="133">
        <f>VaBenefits[[#This Row],[Assumed Contract Value ]]*-1.15%/4</f>
        <v>0</v>
      </c>
      <c r="AG108" s="129">
        <v>0</v>
      </c>
      <c r="AH108" s="131">
        <f>VaBenefits[[#This Row],[Maintenace Fee]]+VaBenefits[[#This Row],[Separate Account Charge]]+VaBenefits[[#This Row],[Rider Fee]]</f>
        <v>-50</v>
      </c>
      <c r="AR108" s="23">
        <f t="shared" si="17"/>
        <v>50</v>
      </c>
      <c r="AS108" s="24">
        <v>0</v>
      </c>
      <c r="AT108" s="24">
        <v>0</v>
      </c>
      <c r="AU108" s="22">
        <v>0</v>
      </c>
      <c r="AV108" s="16">
        <v>0</v>
      </c>
      <c r="AW108" s="14">
        <v>299982</v>
      </c>
      <c r="AX108" s="15">
        <v>0</v>
      </c>
      <c r="AY108" s="15">
        <v>0</v>
      </c>
      <c r="AZ108" s="14">
        <v>0</v>
      </c>
      <c r="BA108" s="17">
        <v>11999</v>
      </c>
    </row>
    <row r="109" spans="1:53" ht="15" thickBot="1" x14ac:dyDescent="0.35">
      <c r="A109" s="32">
        <f t="shared" si="15"/>
        <v>101</v>
      </c>
      <c r="B109" s="29">
        <f t="shared" si="16"/>
        <v>25.25</v>
      </c>
      <c r="C109" s="29" t="b">
        <f>AND(VaBenefits[[#This Row],[timeFromValuation]]&gt;=ACT,VaBenefits[[#This Row],[Assumed Contract Value ]]&gt;0)</f>
        <v>0</v>
      </c>
      <c r="D109" s="20">
        <v>0</v>
      </c>
      <c r="E109" s="20">
        <v>0</v>
      </c>
      <c r="F109" s="20">
        <v>0</v>
      </c>
      <c r="G109" s="96">
        <f>ROUND($G$8+VaBenefits[[#This Row],[timeFromValuation]],0)</f>
        <v>80</v>
      </c>
      <c r="H109" s="20">
        <f>ROUND($H$8+VaBenefits[[#This Row],[timeFromValuation]],0)</f>
        <v>90</v>
      </c>
      <c r="I109" s="27" t="b">
        <f>VaBenefits[[#This Row],[Withdrawal Taken  ]]&gt;0</f>
        <v>0</v>
      </c>
      <c r="J109" s="41">
        <f>IF(AND(NOT(VaBenefits[[#This Row],[Is Activation]]),VaBenefits[[#This Row],[Assumed Contract Value ]]&gt;0),VaBenefits[[#This Row],[Withdrawal Taken  ]]/VaBenefits[[#This Row],[Assumed Contract Value ]],0)</f>
        <v>0</v>
      </c>
      <c r="K10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9" s="27" t="b">
        <f ca="1">AND(VaBenefits[[#This Row],[Is Activation]],SUMIFS($E$8:$E109,$C$8:$C109,TRUE)&gt;0)</f>
        <v>0</v>
      </c>
      <c r="M10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9" s="32" t="b">
        <f>IF(VaBenefits[[#This Row],[timeFromValuation]]=0,0, MOD(VaBenefits[[#This Row],[timeFromValuation]],1)=0)</f>
        <v>0</v>
      </c>
      <c r="O109" s="7">
        <f>IF(VaBenefits[[#This Row],[Is Anniversary?]]=TRUE,VaBenefits[[#This Row],[Assumed Contract Value ]],0)</f>
        <v>0</v>
      </c>
      <c r="P10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9" s="7" t="b">
        <f>VaBenefits[[#This Row],[Assumed Contract Value ]]&lt;0.1</f>
        <v>1</v>
      </c>
      <c r="R10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9" s="7">
        <f ca="1">IF(AND(VaBenefits[[#This Row],[Is Activation]]=FALSE,VaBenefits[[#This Row],[Is Anniversary?]]=TRUE),OFFSET( VaBenefits[[#This Row],[Income Credit Base]],-1,0)*ICP,0)</f>
        <v>0</v>
      </c>
      <c r="T109" s="5">
        <f>IF(VaBenefits[[#This Row],[Assumed Contract Value ]]&gt;0,VaBenefits[[#This Row],[Income Base]]*MAWA,0)</f>
        <v>0</v>
      </c>
      <c r="U109" s="95">
        <f>IF(AND(VaBenefits[[#This Row],[Has Income Credit]],VaBenefits[[#This Row],[Is Anniversary?]],VaBenefits[[#This Row],[Joint Mortality tPxy for the partial year]]),VaBenefits[[#This Row],[Income Base]]*PIP,0)</f>
        <v>0</v>
      </c>
      <c r="V109" s="8">
        <f>1/(1+InterestRate)^VaBenefits[[#This Row],[timeFromValuation]]</f>
        <v>0.29172268254924927</v>
      </c>
      <c r="W109" s="90">
        <f>VaBenefits[[#This Row],[timeFromValuation]]</f>
        <v>25.25</v>
      </c>
      <c r="X109" s="91">
        <f>IF(($G$8+VaBenefits[[#This Row],[timeFromValuation]])&lt;=120,VLOOKUP(G109,Table2[],Qx!L$6,FALSE),0)</f>
        <v>0.97517900000000002</v>
      </c>
      <c r="Y109" s="91">
        <f>IF(($H$8+VaBenefits[[#This Row],[timeFromValuation]])&lt;=120,VLOOKUP(H109,Table2[],Qx!M$6,FALSE),0)</f>
        <v>0.89000699999999999</v>
      </c>
      <c r="Z109" s="90">
        <f>PRODUCT($X$8:$X109)</f>
        <v>0.38373999081197663</v>
      </c>
      <c r="AA109" s="90">
        <f>PRODUCT($Y$8:$Y109)</f>
        <v>2.0485962822975295E-2</v>
      </c>
      <c r="AB109" s="91">
        <f>VaBenefits[[#This Row],[Primary Annuitant Px]]+VaBenefits[[#This Row],[Secondary Annuitant Py]]-VaBenefits[[#This Row],[Primary Annuitant Px]]*VaBenefits[[#This Row],[Secondary Annuitant Py]]</f>
        <v>0.997269863747</v>
      </c>
      <c r="AC109" s="91">
        <f>PRODUCT($AB$8:$AB109)</f>
        <v>0.94739577227634086</v>
      </c>
      <c r="AD109" s="97">
        <f t="shared" ca="1" si="18"/>
        <v>0</v>
      </c>
      <c r="AE109" s="130">
        <f>IF((AND(VaBenefits[[#This Row],[Is Anniversary?]],VaBenefits[[#This Row],[Assumed Contract Value ]]&lt;75000)),-50,0)</f>
        <v>0</v>
      </c>
      <c r="AF109" s="133">
        <f>VaBenefits[[#This Row],[Assumed Contract Value ]]*-1.15%/4</f>
        <v>0</v>
      </c>
      <c r="AG109" s="129">
        <v>0</v>
      </c>
      <c r="AH109" s="131">
        <f>VaBenefits[[#This Row],[Maintenace Fee]]+VaBenefits[[#This Row],[Separate Account Charge]]+VaBenefits[[#This Row],[Rider Fee]]</f>
        <v>0</v>
      </c>
      <c r="AR109" s="23">
        <f t="shared" si="17"/>
        <v>50.5</v>
      </c>
      <c r="AS109" s="24">
        <v>0</v>
      </c>
      <c r="AT109" s="24">
        <v>0</v>
      </c>
      <c r="AU109" s="22">
        <v>0</v>
      </c>
      <c r="AV109" s="16">
        <v>0</v>
      </c>
      <c r="AW109" s="14">
        <v>299982</v>
      </c>
      <c r="AX109" s="15">
        <v>0</v>
      </c>
      <c r="AY109" s="15">
        <v>0</v>
      </c>
      <c r="AZ109" s="14">
        <v>0</v>
      </c>
      <c r="BA109" s="17">
        <v>11999</v>
      </c>
    </row>
    <row r="110" spans="1:53" ht="15" thickBot="1" x14ac:dyDescent="0.35">
      <c r="A110" s="32">
        <f t="shared" si="15"/>
        <v>102</v>
      </c>
      <c r="B110" s="29">
        <f t="shared" si="16"/>
        <v>25.5</v>
      </c>
      <c r="C110" s="29" t="b">
        <f>AND(VaBenefits[[#This Row],[timeFromValuation]]&gt;=ACT,VaBenefits[[#This Row],[Assumed Contract Value ]]&gt;0)</f>
        <v>0</v>
      </c>
      <c r="D110" s="20">
        <v>0</v>
      </c>
      <c r="E110" s="20">
        <v>0</v>
      </c>
      <c r="F110" s="20">
        <v>0</v>
      </c>
      <c r="G110" s="96">
        <f>ROUND($G$8+VaBenefits[[#This Row],[timeFromValuation]],0)</f>
        <v>81</v>
      </c>
      <c r="H110" s="20">
        <f>ROUND($H$8+VaBenefits[[#This Row],[timeFromValuation]],0)</f>
        <v>91</v>
      </c>
      <c r="I110" s="27" t="b">
        <f>VaBenefits[[#This Row],[Withdrawal Taken  ]]&gt;0</f>
        <v>0</v>
      </c>
      <c r="J110" s="41">
        <f>IF(AND(NOT(VaBenefits[[#This Row],[Is Activation]]),VaBenefits[[#This Row],[Assumed Contract Value ]]&gt;0),VaBenefits[[#This Row],[Withdrawal Taken  ]]/VaBenefits[[#This Row],[Assumed Contract Value ]],0)</f>
        <v>0</v>
      </c>
      <c r="K11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0" s="27" t="b">
        <f ca="1">AND(VaBenefits[[#This Row],[Is Activation]],SUMIFS($E$8:$E110,$C$8:$C110,TRUE)&gt;0)</f>
        <v>0</v>
      </c>
      <c r="M11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0" s="32" t="b">
        <f>IF(VaBenefits[[#This Row],[timeFromValuation]]=0,0, MOD(VaBenefits[[#This Row],[timeFromValuation]],1)=0)</f>
        <v>0</v>
      </c>
      <c r="O110" s="7">
        <f>IF(VaBenefits[[#This Row],[Is Anniversary?]]=TRUE,VaBenefits[[#This Row],[Assumed Contract Value ]],0)</f>
        <v>0</v>
      </c>
      <c r="P11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0" s="7" t="b">
        <f>VaBenefits[[#This Row],[Assumed Contract Value ]]&lt;0.1</f>
        <v>1</v>
      </c>
      <c r="R11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0" s="7">
        <f ca="1">IF(AND(VaBenefits[[#This Row],[Is Activation]]=FALSE,VaBenefits[[#This Row],[Is Anniversary?]]=TRUE),OFFSET( VaBenefits[[#This Row],[Income Credit Base]],-1,0)*ICP,0)</f>
        <v>0</v>
      </c>
      <c r="T110" s="5">
        <f>IF(VaBenefits[[#This Row],[Assumed Contract Value ]]&gt;0,VaBenefits[[#This Row],[Income Base]]*MAWA,0)</f>
        <v>0</v>
      </c>
      <c r="U110" s="95">
        <f>IF(AND(VaBenefits[[#This Row],[Has Income Credit]],VaBenefits[[#This Row],[Is Anniversary?]],VaBenefits[[#This Row],[Joint Mortality tPxy for the partial year]]),VaBenefits[[#This Row],[Income Base]]*PIP,0)</f>
        <v>0</v>
      </c>
      <c r="V110" s="8">
        <f>1/(1+InterestRate)^VaBenefits[[#This Row],[timeFromValuation]]</f>
        <v>0.28818599644174986</v>
      </c>
      <c r="W110" s="90">
        <f>VaBenefits[[#This Row],[timeFromValuation]]</f>
        <v>25.5</v>
      </c>
      <c r="X110" s="91">
        <f>IF(($G$8+VaBenefits[[#This Row],[timeFromValuation]])&lt;=120,VLOOKUP(G110,Table2[],Qx!L$6,FALSE),0)</f>
        <v>0.97164899999999998</v>
      </c>
      <c r="Y110" s="91">
        <f>IF(($H$8+VaBenefits[[#This Row],[timeFromValuation]])&lt;=120,VLOOKUP(H110,Table2[],Qx!M$6,FALSE),0)</f>
        <v>0.87688100000000002</v>
      </c>
      <c r="Z110" s="90">
        <f>PRODUCT($X$8:$X110)</f>
        <v>0.37286057833246627</v>
      </c>
      <c r="AA110" s="90">
        <f>PRODUCT($Y$8:$Y110)</f>
        <v>1.79637515661734E-2</v>
      </c>
      <c r="AB110" s="91">
        <f>VaBenefits[[#This Row],[Primary Annuitant Px]]+VaBenefits[[#This Row],[Secondary Annuitant Py]]-VaBenefits[[#This Row],[Primary Annuitant Px]]*VaBenefits[[#This Row],[Secondary Annuitant Py]]</f>
        <v>0.99650945323100004</v>
      </c>
      <c r="AC110" s="91">
        <f>PRODUCT($AB$8:$AB110)</f>
        <v>0.9440888430244575</v>
      </c>
      <c r="AD110" s="97">
        <f t="shared" ca="1" si="18"/>
        <v>0</v>
      </c>
      <c r="AE110" s="130">
        <f>IF((AND(VaBenefits[[#This Row],[Is Anniversary?]],VaBenefits[[#This Row],[Assumed Contract Value ]]&lt;75000)),-50,0)</f>
        <v>0</v>
      </c>
      <c r="AF110" s="133">
        <f>VaBenefits[[#This Row],[Assumed Contract Value ]]*-1.15%/4</f>
        <v>0</v>
      </c>
      <c r="AG110" s="129">
        <v>0</v>
      </c>
      <c r="AH110" s="131">
        <f>VaBenefits[[#This Row],[Maintenace Fee]]+VaBenefits[[#This Row],[Separate Account Charge]]+VaBenefits[[#This Row],[Rider Fee]]</f>
        <v>0</v>
      </c>
      <c r="AR110" s="23">
        <f t="shared" si="17"/>
        <v>51</v>
      </c>
      <c r="AS110" s="24">
        <v>0</v>
      </c>
      <c r="AT110" s="24">
        <v>0</v>
      </c>
      <c r="AU110" s="22">
        <v>0</v>
      </c>
      <c r="AV110" s="16">
        <v>0</v>
      </c>
      <c r="AW110" s="14">
        <v>299982</v>
      </c>
      <c r="AX110" s="15">
        <v>0</v>
      </c>
      <c r="AY110" s="15">
        <v>0</v>
      </c>
      <c r="AZ110" s="14">
        <v>0</v>
      </c>
      <c r="BA110" s="17">
        <v>11999</v>
      </c>
    </row>
    <row r="111" spans="1:53" ht="15" thickBot="1" x14ac:dyDescent="0.35">
      <c r="A111" s="32">
        <f t="shared" si="15"/>
        <v>103</v>
      </c>
      <c r="B111" s="29">
        <f t="shared" si="16"/>
        <v>25.75</v>
      </c>
      <c r="C111" s="29" t="b">
        <f>AND(VaBenefits[[#This Row],[timeFromValuation]]&gt;=ACT,VaBenefits[[#This Row],[Assumed Contract Value ]]&gt;0)</f>
        <v>0</v>
      </c>
      <c r="D111" s="20">
        <v>0</v>
      </c>
      <c r="E111" s="20">
        <v>0</v>
      </c>
      <c r="F111" s="20">
        <v>0</v>
      </c>
      <c r="G111" s="96">
        <f>ROUND($G$8+VaBenefits[[#This Row],[timeFromValuation]],0)</f>
        <v>81</v>
      </c>
      <c r="H111" s="20">
        <f>ROUND($H$8+VaBenefits[[#This Row],[timeFromValuation]],0)</f>
        <v>91</v>
      </c>
      <c r="I111" s="27" t="b">
        <f>VaBenefits[[#This Row],[Withdrawal Taken  ]]&gt;0</f>
        <v>0</v>
      </c>
      <c r="J111" s="41">
        <f>IF(AND(NOT(VaBenefits[[#This Row],[Is Activation]]),VaBenefits[[#This Row],[Assumed Contract Value ]]&gt;0),VaBenefits[[#This Row],[Withdrawal Taken  ]]/VaBenefits[[#This Row],[Assumed Contract Value ]],0)</f>
        <v>0</v>
      </c>
      <c r="K11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1" s="27" t="b">
        <f ca="1">AND(VaBenefits[[#This Row],[Is Activation]],SUMIFS($E$8:$E111,$C$8:$C111,TRUE)&gt;0)</f>
        <v>0</v>
      </c>
      <c r="M11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1" s="32" t="b">
        <f>IF(VaBenefits[[#This Row],[timeFromValuation]]=0,0, MOD(VaBenefits[[#This Row],[timeFromValuation]],1)=0)</f>
        <v>0</v>
      </c>
      <c r="O111" s="7">
        <f>IF(VaBenefits[[#This Row],[Is Anniversary?]]=TRUE,VaBenefits[[#This Row],[Assumed Contract Value ]],0)</f>
        <v>0</v>
      </c>
      <c r="P11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1" s="7" t="b">
        <f>VaBenefits[[#This Row],[Assumed Contract Value ]]&lt;0.1</f>
        <v>1</v>
      </c>
      <c r="R11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1" s="7">
        <f ca="1">IF(AND(VaBenefits[[#This Row],[Is Activation]]=FALSE,VaBenefits[[#This Row],[Is Anniversary?]]=TRUE),OFFSET( VaBenefits[[#This Row],[Income Credit Base]],-1,0)*ICP,0)</f>
        <v>0</v>
      </c>
      <c r="T111" s="5">
        <f>IF(VaBenefits[[#This Row],[Assumed Contract Value ]]&gt;0,VaBenefits[[#This Row],[Income Base]]*MAWA,0)</f>
        <v>0</v>
      </c>
      <c r="U111" s="95">
        <f>IF(AND(VaBenefits[[#This Row],[Has Income Credit]],VaBenefits[[#This Row],[Is Anniversary?]],VaBenefits[[#This Row],[Joint Mortality tPxy for the partial year]]),VaBenefits[[#This Row],[Income Base]]*PIP,0)</f>
        <v>0</v>
      </c>
      <c r="V111" s="8">
        <f>1/(1+InterestRate)^VaBenefits[[#This Row],[timeFromValuation]]</f>
        <v>0.28469218718055417</v>
      </c>
      <c r="W111" s="90">
        <f>VaBenefits[[#This Row],[timeFromValuation]]</f>
        <v>25.75</v>
      </c>
      <c r="X111" s="91">
        <f>IF(($G$8+VaBenefits[[#This Row],[timeFromValuation]])&lt;=120,VLOOKUP(G111,Table2[],Qx!L$6,FALSE),0)</f>
        <v>0.97164899999999998</v>
      </c>
      <c r="Y111" s="91">
        <f>IF(($H$8+VaBenefits[[#This Row],[timeFromValuation]])&lt;=120,VLOOKUP(H111,Table2[],Qx!M$6,FALSE),0)</f>
        <v>0.87688100000000002</v>
      </c>
      <c r="Z111" s="90">
        <f>PRODUCT($X$8:$X111)</f>
        <v>0.36228960807616251</v>
      </c>
      <c r="AA111" s="90">
        <f>PRODUCT($Y$8:$Y111)</f>
        <v>1.5752072437097697E-2</v>
      </c>
      <c r="AB111" s="91">
        <f>VaBenefits[[#This Row],[Primary Annuitant Px]]+VaBenefits[[#This Row],[Secondary Annuitant Py]]-VaBenefits[[#This Row],[Primary Annuitant Px]]*VaBenefits[[#This Row],[Secondary Annuitant Py]]</f>
        <v>0.99650945323100004</v>
      </c>
      <c r="AC111" s="91">
        <f>PRODUCT($AB$8:$AB111)</f>
        <v>0.94079345676378956</v>
      </c>
      <c r="AD111" s="97">
        <f t="shared" ca="1" si="18"/>
        <v>0</v>
      </c>
      <c r="AE111" s="130">
        <f>IF((AND(VaBenefits[[#This Row],[Is Anniversary?]],VaBenefits[[#This Row],[Assumed Contract Value ]]&lt;75000)),-50,0)</f>
        <v>0</v>
      </c>
      <c r="AF111" s="133">
        <f>VaBenefits[[#This Row],[Assumed Contract Value ]]*-1.15%/4</f>
        <v>0</v>
      </c>
      <c r="AG111" s="129">
        <v>0</v>
      </c>
      <c r="AH111" s="131">
        <f>VaBenefits[[#This Row],[Maintenace Fee]]+VaBenefits[[#This Row],[Separate Account Charge]]+VaBenefits[[#This Row],[Rider Fee]]</f>
        <v>0</v>
      </c>
      <c r="AR111" s="23">
        <f t="shared" si="17"/>
        <v>51.5</v>
      </c>
      <c r="AS111" s="24">
        <v>0</v>
      </c>
      <c r="AT111" s="24">
        <v>0</v>
      </c>
      <c r="AU111" s="22">
        <v>0</v>
      </c>
      <c r="AV111" s="16">
        <v>0</v>
      </c>
      <c r="AW111" s="14">
        <v>299982</v>
      </c>
      <c r="AX111" s="15">
        <v>0</v>
      </c>
      <c r="AY111" s="15">
        <v>0</v>
      </c>
      <c r="AZ111" s="14">
        <v>0</v>
      </c>
      <c r="BA111" s="17">
        <v>11999</v>
      </c>
    </row>
    <row r="112" spans="1:53" ht="15" thickBot="1" x14ac:dyDescent="0.35">
      <c r="A112" s="32">
        <f t="shared" si="15"/>
        <v>104</v>
      </c>
      <c r="B112" s="29">
        <f t="shared" si="16"/>
        <v>26</v>
      </c>
      <c r="C112" s="29" t="b">
        <f>AND(VaBenefits[[#This Row],[timeFromValuation]]&gt;=ACT,VaBenefits[[#This Row],[Assumed Contract Value ]]&gt;0)</f>
        <v>0</v>
      </c>
      <c r="D112" s="20">
        <v>0</v>
      </c>
      <c r="E112" s="20">
        <v>0</v>
      </c>
      <c r="F112" s="20">
        <v>0</v>
      </c>
      <c r="G112" s="96">
        <f>ROUND($G$8+VaBenefits[[#This Row],[timeFromValuation]],0)</f>
        <v>81</v>
      </c>
      <c r="H112" s="20">
        <f>ROUND($H$8+VaBenefits[[#This Row],[timeFromValuation]],0)</f>
        <v>91</v>
      </c>
      <c r="I112" s="27" t="b">
        <f>VaBenefits[[#This Row],[Withdrawal Taken  ]]&gt;0</f>
        <v>0</v>
      </c>
      <c r="J112" s="41">
        <f>IF(AND(NOT(VaBenefits[[#This Row],[Is Activation]]),VaBenefits[[#This Row],[Assumed Contract Value ]]&gt;0),VaBenefits[[#This Row],[Withdrawal Taken  ]]/VaBenefits[[#This Row],[Assumed Contract Value ]],0)</f>
        <v>0</v>
      </c>
      <c r="K11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2" s="27" t="b">
        <f ca="1">AND(VaBenefits[[#This Row],[Is Activation]],SUMIFS($E$8:$E112,$C$8:$C112,TRUE)&gt;0)</f>
        <v>0</v>
      </c>
      <c r="M11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2" s="32" t="b">
        <f>IF(VaBenefits[[#This Row],[timeFromValuation]]=0,0, MOD(VaBenefits[[#This Row],[timeFromValuation]],1)=0)</f>
        <v>1</v>
      </c>
      <c r="O112" s="7">
        <f>IF(VaBenefits[[#This Row],[Is Anniversary?]]=TRUE,VaBenefits[[#This Row],[Assumed Contract Value ]],0)</f>
        <v>0</v>
      </c>
      <c r="P11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2" s="7" t="b">
        <f>VaBenefits[[#This Row],[Assumed Contract Value ]]&lt;0.1</f>
        <v>1</v>
      </c>
      <c r="R11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2" s="7">
        <f ca="1">IF(AND(VaBenefits[[#This Row],[Is Activation]]=FALSE,VaBenefits[[#This Row],[Is Anniversary?]]=TRUE),OFFSET( VaBenefits[[#This Row],[Income Credit Base]],-1,0)*ICP,0)</f>
        <v>0</v>
      </c>
      <c r="T112" s="5">
        <f>IF(VaBenefits[[#This Row],[Assumed Contract Value ]]&gt;0,VaBenefits[[#This Row],[Income Base]]*MAWA,0)</f>
        <v>0</v>
      </c>
      <c r="U112" s="95">
        <f ca="1">IF(AND(VaBenefits[[#This Row],[Has Income Credit]],VaBenefits[[#This Row],[Is Anniversary?]],VaBenefits[[#This Row],[Joint Mortality tPxy for the partial year]]),VaBenefits[[#This Row],[Income Base]]*PIP,0)</f>
        <v>12026.006800536559</v>
      </c>
      <c r="V112" s="8">
        <f>1/(1+InterestRate)^VaBenefits[[#This Row],[timeFromValuation]]</f>
        <v>0.28124073495024959</v>
      </c>
      <c r="W112" s="90">
        <f>VaBenefits[[#This Row],[timeFromValuation]]</f>
        <v>26</v>
      </c>
      <c r="X112" s="91">
        <f>IF(($G$8+VaBenefits[[#This Row],[timeFromValuation]])&lt;=120,VLOOKUP(G112,Table2[],Qx!L$6,FALSE),0)</f>
        <v>0.97164899999999998</v>
      </c>
      <c r="Y112" s="91">
        <f>IF(($H$8+VaBenefits[[#This Row],[timeFromValuation]])&lt;=120,VLOOKUP(H112,Table2[],Qx!M$6,FALSE),0)</f>
        <v>0.87688100000000002</v>
      </c>
      <c r="Z112" s="90">
        <f>PRODUCT($X$8:$X112)</f>
        <v>0.35201833539759519</v>
      </c>
      <c r="AA112" s="90">
        <f>PRODUCT($Y$8:$Y112)</f>
        <v>1.3812693030714666E-2</v>
      </c>
      <c r="AB112" s="91">
        <f>VaBenefits[[#This Row],[Primary Annuitant Px]]+VaBenefits[[#This Row],[Secondary Annuitant Py]]-VaBenefits[[#This Row],[Primary Annuitant Px]]*VaBenefits[[#This Row],[Secondary Annuitant Py]]</f>
        <v>0.99650945323100004</v>
      </c>
      <c r="AC112" s="91">
        <f>PRODUCT($AB$8:$AB112)</f>
        <v>0.93750957320298645</v>
      </c>
      <c r="AD112" s="97">
        <f t="shared" ca="1" si="18"/>
        <v>0</v>
      </c>
      <c r="AE112" s="130">
        <f>IF((AND(VaBenefits[[#This Row],[Is Anniversary?]],VaBenefits[[#This Row],[Assumed Contract Value ]]&lt;75000)),-50,0)</f>
        <v>-50</v>
      </c>
      <c r="AF112" s="133">
        <f>VaBenefits[[#This Row],[Assumed Contract Value ]]*-1.15%/4</f>
        <v>0</v>
      </c>
      <c r="AG112" s="129">
        <v>0</v>
      </c>
      <c r="AH112" s="131">
        <f>VaBenefits[[#This Row],[Maintenace Fee]]+VaBenefits[[#This Row],[Separate Account Charge]]+VaBenefits[[#This Row],[Rider Fee]]</f>
        <v>-50</v>
      </c>
      <c r="AR112" s="23">
        <f t="shared" si="17"/>
        <v>52</v>
      </c>
      <c r="AS112" s="24">
        <v>0</v>
      </c>
      <c r="AT112" s="24">
        <v>0</v>
      </c>
      <c r="AU112" s="22">
        <v>0</v>
      </c>
      <c r="AV112" s="16">
        <v>0</v>
      </c>
      <c r="AW112" s="14">
        <v>299982</v>
      </c>
      <c r="AX112" s="15">
        <v>0</v>
      </c>
      <c r="AY112" s="15">
        <v>0</v>
      </c>
      <c r="AZ112" s="14">
        <v>0</v>
      </c>
      <c r="BA112" s="17">
        <v>11999</v>
      </c>
    </row>
    <row r="113" spans="1:53" ht="15" thickBot="1" x14ac:dyDescent="0.35">
      <c r="A113" s="32">
        <f t="shared" si="15"/>
        <v>105</v>
      </c>
      <c r="B113" s="29">
        <f t="shared" si="16"/>
        <v>26.25</v>
      </c>
      <c r="C113" s="29" t="b">
        <f>AND(VaBenefits[[#This Row],[timeFromValuation]]&gt;=ACT,VaBenefits[[#This Row],[Assumed Contract Value ]]&gt;0)</f>
        <v>0</v>
      </c>
      <c r="D113" s="20">
        <v>0</v>
      </c>
      <c r="E113" s="20">
        <v>0</v>
      </c>
      <c r="F113" s="20">
        <v>0</v>
      </c>
      <c r="G113" s="96">
        <f>ROUND($G$8+VaBenefits[[#This Row],[timeFromValuation]],0)</f>
        <v>81</v>
      </c>
      <c r="H113" s="20">
        <f>ROUND($H$8+VaBenefits[[#This Row],[timeFromValuation]],0)</f>
        <v>91</v>
      </c>
      <c r="I113" s="27" t="b">
        <f>VaBenefits[[#This Row],[Withdrawal Taken  ]]&gt;0</f>
        <v>0</v>
      </c>
      <c r="J113" s="41">
        <f>IF(AND(NOT(VaBenefits[[#This Row],[Is Activation]]),VaBenefits[[#This Row],[Assumed Contract Value ]]&gt;0),VaBenefits[[#This Row],[Withdrawal Taken  ]]/VaBenefits[[#This Row],[Assumed Contract Value ]],0)</f>
        <v>0</v>
      </c>
      <c r="K11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3" s="27" t="b">
        <f ca="1">AND(VaBenefits[[#This Row],[Is Activation]],SUMIFS($E$8:$E113,$C$8:$C113,TRUE)&gt;0)</f>
        <v>0</v>
      </c>
      <c r="M11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3" s="32" t="b">
        <f>IF(VaBenefits[[#This Row],[timeFromValuation]]=0,0, MOD(VaBenefits[[#This Row],[timeFromValuation]],1)=0)</f>
        <v>0</v>
      </c>
      <c r="O113" s="7">
        <f>IF(VaBenefits[[#This Row],[Is Anniversary?]]=TRUE,VaBenefits[[#This Row],[Assumed Contract Value ]],0)</f>
        <v>0</v>
      </c>
      <c r="P11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3" s="7" t="b">
        <f>VaBenefits[[#This Row],[Assumed Contract Value ]]&lt;0.1</f>
        <v>1</v>
      </c>
      <c r="R11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3" s="7">
        <f ca="1">IF(AND(VaBenefits[[#This Row],[Is Activation]]=FALSE,VaBenefits[[#This Row],[Is Anniversary?]]=TRUE),OFFSET( VaBenefits[[#This Row],[Income Credit Base]],-1,0)*ICP,0)</f>
        <v>0</v>
      </c>
      <c r="T113" s="5">
        <f>IF(VaBenefits[[#This Row],[Assumed Contract Value ]]&gt;0,VaBenefits[[#This Row],[Income Base]]*MAWA,0)</f>
        <v>0</v>
      </c>
      <c r="U113" s="95">
        <f>IF(AND(VaBenefits[[#This Row],[Has Income Credit]],VaBenefits[[#This Row],[Is Anniversary?]],VaBenefits[[#This Row],[Joint Mortality tPxy for the partial year]]),VaBenefits[[#This Row],[Income Base]]*PIP,0)</f>
        <v>0</v>
      </c>
      <c r="V113" s="8">
        <f>1/(1+InterestRate)^VaBenefits[[#This Row],[timeFromValuation]]</f>
        <v>0.27783112623738021</v>
      </c>
      <c r="W113" s="90">
        <f>VaBenefits[[#This Row],[timeFromValuation]]</f>
        <v>26.25</v>
      </c>
      <c r="X113" s="91">
        <f>IF(($G$8+VaBenefits[[#This Row],[timeFromValuation]])&lt;=120,VLOOKUP(G113,Table2[],Qx!L$6,FALSE),0)</f>
        <v>0.97164899999999998</v>
      </c>
      <c r="Y113" s="91">
        <f>IF(($H$8+VaBenefits[[#This Row],[timeFromValuation]])&lt;=120,VLOOKUP(H113,Table2[],Qx!M$6,FALSE),0)</f>
        <v>0.87688100000000002</v>
      </c>
      <c r="Z113" s="90">
        <f>PRODUCT($X$8:$X113)</f>
        <v>0.34203826357073797</v>
      </c>
      <c r="AA113" s="90">
        <f>PRODUCT($Y$8:$Y113)</f>
        <v>1.2112088077466108E-2</v>
      </c>
      <c r="AB113" s="91">
        <f>VaBenefits[[#This Row],[Primary Annuitant Px]]+VaBenefits[[#This Row],[Secondary Annuitant Py]]-VaBenefits[[#This Row],[Primary Annuitant Px]]*VaBenefits[[#This Row],[Secondary Annuitant Py]]</f>
        <v>0.99650945323100004</v>
      </c>
      <c r="AC113" s="91">
        <f>PRODUCT($AB$8:$AB113)</f>
        <v>0.93423715219133618</v>
      </c>
      <c r="AD113" s="97">
        <f t="shared" ca="1" si="18"/>
        <v>0</v>
      </c>
      <c r="AE113" s="130">
        <f>IF((AND(VaBenefits[[#This Row],[Is Anniversary?]],VaBenefits[[#This Row],[Assumed Contract Value ]]&lt;75000)),-50,0)</f>
        <v>0</v>
      </c>
      <c r="AF113" s="133">
        <f>VaBenefits[[#This Row],[Assumed Contract Value ]]*-1.15%/4</f>
        <v>0</v>
      </c>
      <c r="AG113" s="129">
        <v>0</v>
      </c>
      <c r="AH113" s="131">
        <f>VaBenefits[[#This Row],[Maintenace Fee]]+VaBenefits[[#This Row],[Separate Account Charge]]+VaBenefits[[#This Row],[Rider Fee]]</f>
        <v>0</v>
      </c>
      <c r="AR113" s="23">
        <f t="shared" si="17"/>
        <v>52.5</v>
      </c>
      <c r="AS113" s="24">
        <v>0</v>
      </c>
      <c r="AT113" s="24">
        <v>0</v>
      </c>
      <c r="AU113" s="22">
        <v>0</v>
      </c>
      <c r="AV113" s="16">
        <v>0</v>
      </c>
      <c r="AW113" s="14">
        <v>299982</v>
      </c>
      <c r="AX113" s="15">
        <v>0</v>
      </c>
      <c r="AY113" s="15">
        <v>0</v>
      </c>
      <c r="AZ113" s="14">
        <v>0</v>
      </c>
      <c r="BA113" s="17">
        <v>11999</v>
      </c>
    </row>
    <row r="114" spans="1:53" ht="15" thickBot="1" x14ac:dyDescent="0.35">
      <c r="A114" s="32">
        <f t="shared" si="15"/>
        <v>106</v>
      </c>
      <c r="B114" s="29">
        <f t="shared" si="16"/>
        <v>26.5</v>
      </c>
      <c r="C114" s="29" t="b">
        <f>AND(VaBenefits[[#This Row],[timeFromValuation]]&gt;=ACT,VaBenefits[[#This Row],[Assumed Contract Value ]]&gt;0)</f>
        <v>0</v>
      </c>
      <c r="D114" s="20">
        <v>0</v>
      </c>
      <c r="E114" s="20">
        <v>0</v>
      </c>
      <c r="F114" s="20">
        <v>0</v>
      </c>
      <c r="G114" s="96">
        <f>ROUND($G$8+VaBenefits[[#This Row],[timeFromValuation]],0)</f>
        <v>82</v>
      </c>
      <c r="H114" s="20">
        <f>ROUND($H$8+VaBenefits[[#This Row],[timeFromValuation]],0)</f>
        <v>92</v>
      </c>
      <c r="I114" s="27" t="b">
        <f>VaBenefits[[#This Row],[Withdrawal Taken  ]]&gt;0</f>
        <v>0</v>
      </c>
      <c r="J114" s="41">
        <f>IF(AND(NOT(VaBenefits[[#This Row],[Is Activation]]),VaBenefits[[#This Row],[Assumed Contract Value ]]&gt;0),VaBenefits[[#This Row],[Withdrawal Taken  ]]/VaBenefits[[#This Row],[Assumed Contract Value ]],0)</f>
        <v>0</v>
      </c>
      <c r="K11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4" s="27" t="b">
        <f ca="1">AND(VaBenefits[[#This Row],[Is Activation]],SUMIFS($E$8:$E114,$C$8:$C114,TRUE)&gt;0)</f>
        <v>0</v>
      </c>
      <c r="M11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4" s="32" t="b">
        <f>IF(VaBenefits[[#This Row],[timeFromValuation]]=0,0, MOD(VaBenefits[[#This Row],[timeFromValuation]],1)=0)</f>
        <v>0</v>
      </c>
      <c r="O114" s="7">
        <f>IF(VaBenefits[[#This Row],[Is Anniversary?]]=TRUE,VaBenefits[[#This Row],[Assumed Contract Value ]],0)</f>
        <v>0</v>
      </c>
      <c r="P11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4" s="7" t="b">
        <f>VaBenefits[[#This Row],[Assumed Contract Value ]]&lt;0.1</f>
        <v>1</v>
      </c>
      <c r="R11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4" s="7">
        <f ca="1">IF(AND(VaBenefits[[#This Row],[Is Activation]]=FALSE,VaBenefits[[#This Row],[Is Anniversary?]]=TRUE),OFFSET( VaBenefits[[#This Row],[Income Credit Base]],-1,0)*ICP,0)</f>
        <v>0</v>
      </c>
      <c r="T114" s="5">
        <f>IF(VaBenefits[[#This Row],[Assumed Contract Value ]]&gt;0,VaBenefits[[#This Row],[Income Base]]*MAWA,0)</f>
        <v>0</v>
      </c>
      <c r="U114" s="95">
        <f>IF(AND(VaBenefits[[#This Row],[Has Income Credit]],VaBenefits[[#This Row],[Is Anniversary?]],VaBenefits[[#This Row],[Joint Mortality tPxy for the partial year]]),VaBenefits[[#This Row],[Income Base]]*PIP,0)</f>
        <v>0</v>
      </c>
      <c r="V114" s="8">
        <f>1/(1+InterestRate)^VaBenefits[[#This Row],[timeFromValuation]]</f>
        <v>0.27446285375404744</v>
      </c>
      <c r="W114" s="90">
        <f>VaBenefits[[#This Row],[timeFromValuation]]</f>
        <v>26.5</v>
      </c>
      <c r="X114" s="91">
        <f>IF(($G$8+VaBenefits[[#This Row],[timeFromValuation]])&lt;=120,VLOOKUP(G114,Table2[],Qx!L$6,FALSE),0)</f>
        <v>0.96749099999999999</v>
      </c>
      <c r="Y114" s="91">
        <f>IF(($H$8+VaBenefits[[#This Row],[timeFromValuation]])&lt;=120,VLOOKUP(H114,Table2[],Qx!M$6,FALSE),0)</f>
        <v>0.86283200000000004</v>
      </c>
      <c r="Z114" s="90">
        <f>PRODUCT($X$8:$X114)</f>
        <v>0.33091894166031682</v>
      </c>
      <c r="AA114" s="90">
        <f>PRODUCT($Y$8:$Y114)</f>
        <v>1.0450697180056237E-2</v>
      </c>
      <c r="AB114" s="91">
        <f>VaBenefits[[#This Row],[Primary Annuitant Px]]+VaBenefits[[#This Row],[Secondary Annuitant Py]]-VaBenefits[[#This Row],[Primary Annuitant Px]]*VaBenefits[[#This Row],[Secondary Annuitant Py]]</f>
        <v>0.99554080548799984</v>
      </c>
      <c r="AC114" s="91">
        <f>PRODUCT($AB$8:$AB114)</f>
        <v>0.93007120700937795</v>
      </c>
      <c r="AD114" s="97">
        <f t="shared" ca="1" si="18"/>
        <v>0</v>
      </c>
      <c r="AE114" s="130">
        <f>IF((AND(VaBenefits[[#This Row],[Is Anniversary?]],VaBenefits[[#This Row],[Assumed Contract Value ]]&lt;75000)),-50,0)</f>
        <v>0</v>
      </c>
      <c r="AF114" s="133">
        <f>VaBenefits[[#This Row],[Assumed Contract Value ]]*-1.15%/4</f>
        <v>0</v>
      </c>
      <c r="AG114" s="129">
        <v>0</v>
      </c>
      <c r="AH114" s="131">
        <f>VaBenefits[[#This Row],[Maintenace Fee]]+VaBenefits[[#This Row],[Separate Account Charge]]+VaBenefits[[#This Row],[Rider Fee]]</f>
        <v>0</v>
      </c>
      <c r="AR114" s="23">
        <f t="shared" si="17"/>
        <v>53</v>
      </c>
      <c r="AS114" s="24">
        <v>0</v>
      </c>
      <c r="AT114" s="24">
        <v>0</v>
      </c>
      <c r="AU114" s="22">
        <v>0</v>
      </c>
      <c r="AV114" s="16">
        <v>0</v>
      </c>
      <c r="AW114" s="14">
        <v>299982</v>
      </c>
      <c r="AX114" s="15">
        <v>0</v>
      </c>
      <c r="AY114" s="15">
        <v>0</v>
      </c>
      <c r="AZ114" s="14">
        <v>0</v>
      </c>
      <c r="BA114" s="17">
        <v>11999</v>
      </c>
    </row>
    <row r="115" spans="1:53" ht="15" thickBot="1" x14ac:dyDescent="0.35">
      <c r="A115" s="32">
        <f t="shared" si="15"/>
        <v>107</v>
      </c>
      <c r="B115" s="29">
        <f t="shared" si="16"/>
        <v>26.75</v>
      </c>
      <c r="C115" s="29" t="b">
        <f>AND(VaBenefits[[#This Row],[timeFromValuation]]&gt;=ACT,VaBenefits[[#This Row],[Assumed Contract Value ]]&gt;0)</f>
        <v>0</v>
      </c>
      <c r="D115" s="20">
        <v>0</v>
      </c>
      <c r="E115" s="20">
        <v>0</v>
      </c>
      <c r="F115" s="20">
        <v>0</v>
      </c>
      <c r="G115" s="96">
        <f>ROUND($G$8+VaBenefits[[#This Row],[timeFromValuation]],0)</f>
        <v>82</v>
      </c>
      <c r="H115" s="20">
        <f>ROUND($H$8+VaBenefits[[#This Row],[timeFromValuation]],0)</f>
        <v>92</v>
      </c>
      <c r="I115" s="27" t="b">
        <f>VaBenefits[[#This Row],[Withdrawal Taken  ]]&gt;0</f>
        <v>0</v>
      </c>
      <c r="J115" s="41">
        <f>IF(AND(NOT(VaBenefits[[#This Row],[Is Activation]]),VaBenefits[[#This Row],[Assumed Contract Value ]]&gt;0),VaBenefits[[#This Row],[Withdrawal Taken  ]]/VaBenefits[[#This Row],[Assumed Contract Value ]],0)</f>
        <v>0</v>
      </c>
      <c r="K11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5" s="27" t="b">
        <f ca="1">AND(VaBenefits[[#This Row],[Is Activation]],SUMIFS($E$8:$E115,$C$8:$C115,TRUE)&gt;0)</f>
        <v>0</v>
      </c>
      <c r="M11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5" s="32" t="b">
        <f>IF(VaBenefits[[#This Row],[timeFromValuation]]=0,0, MOD(VaBenefits[[#This Row],[timeFromValuation]],1)=0)</f>
        <v>0</v>
      </c>
      <c r="O115" s="7">
        <f>IF(VaBenefits[[#This Row],[Is Anniversary?]]=TRUE,VaBenefits[[#This Row],[Assumed Contract Value ]],0)</f>
        <v>0</v>
      </c>
      <c r="P11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5" s="7" t="b">
        <f>VaBenefits[[#This Row],[Assumed Contract Value ]]&lt;0.1</f>
        <v>1</v>
      </c>
      <c r="R11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5" s="7">
        <f ca="1">IF(AND(VaBenefits[[#This Row],[Is Activation]]=FALSE,VaBenefits[[#This Row],[Is Anniversary?]]=TRUE),OFFSET( VaBenefits[[#This Row],[Income Credit Base]],-1,0)*ICP,0)</f>
        <v>0</v>
      </c>
      <c r="T115" s="5">
        <f>IF(VaBenefits[[#This Row],[Assumed Contract Value ]]&gt;0,VaBenefits[[#This Row],[Income Base]]*MAWA,0)</f>
        <v>0</v>
      </c>
      <c r="U115" s="95">
        <f>IF(AND(VaBenefits[[#This Row],[Has Income Credit]],VaBenefits[[#This Row],[Is Anniversary?]],VaBenefits[[#This Row],[Joint Mortality tPxy for the partial year]]),VaBenefits[[#This Row],[Income Base]]*PIP,0)</f>
        <v>0</v>
      </c>
      <c r="V115" s="8">
        <f>1/(1+InterestRate)^VaBenefits[[#This Row],[timeFromValuation]]</f>
        <v>0.27113541636243244</v>
      </c>
      <c r="W115" s="90">
        <f>VaBenefits[[#This Row],[timeFromValuation]]</f>
        <v>26.75</v>
      </c>
      <c r="X115" s="91">
        <f>IF(($G$8+VaBenefits[[#This Row],[timeFromValuation]])&lt;=120,VLOOKUP(G115,Table2[],Qx!L$6,FALSE),0)</f>
        <v>0.96749099999999999</v>
      </c>
      <c r="Y115" s="91">
        <f>IF(($H$8+VaBenefits[[#This Row],[timeFromValuation]])&lt;=120,VLOOKUP(H115,Table2[],Qx!M$6,FALSE),0)</f>
        <v>0.86283200000000004</v>
      </c>
      <c r="Z115" s="90">
        <f>PRODUCT($X$8:$X115)</f>
        <v>0.32016109778588159</v>
      </c>
      <c r="AA115" s="90">
        <f>PRODUCT($Y$8:$Y115)</f>
        <v>9.0171959492622838E-3</v>
      </c>
      <c r="AB115" s="91">
        <f>VaBenefits[[#This Row],[Primary Annuitant Px]]+VaBenefits[[#This Row],[Secondary Annuitant Py]]-VaBenefits[[#This Row],[Primary Annuitant Px]]*VaBenefits[[#This Row],[Secondary Annuitant Py]]</f>
        <v>0.99554080548799984</v>
      </c>
      <c r="AC115" s="91">
        <f>PRODUCT($AB$8:$AB115)</f>
        <v>0.92592383858731242</v>
      </c>
      <c r="AD115" s="97">
        <f t="shared" ca="1" si="18"/>
        <v>0</v>
      </c>
      <c r="AE115" s="130">
        <f>IF((AND(VaBenefits[[#This Row],[Is Anniversary?]],VaBenefits[[#This Row],[Assumed Contract Value ]]&lt;75000)),-50,0)</f>
        <v>0</v>
      </c>
      <c r="AF115" s="133">
        <f>VaBenefits[[#This Row],[Assumed Contract Value ]]*-1.15%/4</f>
        <v>0</v>
      </c>
      <c r="AG115" s="129">
        <v>0</v>
      </c>
      <c r="AH115" s="131">
        <f>VaBenefits[[#This Row],[Maintenace Fee]]+VaBenefits[[#This Row],[Separate Account Charge]]+VaBenefits[[#This Row],[Rider Fee]]</f>
        <v>0</v>
      </c>
      <c r="AR115" s="23">
        <f t="shared" si="17"/>
        <v>53.5</v>
      </c>
      <c r="AS115" s="24">
        <v>0</v>
      </c>
      <c r="AT115" s="24">
        <v>0</v>
      </c>
      <c r="AU115" s="22">
        <v>0</v>
      </c>
      <c r="AV115" s="16">
        <v>0</v>
      </c>
      <c r="AW115" s="14">
        <v>299982</v>
      </c>
      <c r="AX115" s="15">
        <v>0</v>
      </c>
      <c r="AY115" s="15">
        <v>0</v>
      </c>
      <c r="AZ115" s="14">
        <v>0</v>
      </c>
      <c r="BA115" s="17">
        <v>11999</v>
      </c>
    </row>
    <row r="116" spans="1:53" ht="15" thickBot="1" x14ac:dyDescent="0.35">
      <c r="A116" s="32">
        <f t="shared" si="15"/>
        <v>108</v>
      </c>
      <c r="B116" s="29">
        <f t="shared" si="16"/>
        <v>27</v>
      </c>
      <c r="C116" s="29" t="b">
        <f>AND(VaBenefits[[#This Row],[timeFromValuation]]&gt;=ACT,VaBenefits[[#This Row],[Assumed Contract Value ]]&gt;0)</f>
        <v>0</v>
      </c>
      <c r="D116" s="20">
        <v>0</v>
      </c>
      <c r="E116" s="20">
        <v>0</v>
      </c>
      <c r="F116" s="20">
        <v>0</v>
      </c>
      <c r="G116" s="96">
        <f>ROUND($G$8+VaBenefits[[#This Row],[timeFromValuation]],0)</f>
        <v>82</v>
      </c>
      <c r="H116" s="20">
        <f>ROUND($H$8+VaBenefits[[#This Row],[timeFromValuation]],0)</f>
        <v>92</v>
      </c>
      <c r="I116" s="27" t="b">
        <f>VaBenefits[[#This Row],[Withdrawal Taken  ]]&gt;0</f>
        <v>0</v>
      </c>
      <c r="J116" s="41">
        <f>IF(AND(NOT(VaBenefits[[#This Row],[Is Activation]]),VaBenefits[[#This Row],[Assumed Contract Value ]]&gt;0),VaBenefits[[#This Row],[Withdrawal Taken  ]]/VaBenefits[[#This Row],[Assumed Contract Value ]],0)</f>
        <v>0</v>
      </c>
      <c r="K11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6" s="27" t="b">
        <f ca="1">AND(VaBenefits[[#This Row],[Is Activation]],SUMIFS($E$8:$E116,$C$8:$C116,TRUE)&gt;0)</f>
        <v>0</v>
      </c>
      <c r="M11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6" s="32" t="b">
        <f>IF(VaBenefits[[#This Row],[timeFromValuation]]=0,0, MOD(VaBenefits[[#This Row],[timeFromValuation]],1)=0)</f>
        <v>1</v>
      </c>
      <c r="O116" s="7">
        <f>IF(VaBenefits[[#This Row],[Is Anniversary?]]=TRUE,VaBenefits[[#This Row],[Assumed Contract Value ]],0)</f>
        <v>0</v>
      </c>
      <c r="P11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6" s="7" t="b">
        <f>VaBenefits[[#This Row],[Assumed Contract Value ]]&lt;0.1</f>
        <v>1</v>
      </c>
      <c r="R11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6" s="7">
        <f ca="1">IF(AND(VaBenefits[[#This Row],[Is Activation]]=FALSE,VaBenefits[[#This Row],[Is Anniversary?]]=TRUE),OFFSET( VaBenefits[[#This Row],[Income Credit Base]],-1,0)*ICP,0)</f>
        <v>0</v>
      </c>
      <c r="T116" s="5">
        <f>IF(VaBenefits[[#This Row],[Assumed Contract Value ]]&gt;0,VaBenefits[[#This Row],[Income Base]]*MAWA,0)</f>
        <v>0</v>
      </c>
      <c r="U116" s="95">
        <f ca="1">IF(AND(VaBenefits[[#This Row],[Has Income Credit]],VaBenefits[[#This Row],[Is Anniversary?]],VaBenefits[[#This Row],[Joint Mortality tPxy for the partial year]]),VaBenefits[[#This Row],[Income Base]]*PIP,0)</f>
        <v>12026.006800536559</v>
      </c>
      <c r="V116" s="8">
        <f>1/(1+InterestRate)^VaBenefits[[#This Row],[timeFromValuation]]</f>
        <v>0.2678483190002377</v>
      </c>
      <c r="W116" s="90">
        <f>VaBenefits[[#This Row],[timeFromValuation]]</f>
        <v>27</v>
      </c>
      <c r="X116" s="91">
        <f>IF(($G$8+VaBenefits[[#This Row],[timeFromValuation]])&lt;=120,VLOOKUP(G116,Table2[],Qx!L$6,FALSE),0)</f>
        <v>0.96749099999999999</v>
      </c>
      <c r="Y116" s="91">
        <f>IF(($H$8+VaBenefits[[#This Row],[timeFromValuation]])&lt;=120,VLOOKUP(H116,Table2[],Qx!M$6,FALSE),0)</f>
        <v>0.86283200000000004</v>
      </c>
      <c r="Z116" s="90">
        <f>PRODUCT($X$8:$X116)</f>
        <v>0.30975298065796036</v>
      </c>
      <c r="AA116" s="90">
        <f>PRODUCT($Y$8:$Y116)</f>
        <v>7.780325215293875E-3</v>
      </c>
      <c r="AB116" s="91">
        <f>VaBenefits[[#This Row],[Primary Annuitant Px]]+VaBenefits[[#This Row],[Secondary Annuitant Py]]-VaBenefits[[#This Row],[Primary Annuitant Px]]*VaBenefits[[#This Row],[Secondary Annuitant Py]]</f>
        <v>0.99554080548799984</v>
      </c>
      <c r="AC116" s="91">
        <f>PRODUCT($AB$8:$AB116)</f>
        <v>0.92179496408775374</v>
      </c>
      <c r="AD116" s="97">
        <f t="shared" ca="1" si="18"/>
        <v>0</v>
      </c>
      <c r="AE116" s="130">
        <f>IF((AND(VaBenefits[[#This Row],[Is Anniversary?]],VaBenefits[[#This Row],[Assumed Contract Value ]]&lt;75000)),-50,0)</f>
        <v>-50</v>
      </c>
      <c r="AF116" s="133">
        <f>VaBenefits[[#This Row],[Assumed Contract Value ]]*-1.15%/4</f>
        <v>0</v>
      </c>
      <c r="AG116" s="129">
        <v>0</v>
      </c>
      <c r="AH116" s="131">
        <f>VaBenefits[[#This Row],[Maintenace Fee]]+VaBenefits[[#This Row],[Separate Account Charge]]+VaBenefits[[#This Row],[Rider Fee]]</f>
        <v>-50</v>
      </c>
      <c r="AR116" s="23">
        <f t="shared" si="17"/>
        <v>54</v>
      </c>
      <c r="AS116" s="24">
        <v>0</v>
      </c>
      <c r="AT116" s="24">
        <v>0</v>
      </c>
      <c r="AU116" s="22">
        <v>0</v>
      </c>
      <c r="AV116" s="16">
        <v>0</v>
      </c>
      <c r="AW116" s="14">
        <v>299982</v>
      </c>
      <c r="AX116" s="15">
        <v>0</v>
      </c>
      <c r="AY116" s="15">
        <v>0</v>
      </c>
      <c r="AZ116" s="14">
        <v>0</v>
      </c>
      <c r="BA116" s="17">
        <v>11999</v>
      </c>
    </row>
    <row r="117" spans="1:53" ht="15" thickBot="1" x14ac:dyDescent="0.35">
      <c r="A117" s="32">
        <f t="shared" si="15"/>
        <v>109</v>
      </c>
      <c r="B117" s="29">
        <f t="shared" si="16"/>
        <v>27.25</v>
      </c>
      <c r="C117" s="29" t="b">
        <f>AND(VaBenefits[[#This Row],[timeFromValuation]]&gt;=ACT,VaBenefits[[#This Row],[Assumed Contract Value ]]&gt;0)</f>
        <v>0</v>
      </c>
      <c r="D117" s="20">
        <v>0</v>
      </c>
      <c r="E117" s="20">
        <v>0</v>
      </c>
      <c r="F117" s="20">
        <v>0</v>
      </c>
      <c r="G117" s="96">
        <f>ROUND($G$8+VaBenefits[[#This Row],[timeFromValuation]],0)</f>
        <v>82</v>
      </c>
      <c r="H117" s="20">
        <f>ROUND($H$8+VaBenefits[[#This Row],[timeFromValuation]],0)</f>
        <v>92</v>
      </c>
      <c r="I117" s="27" t="b">
        <f>VaBenefits[[#This Row],[Withdrawal Taken  ]]&gt;0</f>
        <v>0</v>
      </c>
      <c r="J117" s="41">
        <f>IF(AND(NOT(VaBenefits[[#This Row],[Is Activation]]),VaBenefits[[#This Row],[Assumed Contract Value ]]&gt;0),VaBenefits[[#This Row],[Withdrawal Taken  ]]/VaBenefits[[#This Row],[Assumed Contract Value ]],0)</f>
        <v>0</v>
      </c>
      <c r="K11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7" s="27" t="b">
        <f ca="1">AND(VaBenefits[[#This Row],[Is Activation]],SUMIFS($E$8:$E117,$C$8:$C117,TRUE)&gt;0)</f>
        <v>0</v>
      </c>
      <c r="M11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7" s="32" t="b">
        <f>IF(VaBenefits[[#This Row],[timeFromValuation]]=0,0, MOD(VaBenefits[[#This Row],[timeFromValuation]],1)=0)</f>
        <v>0</v>
      </c>
      <c r="O117" s="7">
        <f>IF(VaBenefits[[#This Row],[Is Anniversary?]]=TRUE,VaBenefits[[#This Row],[Assumed Contract Value ]],0)</f>
        <v>0</v>
      </c>
      <c r="P11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7" s="7" t="b">
        <f>VaBenefits[[#This Row],[Assumed Contract Value ]]&lt;0.1</f>
        <v>1</v>
      </c>
      <c r="R11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7" s="7">
        <f ca="1">IF(AND(VaBenefits[[#This Row],[Is Activation]]=FALSE,VaBenefits[[#This Row],[Is Anniversary?]]=TRUE),OFFSET( VaBenefits[[#This Row],[Income Credit Base]],-1,0)*ICP,0)</f>
        <v>0</v>
      </c>
      <c r="T117" s="5">
        <f>IF(VaBenefits[[#This Row],[Assumed Contract Value ]]&gt;0,VaBenefits[[#This Row],[Income Base]]*MAWA,0)</f>
        <v>0</v>
      </c>
      <c r="U117" s="95">
        <f>IF(AND(VaBenefits[[#This Row],[Has Income Credit]],VaBenefits[[#This Row],[Is Anniversary?]],VaBenefits[[#This Row],[Joint Mortality tPxy for the partial year]]),VaBenefits[[#This Row],[Income Base]]*PIP,0)</f>
        <v>0</v>
      </c>
      <c r="V117" s="8">
        <f>1/(1+InterestRate)^VaBenefits[[#This Row],[timeFromValuation]]</f>
        <v>0.26460107260702881</v>
      </c>
      <c r="W117" s="90">
        <f>VaBenefits[[#This Row],[timeFromValuation]]</f>
        <v>27.25</v>
      </c>
      <c r="X117" s="91">
        <f>IF(($G$8+VaBenefits[[#This Row],[timeFromValuation]])&lt;=120,VLOOKUP(G117,Table2[],Qx!L$6,FALSE),0)</f>
        <v>0.96749099999999999</v>
      </c>
      <c r="Y117" s="91">
        <f>IF(($H$8+VaBenefits[[#This Row],[timeFromValuation]])&lt;=120,VLOOKUP(H117,Table2[],Qx!M$6,FALSE),0)</f>
        <v>0.86283200000000004</v>
      </c>
      <c r="Z117" s="90">
        <f>PRODUCT($X$8:$X117)</f>
        <v>0.2996832210097507</v>
      </c>
      <c r="AA117" s="90">
        <f>PRODUCT($Y$8:$Y117)</f>
        <v>6.7131135661624448E-3</v>
      </c>
      <c r="AB117" s="91">
        <f>VaBenefits[[#This Row],[Primary Annuitant Px]]+VaBenefits[[#This Row],[Secondary Annuitant Py]]-VaBenefits[[#This Row],[Primary Annuitant Px]]*VaBenefits[[#This Row],[Secondary Annuitant Py]]</f>
        <v>0.99554080548799984</v>
      </c>
      <c r="AC117" s="91">
        <f>PRODUCT($AB$8:$AB117)</f>
        <v>0.91768450104270427</v>
      </c>
      <c r="AD117" s="97">
        <f t="shared" ca="1" si="18"/>
        <v>0</v>
      </c>
      <c r="AE117" s="130">
        <f>IF((AND(VaBenefits[[#This Row],[Is Anniversary?]],VaBenefits[[#This Row],[Assumed Contract Value ]]&lt;75000)),-50,0)</f>
        <v>0</v>
      </c>
      <c r="AF117" s="133">
        <f>VaBenefits[[#This Row],[Assumed Contract Value ]]*-1.15%/4</f>
        <v>0</v>
      </c>
      <c r="AG117" s="129">
        <v>0</v>
      </c>
      <c r="AH117" s="131">
        <f>VaBenefits[[#This Row],[Maintenace Fee]]+VaBenefits[[#This Row],[Separate Account Charge]]+VaBenefits[[#This Row],[Rider Fee]]</f>
        <v>0</v>
      </c>
      <c r="AR117" s="23">
        <f t="shared" si="17"/>
        <v>54.5</v>
      </c>
      <c r="AS117" s="24">
        <v>0</v>
      </c>
      <c r="AT117" s="24">
        <v>0</v>
      </c>
      <c r="AU117" s="22">
        <v>0</v>
      </c>
      <c r="AV117" s="16">
        <v>0</v>
      </c>
      <c r="AW117" s="14">
        <v>299982</v>
      </c>
      <c r="AX117" s="15">
        <v>0</v>
      </c>
      <c r="AY117" s="15">
        <v>0</v>
      </c>
      <c r="AZ117" s="14">
        <v>0</v>
      </c>
      <c r="BA117" s="17">
        <v>11999</v>
      </c>
    </row>
    <row r="118" spans="1:53" ht="15" thickBot="1" x14ac:dyDescent="0.35">
      <c r="A118" s="32">
        <f t="shared" si="15"/>
        <v>110</v>
      </c>
      <c r="B118" s="29">
        <f t="shared" si="16"/>
        <v>27.5</v>
      </c>
      <c r="C118" s="29" t="b">
        <f>AND(VaBenefits[[#This Row],[timeFromValuation]]&gt;=ACT,VaBenefits[[#This Row],[Assumed Contract Value ]]&gt;0)</f>
        <v>0</v>
      </c>
      <c r="D118" s="20">
        <v>0</v>
      </c>
      <c r="E118" s="20">
        <v>0</v>
      </c>
      <c r="F118" s="20">
        <v>0</v>
      </c>
      <c r="G118" s="96">
        <f>ROUND($G$8+VaBenefits[[#This Row],[timeFromValuation]],0)</f>
        <v>83</v>
      </c>
      <c r="H118" s="20">
        <f>ROUND($H$8+VaBenefits[[#This Row],[timeFromValuation]],0)</f>
        <v>93</v>
      </c>
      <c r="I118" s="27" t="b">
        <f>VaBenefits[[#This Row],[Withdrawal Taken  ]]&gt;0</f>
        <v>0</v>
      </c>
      <c r="J118" s="41">
        <f>IF(AND(NOT(VaBenefits[[#This Row],[Is Activation]]),VaBenefits[[#This Row],[Assumed Contract Value ]]&gt;0),VaBenefits[[#This Row],[Withdrawal Taken  ]]/VaBenefits[[#This Row],[Assumed Contract Value ]],0)</f>
        <v>0</v>
      </c>
      <c r="K11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8" s="27" t="b">
        <f ca="1">AND(VaBenefits[[#This Row],[Is Activation]],SUMIFS($E$8:$E118,$C$8:$C118,TRUE)&gt;0)</f>
        <v>0</v>
      </c>
      <c r="M11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8" s="32" t="b">
        <f>IF(VaBenefits[[#This Row],[timeFromValuation]]=0,0, MOD(VaBenefits[[#This Row],[timeFromValuation]],1)=0)</f>
        <v>0</v>
      </c>
      <c r="O118" s="7">
        <f>IF(VaBenefits[[#This Row],[Is Anniversary?]]=TRUE,VaBenefits[[#This Row],[Assumed Contract Value ]],0)</f>
        <v>0</v>
      </c>
      <c r="P11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8" s="7" t="b">
        <f>VaBenefits[[#This Row],[Assumed Contract Value ]]&lt;0.1</f>
        <v>1</v>
      </c>
      <c r="R11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8" s="7">
        <f ca="1">IF(AND(VaBenefits[[#This Row],[Is Activation]]=FALSE,VaBenefits[[#This Row],[Is Anniversary?]]=TRUE),OFFSET( VaBenefits[[#This Row],[Income Credit Base]],-1,0)*ICP,0)</f>
        <v>0</v>
      </c>
      <c r="T118" s="5">
        <f>IF(VaBenefits[[#This Row],[Assumed Contract Value ]]&gt;0,VaBenefits[[#This Row],[Income Base]]*MAWA,0)</f>
        <v>0</v>
      </c>
      <c r="U118" s="95">
        <f>IF(AND(VaBenefits[[#This Row],[Has Income Credit]],VaBenefits[[#This Row],[Is Anniversary?]],VaBenefits[[#This Row],[Joint Mortality tPxy for the partial year]]),VaBenefits[[#This Row],[Income Base]]*PIP,0)</f>
        <v>0</v>
      </c>
      <c r="V118" s="8">
        <f>1/(1+InterestRate)^VaBenefits[[#This Row],[timeFromValuation]]</f>
        <v>0.26139319405147377</v>
      </c>
      <c r="W118" s="90">
        <f>VaBenefits[[#This Row],[timeFromValuation]]</f>
        <v>27.5</v>
      </c>
      <c r="X118" s="91">
        <f>IF(($G$8+VaBenefits[[#This Row],[timeFromValuation]])&lt;=120,VLOOKUP(G118,Table2[],Qx!L$6,FALSE),0)</f>
        <v>0.96267100000000005</v>
      </c>
      <c r="Y118" s="91">
        <f>IF(($H$8+VaBenefits[[#This Row],[timeFromValuation]])&lt;=120,VLOOKUP(H118,Table2[],Qx!M$6,FALSE),0)</f>
        <v>0.84782899999999994</v>
      </c>
      <c r="Z118" s="90">
        <f>PRODUCT($X$8:$X118)</f>
        <v>0.28849634605267771</v>
      </c>
      <c r="AA118" s="90">
        <f>PRODUCT($Y$8:$Y118)</f>
        <v>5.6915723616859388E-3</v>
      </c>
      <c r="AB118" s="91">
        <f>VaBenefits[[#This Row],[Primary Annuitant Px]]+VaBenefits[[#This Row],[Secondary Annuitant Py]]-VaBenefits[[#This Row],[Primary Annuitant Px]]*VaBenefits[[#This Row],[Secondary Annuitant Py]]</f>
        <v>0.99431960874100001</v>
      </c>
      <c r="AC118" s="91">
        <f>PRODUCT($AB$8:$AB118)</f>
        <v>0.91247169402446149</v>
      </c>
      <c r="AD118" s="97">
        <f t="shared" ca="1" si="18"/>
        <v>0</v>
      </c>
      <c r="AE118" s="130">
        <f>IF((AND(VaBenefits[[#This Row],[Is Anniversary?]],VaBenefits[[#This Row],[Assumed Contract Value ]]&lt;75000)),-50,0)</f>
        <v>0</v>
      </c>
      <c r="AF118" s="133">
        <f>VaBenefits[[#This Row],[Assumed Contract Value ]]*-1.15%/4</f>
        <v>0</v>
      </c>
      <c r="AG118" s="129">
        <v>0</v>
      </c>
      <c r="AH118" s="131">
        <f>VaBenefits[[#This Row],[Maintenace Fee]]+VaBenefits[[#This Row],[Separate Account Charge]]+VaBenefits[[#This Row],[Rider Fee]]</f>
        <v>0</v>
      </c>
      <c r="AR118" s="23">
        <f t="shared" si="17"/>
        <v>55</v>
      </c>
      <c r="AS118" s="24">
        <v>0</v>
      </c>
      <c r="AT118" s="24">
        <v>0</v>
      </c>
      <c r="AU118" s="22">
        <v>0</v>
      </c>
      <c r="AV118" s="16">
        <v>0</v>
      </c>
      <c r="AW118" s="14">
        <v>299982</v>
      </c>
      <c r="AX118" s="15">
        <v>0</v>
      </c>
      <c r="AY118" s="15">
        <v>0</v>
      </c>
      <c r="AZ118" s="14">
        <v>0</v>
      </c>
      <c r="BA118" s="17">
        <v>11999</v>
      </c>
    </row>
    <row r="119" spans="1:53" ht="15" thickBot="1" x14ac:dyDescent="0.35">
      <c r="A119" s="32">
        <f t="shared" si="15"/>
        <v>111</v>
      </c>
      <c r="B119" s="29">
        <f t="shared" si="16"/>
        <v>27.75</v>
      </c>
      <c r="C119" s="29" t="b">
        <f>AND(VaBenefits[[#This Row],[timeFromValuation]]&gt;=ACT,VaBenefits[[#This Row],[Assumed Contract Value ]]&gt;0)</f>
        <v>0</v>
      </c>
      <c r="D119" s="20">
        <v>0</v>
      </c>
      <c r="E119" s="20">
        <v>0</v>
      </c>
      <c r="F119" s="20">
        <v>0</v>
      </c>
      <c r="G119" s="96">
        <f>ROUND($G$8+VaBenefits[[#This Row],[timeFromValuation]],0)</f>
        <v>83</v>
      </c>
      <c r="H119" s="20">
        <f>ROUND($H$8+VaBenefits[[#This Row],[timeFromValuation]],0)</f>
        <v>93</v>
      </c>
      <c r="I119" s="27" t="b">
        <f>VaBenefits[[#This Row],[Withdrawal Taken  ]]&gt;0</f>
        <v>0</v>
      </c>
      <c r="J119" s="41">
        <f>IF(AND(NOT(VaBenefits[[#This Row],[Is Activation]]),VaBenefits[[#This Row],[Assumed Contract Value ]]&gt;0),VaBenefits[[#This Row],[Withdrawal Taken  ]]/VaBenefits[[#This Row],[Assumed Contract Value ]],0)</f>
        <v>0</v>
      </c>
      <c r="K11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9" s="27" t="b">
        <f ca="1">AND(VaBenefits[[#This Row],[Is Activation]],SUMIFS($E$8:$E119,$C$8:$C119,TRUE)&gt;0)</f>
        <v>0</v>
      </c>
      <c r="M11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9" s="32" t="b">
        <f>IF(VaBenefits[[#This Row],[timeFromValuation]]=0,0, MOD(VaBenefits[[#This Row],[timeFromValuation]],1)=0)</f>
        <v>0</v>
      </c>
      <c r="O119" s="7">
        <f>IF(VaBenefits[[#This Row],[Is Anniversary?]]=TRUE,VaBenefits[[#This Row],[Assumed Contract Value ]],0)</f>
        <v>0</v>
      </c>
      <c r="P11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9" s="7" t="b">
        <f>VaBenefits[[#This Row],[Assumed Contract Value ]]&lt;0.1</f>
        <v>1</v>
      </c>
      <c r="R11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9" s="7">
        <f ca="1">IF(AND(VaBenefits[[#This Row],[Is Activation]]=FALSE,VaBenefits[[#This Row],[Is Anniversary?]]=TRUE),OFFSET( VaBenefits[[#This Row],[Income Credit Base]],-1,0)*ICP,0)</f>
        <v>0</v>
      </c>
      <c r="T119" s="5">
        <f>IF(VaBenefits[[#This Row],[Assumed Contract Value ]]&gt;0,VaBenefits[[#This Row],[Income Base]]*MAWA,0)</f>
        <v>0</v>
      </c>
      <c r="U119" s="95">
        <v>0</v>
      </c>
      <c r="V119" s="8">
        <f>1/(1+InterestRate)^VaBenefits[[#This Row],[timeFromValuation]]</f>
        <v>0.2582242060594595</v>
      </c>
      <c r="W119" s="90">
        <f>VaBenefits[[#This Row],[timeFromValuation]]</f>
        <v>27.75</v>
      </c>
      <c r="X119" s="91">
        <f>IF(($G$8+VaBenefits[[#This Row],[timeFromValuation]])&lt;=120,VLOOKUP(G119,Table2[],Qx!L$6,FALSE),0)</f>
        <v>0.96267100000000005</v>
      </c>
      <c r="Y119" s="91">
        <f>IF(($H$8+VaBenefits[[#This Row],[timeFromValuation]])&lt;=120,VLOOKUP(H119,Table2[],Qx!M$6,FALSE),0)</f>
        <v>0.84782899999999994</v>
      </c>
      <c r="Z119" s="90">
        <f>PRODUCT($X$8:$X119)</f>
        <v>0.27772706595087732</v>
      </c>
      <c r="AA119" s="90">
        <f>PRODUCT($Y$8:$Y119)</f>
        <v>4.8254801038358271E-3</v>
      </c>
      <c r="AB119" s="91">
        <f>VaBenefits[[#This Row],[Primary Annuitant Px]]+VaBenefits[[#This Row],[Secondary Annuitant Py]]-VaBenefits[[#This Row],[Primary Annuitant Px]]*VaBenefits[[#This Row],[Secondary Annuitant Py]]</f>
        <v>0.99431960874100001</v>
      </c>
      <c r="AC119" s="91">
        <f>PRODUCT($AB$8:$AB119)</f>
        <v>0.90728849778964005</v>
      </c>
      <c r="AD119" s="97">
        <f>PV(1.03,20,-VaBenefits[[#This Row],[Protected Income Payment]])</f>
        <v>0</v>
      </c>
      <c r="AE119" s="130">
        <f>IF((AND(VaBenefits[[#This Row],[Is Anniversary?]],VaBenefits[[#This Row],[Assumed Contract Value ]]&lt;75000)),-50,0)</f>
        <v>0</v>
      </c>
      <c r="AF119" s="133">
        <f>VaBenefits[[#This Row],[Assumed Contract Value ]]*-1.15%/4</f>
        <v>0</v>
      </c>
      <c r="AG119" s="129">
        <v>0</v>
      </c>
      <c r="AH119" s="131">
        <f>VaBenefits[[#This Row],[Maintenace Fee]]+VaBenefits[[#This Row],[Separate Account Charge]]+VaBenefits[[#This Row],[Rider Fee]]</f>
        <v>0</v>
      </c>
      <c r="AR119" s="23">
        <f t="shared" si="17"/>
        <v>55.5</v>
      </c>
      <c r="AS119" s="24">
        <v>0</v>
      </c>
      <c r="AT119" s="24">
        <v>0</v>
      </c>
      <c r="AU119" s="22">
        <v>0</v>
      </c>
      <c r="AV119" s="16">
        <v>0</v>
      </c>
      <c r="AW119" s="14">
        <v>299982</v>
      </c>
      <c r="AX119" s="15">
        <v>0</v>
      </c>
      <c r="AY119" s="15">
        <v>0</v>
      </c>
      <c r="AZ119" s="14">
        <v>0</v>
      </c>
      <c r="BA119" s="17">
        <v>11999</v>
      </c>
    </row>
    <row r="120" spans="1:53" ht="15" thickBot="1" x14ac:dyDescent="0.35">
      <c r="A120" s="32">
        <f t="shared" si="15"/>
        <v>112</v>
      </c>
      <c r="B120" s="29">
        <f t="shared" si="16"/>
        <v>28</v>
      </c>
      <c r="C120" s="29" t="b">
        <f>AND(VaBenefits[[#This Row],[timeFromValuation]]&gt;=ACT,VaBenefits[[#This Row],[Assumed Contract Value ]]&gt;0)</f>
        <v>0</v>
      </c>
      <c r="D120" s="20">
        <v>0</v>
      </c>
      <c r="E120" s="20">
        <v>0</v>
      </c>
      <c r="F120" s="20">
        <v>0</v>
      </c>
      <c r="G120" s="96">
        <f>ROUND($G$8+VaBenefits[[#This Row],[timeFromValuation]],0)</f>
        <v>83</v>
      </c>
      <c r="H120" s="20">
        <f>ROUND($H$8+VaBenefits[[#This Row],[timeFromValuation]],0)</f>
        <v>93</v>
      </c>
      <c r="I120" s="27" t="b">
        <f>VaBenefits[[#This Row],[Withdrawal Taken  ]]&gt;0</f>
        <v>0</v>
      </c>
      <c r="J120" s="41">
        <f>IF(AND(NOT(VaBenefits[[#This Row],[Is Activation]]),VaBenefits[[#This Row],[Assumed Contract Value ]]&gt;0),VaBenefits[[#This Row],[Withdrawal Taken  ]]/VaBenefits[[#This Row],[Assumed Contract Value ]],0)</f>
        <v>0</v>
      </c>
      <c r="K12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0" s="27" t="b">
        <f ca="1">AND(VaBenefits[[#This Row],[Is Activation]],SUMIFS($E$8:$E120,$C$8:$C120,TRUE)&gt;0)</f>
        <v>0</v>
      </c>
      <c r="M12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0" s="32" t="b">
        <f>IF(VaBenefits[[#This Row],[timeFromValuation]]=0,0, MOD(VaBenefits[[#This Row],[timeFromValuation]],1)=0)</f>
        <v>1</v>
      </c>
      <c r="O120" s="7">
        <f>IF(VaBenefits[[#This Row],[Is Anniversary?]]=TRUE,VaBenefits[[#This Row],[Assumed Contract Value ]],0)</f>
        <v>0</v>
      </c>
      <c r="P12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0" s="7" t="b">
        <f>VaBenefits[[#This Row],[Assumed Contract Value ]]&lt;0.1</f>
        <v>1</v>
      </c>
      <c r="R12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0" s="7">
        <f ca="1">IF(AND(VaBenefits[[#This Row],[Is Activation]]=FALSE,VaBenefits[[#This Row],[Is Anniversary?]]=TRUE),OFFSET( VaBenefits[[#This Row],[Income Credit Base]],-1,0)*ICP,0)</f>
        <v>0</v>
      </c>
      <c r="T120" s="5">
        <f>IF(VaBenefits[[#This Row],[Assumed Contract Value ]]&gt;0,VaBenefits[[#This Row],[Income Base]]*MAWA,0)</f>
        <v>0</v>
      </c>
      <c r="U120" s="95">
        <v>0</v>
      </c>
      <c r="V120" s="8">
        <f>1/(1+InterestRate)^VaBenefits[[#This Row],[timeFromValuation]]</f>
        <v>0.25509363714308358</v>
      </c>
      <c r="W120" s="90">
        <f>VaBenefits[[#This Row],[timeFromValuation]]</f>
        <v>28</v>
      </c>
      <c r="X120" s="91">
        <f>IF(($G$8+VaBenefits[[#This Row],[timeFromValuation]])&lt;=120,VLOOKUP(G120,Table2[],Qx!L$6,FALSE),0)</f>
        <v>0.96267100000000005</v>
      </c>
      <c r="Y120" s="91">
        <f>IF(($H$8+VaBenefits[[#This Row],[timeFromValuation]])&lt;=120,VLOOKUP(H120,Table2[],Qx!M$6,FALSE),0)</f>
        <v>0.84782899999999994</v>
      </c>
      <c r="Z120" s="90">
        <f>PRODUCT($X$8:$X120)</f>
        <v>0.26735979230599705</v>
      </c>
      <c r="AA120" s="90">
        <f>PRODUCT($Y$8:$Y120)</f>
        <v>4.0911819709550249E-3</v>
      </c>
      <c r="AB120" s="91">
        <f>VaBenefits[[#This Row],[Primary Annuitant Px]]+VaBenefits[[#This Row],[Secondary Annuitant Py]]-VaBenefits[[#This Row],[Primary Annuitant Px]]*VaBenefits[[#This Row],[Secondary Annuitant Py]]</f>
        <v>0.99431960874100001</v>
      </c>
      <c r="AC120" s="91">
        <f>PRODUCT($AB$8:$AB120)</f>
        <v>0.90213474413740458</v>
      </c>
      <c r="AD120" s="97">
        <f>PV(1.03,20,-VaBenefits[[#This Row],[Protected Income Payment]])</f>
        <v>0</v>
      </c>
      <c r="AE120" s="130">
        <f>IF((AND(VaBenefits[[#This Row],[Is Anniversary?]],VaBenefits[[#This Row],[Assumed Contract Value ]]&lt;75000)),-50,0)</f>
        <v>-50</v>
      </c>
      <c r="AF120" s="133">
        <f>VaBenefits[[#This Row],[Assumed Contract Value ]]*-1.15%/4</f>
        <v>0</v>
      </c>
      <c r="AG120" s="129">
        <v>0</v>
      </c>
      <c r="AH120" s="131">
        <f>VaBenefits[[#This Row],[Maintenace Fee]]+VaBenefits[[#This Row],[Separate Account Charge]]+VaBenefits[[#This Row],[Rider Fee]]</f>
        <v>-50</v>
      </c>
      <c r="AR120" s="23">
        <f t="shared" si="17"/>
        <v>56</v>
      </c>
      <c r="AS120" s="24">
        <v>0</v>
      </c>
      <c r="AT120" s="24">
        <v>0</v>
      </c>
      <c r="AU120" s="22">
        <v>0</v>
      </c>
      <c r="AV120" s="16">
        <v>0</v>
      </c>
      <c r="AW120" s="14">
        <v>299982</v>
      </c>
      <c r="AX120" s="15">
        <v>0</v>
      </c>
      <c r="AY120" s="15">
        <v>0</v>
      </c>
      <c r="AZ120" s="14">
        <v>0</v>
      </c>
      <c r="BA120" s="17">
        <v>11999</v>
      </c>
    </row>
    <row r="121" spans="1:53" ht="15" thickBot="1" x14ac:dyDescent="0.35">
      <c r="A121" s="32">
        <f t="shared" si="15"/>
        <v>113</v>
      </c>
      <c r="B121" s="29">
        <f t="shared" si="16"/>
        <v>28.25</v>
      </c>
      <c r="C121" s="29" t="b">
        <f>AND(VaBenefits[[#This Row],[timeFromValuation]]&gt;=ACT,VaBenefits[[#This Row],[Assumed Contract Value ]]&gt;0)</f>
        <v>0</v>
      </c>
      <c r="D121" s="20">
        <v>0</v>
      </c>
      <c r="E121" s="20">
        <v>0</v>
      </c>
      <c r="F121" s="20">
        <v>0</v>
      </c>
      <c r="G121" s="96">
        <f>ROUND($G$8+VaBenefits[[#This Row],[timeFromValuation]],0)</f>
        <v>83</v>
      </c>
      <c r="H121" s="20">
        <f>ROUND($H$8+VaBenefits[[#This Row],[timeFromValuation]],0)</f>
        <v>93</v>
      </c>
      <c r="I121" s="27" t="b">
        <f>VaBenefits[[#This Row],[Withdrawal Taken  ]]&gt;0</f>
        <v>0</v>
      </c>
      <c r="J121" s="41">
        <f>IF(AND(NOT(VaBenefits[[#This Row],[Is Activation]]),VaBenefits[[#This Row],[Assumed Contract Value ]]&gt;0),VaBenefits[[#This Row],[Withdrawal Taken  ]]/VaBenefits[[#This Row],[Assumed Contract Value ]],0)</f>
        <v>0</v>
      </c>
      <c r="K12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1" s="27" t="b">
        <f ca="1">AND(VaBenefits[[#This Row],[Is Activation]],SUMIFS($E$8:$E121,$C$8:$C121,TRUE)&gt;0)</f>
        <v>0</v>
      </c>
      <c r="M12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1" s="32" t="b">
        <f>IF(VaBenefits[[#This Row],[timeFromValuation]]=0,0, MOD(VaBenefits[[#This Row],[timeFromValuation]],1)=0)</f>
        <v>0</v>
      </c>
      <c r="O121" s="7">
        <f>IF(VaBenefits[[#This Row],[Is Anniversary?]]=TRUE,VaBenefits[[#This Row],[Assumed Contract Value ]],0)</f>
        <v>0</v>
      </c>
      <c r="P12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1" s="7" t="b">
        <f>VaBenefits[[#This Row],[Assumed Contract Value ]]&lt;0.1</f>
        <v>1</v>
      </c>
      <c r="R12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1" s="7">
        <f ca="1">IF(AND(VaBenefits[[#This Row],[Is Activation]]=FALSE,VaBenefits[[#This Row],[Is Anniversary?]]=TRUE),OFFSET( VaBenefits[[#This Row],[Income Credit Base]],-1,0)*ICP,0)</f>
        <v>0</v>
      </c>
      <c r="T121" s="5">
        <f>IF(VaBenefits[[#This Row],[Assumed Contract Value ]]&gt;0,VaBenefits[[#This Row],[Income Base]]*MAWA,0)</f>
        <v>0</v>
      </c>
      <c r="U121" s="95">
        <v>0</v>
      </c>
      <c r="V121" s="8">
        <f>1/(1+InterestRate)^VaBenefits[[#This Row],[timeFromValuation]]</f>
        <v>0.25200102153050358</v>
      </c>
      <c r="W121" s="90">
        <f>VaBenefits[[#This Row],[timeFromValuation]]</f>
        <v>28.25</v>
      </c>
      <c r="X121" s="91">
        <f>IF(($G$8+VaBenefits[[#This Row],[timeFromValuation]])&lt;=120,VLOOKUP(G121,Table2[],Qx!L$6,FALSE),0)</f>
        <v>0.96267100000000005</v>
      </c>
      <c r="Y121" s="91">
        <f>IF(($H$8+VaBenefits[[#This Row],[timeFromValuation]])&lt;=120,VLOOKUP(H121,Table2[],Qx!M$6,FALSE),0)</f>
        <v>0.84782899999999994</v>
      </c>
      <c r="Z121" s="90">
        <f>PRODUCT($X$8:$X121)</f>
        <v>0.25737951861900649</v>
      </c>
      <c r="AA121" s="90">
        <f>PRODUCT($Y$8:$Y121)</f>
        <v>3.4686227192528276E-3</v>
      </c>
      <c r="AB121" s="91">
        <f>VaBenefits[[#This Row],[Primary Annuitant Px]]+VaBenefits[[#This Row],[Secondary Annuitant Py]]-VaBenefits[[#This Row],[Primary Annuitant Px]]*VaBenefits[[#This Row],[Secondary Annuitant Py]]</f>
        <v>0.99431960874100001</v>
      </c>
      <c r="AC121" s="91">
        <f>PRODUCT($AB$8:$AB121)</f>
        <v>0.89701026582236632</v>
      </c>
      <c r="AD121" s="97">
        <f>PV(1.03,20,-VaBenefits[[#This Row],[Protected Income Payment]])</f>
        <v>0</v>
      </c>
      <c r="AE121" s="130">
        <f>IF((AND(VaBenefits[[#This Row],[Is Anniversary?]],VaBenefits[[#This Row],[Assumed Contract Value ]]&lt;75000)),-50,0)</f>
        <v>0</v>
      </c>
      <c r="AF121" s="133">
        <f>VaBenefits[[#This Row],[Assumed Contract Value ]]*-1.15%/4</f>
        <v>0</v>
      </c>
      <c r="AG121" s="129">
        <v>0</v>
      </c>
      <c r="AH121" s="131">
        <f>VaBenefits[[#This Row],[Maintenace Fee]]+VaBenefits[[#This Row],[Separate Account Charge]]+VaBenefits[[#This Row],[Rider Fee]]</f>
        <v>0</v>
      </c>
      <c r="AR121" s="23">
        <f t="shared" si="17"/>
        <v>56.5</v>
      </c>
      <c r="AS121" s="24">
        <v>0</v>
      </c>
      <c r="AT121" s="24">
        <v>0</v>
      </c>
      <c r="AU121" s="22">
        <v>0</v>
      </c>
      <c r="AV121" s="16">
        <v>0</v>
      </c>
      <c r="AW121" s="14">
        <v>299982</v>
      </c>
      <c r="AX121" s="15">
        <v>0</v>
      </c>
      <c r="AY121" s="15">
        <v>0</v>
      </c>
      <c r="AZ121" s="14">
        <v>0</v>
      </c>
      <c r="BA121" s="17">
        <v>11999</v>
      </c>
    </row>
    <row r="122" spans="1:53" ht="15" thickBot="1" x14ac:dyDescent="0.35">
      <c r="A122" s="32">
        <f t="shared" si="15"/>
        <v>114</v>
      </c>
      <c r="B122" s="29">
        <f t="shared" si="16"/>
        <v>28.5</v>
      </c>
      <c r="C122" s="29" t="b">
        <f>AND(VaBenefits[[#This Row],[timeFromValuation]]&gt;=ACT,VaBenefits[[#This Row],[Assumed Contract Value ]]&gt;0)</f>
        <v>0</v>
      </c>
      <c r="D122" s="20">
        <v>0</v>
      </c>
      <c r="E122" s="20">
        <v>0</v>
      </c>
      <c r="F122" s="20">
        <v>0</v>
      </c>
      <c r="G122" s="96">
        <f>ROUND($G$8+VaBenefits[[#This Row],[timeFromValuation]],0)</f>
        <v>84</v>
      </c>
      <c r="H122" s="20">
        <f>ROUND($H$8+VaBenefits[[#This Row],[timeFromValuation]],0)</f>
        <v>94</v>
      </c>
      <c r="I122" s="27" t="b">
        <f>VaBenefits[[#This Row],[Withdrawal Taken  ]]&gt;0</f>
        <v>0</v>
      </c>
      <c r="J122" s="41">
        <f>IF(AND(NOT(VaBenefits[[#This Row],[Is Activation]]),VaBenefits[[#This Row],[Assumed Contract Value ]]&gt;0),VaBenefits[[#This Row],[Withdrawal Taken  ]]/VaBenefits[[#This Row],[Assumed Contract Value ]],0)</f>
        <v>0</v>
      </c>
      <c r="K12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2" s="27" t="b">
        <f ca="1">AND(VaBenefits[[#This Row],[Is Activation]],SUMIFS($E$8:$E122,$C$8:$C122,TRUE)&gt;0)</f>
        <v>0</v>
      </c>
      <c r="M12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2" s="32" t="b">
        <f>IF(VaBenefits[[#This Row],[timeFromValuation]]=0,0, MOD(VaBenefits[[#This Row],[timeFromValuation]],1)=0)</f>
        <v>0</v>
      </c>
      <c r="O122" s="7">
        <f>IF(VaBenefits[[#This Row],[Is Anniversary?]]=TRUE,VaBenefits[[#This Row],[Assumed Contract Value ]],0)</f>
        <v>0</v>
      </c>
      <c r="P12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2" s="7" t="b">
        <f>VaBenefits[[#This Row],[Assumed Contract Value ]]&lt;0.1</f>
        <v>1</v>
      </c>
      <c r="R12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2" s="7">
        <f ca="1">IF(AND(VaBenefits[[#This Row],[Is Activation]]=FALSE,VaBenefits[[#This Row],[Is Anniversary?]]=TRUE),OFFSET( VaBenefits[[#This Row],[Income Credit Base]],-1,0)*ICP,0)</f>
        <v>0</v>
      </c>
      <c r="T122" s="5">
        <f>IF(VaBenefits[[#This Row],[Assumed Contract Value ]]&gt;0,VaBenefits[[#This Row],[Income Base]]*MAWA,0)</f>
        <v>0</v>
      </c>
      <c r="U122" s="95">
        <v>0</v>
      </c>
      <c r="V122" s="8">
        <f>1/(1+InterestRate)^VaBenefits[[#This Row],[timeFromValuation]]</f>
        <v>0.24894589909664167</v>
      </c>
      <c r="W122" s="90">
        <f>VaBenefits[[#This Row],[timeFromValuation]]</f>
        <v>28.5</v>
      </c>
      <c r="X122" s="91">
        <f>IF(($G$8+VaBenefits[[#This Row],[timeFromValuation]])&lt;=120,VLOOKUP(G122,Table2[],Qx!L$6,FALSE),0)</f>
        <v>0.95716999999999997</v>
      </c>
      <c r="Y122" s="91">
        <f>IF(($H$8+VaBenefits[[#This Row],[timeFromValuation]])&lt;=120,VLOOKUP(H122,Table2[],Qx!M$6,FALSE),0)</f>
        <v>0.83180600000000005</v>
      </c>
      <c r="Z122" s="90">
        <f>PRODUCT($X$8:$X122)</f>
        <v>0.24635595383655443</v>
      </c>
      <c r="AA122" s="90">
        <f>PRODUCT($Y$8:$Y122)</f>
        <v>2.8852211896108178E-3</v>
      </c>
      <c r="AB122" s="91">
        <f>VaBenefits[[#This Row],[Primary Annuitant Px]]+VaBenefits[[#This Row],[Secondary Annuitant Py]]-VaBenefits[[#This Row],[Primary Annuitant Px]]*VaBenefits[[#This Row],[Secondary Annuitant Py]]</f>
        <v>0.99279625097999991</v>
      </c>
      <c r="AC122" s="91">
        <f>PRODUCT($AB$8:$AB122)</f>
        <v>0.89054842899901843</v>
      </c>
      <c r="AD122" s="97">
        <f>PV(1.03,20,-VaBenefits[[#This Row],[Protected Income Payment]])</f>
        <v>0</v>
      </c>
      <c r="AE122" s="130">
        <f>IF((AND(VaBenefits[[#This Row],[Is Anniversary?]],VaBenefits[[#This Row],[Assumed Contract Value ]]&lt;75000)),-50,0)</f>
        <v>0</v>
      </c>
      <c r="AF122" s="133">
        <f>VaBenefits[[#This Row],[Assumed Contract Value ]]*-1.15%/4</f>
        <v>0</v>
      </c>
      <c r="AG122" s="129">
        <v>0</v>
      </c>
      <c r="AH122" s="131">
        <f>VaBenefits[[#This Row],[Maintenace Fee]]+VaBenefits[[#This Row],[Separate Account Charge]]+VaBenefits[[#This Row],[Rider Fee]]</f>
        <v>0</v>
      </c>
      <c r="AR122" s="23">
        <f t="shared" si="17"/>
        <v>57</v>
      </c>
      <c r="AS122" s="24">
        <v>0</v>
      </c>
      <c r="AT122" s="24">
        <v>0</v>
      </c>
      <c r="AU122" s="22">
        <v>0</v>
      </c>
      <c r="AV122" s="16">
        <v>0</v>
      </c>
      <c r="AW122" s="14">
        <v>299982</v>
      </c>
      <c r="AX122" s="15">
        <v>0</v>
      </c>
      <c r="AY122" s="15">
        <v>0</v>
      </c>
      <c r="AZ122" s="14">
        <v>0</v>
      </c>
      <c r="BA122" s="17">
        <v>11999</v>
      </c>
    </row>
    <row r="123" spans="1:53" ht="15" thickBot="1" x14ac:dyDescent="0.35">
      <c r="A123" s="32">
        <f t="shared" si="15"/>
        <v>115</v>
      </c>
      <c r="B123" s="29">
        <f t="shared" si="16"/>
        <v>28.75</v>
      </c>
      <c r="C123" s="29" t="b">
        <f>AND(VaBenefits[[#This Row],[timeFromValuation]]&gt;=ACT,VaBenefits[[#This Row],[Assumed Contract Value ]]&gt;0)</f>
        <v>0</v>
      </c>
      <c r="D123" s="20">
        <v>0</v>
      </c>
      <c r="E123" s="20">
        <v>0</v>
      </c>
      <c r="F123" s="20">
        <v>0</v>
      </c>
      <c r="G123" s="96">
        <f>ROUND($G$8+VaBenefits[[#This Row],[timeFromValuation]],0)</f>
        <v>84</v>
      </c>
      <c r="H123" s="20">
        <f>ROUND($H$8+VaBenefits[[#This Row],[timeFromValuation]],0)</f>
        <v>94</v>
      </c>
      <c r="I123" s="27" t="b">
        <f>VaBenefits[[#This Row],[Withdrawal Taken  ]]&gt;0</f>
        <v>0</v>
      </c>
      <c r="J123" s="41">
        <f>IF(AND(NOT(VaBenefits[[#This Row],[Is Activation]]),VaBenefits[[#This Row],[Assumed Contract Value ]]&gt;0),VaBenefits[[#This Row],[Withdrawal Taken  ]]/VaBenefits[[#This Row],[Assumed Contract Value ]],0)</f>
        <v>0</v>
      </c>
      <c r="K12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3" s="27" t="b">
        <f ca="1">AND(VaBenefits[[#This Row],[Is Activation]],SUMIFS($E$8:$E123,$C$8:$C123,TRUE)&gt;0)</f>
        <v>0</v>
      </c>
      <c r="M12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3" s="32" t="b">
        <f>IF(VaBenefits[[#This Row],[timeFromValuation]]=0,0, MOD(VaBenefits[[#This Row],[timeFromValuation]],1)=0)</f>
        <v>0</v>
      </c>
      <c r="O123" s="7">
        <f>IF(VaBenefits[[#This Row],[Is Anniversary?]]=TRUE,VaBenefits[[#This Row],[Assumed Contract Value ]],0)</f>
        <v>0</v>
      </c>
      <c r="P12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3" s="7" t="b">
        <f>VaBenefits[[#This Row],[Assumed Contract Value ]]&lt;0.1</f>
        <v>1</v>
      </c>
      <c r="R12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3" s="7">
        <f ca="1">IF(AND(VaBenefits[[#This Row],[Is Activation]]=FALSE,VaBenefits[[#This Row],[Is Anniversary?]]=TRUE),OFFSET( VaBenefits[[#This Row],[Income Credit Base]],-1,0)*ICP,0)</f>
        <v>0</v>
      </c>
      <c r="T123" s="5">
        <f>IF(VaBenefits[[#This Row],[Assumed Contract Value ]]&gt;0,VaBenefits[[#This Row],[Income Base]]*MAWA,0)</f>
        <v>0</v>
      </c>
      <c r="U123" s="95">
        <v>0</v>
      </c>
      <c r="V123" s="8">
        <f>1/(1+InterestRate)^VaBenefits[[#This Row],[timeFromValuation]]</f>
        <v>0.2459278152947233</v>
      </c>
      <c r="W123" s="90">
        <f>VaBenefits[[#This Row],[timeFromValuation]]</f>
        <v>28.75</v>
      </c>
      <c r="X123" s="91">
        <f>IF(($G$8+VaBenefits[[#This Row],[timeFromValuation]])&lt;=120,VLOOKUP(G123,Table2[],Qx!L$6,FALSE),0)</f>
        <v>0.95716999999999997</v>
      </c>
      <c r="Y123" s="91">
        <f>IF(($H$8+VaBenefits[[#This Row],[timeFromValuation]])&lt;=120,VLOOKUP(H123,Table2[],Qx!M$6,FALSE),0)</f>
        <v>0.83180600000000005</v>
      </c>
      <c r="Z123" s="90">
        <f>PRODUCT($X$8:$X123)</f>
        <v>0.2358045283337348</v>
      </c>
      <c r="AA123" s="90">
        <f>PRODUCT($Y$8:$Y123)</f>
        <v>2.3999442968454161E-3</v>
      </c>
      <c r="AB123" s="91">
        <f>VaBenefits[[#This Row],[Primary Annuitant Px]]+VaBenefits[[#This Row],[Secondary Annuitant Py]]-VaBenefits[[#This Row],[Primary Annuitant Px]]*VaBenefits[[#This Row],[Secondary Annuitant Py]]</f>
        <v>0.99279625097999991</v>
      </c>
      <c r="AC123" s="91">
        <f>PRODUCT($AB$8:$AB123)</f>
        <v>0.88413314162635415</v>
      </c>
      <c r="AD123" s="97">
        <f>PV(1.03,20,-VaBenefits[[#This Row],[Protected Income Payment]])</f>
        <v>0</v>
      </c>
      <c r="AE123" s="130">
        <f>IF((AND(VaBenefits[[#This Row],[Is Anniversary?]],VaBenefits[[#This Row],[Assumed Contract Value ]]&lt;75000)),-50,0)</f>
        <v>0</v>
      </c>
      <c r="AF123" s="133">
        <f>VaBenefits[[#This Row],[Assumed Contract Value ]]*-1.15%/4</f>
        <v>0</v>
      </c>
      <c r="AG123" s="129">
        <v>0</v>
      </c>
      <c r="AH123" s="131">
        <f>VaBenefits[[#This Row],[Maintenace Fee]]+VaBenefits[[#This Row],[Separate Account Charge]]+VaBenefits[[#This Row],[Rider Fee]]</f>
        <v>0</v>
      </c>
      <c r="AR123" s="23">
        <f t="shared" si="17"/>
        <v>57.5</v>
      </c>
      <c r="AS123" s="24">
        <v>0</v>
      </c>
      <c r="AT123" s="24">
        <v>0</v>
      </c>
      <c r="AU123" s="22">
        <v>0</v>
      </c>
      <c r="AV123" s="16">
        <v>0</v>
      </c>
      <c r="AW123" s="14">
        <v>299982</v>
      </c>
      <c r="AX123" s="15">
        <v>0</v>
      </c>
      <c r="AY123" s="15">
        <v>0</v>
      </c>
      <c r="AZ123" s="14">
        <v>0</v>
      </c>
      <c r="BA123" s="17">
        <v>11999</v>
      </c>
    </row>
    <row r="124" spans="1:53" ht="15" thickBot="1" x14ac:dyDescent="0.35">
      <c r="A124" s="32">
        <f t="shared" si="15"/>
        <v>116</v>
      </c>
      <c r="B124" s="29">
        <f t="shared" si="16"/>
        <v>29</v>
      </c>
      <c r="C124" s="29" t="b">
        <f>AND(VaBenefits[[#This Row],[timeFromValuation]]&gt;=ACT,VaBenefits[[#This Row],[Assumed Contract Value ]]&gt;0)</f>
        <v>0</v>
      </c>
      <c r="D124" s="20">
        <v>0</v>
      </c>
      <c r="E124" s="20">
        <v>0</v>
      </c>
      <c r="F124" s="20">
        <v>0</v>
      </c>
      <c r="G124" s="96">
        <f>ROUND($G$8+VaBenefits[[#This Row],[timeFromValuation]],0)</f>
        <v>84</v>
      </c>
      <c r="H124" s="20">
        <f>ROUND($H$8+VaBenefits[[#This Row],[timeFromValuation]],0)</f>
        <v>94</v>
      </c>
      <c r="I124" s="27" t="b">
        <f>VaBenefits[[#This Row],[Withdrawal Taken  ]]&gt;0</f>
        <v>0</v>
      </c>
      <c r="J124" s="41">
        <f>IF(AND(NOT(VaBenefits[[#This Row],[Is Activation]]),VaBenefits[[#This Row],[Assumed Contract Value ]]&gt;0),VaBenefits[[#This Row],[Withdrawal Taken  ]]/VaBenefits[[#This Row],[Assumed Contract Value ]],0)</f>
        <v>0</v>
      </c>
      <c r="K12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4" s="27" t="b">
        <f ca="1">AND(VaBenefits[[#This Row],[Is Activation]],SUMIFS($E$8:$E124,$C$8:$C124,TRUE)&gt;0)</f>
        <v>0</v>
      </c>
      <c r="M12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4" s="32" t="b">
        <f>IF(VaBenefits[[#This Row],[timeFromValuation]]=0,0, MOD(VaBenefits[[#This Row],[timeFromValuation]],1)=0)</f>
        <v>1</v>
      </c>
      <c r="O124" s="7">
        <f>IF(VaBenefits[[#This Row],[Is Anniversary?]]=TRUE,VaBenefits[[#This Row],[Assumed Contract Value ]],0)</f>
        <v>0</v>
      </c>
      <c r="P12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4" s="7" t="b">
        <f>VaBenefits[[#This Row],[Assumed Contract Value ]]&lt;0.1</f>
        <v>1</v>
      </c>
      <c r="R12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4" s="7">
        <f ca="1">IF(AND(VaBenefits[[#This Row],[Is Activation]]=FALSE,VaBenefits[[#This Row],[Is Anniversary?]]=TRUE),OFFSET( VaBenefits[[#This Row],[Income Credit Base]],-1,0)*ICP,0)</f>
        <v>0</v>
      </c>
      <c r="T124" s="5">
        <f>IF(VaBenefits[[#This Row],[Assumed Contract Value ]]&gt;0,VaBenefits[[#This Row],[Income Base]]*MAWA,0)</f>
        <v>0</v>
      </c>
      <c r="U124" s="95">
        <v>0</v>
      </c>
      <c r="V124" s="8">
        <f>1/(1+InterestRate)^VaBenefits[[#This Row],[timeFromValuation]]</f>
        <v>0.24294632108865097</v>
      </c>
      <c r="W124" s="90">
        <f>VaBenefits[[#This Row],[timeFromValuation]]</f>
        <v>29</v>
      </c>
      <c r="X124" s="91">
        <f>IF(($G$8+VaBenefits[[#This Row],[timeFromValuation]])&lt;=120,VLOOKUP(G124,Table2[],Qx!L$6,FALSE),0)</f>
        <v>0.95716999999999997</v>
      </c>
      <c r="Y124" s="91">
        <f>IF(($H$8+VaBenefits[[#This Row],[timeFromValuation]])&lt;=120,VLOOKUP(H124,Table2[],Qx!M$6,FALSE),0)</f>
        <v>0.83180600000000005</v>
      </c>
      <c r="Z124" s="90">
        <f>PRODUCT($X$8:$X124)</f>
        <v>0.22570502038520093</v>
      </c>
      <c r="AA124" s="90">
        <f>PRODUCT($Y$8:$Y124)</f>
        <v>1.9962880657817981E-3</v>
      </c>
      <c r="AB124" s="91">
        <f>VaBenefits[[#This Row],[Primary Annuitant Px]]+VaBenefits[[#This Row],[Secondary Annuitant Py]]-VaBenefits[[#This Row],[Primary Annuitant Px]]*VaBenefits[[#This Row],[Secondary Annuitant Py]]</f>
        <v>0.99279625097999991</v>
      </c>
      <c r="AC124" s="91">
        <f>PRODUCT($AB$8:$AB124)</f>
        <v>0.87776406837381371</v>
      </c>
      <c r="AD124" s="97">
        <f>PV(1.03,20,-VaBenefits[[#This Row],[Protected Income Payment]])</f>
        <v>0</v>
      </c>
      <c r="AE124" s="130">
        <f>IF((AND(VaBenefits[[#This Row],[Is Anniversary?]],VaBenefits[[#This Row],[Assumed Contract Value ]]&lt;75000)),-50,0)</f>
        <v>-50</v>
      </c>
      <c r="AF124" s="133">
        <f>VaBenefits[[#This Row],[Assumed Contract Value ]]*-1.15%/4</f>
        <v>0</v>
      </c>
      <c r="AG124" s="129">
        <v>0</v>
      </c>
      <c r="AH124" s="131">
        <f>VaBenefits[[#This Row],[Maintenace Fee]]+VaBenefits[[#This Row],[Separate Account Charge]]+VaBenefits[[#This Row],[Rider Fee]]</f>
        <v>-50</v>
      </c>
      <c r="AR124" s="23">
        <f t="shared" si="17"/>
        <v>58</v>
      </c>
      <c r="AS124" s="24">
        <v>0</v>
      </c>
      <c r="AT124" s="24">
        <v>0</v>
      </c>
      <c r="AU124" s="22">
        <v>0</v>
      </c>
      <c r="AV124" s="16">
        <v>0</v>
      </c>
      <c r="AW124" s="14">
        <v>299982</v>
      </c>
      <c r="AX124" s="15">
        <v>0</v>
      </c>
      <c r="AY124" s="15">
        <v>0</v>
      </c>
      <c r="AZ124" s="14">
        <v>0</v>
      </c>
      <c r="BA124" s="17">
        <v>11999</v>
      </c>
    </row>
    <row r="125" spans="1:53" ht="15" thickBot="1" x14ac:dyDescent="0.35">
      <c r="A125" s="32">
        <f t="shared" si="15"/>
        <v>117</v>
      </c>
      <c r="B125" s="29">
        <f t="shared" si="16"/>
        <v>29.25</v>
      </c>
      <c r="C125" s="29" t="b">
        <f>AND(VaBenefits[[#This Row],[timeFromValuation]]&gt;=ACT,VaBenefits[[#This Row],[Assumed Contract Value ]]&gt;0)</f>
        <v>0</v>
      </c>
      <c r="D125" s="20">
        <v>0</v>
      </c>
      <c r="E125" s="20">
        <v>0</v>
      </c>
      <c r="F125" s="20">
        <v>0</v>
      </c>
      <c r="G125" s="96">
        <f>ROUND($G$8+VaBenefits[[#This Row],[timeFromValuation]],0)</f>
        <v>84</v>
      </c>
      <c r="H125" s="20">
        <f>ROUND($H$8+VaBenefits[[#This Row],[timeFromValuation]],0)</f>
        <v>94</v>
      </c>
      <c r="I125" s="27" t="b">
        <f>VaBenefits[[#This Row],[Withdrawal Taken  ]]&gt;0</f>
        <v>0</v>
      </c>
      <c r="J125" s="41">
        <f>IF(AND(NOT(VaBenefits[[#This Row],[Is Activation]]),VaBenefits[[#This Row],[Assumed Contract Value ]]&gt;0),VaBenefits[[#This Row],[Withdrawal Taken  ]]/VaBenefits[[#This Row],[Assumed Contract Value ]],0)</f>
        <v>0</v>
      </c>
      <c r="K12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5" s="27" t="b">
        <f ca="1">AND(VaBenefits[[#This Row],[Is Activation]],SUMIFS($E$8:$E125,$C$8:$C125,TRUE)&gt;0)</f>
        <v>0</v>
      </c>
      <c r="M12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5" s="32" t="b">
        <f>IF(VaBenefits[[#This Row],[timeFromValuation]]=0,0, MOD(VaBenefits[[#This Row],[timeFromValuation]],1)=0)</f>
        <v>0</v>
      </c>
      <c r="O125" s="7">
        <f>IF(VaBenefits[[#This Row],[Is Anniversary?]]=TRUE,VaBenefits[[#This Row],[Assumed Contract Value ]],0)</f>
        <v>0</v>
      </c>
      <c r="P12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5" s="7" t="b">
        <f>VaBenefits[[#This Row],[Assumed Contract Value ]]&lt;0.1</f>
        <v>1</v>
      </c>
      <c r="R12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5" s="7">
        <f ca="1">IF(AND(VaBenefits[[#This Row],[Is Activation]]=FALSE,VaBenefits[[#This Row],[Is Anniversary?]]=TRUE),OFFSET( VaBenefits[[#This Row],[Income Credit Base]],-1,0)*ICP,0)</f>
        <v>0</v>
      </c>
      <c r="T125" s="5">
        <f>IF(VaBenefits[[#This Row],[Assumed Contract Value ]]&gt;0,VaBenefits[[#This Row],[Income Base]]*MAWA,0)</f>
        <v>0</v>
      </c>
      <c r="U125" s="95">
        <v>0</v>
      </c>
      <c r="V125" s="8">
        <f>1/(1+InterestRate)^VaBenefits[[#This Row],[timeFromValuation]]</f>
        <v>0.2400009728861939</v>
      </c>
      <c r="W125" s="90">
        <f>VaBenefits[[#This Row],[timeFromValuation]]</f>
        <v>29.25</v>
      </c>
      <c r="X125" s="91">
        <f>IF(($G$8+VaBenefits[[#This Row],[timeFromValuation]])&lt;=120,VLOOKUP(G125,Table2[],Qx!L$6,FALSE),0)</f>
        <v>0.95716999999999997</v>
      </c>
      <c r="Y125" s="91">
        <f>IF(($H$8+VaBenefits[[#This Row],[timeFromValuation]])&lt;=120,VLOOKUP(H125,Table2[],Qx!M$6,FALSE),0)</f>
        <v>0.83180600000000005</v>
      </c>
      <c r="Z125" s="90">
        <f>PRODUCT($X$8:$X125)</f>
        <v>0.21603807436210276</v>
      </c>
      <c r="AA125" s="90">
        <f>PRODUCT($Y$8:$Y125)</f>
        <v>1.6605243908456944E-3</v>
      </c>
      <c r="AB125" s="91">
        <f>VaBenefits[[#This Row],[Primary Annuitant Px]]+VaBenefits[[#This Row],[Secondary Annuitant Py]]-VaBenefits[[#This Row],[Primary Annuitant Px]]*VaBenefits[[#This Row],[Secondary Annuitant Py]]</f>
        <v>0.99279625097999991</v>
      </c>
      <c r="AC125" s="91">
        <f>PRODUCT($AB$8:$AB125)</f>
        <v>0.8714408763264746</v>
      </c>
      <c r="AD125" s="97">
        <f>PV(1.03,20,-VaBenefits[[#This Row],[Protected Income Payment]])</f>
        <v>0</v>
      </c>
      <c r="AE125" s="130">
        <f>IF((AND(VaBenefits[[#This Row],[Is Anniversary?]],VaBenefits[[#This Row],[Assumed Contract Value ]]&lt;75000)),-50,0)</f>
        <v>0</v>
      </c>
      <c r="AF125" s="133">
        <f>VaBenefits[[#This Row],[Assumed Contract Value ]]*-1.15%/4</f>
        <v>0</v>
      </c>
      <c r="AG125" s="129">
        <v>0</v>
      </c>
      <c r="AH125" s="131">
        <f>VaBenefits[[#This Row],[Maintenace Fee]]+VaBenefits[[#This Row],[Separate Account Charge]]+VaBenefits[[#This Row],[Rider Fee]]</f>
        <v>0</v>
      </c>
      <c r="AR125" s="23">
        <f t="shared" si="17"/>
        <v>58.5</v>
      </c>
      <c r="AS125" s="24">
        <v>0</v>
      </c>
      <c r="AT125" s="24">
        <v>0</v>
      </c>
      <c r="AU125" s="22">
        <v>0</v>
      </c>
      <c r="AV125" s="16">
        <v>0</v>
      </c>
      <c r="AW125" s="14">
        <v>299982</v>
      </c>
      <c r="AX125" s="15">
        <v>0</v>
      </c>
      <c r="AY125" s="15">
        <v>0</v>
      </c>
      <c r="AZ125" s="14">
        <v>0</v>
      </c>
      <c r="BA125" s="17">
        <v>11999</v>
      </c>
    </row>
    <row r="126" spans="1:53" ht="15" thickBot="1" x14ac:dyDescent="0.35">
      <c r="A126" s="32">
        <f t="shared" si="15"/>
        <v>118</v>
      </c>
      <c r="B126" s="29">
        <f t="shared" si="16"/>
        <v>29.5</v>
      </c>
      <c r="C126" s="29" t="b">
        <f>AND(VaBenefits[[#This Row],[timeFromValuation]]&gt;=ACT,VaBenefits[[#This Row],[Assumed Contract Value ]]&gt;0)</f>
        <v>0</v>
      </c>
      <c r="D126" s="20">
        <v>0</v>
      </c>
      <c r="E126" s="20">
        <v>0</v>
      </c>
      <c r="F126" s="20">
        <v>0</v>
      </c>
      <c r="G126" s="96">
        <f>ROUND($G$8+VaBenefits[[#This Row],[timeFromValuation]],0)</f>
        <v>85</v>
      </c>
      <c r="H126" s="20">
        <f>ROUND($H$8+VaBenefits[[#This Row],[timeFromValuation]],0)</f>
        <v>95</v>
      </c>
      <c r="I126" s="27" t="b">
        <f>VaBenefits[[#This Row],[Withdrawal Taken  ]]&gt;0</f>
        <v>0</v>
      </c>
      <c r="J126" s="41">
        <f>IF(AND(NOT(VaBenefits[[#This Row],[Is Activation]]),VaBenefits[[#This Row],[Assumed Contract Value ]]&gt;0),VaBenefits[[#This Row],[Withdrawal Taken  ]]/VaBenefits[[#This Row],[Assumed Contract Value ]],0)</f>
        <v>0</v>
      </c>
      <c r="K12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6" s="27" t="b">
        <f ca="1">AND(VaBenefits[[#This Row],[Is Activation]],SUMIFS($E$8:$E126,$C$8:$C126,TRUE)&gt;0)</f>
        <v>0</v>
      </c>
      <c r="M12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6" s="32" t="b">
        <f>IF(VaBenefits[[#This Row],[timeFromValuation]]=0,0, MOD(VaBenefits[[#This Row],[timeFromValuation]],1)=0)</f>
        <v>0</v>
      </c>
      <c r="O126" s="7">
        <f>IF(VaBenefits[[#This Row],[Is Anniversary?]]=TRUE,VaBenefits[[#This Row],[Assumed Contract Value ]],0)</f>
        <v>0</v>
      </c>
      <c r="P12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6" s="7" t="b">
        <f>VaBenefits[[#This Row],[Assumed Contract Value ]]&lt;0.1</f>
        <v>1</v>
      </c>
      <c r="R12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6" s="7">
        <f ca="1">IF(AND(VaBenefits[[#This Row],[Is Activation]]=FALSE,VaBenefits[[#This Row],[Is Anniversary?]]=TRUE),OFFSET( VaBenefits[[#This Row],[Income Credit Base]],-1,0)*ICP,0)</f>
        <v>0</v>
      </c>
      <c r="T126" s="5">
        <f>IF(VaBenefits[[#This Row],[Assumed Contract Value ]]&gt;0,VaBenefits[[#This Row],[Income Base]]*MAWA,0)</f>
        <v>0</v>
      </c>
      <c r="U126" s="95">
        <v>0</v>
      </c>
      <c r="V126" s="8">
        <f>1/(1+InterestRate)^VaBenefits[[#This Row],[timeFromValuation]]</f>
        <v>0.23709133247299205</v>
      </c>
      <c r="W126" s="90">
        <f>VaBenefits[[#This Row],[timeFromValuation]]</f>
        <v>29.5</v>
      </c>
      <c r="X126" s="91">
        <f>IF(($G$8+VaBenefits[[#This Row],[timeFromValuation]])&lt;=120,VLOOKUP(G126,Table2[],Qx!L$6,FALSE),0)</f>
        <v>0.95100300000000004</v>
      </c>
      <c r="Y126" s="91">
        <f>IF(($H$8+VaBenefits[[#This Row],[timeFromValuation]])&lt;=120,VLOOKUP(H126,Table2[],Qx!M$6,FALSE),0)</f>
        <v>0.81474000000000002</v>
      </c>
      <c r="Z126" s="90">
        <f>PRODUCT($X$8:$X126)</f>
        <v>0.20545285683258283</v>
      </c>
      <c r="AA126" s="90">
        <f>PRODUCT($Y$8:$Y126)</f>
        <v>1.352895642197621E-3</v>
      </c>
      <c r="AB126" s="91">
        <f>VaBenefits[[#This Row],[Primary Annuitant Px]]+VaBenefits[[#This Row],[Secondary Annuitant Py]]-VaBenefits[[#This Row],[Primary Annuitant Px]]*VaBenefits[[#This Row],[Secondary Annuitant Py]]</f>
        <v>0.99092281577999997</v>
      </c>
      <c r="AC126" s="91">
        <f>PRODUCT($AB$8:$AB126)</f>
        <v>0.86353064695522097</v>
      </c>
      <c r="AD126" s="97">
        <f>PV(1.03,20,-VaBenefits[[#This Row],[Protected Income Payment]])</f>
        <v>0</v>
      </c>
      <c r="AE126" s="130">
        <f>IF((AND(VaBenefits[[#This Row],[Is Anniversary?]],VaBenefits[[#This Row],[Assumed Contract Value ]]&lt;75000)),-50,0)</f>
        <v>0</v>
      </c>
      <c r="AF126" s="133">
        <f>VaBenefits[[#This Row],[Assumed Contract Value ]]*-1.15%/4</f>
        <v>0</v>
      </c>
      <c r="AG126" s="129">
        <v>0</v>
      </c>
      <c r="AH126" s="131">
        <f>VaBenefits[[#This Row],[Maintenace Fee]]+VaBenefits[[#This Row],[Separate Account Charge]]+VaBenefits[[#This Row],[Rider Fee]]</f>
        <v>0</v>
      </c>
      <c r="AR126" s="23">
        <f t="shared" si="17"/>
        <v>59</v>
      </c>
      <c r="AS126" s="24">
        <v>0</v>
      </c>
      <c r="AT126" s="24">
        <v>0</v>
      </c>
      <c r="AU126" s="22">
        <v>0</v>
      </c>
      <c r="AV126" s="16">
        <v>0</v>
      </c>
      <c r="AW126" s="14">
        <v>299982</v>
      </c>
      <c r="AX126" s="15">
        <v>0</v>
      </c>
      <c r="AY126" s="15">
        <v>0</v>
      </c>
      <c r="AZ126" s="14">
        <v>0</v>
      </c>
      <c r="BA126" s="17">
        <v>11999</v>
      </c>
    </row>
    <row r="127" spans="1:53" ht="15" thickBot="1" x14ac:dyDescent="0.35">
      <c r="A127" s="32">
        <f t="shared" si="15"/>
        <v>119</v>
      </c>
      <c r="B127" s="29">
        <f t="shared" si="16"/>
        <v>29.75</v>
      </c>
      <c r="C127" s="29" t="b">
        <f>AND(VaBenefits[[#This Row],[timeFromValuation]]&gt;=ACT,VaBenefits[[#This Row],[Assumed Contract Value ]]&gt;0)</f>
        <v>0</v>
      </c>
      <c r="D127" s="20">
        <v>0</v>
      </c>
      <c r="E127" s="20">
        <v>0</v>
      </c>
      <c r="F127" s="20">
        <v>0</v>
      </c>
      <c r="G127" s="96">
        <f>ROUND($G$8+VaBenefits[[#This Row],[timeFromValuation]],0)</f>
        <v>85</v>
      </c>
      <c r="H127" s="20">
        <f>ROUND($H$8+VaBenefits[[#This Row],[timeFromValuation]],0)</f>
        <v>95</v>
      </c>
      <c r="I127" s="27" t="b">
        <f>VaBenefits[[#This Row],[Withdrawal Taken  ]]&gt;0</f>
        <v>0</v>
      </c>
      <c r="J127" s="41">
        <f>IF(AND(NOT(VaBenefits[[#This Row],[Is Activation]]),VaBenefits[[#This Row],[Assumed Contract Value ]]&gt;0),VaBenefits[[#This Row],[Withdrawal Taken  ]]/VaBenefits[[#This Row],[Assumed Contract Value ]],0)</f>
        <v>0</v>
      </c>
      <c r="K12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7" s="27" t="b">
        <f ca="1">AND(VaBenefits[[#This Row],[Is Activation]],SUMIFS($E$8:$E127,$C$8:$C127,TRUE)&gt;0)</f>
        <v>0</v>
      </c>
      <c r="M12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7" s="32" t="b">
        <f>IF(VaBenefits[[#This Row],[timeFromValuation]]=0,0, MOD(VaBenefits[[#This Row],[timeFromValuation]],1)=0)</f>
        <v>0</v>
      </c>
      <c r="O127" s="7">
        <f>IF(VaBenefits[[#This Row],[Is Anniversary?]]=TRUE,VaBenefits[[#This Row],[Assumed Contract Value ]],0)</f>
        <v>0</v>
      </c>
      <c r="P12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7" s="7" t="b">
        <f>VaBenefits[[#This Row],[Assumed Contract Value ]]&lt;0.1</f>
        <v>1</v>
      </c>
      <c r="R12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7" s="7">
        <f ca="1">IF(AND(VaBenefits[[#This Row],[Is Activation]]=FALSE,VaBenefits[[#This Row],[Is Anniversary?]]=TRUE),OFFSET( VaBenefits[[#This Row],[Income Credit Base]],-1,0)*ICP,0)</f>
        <v>0</v>
      </c>
      <c r="T127" s="5">
        <f>IF(VaBenefits[[#This Row],[Assumed Contract Value ]]&gt;0,VaBenefits[[#This Row],[Income Base]]*MAWA,0)</f>
        <v>0</v>
      </c>
      <c r="U127" s="95">
        <v>0</v>
      </c>
      <c r="V127" s="8">
        <f>1/(1+InterestRate)^VaBenefits[[#This Row],[timeFromValuation]]</f>
        <v>0.23421696694735553</v>
      </c>
      <c r="W127" s="90">
        <f>VaBenefits[[#This Row],[timeFromValuation]]</f>
        <v>29.75</v>
      </c>
      <c r="X127" s="91">
        <f>IF(($G$8+VaBenefits[[#This Row],[timeFromValuation]])&lt;=120,VLOOKUP(G127,Table2[],Qx!L$6,FALSE),0)</f>
        <v>0.95100300000000004</v>
      </c>
      <c r="Y127" s="91">
        <f>IF(($H$8+VaBenefits[[#This Row],[timeFromValuation]])&lt;=120,VLOOKUP(H127,Table2[],Qx!M$6,FALSE),0)</f>
        <v>0.81474000000000002</v>
      </c>
      <c r="Z127" s="90">
        <f>PRODUCT($X$8:$X127)</f>
        <v>0.19538628320635679</v>
      </c>
      <c r="AA127" s="90">
        <f>PRODUCT($Y$8:$Y127)</f>
        <v>1.1022581955240898E-3</v>
      </c>
      <c r="AB127" s="91">
        <f>VaBenefits[[#This Row],[Primary Annuitant Px]]+VaBenefits[[#This Row],[Secondary Annuitant Py]]-VaBenefits[[#This Row],[Primary Annuitant Px]]*VaBenefits[[#This Row],[Secondary Annuitant Py]]</f>
        <v>0.99092281577999997</v>
      </c>
      <c r="AC127" s="91">
        <f>PRODUCT($AB$8:$AB127)</f>
        <v>0.85569222019319258</v>
      </c>
      <c r="AD127" s="97">
        <f>PV(1.03,20,-VaBenefits[[#This Row],[Protected Income Payment]])</f>
        <v>0</v>
      </c>
      <c r="AE127" s="130">
        <f>IF((AND(VaBenefits[[#This Row],[Is Anniversary?]],VaBenefits[[#This Row],[Assumed Contract Value ]]&lt;75000)),-50,0)</f>
        <v>0</v>
      </c>
      <c r="AF127" s="133">
        <f>VaBenefits[[#This Row],[Assumed Contract Value ]]*-1.15%/4</f>
        <v>0</v>
      </c>
      <c r="AG127" s="129">
        <v>0</v>
      </c>
      <c r="AH127" s="131">
        <f>VaBenefits[[#This Row],[Maintenace Fee]]+VaBenefits[[#This Row],[Separate Account Charge]]+VaBenefits[[#This Row],[Rider Fee]]</f>
        <v>0</v>
      </c>
      <c r="AR127" s="23">
        <f t="shared" si="17"/>
        <v>59.5</v>
      </c>
      <c r="AS127" s="24">
        <v>0</v>
      </c>
      <c r="AT127" s="24">
        <v>0</v>
      </c>
      <c r="AU127" s="22">
        <v>0</v>
      </c>
      <c r="AV127" s="16">
        <v>0</v>
      </c>
      <c r="AW127" s="14">
        <v>299982</v>
      </c>
      <c r="AX127" s="15">
        <v>0</v>
      </c>
      <c r="AY127" s="15">
        <v>0</v>
      </c>
      <c r="AZ127" s="14">
        <v>0</v>
      </c>
      <c r="BA127" s="17">
        <v>11999</v>
      </c>
    </row>
    <row r="128" spans="1:53" ht="15" thickBot="1" x14ac:dyDescent="0.35">
      <c r="A128" s="32">
        <f t="shared" si="15"/>
        <v>120</v>
      </c>
      <c r="B128" s="29">
        <f t="shared" si="16"/>
        <v>30</v>
      </c>
      <c r="C128" s="29" t="b">
        <f>AND(VaBenefits[[#This Row],[timeFromValuation]]&gt;=ACT,VaBenefits[[#This Row],[Assumed Contract Value ]]&gt;0)</f>
        <v>0</v>
      </c>
      <c r="D128" s="20">
        <v>0</v>
      </c>
      <c r="E128" s="20">
        <v>0</v>
      </c>
      <c r="F128" s="20">
        <v>0</v>
      </c>
      <c r="G128" s="96">
        <f>ROUND($G$8+VaBenefits[[#This Row],[timeFromValuation]],0)</f>
        <v>85</v>
      </c>
      <c r="H128" s="20">
        <f>ROUND($H$8+VaBenefits[[#This Row],[timeFromValuation]],0)</f>
        <v>95</v>
      </c>
      <c r="I128" s="27" t="b">
        <f>VaBenefits[[#This Row],[Withdrawal Taken  ]]&gt;0</f>
        <v>0</v>
      </c>
      <c r="J128" s="41">
        <f>IF(AND(NOT(VaBenefits[[#This Row],[Is Activation]]),VaBenefits[[#This Row],[Assumed Contract Value ]]&gt;0),VaBenefits[[#This Row],[Withdrawal Taken  ]]/VaBenefits[[#This Row],[Assumed Contract Value ]],0)</f>
        <v>0</v>
      </c>
      <c r="K12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8" s="27" t="b">
        <f ca="1">AND(VaBenefits[[#This Row],[Is Activation]],SUMIFS($E$8:$E128,$C$8:$C128,TRUE)&gt;0)</f>
        <v>0</v>
      </c>
      <c r="M12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8" s="32" t="b">
        <f>IF(VaBenefits[[#This Row],[timeFromValuation]]=0,0, MOD(VaBenefits[[#This Row],[timeFromValuation]],1)=0)</f>
        <v>1</v>
      </c>
      <c r="O128" s="7">
        <f>IF(VaBenefits[[#This Row],[Is Anniversary?]]=TRUE,VaBenefits[[#This Row],[Assumed Contract Value ]],0)</f>
        <v>0</v>
      </c>
      <c r="P12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8" s="7" t="b">
        <f>VaBenefits[[#This Row],[Assumed Contract Value ]]&lt;0.1</f>
        <v>1</v>
      </c>
      <c r="R12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8" s="7">
        <f ca="1">IF(AND(VaBenefits[[#This Row],[Is Activation]]=FALSE,VaBenefits[[#This Row],[Is Anniversary?]]=TRUE),OFFSET( VaBenefits[[#This Row],[Income Credit Base]],-1,0)*ICP,0)</f>
        <v>0</v>
      </c>
      <c r="T128" s="5">
        <f>IF(VaBenefits[[#This Row],[Assumed Contract Value ]]&gt;0,VaBenefits[[#This Row],[Income Base]]*MAWA,0)</f>
        <v>0</v>
      </c>
      <c r="U128" s="95">
        <v>0</v>
      </c>
      <c r="V128" s="8">
        <f>1/(1+InterestRate)^VaBenefits[[#This Row],[timeFromValuation]]</f>
        <v>0.23137744865585813</v>
      </c>
      <c r="W128" s="90">
        <f>VaBenefits[[#This Row],[timeFromValuation]]</f>
        <v>30</v>
      </c>
      <c r="X128" s="91">
        <f>IF(($G$8+VaBenefits[[#This Row],[timeFromValuation]])&lt;=120,VLOOKUP(G128,Table2[],Qx!L$6,FALSE),0)</f>
        <v>0.95100300000000004</v>
      </c>
      <c r="Y128" s="91">
        <f>IF(($H$8+VaBenefits[[#This Row],[timeFromValuation]])&lt;=120,VLOOKUP(H128,Table2[],Qx!M$6,FALSE),0)</f>
        <v>0.81474000000000002</v>
      </c>
      <c r="Z128" s="90">
        <f>PRODUCT($X$8:$X128)</f>
        <v>0.18581294148809493</v>
      </c>
      <c r="AA128" s="90">
        <f>PRODUCT($Y$8:$Y128)</f>
        <v>8.9805384222129694E-4</v>
      </c>
      <c r="AB128" s="90">
        <f>VaBenefits[[#This Row],[Primary Annuitant Px]]+VaBenefits[[#This Row],[Secondary Annuitant Py]]-VaBenefits[[#This Row],[Primary Annuitant Px]]*VaBenefits[[#This Row],[Secondary Annuitant Py]]</f>
        <v>0.99092281577999997</v>
      </c>
      <c r="AC128" s="90">
        <f>PRODUCT($AB$8:$AB128)</f>
        <v>0.84792494427487819</v>
      </c>
      <c r="AD128" s="97">
        <f>PV(1.03,20,-VaBenefits[[#This Row],[Protected Income Payment]])</f>
        <v>0</v>
      </c>
      <c r="AE128" s="130">
        <f>IF((AND(VaBenefits[[#This Row],[Is Anniversary?]],VaBenefits[[#This Row],[Assumed Contract Value ]]&lt;75000)),-50,0)</f>
        <v>-50</v>
      </c>
      <c r="AF128" s="133">
        <f>VaBenefits[[#This Row],[Assumed Contract Value ]]*-1.15%/4</f>
        <v>0</v>
      </c>
      <c r="AG128" s="129">
        <v>0</v>
      </c>
      <c r="AH128" s="131">
        <f>VaBenefits[[#This Row],[Maintenace Fee]]+VaBenefits[[#This Row],[Separate Account Charge]]+VaBenefits[[#This Row],[Rider Fee]]</f>
        <v>-50</v>
      </c>
      <c r="AR128" s="23">
        <f t="shared" si="17"/>
        <v>60</v>
      </c>
      <c r="AS128" s="24">
        <v>0</v>
      </c>
      <c r="AT128" s="24">
        <v>0</v>
      </c>
      <c r="AU128" s="22">
        <v>0</v>
      </c>
      <c r="AV128" s="16">
        <v>0</v>
      </c>
      <c r="AW128" s="14">
        <v>299982</v>
      </c>
      <c r="AX128" s="15">
        <v>0</v>
      </c>
      <c r="AY128" s="15">
        <v>0</v>
      </c>
      <c r="AZ128" s="14">
        <v>0</v>
      </c>
      <c r="BA128" s="17">
        <v>11999</v>
      </c>
    </row>
    <row r="129" spans="1:53" ht="15" thickBot="1" x14ac:dyDescent="0.35">
      <c r="A129" s="32">
        <f t="shared" si="15"/>
        <v>121</v>
      </c>
      <c r="B129" s="29">
        <f t="shared" si="16"/>
        <v>30.25</v>
      </c>
      <c r="C129" s="29" t="b">
        <f>AND(VaBenefits[[#This Row],[timeFromValuation]]&gt;=ACT,VaBenefits[[#This Row],[Assumed Contract Value ]]&gt;0)</f>
        <v>0</v>
      </c>
      <c r="D129" s="20">
        <v>0</v>
      </c>
      <c r="E129" s="20">
        <v>0</v>
      </c>
      <c r="F129" s="20">
        <v>0</v>
      </c>
      <c r="G129" s="96">
        <f>ROUND($G$8+VaBenefits[[#This Row],[timeFromValuation]],0)</f>
        <v>85</v>
      </c>
      <c r="H129" s="20">
        <f>ROUND($H$8+VaBenefits[[#This Row],[timeFromValuation]],0)</f>
        <v>95</v>
      </c>
      <c r="I129" s="27" t="b">
        <f>VaBenefits[[#This Row],[Withdrawal Taken  ]]&gt;0</f>
        <v>0</v>
      </c>
      <c r="J129" s="41">
        <f>IF(AND(NOT(VaBenefits[[#This Row],[Is Activation]]),VaBenefits[[#This Row],[Assumed Contract Value ]]&gt;0),VaBenefits[[#This Row],[Withdrawal Taken  ]]/VaBenefits[[#This Row],[Assumed Contract Value ]],0)</f>
        <v>0</v>
      </c>
      <c r="K12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9" s="27" t="b">
        <f ca="1">AND(VaBenefits[[#This Row],[Is Activation]],SUMIFS($E$8:$E129,$C$8:$C129,TRUE)&gt;0)</f>
        <v>0</v>
      </c>
      <c r="M12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9" s="32" t="b">
        <f>IF(VaBenefits[[#This Row],[timeFromValuation]]=0,0, MOD(VaBenefits[[#This Row],[timeFromValuation]],1)=0)</f>
        <v>0</v>
      </c>
      <c r="O129" s="7">
        <f>IF(VaBenefits[[#This Row],[Is Anniversary?]]=TRUE,VaBenefits[[#This Row],[Assumed Contract Value ]],0)</f>
        <v>0</v>
      </c>
      <c r="P12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9" s="7" t="b">
        <f>VaBenefits[[#This Row],[Assumed Contract Value ]]&lt;0.1</f>
        <v>1</v>
      </c>
      <c r="R12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9" s="7">
        <f ca="1">IF(AND(VaBenefits[[#This Row],[Is Activation]]=FALSE,VaBenefits[[#This Row],[Is Anniversary?]]=TRUE),OFFSET( VaBenefits[[#This Row],[Income Credit Base]],-1,0)*ICP,0)</f>
        <v>0</v>
      </c>
      <c r="T129" s="5">
        <f>IF(VaBenefits[[#This Row],[Assumed Contract Value ]]&gt;0,VaBenefits[[#This Row],[Income Base]]*MAWA,0)</f>
        <v>0</v>
      </c>
      <c r="U129" s="95">
        <v>0</v>
      </c>
      <c r="V129" s="8">
        <f>1/(1+InterestRate)^VaBenefits[[#This Row],[timeFromValuation]]</f>
        <v>0.22857235512970844</v>
      </c>
      <c r="W129" s="90">
        <f>VaBenefits[[#This Row],[timeFromValuation]]</f>
        <v>30.25</v>
      </c>
      <c r="X129" s="91">
        <f>IF(($G$8+VaBenefits[[#This Row],[timeFromValuation]])&lt;=120,VLOOKUP(G129,Table2[],Qx!L$6,FALSE),0)</f>
        <v>0.95100300000000004</v>
      </c>
      <c r="Y129" s="91">
        <f>IF(($H$8+VaBenefits[[#This Row],[timeFromValuation]])&lt;=120,VLOOKUP(H129,Table2[],Qx!M$6,FALSE),0)</f>
        <v>0.81474000000000002</v>
      </c>
      <c r="Z129" s="90">
        <f>PRODUCT($X$8:$X129)</f>
        <v>0.17670866479400277</v>
      </c>
      <c r="AA129" s="90">
        <f>PRODUCT($Y$8:$Y129)</f>
        <v>7.3168038741137952E-4</v>
      </c>
      <c r="AB129" s="90">
        <f>VaBenefits[[#This Row],[Primary Annuitant Px]]+VaBenefits[[#This Row],[Secondary Annuitant Py]]-VaBenefits[[#This Row],[Primary Annuitant Px]]*VaBenefits[[#This Row],[Secondary Annuitant Py]]</f>
        <v>0.99092281577999997</v>
      </c>
      <c r="AC129" s="90">
        <f>PRODUCT($AB$8:$AB129)</f>
        <v>0.84022817335096189</v>
      </c>
      <c r="AD129" s="97">
        <f>PV(1.03,20,-VaBenefits[[#This Row],[Protected Income Payment]])</f>
        <v>0</v>
      </c>
      <c r="AE129" s="130">
        <f>IF((AND(VaBenefits[[#This Row],[Is Anniversary?]],VaBenefits[[#This Row],[Assumed Contract Value ]]&lt;75000)),-50,0)</f>
        <v>0</v>
      </c>
      <c r="AF129" s="133">
        <f>VaBenefits[[#This Row],[Assumed Contract Value ]]*-1.15%/4</f>
        <v>0</v>
      </c>
      <c r="AG129" s="129">
        <v>0</v>
      </c>
      <c r="AH129" s="131">
        <f>VaBenefits[[#This Row],[Maintenace Fee]]+VaBenefits[[#This Row],[Separate Account Charge]]+VaBenefits[[#This Row],[Rider Fee]]</f>
        <v>0</v>
      </c>
      <c r="AR129" s="23">
        <f t="shared" si="17"/>
        <v>60.5</v>
      </c>
      <c r="AS129" s="24">
        <v>0</v>
      </c>
      <c r="AT129" s="24">
        <v>0</v>
      </c>
      <c r="AU129" s="22">
        <v>0</v>
      </c>
      <c r="AV129" s="16">
        <v>0</v>
      </c>
      <c r="AW129" s="14">
        <v>299982</v>
      </c>
      <c r="AX129" s="15">
        <v>0</v>
      </c>
      <c r="AY129" s="15">
        <v>0</v>
      </c>
      <c r="AZ129" s="14">
        <v>0</v>
      </c>
      <c r="BA129" s="17">
        <v>11999</v>
      </c>
    </row>
    <row r="130" spans="1:53" ht="15" thickBot="1" x14ac:dyDescent="0.35">
      <c r="A130" s="32">
        <f t="shared" si="15"/>
        <v>122</v>
      </c>
      <c r="B130" s="29">
        <f t="shared" si="16"/>
        <v>30.5</v>
      </c>
      <c r="C130" s="29" t="b">
        <f>AND(VaBenefits[[#This Row],[timeFromValuation]]&gt;=ACT,VaBenefits[[#This Row],[Assumed Contract Value ]]&gt;0)</f>
        <v>0</v>
      </c>
      <c r="D130" s="20">
        <v>0</v>
      </c>
      <c r="E130" s="20">
        <v>0</v>
      </c>
      <c r="F130" s="20">
        <v>0</v>
      </c>
      <c r="G130" s="96">
        <f>ROUND($G$8+VaBenefits[[#This Row],[timeFromValuation]],0)</f>
        <v>86</v>
      </c>
      <c r="H130" s="20">
        <f>ROUND($H$8+VaBenefits[[#This Row],[timeFromValuation]],0)</f>
        <v>96</v>
      </c>
      <c r="I130" s="27" t="b">
        <f>VaBenefits[[#This Row],[Withdrawal Taken  ]]&gt;0</f>
        <v>0</v>
      </c>
      <c r="J130" s="41">
        <f>IF(AND(NOT(VaBenefits[[#This Row],[Is Activation]]),VaBenefits[[#This Row],[Assumed Contract Value ]]&gt;0),VaBenefits[[#This Row],[Withdrawal Taken  ]]/VaBenefits[[#This Row],[Assumed Contract Value ]],0)</f>
        <v>0</v>
      </c>
      <c r="K13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0" s="27" t="b">
        <f ca="1">AND(VaBenefits[[#This Row],[Is Activation]],SUMIFS($E$8:$E130,$C$8:$C130,TRUE)&gt;0)</f>
        <v>0</v>
      </c>
      <c r="M13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0" s="32" t="b">
        <f>IF(VaBenefits[[#This Row],[timeFromValuation]]=0,0, MOD(VaBenefits[[#This Row],[timeFromValuation]],1)=0)</f>
        <v>0</v>
      </c>
      <c r="O130" s="7">
        <f>IF(VaBenefits[[#This Row],[Is Anniversary?]]=TRUE,VaBenefits[[#This Row],[Assumed Contract Value ]],0)</f>
        <v>0</v>
      </c>
      <c r="P13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0" s="7" t="b">
        <f>VaBenefits[[#This Row],[Assumed Contract Value ]]&lt;0.1</f>
        <v>1</v>
      </c>
      <c r="R13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0" s="7">
        <f ca="1">IF(AND(VaBenefits[[#This Row],[Is Activation]]=FALSE,VaBenefits[[#This Row],[Is Anniversary?]]=TRUE),OFFSET( VaBenefits[[#This Row],[Income Credit Base]],-1,0)*ICP,0)</f>
        <v>0</v>
      </c>
      <c r="T130" s="5">
        <f>IF(VaBenefits[[#This Row],[Assumed Contract Value ]]&gt;0,VaBenefits[[#This Row],[Income Base]]*MAWA,0)</f>
        <v>0</v>
      </c>
      <c r="U130" s="95">
        <v>0</v>
      </c>
      <c r="V130" s="8">
        <f>1/(1+InterestRate)^VaBenefits[[#This Row],[timeFromValuation]]</f>
        <v>0.22580126902189715</v>
      </c>
      <c r="W130" s="90">
        <f>VaBenefits[[#This Row],[timeFromValuation]]</f>
        <v>30.5</v>
      </c>
      <c r="X130" s="91">
        <f>IF(($G$8+VaBenefits[[#This Row],[timeFromValuation]])&lt;=120,VLOOKUP(G130,Table2[],Qx!L$6,FALSE),0)</f>
        <v>0.94422600000000001</v>
      </c>
      <c r="Y130" s="91">
        <f>IF(($H$8+VaBenefits[[#This Row],[timeFromValuation]])&lt;=120,VLOOKUP(H130,Table2[],Qx!M$6,FALSE),0)</f>
        <v>0.802678</v>
      </c>
      <c r="Z130" s="90">
        <f>PRODUCT($X$8:$X130)</f>
        <v>0.16685291572378205</v>
      </c>
      <c r="AA130" s="90">
        <f>PRODUCT($Y$8:$Y130)</f>
        <v>5.8730375000659129E-4</v>
      </c>
      <c r="AB130" s="90">
        <f>VaBenefits[[#This Row],[Primary Annuitant Px]]+VaBenefits[[#This Row],[Secondary Annuitant Py]]-VaBenefits[[#This Row],[Primary Annuitant Px]]*VaBenefits[[#This Row],[Secondary Annuitant Py]]</f>
        <v>0.98899456277200004</v>
      </c>
      <c r="AC130" s="90">
        <f>PRODUCT($AB$8:$AB130)</f>
        <v>0.83098109493195083</v>
      </c>
      <c r="AD130" s="97">
        <f>PV(1.03,20,-VaBenefits[[#This Row],[Protected Income Payment]])</f>
        <v>0</v>
      </c>
      <c r="AE130" s="130">
        <f>IF((AND(VaBenefits[[#This Row],[Is Anniversary?]],VaBenefits[[#This Row],[Assumed Contract Value ]]&lt;75000)),-50,0)</f>
        <v>0</v>
      </c>
      <c r="AF130" s="133">
        <f>VaBenefits[[#This Row],[Assumed Contract Value ]]*-1.15%/4</f>
        <v>0</v>
      </c>
      <c r="AG130" s="129">
        <v>0</v>
      </c>
      <c r="AH130" s="131">
        <f>VaBenefits[[#This Row],[Maintenace Fee]]+VaBenefits[[#This Row],[Separate Account Charge]]+VaBenefits[[#This Row],[Rider Fee]]</f>
        <v>0</v>
      </c>
      <c r="AR130" s="23">
        <f t="shared" si="17"/>
        <v>61</v>
      </c>
      <c r="AS130" s="24">
        <v>0</v>
      </c>
      <c r="AT130" s="24">
        <v>0</v>
      </c>
      <c r="AU130" s="22">
        <v>0</v>
      </c>
      <c r="AV130" s="16">
        <v>0</v>
      </c>
      <c r="AW130" s="14">
        <v>299982</v>
      </c>
      <c r="AX130" s="15">
        <v>0</v>
      </c>
      <c r="AY130" s="15">
        <v>0</v>
      </c>
      <c r="AZ130" s="14">
        <v>0</v>
      </c>
      <c r="BA130" s="17">
        <v>11999</v>
      </c>
    </row>
    <row r="131" spans="1:53" ht="15" thickBot="1" x14ac:dyDescent="0.35">
      <c r="A131" s="32">
        <f t="shared" si="15"/>
        <v>123</v>
      </c>
      <c r="B131" s="29">
        <f t="shared" si="16"/>
        <v>30.75</v>
      </c>
      <c r="C131" s="29" t="b">
        <f>AND(VaBenefits[[#This Row],[timeFromValuation]]&gt;=ACT,VaBenefits[[#This Row],[Assumed Contract Value ]]&gt;0)</f>
        <v>0</v>
      </c>
      <c r="D131" s="20">
        <v>0</v>
      </c>
      <c r="E131" s="20">
        <v>0</v>
      </c>
      <c r="F131" s="20">
        <v>0</v>
      </c>
      <c r="G131" s="96">
        <f>ROUND($G$8+VaBenefits[[#This Row],[timeFromValuation]],0)</f>
        <v>86</v>
      </c>
      <c r="H131" s="20">
        <f>ROUND($H$8+VaBenefits[[#This Row],[timeFromValuation]],0)</f>
        <v>96</v>
      </c>
      <c r="I131" s="27" t="b">
        <f>VaBenefits[[#This Row],[Withdrawal Taken  ]]&gt;0</f>
        <v>0</v>
      </c>
      <c r="J131" s="41">
        <f>IF(AND(NOT(VaBenefits[[#This Row],[Is Activation]]),VaBenefits[[#This Row],[Assumed Contract Value ]]&gt;0),VaBenefits[[#This Row],[Withdrawal Taken  ]]/VaBenefits[[#This Row],[Assumed Contract Value ]],0)</f>
        <v>0</v>
      </c>
      <c r="K13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1" s="27" t="b">
        <f ca="1">AND(VaBenefits[[#This Row],[Is Activation]],SUMIFS($E$8:$E131,$C$8:$C131,TRUE)&gt;0)</f>
        <v>0</v>
      </c>
      <c r="M13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1" s="32" t="b">
        <f>IF(VaBenefits[[#This Row],[timeFromValuation]]=0,0, MOD(VaBenefits[[#This Row],[timeFromValuation]],1)=0)</f>
        <v>0</v>
      </c>
      <c r="O131" s="7">
        <f>IF(VaBenefits[[#This Row],[Is Anniversary?]]=TRUE,VaBenefits[[#This Row],[Assumed Contract Value ]],0)</f>
        <v>0</v>
      </c>
      <c r="P13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1" s="7" t="b">
        <f>VaBenefits[[#This Row],[Assumed Contract Value ]]&lt;0.1</f>
        <v>1</v>
      </c>
      <c r="R13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1" s="7">
        <f ca="1">IF(AND(VaBenefits[[#This Row],[Is Activation]]=FALSE,VaBenefits[[#This Row],[Is Anniversary?]]=TRUE),OFFSET( VaBenefits[[#This Row],[Income Credit Base]],-1,0)*ICP,0)</f>
        <v>0</v>
      </c>
      <c r="T131" s="5">
        <f>IF(VaBenefits[[#This Row],[Assumed Contract Value ]]&gt;0,VaBenefits[[#This Row],[Income Base]]*MAWA,0)</f>
        <v>0</v>
      </c>
      <c r="U131" s="95">
        <v>0</v>
      </c>
      <c r="V131" s="8">
        <f>1/(1+InterestRate)^VaBenefits[[#This Row],[timeFromValuation]]</f>
        <v>0.22306377804510047</v>
      </c>
      <c r="W131" s="90">
        <f>VaBenefits[[#This Row],[timeFromValuation]]</f>
        <v>30.75</v>
      </c>
      <c r="X131" s="91">
        <f>IF(($G$8+VaBenefits[[#This Row],[timeFromValuation]])&lt;=120,VLOOKUP(G131,Table2[],Qx!L$6,FALSE),0)</f>
        <v>0.94422600000000001</v>
      </c>
      <c r="Y131" s="91">
        <f>IF(($H$8+VaBenefits[[#This Row],[timeFromValuation]])&lt;=120,VLOOKUP(H131,Table2[],Qx!M$6,FALSE),0)</f>
        <v>0.802678</v>
      </c>
      <c r="Z131" s="90">
        <f>PRODUCT($X$8:$X131)</f>
        <v>0.15754686120220385</v>
      </c>
      <c r="AA131" s="90">
        <f>PRODUCT($Y$8:$Y131)</f>
        <v>4.7141579944779067E-4</v>
      </c>
      <c r="AB131" s="90">
        <f>VaBenefits[[#This Row],[Primary Annuitant Px]]+VaBenefits[[#This Row],[Secondary Annuitant Py]]-VaBenefits[[#This Row],[Primary Annuitant Px]]*VaBenefits[[#This Row],[Secondary Annuitant Py]]</f>
        <v>0.98899456277200004</v>
      </c>
      <c r="AC131" s="90">
        <f>PRODUCT($AB$8:$AB131)</f>
        <v>0.82183578465402252</v>
      </c>
      <c r="AD131" s="97">
        <f>PV(1.03,20,-VaBenefits[[#This Row],[Protected Income Payment]])</f>
        <v>0</v>
      </c>
      <c r="AE131" s="130">
        <f>IF((AND(VaBenefits[[#This Row],[Is Anniversary?]],VaBenefits[[#This Row],[Assumed Contract Value ]]&lt;75000)),-50,0)</f>
        <v>0</v>
      </c>
      <c r="AF131" s="133">
        <f>VaBenefits[[#This Row],[Assumed Contract Value ]]*-1.15%/4</f>
        <v>0</v>
      </c>
      <c r="AG131" s="129">
        <v>0</v>
      </c>
      <c r="AH131" s="131">
        <f>VaBenefits[[#This Row],[Maintenace Fee]]+VaBenefits[[#This Row],[Separate Account Charge]]+VaBenefits[[#This Row],[Rider Fee]]</f>
        <v>0</v>
      </c>
      <c r="AR131" s="23">
        <f t="shared" si="17"/>
        <v>61.5</v>
      </c>
      <c r="AS131" s="24">
        <v>0</v>
      </c>
      <c r="AT131" s="24">
        <v>0</v>
      </c>
      <c r="AU131" s="22">
        <v>0</v>
      </c>
      <c r="AV131" s="16">
        <v>0</v>
      </c>
      <c r="AW131" s="14">
        <v>299982</v>
      </c>
      <c r="AX131" s="15">
        <v>0</v>
      </c>
      <c r="AY131" s="15">
        <v>0</v>
      </c>
      <c r="AZ131" s="14">
        <v>0</v>
      </c>
      <c r="BA131" s="17">
        <v>11999</v>
      </c>
    </row>
    <row r="132" spans="1:53" ht="15" thickBot="1" x14ac:dyDescent="0.35">
      <c r="A132" s="32">
        <f t="shared" si="15"/>
        <v>124</v>
      </c>
      <c r="B132" s="29">
        <f t="shared" si="16"/>
        <v>31</v>
      </c>
      <c r="C132" s="29" t="b">
        <f>AND(VaBenefits[[#This Row],[timeFromValuation]]&gt;=ACT,VaBenefits[[#This Row],[Assumed Contract Value ]]&gt;0)</f>
        <v>0</v>
      </c>
      <c r="D132" s="20">
        <v>0</v>
      </c>
      <c r="E132" s="20">
        <v>0</v>
      </c>
      <c r="F132" s="20">
        <v>0</v>
      </c>
      <c r="G132" s="96">
        <f>ROUND($G$8+VaBenefits[[#This Row],[timeFromValuation]],0)</f>
        <v>86</v>
      </c>
      <c r="H132" s="20">
        <f>ROUND($H$8+VaBenefits[[#This Row],[timeFromValuation]],0)</f>
        <v>96</v>
      </c>
      <c r="I132" s="27" t="b">
        <f>VaBenefits[[#This Row],[Withdrawal Taken  ]]&gt;0</f>
        <v>0</v>
      </c>
      <c r="J132" s="41">
        <f>IF(AND(NOT(VaBenefits[[#This Row],[Is Activation]]),VaBenefits[[#This Row],[Assumed Contract Value ]]&gt;0),VaBenefits[[#This Row],[Withdrawal Taken  ]]/VaBenefits[[#This Row],[Assumed Contract Value ]],0)</f>
        <v>0</v>
      </c>
      <c r="K13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2" s="27" t="b">
        <f ca="1">AND(VaBenefits[[#This Row],[Is Activation]],SUMIFS($E$8:$E132,$C$8:$C132,TRUE)&gt;0)</f>
        <v>0</v>
      </c>
      <c r="M13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2" s="32" t="b">
        <f>IF(VaBenefits[[#This Row],[timeFromValuation]]=0,0, MOD(VaBenefits[[#This Row],[timeFromValuation]],1)=0)</f>
        <v>1</v>
      </c>
      <c r="O132" s="7">
        <f>IF(VaBenefits[[#This Row],[Is Anniversary?]]=TRUE,VaBenefits[[#This Row],[Assumed Contract Value ]],0)</f>
        <v>0</v>
      </c>
      <c r="P13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2" s="7" t="b">
        <f>VaBenefits[[#This Row],[Assumed Contract Value ]]&lt;0.1</f>
        <v>1</v>
      </c>
      <c r="R13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2" s="7">
        <f ca="1">IF(AND(VaBenefits[[#This Row],[Is Activation]]=FALSE,VaBenefits[[#This Row],[Is Anniversary?]]=TRUE),OFFSET( VaBenefits[[#This Row],[Income Credit Base]],-1,0)*ICP,0)</f>
        <v>0</v>
      </c>
      <c r="T132" s="5">
        <f>IF(VaBenefits[[#This Row],[Assumed Contract Value ]]&gt;0,VaBenefits[[#This Row],[Income Base]]*MAWA,0)</f>
        <v>0</v>
      </c>
      <c r="U132" s="95">
        <v>0</v>
      </c>
      <c r="V132" s="8">
        <f>1/(1+InterestRate)^VaBenefits[[#This Row],[timeFromValuation]]</f>
        <v>0.220359474910341</v>
      </c>
      <c r="W132" s="90">
        <f>VaBenefits[[#This Row],[timeFromValuation]]</f>
        <v>31</v>
      </c>
      <c r="X132" s="91">
        <f>IF(($G$8+VaBenefits[[#This Row],[timeFromValuation]])&lt;=120,VLOOKUP(G132,Table2[],Qx!L$6,FALSE),0)</f>
        <v>0.94422600000000001</v>
      </c>
      <c r="Y132" s="91">
        <f>IF(($H$8+VaBenefits[[#This Row],[timeFromValuation]])&lt;=120,VLOOKUP(H132,Table2[],Qx!M$6,FALSE),0)</f>
        <v>0.802678</v>
      </c>
      <c r="Z132" s="90">
        <f>PRODUCT($X$8:$X132)</f>
        <v>0.14875984256551214</v>
      </c>
      <c r="AA132" s="90">
        <f>PRODUCT($Y$8:$Y132)</f>
        <v>3.7839509106915369E-4</v>
      </c>
      <c r="AB132" s="90">
        <f>VaBenefits[[#This Row],[Primary Annuitant Px]]+VaBenefits[[#This Row],[Secondary Annuitant Py]]-VaBenefits[[#This Row],[Primary Annuitant Px]]*VaBenefits[[#This Row],[Secondary Annuitant Py]]</f>
        <v>0.98899456277200004</v>
      </c>
      <c r="AC132" s="90">
        <f>PRODUCT($AB$8:$AB132)</f>
        <v>0.81279112251428853</v>
      </c>
      <c r="AD132" s="97">
        <f>PV(1.03,20,-VaBenefits[[#This Row],[Protected Income Payment]])</f>
        <v>0</v>
      </c>
      <c r="AE132" s="130">
        <f>IF((AND(VaBenefits[[#This Row],[Is Anniversary?]],VaBenefits[[#This Row],[Assumed Contract Value ]]&lt;75000)),-50,0)</f>
        <v>-50</v>
      </c>
      <c r="AF132" s="133">
        <f>VaBenefits[[#This Row],[Assumed Contract Value ]]*-1.15%/4</f>
        <v>0</v>
      </c>
      <c r="AG132" s="129">
        <v>0</v>
      </c>
      <c r="AH132" s="131">
        <f>VaBenefits[[#This Row],[Maintenace Fee]]+VaBenefits[[#This Row],[Separate Account Charge]]+VaBenefits[[#This Row],[Rider Fee]]</f>
        <v>-50</v>
      </c>
      <c r="AR132" s="23">
        <f t="shared" si="17"/>
        <v>62</v>
      </c>
      <c r="AS132" s="24">
        <v>0</v>
      </c>
      <c r="AT132" s="24">
        <v>0</v>
      </c>
      <c r="AU132" s="22">
        <v>0</v>
      </c>
      <c r="AV132" s="16">
        <v>0</v>
      </c>
      <c r="AW132" s="14">
        <v>299982</v>
      </c>
      <c r="AX132" s="15">
        <v>0</v>
      </c>
      <c r="AY132" s="15">
        <v>0</v>
      </c>
      <c r="AZ132" s="14">
        <v>0</v>
      </c>
      <c r="BA132" s="17">
        <v>11999</v>
      </c>
    </row>
    <row r="133" spans="1:53" ht="15" thickBot="1" x14ac:dyDescent="0.35">
      <c r="A133" s="32">
        <f t="shared" si="15"/>
        <v>125</v>
      </c>
      <c r="B133" s="29">
        <f t="shared" si="16"/>
        <v>31.25</v>
      </c>
      <c r="C133" s="29" t="b">
        <f>AND(VaBenefits[[#This Row],[timeFromValuation]]&gt;=ACT,VaBenefits[[#This Row],[Assumed Contract Value ]]&gt;0)</f>
        <v>0</v>
      </c>
      <c r="D133" s="20">
        <v>0</v>
      </c>
      <c r="E133" s="20">
        <v>0</v>
      </c>
      <c r="F133" s="20">
        <v>0</v>
      </c>
      <c r="G133" s="96">
        <f>ROUND($G$8+VaBenefits[[#This Row],[timeFromValuation]],0)</f>
        <v>86</v>
      </c>
      <c r="H133" s="20">
        <f>ROUND($H$8+VaBenefits[[#This Row],[timeFromValuation]],0)</f>
        <v>96</v>
      </c>
      <c r="I133" s="27" t="b">
        <f>VaBenefits[[#This Row],[Withdrawal Taken  ]]&gt;0</f>
        <v>0</v>
      </c>
      <c r="J133" s="41">
        <f>IF(AND(NOT(VaBenefits[[#This Row],[Is Activation]]),VaBenefits[[#This Row],[Assumed Contract Value ]]&gt;0),VaBenefits[[#This Row],[Withdrawal Taken  ]]/VaBenefits[[#This Row],[Assumed Contract Value ]],0)</f>
        <v>0</v>
      </c>
      <c r="K13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3" s="27" t="b">
        <f ca="1">AND(VaBenefits[[#This Row],[Is Activation]],SUMIFS($E$8:$E133,$C$8:$C133,TRUE)&gt;0)</f>
        <v>0</v>
      </c>
      <c r="M13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3" s="32" t="b">
        <f>IF(VaBenefits[[#This Row],[timeFromValuation]]=0,0, MOD(VaBenefits[[#This Row],[timeFromValuation]],1)=0)</f>
        <v>0</v>
      </c>
      <c r="O133" s="7">
        <f>IF(VaBenefits[[#This Row],[Is Anniversary?]]=TRUE,VaBenefits[[#This Row],[Assumed Contract Value ]],0)</f>
        <v>0</v>
      </c>
      <c r="P13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3" s="7" t="b">
        <f>VaBenefits[[#This Row],[Assumed Contract Value ]]&lt;0.1</f>
        <v>1</v>
      </c>
      <c r="R13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3" s="7">
        <f ca="1">IF(AND(VaBenefits[[#This Row],[Is Activation]]=FALSE,VaBenefits[[#This Row],[Is Anniversary?]]=TRUE),OFFSET( VaBenefits[[#This Row],[Income Credit Base]],-1,0)*ICP,0)</f>
        <v>0</v>
      </c>
      <c r="T133" s="5">
        <f>IF(VaBenefits[[#This Row],[Assumed Contract Value ]]&gt;0,VaBenefits[[#This Row],[Income Base]]*MAWA,0)</f>
        <v>0</v>
      </c>
      <c r="U133" s="95">
        <v>0</v>
      </c>
      <c r="V133" s="8">
        <f>1/(1+InterestRate)^VaBenefits[[#This Row],[timeFromValuation]]</f>
        <v>0.21768795726638904</v>
      </c>
      <c r="W133" s="90">
        <f>VaBenefits[[#This Row],[timeFromValuation]]</f>
        <v>31.25</v>
      </c>
      <c r="X133" s="91">
        <f>IF(($G$8+VaBenefits[[#This Row],[timeFromValuation]])&lt;=120,VLOOKUP(G133,Table2[],Qx!L$6,FALSE),0)</f>
        <v>0.94422600000000001</v>
      </c>
      <c r="Y133" s="91">
        <f>IF(($H$8+VaBenefits[[#This Row],[timeFromValuation]])&lt;=120,VLOOKUP(H133,Table2[],Qx!M$6,FALSE),0)</f>
        <v>0.802678</v>
      </c>
      <c r="Z133" s="90">
        <f>PRODUCT($X$8:$X133)</f>
        <v>0.14046291110626327</v>
      </c>
      <c r="AA133" s="90">
        <f>PRODUCT($Y$8:$Y133)</f>
        <v>3.0372941490920615E-4</v>
      </c>
      <c r="AB133" s="90">
        <f>VaBenefits[[#This Row],[Primary Annuitant Px]]+VaBenefits[[#This Row],[Secondary Annuitant Py]]-VaBenefits[[#This Row],[Primary Annuitant Px]]*VaBenefits[[#This Row],[Secondary Annuitant Py]]</f>
        <v>0.98899456277200004</v>
      </c>
      <c r="AC133" s="90">
        <f>PRODUCT($AB$8:$AB133)</f>
        <v>0.8038460008359819</v>
      </c>
      <c r="AD133" s="97">
        <f>PV(1.03,20,-VaBenefits[[#This Row],[Protected Income Payment]])</f>
        <v>0</v>
      </c>
      <c r="AE133" s="130">
        <f>IF((AND(VaBenefits[[#This Row],[Is Anniversary?]],VaBenefits[[#This Row],[Assumed Contract Value ]]&lt;75000)),-50,0)</f>
        <v>0</v>
      </c>
      <c r="AF133" s="133">
        <f>VaBenefits[[#This Row],[Assumed Contract Value ]]*-1.15%/4</f>
        <v>0</v>
      </c>
      <c r="AG133" s="129">
        <v>0</v>
      </c>
      <c r="AH133" s="131">
        <f>VaBenefits[[#This Row],[Maintenace Fee]]+VaBenefits[[#This Row],[Separate Account Charge]]+VaBenefits[[#This Row],[Rider Fee]]</f>
        <v>0</v>
      </c>
      <c r="AR133" s="23">
        <f t="shared" si="17"/>
        <v>62.5</v>
      </c>
      <c r="AS133" s="24">
        <v>0</v>
      </c>
      <c r="AT133" s="24">
        <v>0</v>
      </c>
      <c r="AU133" s="22">
        <v>0</v>
      </c>
      <c r="AV133" s="16">
        <v>0</v>
      </c>
      <c r="AW133" s="14">
        <v>299982</v>
      </c>
      <c r="AX133" s="15">
        <v>0</v>
      </c>
      <c r="AY133" s="15">
        <v>0</v>
      </c>
      <c r="AZ133" s="14">
        <v>0</v>
      </c>
      <c r="BA133" s="17">
        <v>11999</v>
      </c>
    </row>
    <row r="134" spans="1:53" ht="15" thickBot="1" x14ac:dyDescent="0.35">
      <c r="A134" s="32">
        <f t="shared" si="15"/>
        <v>126</v>
      </c>
      <c r="B134" s="29">
        <f t="shared" si="16"/>
        <v>31.5</v>
      </c>
      <c r="C134" s="29" t="b">
        <f>AND(VaBenefits[[#This Row],[timeFromValuation]]&gt;=ACT,VaBenefits[[#This Row],[Assumed Contract Value ]]&gt;0)</f>
        <v>0</v>
      </c>
      <c r="D134" s="20">
        <v>0</v>
      </c>
      <c r="E134" s="20">
        <v>0</v>
      </c>
      <c r="F134" s="20">
        <v>0</v>
      </c>
      <c r="G134" s="96">
        <f>ROUND($G$8+VaBenefits[[#This Row],[timeFromValuation]],0)</f>
        <v>87</v>
      </c>
      <c r="H134" s="20">
        <f>ROUND($H$8+VaBenefits[[#This Row],[timeFromValuation]],0)</f>
        <v>97</v>
      </c>
      <c r="I134" s="27" t="b">
        <f>VaBenefits[[#This Row],[Withdrawal Taken  ]]&gt;0</f>
        <v>0</v>
      </c>
      <c r="J134" s="41">
        <f>IF(AND(NOT(VaBenefits[[#This Row],[Is Activation]]),VaBenefits[[#This Row],[Assumed Contract Value ]]&gt;0),VaBenefits[[#This Row],[Withdrawal Taken  ]]/VaBenefits[[#This Row],[Assumed Contract Value ]],0)</f>
        <v>0</v>
      </c>
      <c r="K13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4" s="27" t="b">
        <f ca="1">AND(VaBenefits[[#This Row],[Is Activation]],SUMIFS($E$8:$E134,$C$8:$C134,TRUE)&gt;0)</f>
        <v>0</v>
      </c>
      <c r="M13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4" s="32" t="b">
        <f>IF(VaBenefits[[#This Row],[timeFromValuation]]=0,0, MOD(VaBenefits[[#This Row],[timeFromValuation]],1)=0)</f>
        <v>0</v>
      </c>
      <c r="O134" s="7">
        <f>IF(VaBenefits[[#This Row],[Is Anniversary?]]=TRUE,VaBenefits[[#This Row],[Assumed Contract Value ]],0)</f>
        <v>0</v>
      </c>
      <c r="P13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4" s="7" t="b">
        <f>VaBenefits[[#This Row],[Assumed Contract Value ]]&lt;0.1</f>
        <v>1</v>
      </c>
      <c r="R13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4" s="7">
        <f ca="1">IF(AND(VaBenefits[[#This Row],[Is Activation]]=FALSE,VaBenefits[[#This Row],[Is Anniversary?]]=TRUE),OFFSET( VaBenefits[[#This Row],[Income Credit Base]],-1,0)*ICP,0)</f>
        <v>0</v>
      </c>
      <c r="T134" s="5">
        <f>IF(VaBenefits[[#This Row],[Assumed Contract Value ]]&gt;0,VaBenefits[[#This Row],[Income Base]]*MAWA,0)</f>
        <v>0</v>
      </c>
      <c r="U134" s="95">
        <v>0</v>
      </c>
      <c r="V134" s="8">
        <f>1/(1+InterestRate)^VaBenefits[[#This Row],[timeFromValuation]]</f>
        <v>0.21504882763990207</v>
      </c>
      <c r="W134" s="90">
        <f>VaBenefits[[#This Row],[timeFromValuation]]</f>
        <v>31.5</v>
      </c>
      <c r="X134" s="91">
        <f>IF(($G$8+VaBenefits[[#This Row],[timeFromValuation]])&lt;=120,VLOOKUP(G134,Table2[],Qx!L$6,FALSE),0)</f>
        <v>0.93686000000000003</v>
      </c>
      <c r="Y134" s="91">
        <f>IF(($H$8+VaBenefits[[#This Row],[timeFromValuation]])&lt;=120,VLOOKUP(H134,Table2[],Qx!M$6,FALSE),0)</f>
        <v>0.78524899999999997</v>
      </c>
      <c r="Z134" s="90">
        <f>PRODUCT($X$8:$X134)</f>
        <v>0.13159408289901381</v>
      </c>
      <c r="AA134" s="90">
        <f>PRODUCT($Y$8:$Y134)</f>
        <v>2.385032193280392E-4</v>
      </c>
      <c r="AB134" s="90">
        <f>VaBenefits[[#This Row],[Primary Annuitant Px]]+VaBenefits[[#This Row],[Secondary Annuitant Py]]-VaBenefits[[#This Row],[Primary Annuitant Px]]*VaBenefits[[#This Row],[Secondary Annuitant Py]]</f>
        <v>0.98644062186000014</v>
      </c>
      <c r="AC134" s="90">
        <f>PRODUCT($AB$8:$AB134)</f>
        <v>0.79294634894432015</v>
      </c>
      <c r="AD134" s="97">
        <f>PV(1.03,20,-VaBenefits[[#This Row],[Protected Income Payment]])</f>
        <v>0</v>
      </c>
      <c r="AE134" s="130">
        <f>IF((AND(VaBenefits[[#This Row],[Is Anniversary?]],VaBenefits[[#This Row],[Assumed Contract Value ]]&lt;75000)),-50,0)</f>
        <v>0</v>
      </c>
      <c r="AF134" s="133">
        <f>VaBenefits[[#This Row],[Assumed Contract Value ]]*-1.15%/4</f>
        <v>0</v>
      </c>
      <c r="AG134" s="129">
        <v>0</v>
      </c>
      <c r="AH134" s="131">
        <f>VaBenefits[[#This Row],[Maintenace Fee]]+VaBenefits[[#This Row],[Separate Account Charge]]+VaBenefits[[#This Row],[Rider Fee]]</f>
        <v>0</v>
      </c>
      <c r="AR134" s="23">
        <f t="shared" si="17"/>
        <v>63</v>
      </c>
      <c r="AS134" s="24">
        <v>0</v>
      </c>
      <c r="AT134" s="24">
        <v>0</v>
      </c>
      <c r="AU134" s="22">
        <v>0</v>
      </c>
      <c r="AV134" s="16">
        <v>0</v>
      </c>
      <c r="AW134" s="14">
        <v>299982</v>
      </c>
      <c r="AX134" s="15">
        <v>0</v>
      </c>
      <c r="AY134" s="15">
        <v>0</v>
      </c>
      <c r="AZ134" s="14">
        <v>0</v>
      </c>
      <c r="BA134" s="17">
        <v>11999</v>
      </c>
    </row>
    <row r="135" spans="1:53" ht="15" thickBot="1" x14ac:dyDescent="0.35">
      <c r="A135" s="32">
        <f t="shared" si="15"/>
        <v>127</v>
      </c>
      <c r="B135" s="29">
        <f t="shared" si="16"/>
        <v>31.75</v>
      </c>
      <c r="C135" s="29" t="b">
        <f>AND(VaBenefits[[#This Row],[timeFromValuation]]&gt;=ACT,VaBenefits[[#This Row],[Assumed Contract Value ]]&gt;0)</f>
        <v>0</v>
      </c>
      <c r="D135" s="20">
        <v>0</v>
      </c>
      <c r="E135" s="20">
        <v>0</v>
      </c>
      <c r="F135" s="20">
        <v>0</v>
      </c>
      <c r="G135" s="96">
        <f>ROUND($G$8+VaBenefits[[#This Row],[timeFromValuation]],0)</f>
        <v>87</v>
      </c>
      <c r="H135" s="20">
        <f>ROUND($H$8+VaBenefits[[#This Row],[timeFromValuation]],0)</f>
        <v>97</v>
      </c>
      <c r="I135" s="27" t="b">
        <f>VaBenefits[[#This Row],[Withdrawal Taken  ]]&gt;0</f>
        <v>0</v>
      </c>
      <c r="J135" s="41">
        <f>IF(AND(NOT(VaBenefits[[#This Row],[Is Activation]]),VaBenefits[[#This Row],[Assumed Contract Value ]]&gt;0),VaBenefits[[#This Row],[Withdrawal Taken  ]]/VaBenefits[[#This Row],[Assumed Contract Value ]],0)</f>
        <v>0</v>
      </c>
      <c r="K13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5" s="27" t="b">
        <f ca="1">AND(VaBenefits[[#This Row],[Is Activation]],SUMIFS($E$8:$E135,$C$8:$C135,TRUE)&gt;0)</f>
        <v>0</v>
      </c>
      <c r="M13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5" s="32" t="b">
        <f>IF(VaBenefits[[#This Row],[timeFromValuation]]=0,0, MOD(VaBenefits[[#This Row],[timeFromValuation]],1)=0)</f>
        <v>0</v>
      </c>
      <c r="O135" s="7">
        <f>IF(VaBenefits[[#This Row],[Is Anniversary?]]=TRUE,VaBenefits[[#This Row],[Assumed Contract Value ]],0)</f>
        <v>0</v>
      </c>
      <c r="P13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5" s="7" t="b">
        <f>VaBenefits[[#This Row],[Assumed Contract Value ]]&lt;0.1</f>
        <v>1</v>
      </c>
      <c r="R13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5" s="7">
        <f ca="1">IF(AND(VaBenefits[[#This Row],[Is Activation]]=FALSE,VaBenefits[[#This Row],[Is Anniversary?]]=TRUE),OFFSET( VaBenefits[[#This Row],[Income Credit Base]],-1,0)*ICP,0)</f>
        <v>0</v>
      </c>
      <c r="T135" s="5">
        <f>IF(VaBenefits[[#This Row],[Assumed Contract Value ]]&gt;0,VaBenefits[[#This Row],[Income Base]]*MAWA,0)</f>
        <v>0</v>
      </c>
      <c r="U135" s="95">
        <v>0</v>
      </c>
      <c r="V135" s="8">
        <f>1/(1+InterestRate)^VaBenefits[[#This Row],[timeFromValuation]]</f>
        <v>0.21244169337628621</v>
      </c>
      <c r="W135" s="90">
        <f>VaBenefits[[#This Row],[timeFromValuation]]</f>
        <v>31.75</v>
      </c>
      <c r="X135" s="91">
        <f>IF(($G$8+VaBenefits[[#This Row],[timeFromValuation]])&lt;=120,VLOOKUP(G135,Table2[],Qx!L$6,FALSE),0)</f>
        <v>0.93686000000000003</v>
      </c>
      <c r="Y135" s="91">
        <f>IF(($H$8+VaBenefits[[#This Row],[timeFromValuation]])&lt;=120,VLOOKUP(H135,Table2[],Qx!M$6,FALSE),0)</f>
        <v>0.78524899999999997</v>
      </c>
      <c r="Z135" s="90">
        <f>PRODUCT($X$8:$X135)</f>
        <v>0.12328523250477008</v>
      </c>
      <c r="AA135" s="90">
        <f>PRODUCT($Y$8:$Y135)</f>
        <v>1.8728441447412344E-4</v>
      </c>
      <c r="AB135" s="90">
        <f>VaBenefits[[#This Row],[Primary Annuitant Px]]+VaBenefits[[#This Row],[Secondary Annuitant Py]]-VaBenefits[[#This Row],[Primary Annuitant Px]]*VaBenefits[[#This Row],[Secondary Annuitant Py]]</f>
        <v>0.98644062186000014</v>
      </c>
      <c r="AC135" s="90">
        <f>PRODUCT($AB$8:$AB135)</f>
        <v>0.78219448955425186</v>
      </c>
      <c r="AD135" s="97">
        <f>PV(1.03,20,-VaBenefits[[#This Row],[Protected Income Payment]])</f>
        <v>0</v>
      </c>
      <c r="AE135" s="130">
        <f>IF((AND(VaBenefits[[#This Row],[Is Anniversary?]],VaBenefits[[#This Row],[Assumed Contract Value ]]&lt;75000)),-50,0)</f>
        <v>0</v>
      </c>
      <c r="AF135" s="133">
        <f>VaBenefits[[#This Row],[Assumed Contract Value ]]*-1.15%/4</f>
        <v>0</v>
      </c>
      <c r="AG135" s="129">
        <v>0</v>
      </c>
      <c r="AH135" s="131">
        <f>VaBenefits[[#This Row],[Maintenace Fee]]+VaBenefits[[#This Row],[Separate Account Charge]]+VaBenefits[[#This Row],[Rider Fee]]</f>
        <v>0</v>
      </c>
      <c r="AR135" s="23">
        <f t="shared" si="17"/>
        <v>63.5</v>
      </c>
      <c r="AS135" s="24">
        <v>0</v>
      </c>
      <c r="AT135" s="24">
        <v>0</v>
      </c>
      <c r="AU135" s="22">
        <v>0</v>
      </c>
      <c r="AV135" s="16">
        <v>0</v>
      </c>
      <c r="AW135" s="14">
        <v>299982</v>
      </c>
      <c r="AX135" s="15">
        <v>0</v>
      </c>
      <c r="AY135" s="15">
        <v>0</v>
      </c>
      <c r="AZ135" s="14">
        <v>0</v>
      </c>
      <c r="BA135" s="17">
        <v>11999</v>
      </c>
    </row>
    <row r="136" spans="1:53" ht="15" thickBot="1" x14ac:dyDescent="0.35">
      <c r="A136" s="32">
        <f t="shared" si="15"/>
        <v>128</v>
      </c>
      <c r="B136" s="29">
        <f t="shared" si="16"/>
        <v>32</v>
      </c>
      <c r="C136" s="29" t="b">
        <f>AND(VaBenefits[[#This Row],[timeFromValuation]]&gt;=ACT,VaBenefits[[#This Row],[Assumed Contract Value ]]&gt;0)</f>
        <v>0</v>
      </c>
      <c r="D136" s="20">
        <v>0</v>
      </c>
      <c r="E136" s="20">
        <v>0</v>
      </c>
      <c r="F136" s="20">
        <v>0</v>
      </c>
      <c r="G136" s="96">
        <f>ROUND($G$8+VaBenefits[[#This Row],[timeFromValuation]],0)</f>
        <v>87</v>
      </c>
      <c r="H136" s="20">
        <f>ROUND($H$8+VaBenefits[[#This Row],[timeFromValuation]],0)</f>
        <v>97</v>
      </c>
      <c r="I136" s="27" t="b">
        <f>VaBenefits[[#This Row],[Withdrawal Taken  ]]&gt;0</f>
        <v>0</v>
      </c>
      <c r="J136" s="41">
        <f>IF(AND(NOT(VaBenefits[[#This Row],[Is Activation]]),VaBenefits[[#This Row],[Assumed Contract Value ]]&gt;0),VaBenefits[[#This Row],[Withdrawal Taken  ]]/VaBenefits[[#This Row],[Assumed Contract Value ]],0)</f>
        <v>0</v>
      </c>
      <c r="K13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6" s="27" t="b">
        <f ca="1">AND(VaBenefits[[#This Row],[Is Activation]],SUMIFS($E$8:$E136,$C$8:$C136,TRUE)&gt;0)</f>
        <v>0</v>
      </c>
      <c r="M13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6" s="32" t="b">
        <f>IF(VaBenefits[[#This Row],[timeFromValuation]]=0,0, MOD(VaBenefits[[#This Row],[timeFromValuation]],1)=0)</f>
        <v>1</v>
      </c>
      <c r="O136" s="7">
        <f>IF(VaBenefits[[#This Row],[Is Anniversary?]]=TRUE,VaBenefits[[#This Row],[Assumed Contract Value ]],0)</f>
        <v>0</v>
      </c>
      <c r="P13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6" s="7" t="b">
        <f>VaBenefits[[#This Row],[Assumed Contract Value ]]&lt;0.1</f>
        <v>1</v>
      </c>
      <c r="R13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6" s="7">
        <f ca="1">IF(AND(VaBenefits[[#This Row],[Is Activation]]=FALSE,VaBenefits[[#This Row],[Is Anniversary?]]=TRUE),OFFSET( VaBenefits[[#This Row],[Income Credit Base]],-1,0)*ICP,0)</f>
        <v>0</v>
      </c>
      <c r="T136" s="5">
        <f>IF(VaBenefits[[#This Row],[Assumed Contract Value ]]&gt;0,VaBenefits[[#This Row],[Income Base]]*MAWA,0)</f>
        <v>0</v>
      </c>
      <c r="U136" s="95">
        <v>0</v>
      </c>
      <c r="V136" s="8">
        <f>1/(1+InterestRate)^VaBenefits[[#This Row],[timeFromValuation]]</f>
        <v>0.20986616658127716</v>
      </c>
      <c r="W136" s="90">
        <f>VaBenefits[[#This Row],[timeFromValuation]]</f>
        <v>32</v>
      </c>
      <c r="X136" s="91">
        <f>IF(($G$8+VaBenefits[[#This Row],[timeFromValuation]])&lt;=120,VLOOKUP(G136,Table2[],Qx!L$6,FALSE),0)</f>
        <v>0.93686000000000003</v>
      </c>
      <c r="Y136" s="91">
        <f>IF(($H$8+VaBenefits[[#This Row],[timeFromValuation]])&lt;=120,VLOOKUP(H136,Table2[],Qx!M$6,FALSE),0)</f>
        <v>0.78524899999999997</v>
      </c>
      <c r="Z136" s="90">
        <f>PRODUCT($X$8:$X136)</f>
        <v>0.11550100292441891</v>
      </c>
      <c r="AA136" s="90">
        <f>PRODUCT($Y$8:$Y136)</f>
        <v>1.4706489918139097E-4</v>
      </c>
      <c r="AB136" s="90">
        <f>VaBenefits[[#This Row],[Primary Annuitant Px]]+VaBenefits[[#This Row],[Secondary Annuitant Py]]-VaBenefits[[#This Row],[Primary Annuitant Px]]*VaBenefits[[#This Row],[Secondary Annuitant Py]]</f>
        <v>0.98644062186000014</v>
      </c>
      <c r="AC136" s="90">
        <f>PRODUCT($AB$8:$AB136)</f>
        <v>0.77158841869136163</v>
      </c>
      <c r="AD136" s="97">
        <f>PV(1.03,20,-VaBenefits[[#This Row],[Protected Income Payment]])</f>
        <v>0</v>
      </c>
      <c r="AE136" s="130">
        <f>IF((AND(VaBenefits[[#This Row],[Is Anniversary?]],VaBenefits[[#This Row],[Assumed Contract Value ]]&lt;75000)),-50,0)</f>
        <v>-50</v>
      </c>
      <c r="AF136" s="133">
        <f>VaBenefits[[#This Row],[Assumed Contract Value ]]*-1.15%/4</f>
        <v>0</v>
      </c>
      <c r="AG136" s="129">
        <v>0</v>
      </c>
      <c r="AH136" s="131">
        <f>VaBenefits[[#This Row],[Maintenace Fee]]+VaBenefits[[#This Row],[Separate Account Charge]]+VaBenefits[[#This Row],[Rider Fee]]</f>
        <v>-50</v>
      </c>
      <c r="AR136" s="23">
        <f t="shared" si="17"/>
        <v>64</v>
      </c>
      <c r="AS136" s="24">
        <v>0</v>
      </c>
      <c r="AT136" s="24">
        <v>0</v>
      </c>
      <c r="AU136" s="22">
        <v>0</v>
      </c>
      <c r="AV136" s="16">
        <v>0</v>
      </c>
      <c r="AW136" s="14">
        <v>299982</v>
      </c>
      <c r="AX136" s="15">
        <v>0</v>
      </c>
      <c r="AY136" s="15">
        <v>0</v>
      </c>
      <c r="AZ136" s="14">
        <v>0</v>
      </c>
      <c r="BA136" s="17">
        <v>11999</v>
      </c>
    </row>
    <row r="137" spans="1:53" ht="15" thickBot="1" x14ac:dyDescent="0.35">
      <c r="A137" s="32">
        <f t="shared" si="15"/>
        <v>129</v>
      </c>
      <c r="B137" s="29">
        <f t="shared" si="16"/>
        <v>32.25</v>
      </c>
      <c r="C137" s="29" t="b">
        <f>AND(VaBenefits[[#This Row],[timeFromValuation]]&gt;=ACT,VaBenefits[[#This Row],[Assumed Contract Value ]]&gt;0)</f>
        <v>0</v>
      </c>
      <c r="D137" s="20">
        <v>0</v>
      </c>
      <c r="E137" s="20">
        <v>0</v>
      </c>
      <c r="F137" s="20">
        <v>0</v>
      </c>
      <c r="G137" s="96">
        <f>ROUND($G$8+VaBenefits[[#This Row],[timeFromValuation]],0)</f>
        <v>87</v>
      </c>
      <c r="H137" s="20">
        <f>ROUND($H$8+VaBenefits[[#This Row],[timeFromValuation]],0)</f>
        <v>97</v>
      </c>
      <c r="I137" s="27" t="b">
        <f>VaBenefits[[#This Row],[Withdrawal Taken  ]]&gt;0</f>
        <v>0</v>
      </c>
      <c r="J137" s="41">
        <f>IF(AND(NOT(VaBenefits[[#This Row],[Is Activation]]),VaBenefits[[#This Row],[Assumed Contract Value ]]&gt;0),VaBenefits[[#This Row],[Withdrawal Taken  ]]/VaBenefits[[#This Row],[Assumed Contract Value ]],0)</f>
        <v>0</v>
      </c>
      <c r="K13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7" s="27" t="b">
        <f ca="1">AND(VaBenefits[[#This Row],[Is Activation]],SUMIFS($E$8:$E137,$C$8:$C137,TRUE)&gt;0)</f>
        <v>0</v>
      </c>
      <c r="M13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7" s="32" t="b">
        <f>IF(VaBenefits[[#This Row],[timeFromValuation]]=0,0, MOD(VaBenefits[[#This Row],[timeFromValuation]],1)=0)</f>
        <v>0</v>
      </c>
      <c r="O137" s="7">
        <f>IF(VaBenefits[[#This Row],[Is Anniversary?]]=TRUE,VaBenefits[[#This Row],[Assumed Contract Value ]],0)</f>
        <v>0</v>
      </c>
      <c r="P13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7" s="7" t="b">
        <f>VaBenefits[[#This Row],[Assumed Contract Value ]]&lt;0.1</f>
        <v>1</v>
      </c>
      <c r="R13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7" s="7">
        <f ca="1">IF(AND(VaBenefits[[#This Row],[Is Activation]]=FALSE,VaBenefits[[#This Row],[Is Anniversary?]]=TRUE),OFFSET( VaBenefits[[#This Row],[Income Credit Base]],-1,0)*ICP,0)</f>
        <v>0</v>
      </c>
      <c r="T137" s="5">
        <f>IF(VaBenefits[[#This Row],[Assumed Contract Value ]]&gt;0,VaBenefits[[#This Row],[Income Base]]*MAWA,0)</f>
        <v>0</v>
      </c>
      <c r="U137" s="95">
        <v>0</v>
      </c>
      <c r="V137" s="8">
        <f>1/(1+InterestRate)^VaBenefits[[#This Row],[timeFromValuation]]</f>
        <v>0.20732186406322758</v>
      </c>
      <c r="W137" s="90">
        <f>VaBenefits[[#This Row],[timeFromValuation]]</f>
        <v>32.25</v>
      </c>
      <c r="X137" s="91">
        <f>IF(($G$8+VaBenefits[[#This Row],[timeFromValuation]])&lt;=120,VLOOKUP(G137,Table2[],Qx!L$6,FALSE),0)</f>
        <v>0.93686000000000003</v>
      </c>
      <c r="Y137" s="91">
        <f>IF(($H$8+VaBenefits[[#This Row],[timeFromValuation]])&lt;=120,VLOOKUP(H137,Table2[],Qx!M$6,FALSE),0)</f>
        <v>0.78524899999999997</v>
      </c>
      <c r="Z137" s="90">
        <f>PRODUCT($X$8:$X137)</f>
        <v>0.1082082695997711</v>
      </c>
      <c r="AA137" s="90">
        <f>PRODUCT($Y$8:$Y137)</f>
        <v>1.1548256501728807E-4</v>
      </c>
      <c r="AB137" s="90">
        <f>VaBenefits[[#This Row],[Primary Annuitant Px]]+VaBenefits[[#This Row],[Secondary Annuitant Py]]-VaBenefits[[#This Row],[Primary Annuitant Px]]*VaBenefits[[#This Row],[Secondary Annuitant Py]]</f>
        <v>0.98644062186000014</v>
      </c>
      <c r="AC137" s="90">
        <f>PRODUCT($AB$8:$AB137)</f>
        <v>0.76112615955388097</v>
      </c>
      <c r="AD137" s="97">
        <f>PV(1.03,20,-VaBenefits[[#This Row],[Protected Income Payment]])</f>
        <v>0</v>
      </c>
      <c r="AE137" s="130">
        <f>IF((AND(VaBenefits[[#This Row],[Is Anniversary?]],VaBenefits[[#This Row],[Assumed Contract Value ]]&lt;75000)),-50,0)</f>
        <v>0</v>
      </c>
      <c r="AF137" s="133">
        <f>VaBenefits[[#This Row],[Assumed Contract Value ]]*-1.15%/4</f>
        <v>0</v>
      </c>
      <c r="AG137" s="129">
        <v>0</v>
      </c>
      <c r="AH137" s="131">
        <f>VaBenefits[[#This Row],[Maintenace Fee]]+VaBenefits[[#This Row],[Separate Account Charge]]+VaBenefits[[#This Row],[Rider Fee]]</f>
        <v>0</v>
      </c>
      <c r="AR137" s="23">
        <f t="shared" si="17"/>
        <v>64.5</v>
      </c>
      <c r="AS137" s="24">
        <v>0</v>
      </c>
      <c r="AT137" s="24">
        <v>0</v>
      </c>
      <c r="AU137" s="22">
        <v>0</v>
      </c>
      <c r="AV137" s="16">
        <v>0</v>
      </c>
      <c r="AW137" s="14">
        <v>299982</v>
      </c>
      <c r="AX137" s="15">
        <v>0</v>
      </c>
      <c r="AY137" s="15">
        <v>0</v>
      </c>
      <c r="AZ137" s="14">
        <v>0</v>
      </c>
      <c r="BA137" s="17">
        <v>11999</v>
      </c>
    </row>
    <row r="138" spans="1:53" ht="15" thickBot="1" x14ac:dyDescent="0.35">
      <c r="A138" s="32">
        <f t="shared" ref="A138:A201" si="19">A137+1</f>
        <v>130</v>
      </c>
      <c r="B138" s="29">
        <f t="shared" ref="B138:B190" si="20">B137+0.25</f>
        <v>32.5</v>
      </c>
      <c r="C138" s="29" t="b">
        <f>AND(VaBenefits[[#This Row],[timeFromValuation]]&gt;=ACT,VaBenefits[[#This Row],[Assumed Contract Value ]]&gt;0)</f>
        <v>0</v>
      </c>
      <c r="D138" s="20">
        <v>0</v>
      </c>
      <c r="E138" s="20">
        <v>0</v>
      </c>
      <c r="F138" s="20">
        <v>0</v>
      </c>
      <c r="G138" s="96">
        <f>ROUND($G$8+VaBenefits[[#This Row],[timeFromValuation]],0)</f>
        <v>88</v>
      </c>
      <c r="H138" s="20">
        <f>ROUND($H$8+VaBenefits[[#This Row],[timeFromValuation]],0)</f>
        <v>98</v>
      </c>
      <c r="I138" s="27" t="b">
        <f>VaBenefits[[#This Row],[Withdrawal Taken  ]]&gt;0</f>
        <v>0</v>
      </c>
      <c r="J138" s="41">
        <f>IF(AND(NOT(VaBenefits[[#This Row],[Is Activation]]),VaBenefits[[#This Row],[Assumed Contract Value ]]&gt;0),VaBenefits[[#This Row],[Withdrawal Taken  ]]/VaBenefits[[#This Row],[Assumed Contract Value ]],0)</f>
        <v>0</v>
      </c>
      <c r="K13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8" s="27" t="b">
        <f ca="1">AND(VaBenefits[[#This Row],[Is Activation]],SUMIFS($E$8:$E138,$C$8:$C138,TRUE)&gt;0)</f>
        <v>0</v>
      </c>
      <c r="M13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8" s="32" t="b">
        <f>IF(VaBenefits[[#This Row],[timeFromValuation]]=0,0, MOD(VaBenefits[[#This Row],[timeFromValuation]],1)=0)</f>
        <v>0</v>
      </c>
      <c r="O138" s="7">
        <f>IF(VaBenefits[[#This Row],[Is Anniversary?]]=TRUE,VaBenefits[[#This Row],[Assumed Contract Value ]],0)</f>
        <v>0</v>
      </c>
      <c r="P13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8" s="7" t="b">
        <f>VaBenefits[[#This Row],[Assumed Contract Value ]]&lt;0.1</f>
        <v>1</v>
      </c>
      <c r="R13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8" s="7">
        <f ca="1">IF(AND(VaBenefits[[#This Row],[Is Activation]]=FALSE,VaBenefits[[#This Row],[Is Anniversary?]]=TRUE),OFFSET( VaBenefits[[#This Row],[Income Credit Base]],-1,0)*ICP,0)</f>
        <v>0</v>
      </c>
      <c r="T138" s="5">
        <f>IF(VaBenefits[[#This Row],[Assumed Contract Value ]]&gt;0,VaBenefits[[#This Row],[Income Base]]*MAWA,0)</f>
        <v>0</v>
      </c>
      <c r="U138" s="95">
        <v>0</v>
      </c>
      <c r="V138" s="8">
        <f>1/(1+InterestRate)^VaBenefits[[#This Row],[timeFromValuation]]</f>
        <v>0.20480840727609717</v>
      </c>
      <c r="W138" s="90">
        <f>VaBenefits[[#This Row],[timeFromValuation]]</f>
        <v>32.5</v>
      </c>
      <c r="X138" s="91">
        <f>IF(($G$8+VaBenefits[[#This Row],[timeFromValuation]])&lt;=120,VLOOKUP(G138,Table2[],Qx!L$6,FALSE),0)</f>
        <v>0.92893400000000004</v>
      </c>
      <c r="Y138" s="91">
        <f>IF(($H$8+VaBenefits[[#This Row],[timeFromValuation]])&lt;=120,VLOOKUP(H138,Table2[],Qx!M$6,FALSE),0)</f>
        <v>0.76749299999999998</v>
      </c>
      <c r="Z138" s="90">
        <f>PRODUCT($X$8:$X138)</f>
        <v>0.10051834071239378</v>
      </c>
      <c r="AA138" s="90">
        <f>PRODUCT($Y$8:$Y138)</f>
        <v>8.8632060272813475E-5</v>
      </c>
      <c r="AB138" s="90">
        <f>VaBenefits[[#This Row],[Primary Annuitant Px]]+VaBenefits[[#This Row],[Secondary Annuitant Py]]-VaBenefits[[#This Row],[Primary Annuitant Px]]*VaBenefits[[#This Row],[Secondary Annuitant Py]]</f>
        <v>0.98347665753799984</v>
      </c>
      <c r="AC138" s="90">
        <f>PRODUCT($AB$8:$AB138)</f>
        <v>0.7485498113627852</v>
      </c>
      <c r="AD138" s="97">
        <f>PV(1.03,20,-VaBenefits[[#This Row],[Protected Income Payment]])</f>
        <v>0</v>
      </c>
      <c r="AE138" s="130">
        <f>IF((AND(VaBenefits[[#This Row],[Is Anniversary?]],VaBenefits[[#This Row],[Assumed Contract Value ]]&lt;75000)),-50,0)</f>
        <v>0</v>
      </c>
      <c r="AF138" s="133">
        <f>VaBenefits[[#This Row],[Assumed Contract Value ]]*-1.15%/4</f>
        <v>0</v>
      </c>
      <c r="AG138" s="129">
        <v>0</v>
      </c>
      <c r="AH138" s="131">
        <f>VaBenefits[[#This Row],[Maintenace Fee]]+VaBenefits[[#This Row],[Separate Account Charge]]+VaBenefits[[#This Row],[Rider Fee]]</f>
        <v>0</v>
      </c>
      <c r="AR138" s="23">
        <f t="shared" ref="AR138:AR201" si="21">AR137+0.5</f>
        <v>65</v>
      </c>
      <c r="AS138" s="24">
        <v>0</v>
      </c>
      <c r="AT138" s="24">
        <v>0</v>
      </c>
      <c r="AU138" s="22">
        <v>0</v>
      </c>
      <c r="AV138" s="16">
        <v>0</v>
      </c>
      <c r="AW138" s="14">
        <v>299982</v>
      </c>
      <c r="AX138" s="15">
        <v>0</v>
      </c>
      <c r="AY138" s="15">
        <v>0</v>
      </c>
      <c r="AZ138" s="14">
        <v>0</v>
      </c>
      <c r="BA138" s="17">
        <v>11999</v>
      </c>
    </row>
    <row r="139" spans="1:53" ht="15" thickBot="1" x14ac:dyDescent="0.35">
      <c r="A139" s="32">
        <f t="shared" si="19"/>
        <v>131</v>
      </c>
      <c r="B139" s="29">
        <f t="shared" si="20"/>
        <v>32.75</v>
      </c>
      <c r="C139" s="29" t="b">
        <f>AND(VaBenefits[[#This Row],[timeFromValuation]]&gt;=ACT,VaBenefits[[#This Row],[Assumed Contract Value ]]&gt;0)</f>
        <v>0</v>
      </c>
      <c r="D139" s="20">
        <v>0</v>
      </c>
      <c r="E139" s="20">
        <v>0</v>
      </c>
      <c r="F139" s="20">
        <v>0</v>
      </c>
      <c r="G139" s="96">
        <f>ROUND($G$8+VaBenefits[[#This Row],[timeFromValuation]],0)</f>
        <v>88</v>
      </c>
      <c r="H139" s="20">
        <f>ROUND($H$8+VaBenefits[[#This Row],[timeFromValuation]],0)</f>
        <v>98</v>
      </c>
      <c r="I139" s="27" t="b">
        <f>VaBenefits[[#This Row],[Withdrawal Taken  ]]&gt;0</f>
        <v>0</v>
      </c>
      <c r="J139" s="41">
        <f>IF(AND(NOT(VaBenefits[[#This Row],[Is Activation]]),VaBenefits[[#This Row],[Assumed Contract Value ]]&gt;0),VaBenefits[[#This Row],[Withdrawal Taken  ]]/VaBenefits[[#This Row],[Assumed Contract Value ]],0)</f>
        <v>0</v>
      </c>
      <c r="K13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9" s="27" t="b">
        <f ca="1">AND(VaBenefits[[#This Row],[Is Activation]],SUMIFS($E$8:$E139,$C$8:$C139,TRUE)&gt;0)</f>
        <v>0</v>
      </c>
      <c r="M13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9" s="32" t="b">
        <f>IF(VaBenefits[[#This Row],[timeFromValuation]]=0,0, MOD(VaBenefits[[#This Row],[timeFromValuation]],1)=0)</f>
        <v>0</v>
      </c>
      <c r="O139" s="7">
        <f>IF(VaBenefits[[#This Row],[Is Anniversary?]]=TRUE,VaBenefits[[#This Row],[Assumed Contract Value ]],0)</f>
        <v>0</v>
      </c>
      <c r="P13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9" s="7" t="b">
        <f>VaBenefits[[#This Row],[Assumed Contract Value ]]&lt;0.1</f>
        <v>1</v>
      </c>
      <c r="R13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9" s="7">
        <f ca="1">IF(AND(VaBenefits[[#This Row],[Is Activation]]=FALSE,VaBenefits[[#This Row],[Is Anniversary?]]=TRUE),OFFSET( VaBenefits[[#This Row],[Income Credit Base]],-1,0)*ICP,0)</f>
        <v>0</v>
      </c>
      <c r="T139" s="5">
        <f>IF(VaBenefits[[#This Row],[Assumed Contract Value ]]&gt;0,VaBenefits[[#This Row],[Income Base]]*MAWA,0)</f>
        <v>0</v>
      </c>
      <c r="U139" s="95">
        <v>0</v>
      </c>
      <c r="V139" s="8">
        <f>1/(1+InterestRate)^VaBenefits[[#This Row],[timeFromValuation]]</f>
        <v>0.20232542226312966</v>
      </c>
      <c r="W139" s="90">
        <f>VaBenefits[[#This Row],[timeFromValuation]]</f>
        <v>32.75</v>
      </c>
      <c r="X139" s="91">
        <f>IF(($G$8+VaBenefits[[#This Row],[timeFromValuation]])&lt;=120,VLOOKUP(G139,Table2[],Qx!L$6,FALSE),0)</f>
        <v>0.92893400000000004</v>
      </c>
      <c r="Y139" s="91">
        <f>IF(($H$8+VaBenefits[[#This Row],[timeFromValuation]])&lt;=120,VLOOKUP(H139,Table2[],Qx!M$6,FALSE),0)</f>
        <v>0.76749299999999998</v>
      </c>
      <c r="Z139" s="91">
        <v>0</v>
      </c>
      <c r="AA139" s="91">
        <v>0</v>
      </c>
      <c r="AB139" s="91">
        <v>0</v>
      </c>
      <c r="AC139" s="91">
        <v>0</v>
      </c>
      <c r="AD139" s="97">
        <f>PV(1.03,20,-VaBenefits[[#This Row],[Protected Income Payment]])</f>
        <v>0</v>
      </c>
      <c r="AE139" s="130">
        <f>IF((AND(VaBenefits[[#This Row],[Is Anniversary?]],VaBenefits[[#This Row],[Assumed Contract Value ]]&lt;75000)),-50,0)</f>
        <v>0</v>
      </c>
      <c r="AF139" s="133">
        <f>VaBenefits[[#This Row],[Assumed Contract Value ]]*-1.15%/4</f>
        <v>0</v>
      </c>
      <c r="AG139" s="129">
        <v>0</v>
      </c>
      <c r="AH139" s="131">
        <f>VaBenefits[[#This Row],[Maintenace Fee]]+VaBenefits[[#This Row],[Separate Account Charge]]+VaBenefits[[#This Row],[Rider Fee]]</f>
        <v>0</v>
      </c>
      <c r="AR139" s="23">
        <f t="shared" si="21"/>
        <v>65.5</v>
      </c>
      <c r="AS139" s="24">
        <v>0</v>
      </c>
      <c r="AT139" s="24">
        <v>0</v>
      </c>
      <c r="AU139" s="22">
        <v>0</v>
      </c>
      <c r="AV139" s="16">
        <v>0</v>
      </c>
      <c r="AW139" s="14">
        <v>299982</v>
      </c>
      <c r="AX139" s="15">
        <v>0</v>
      </c>
      <c r="AY139" s="15">
        <v>0</v>
      </c>
      <c r="AZ139" s="14">
        <v>0</v>
      </c>
      <c r="BA139" s="17">
        <v>11999</v>
      </c>
    </row>
    <row r="140" spans="1:53" ht="15" thickBot="1" x14ac:dyDescent="0.35">
      <c r="A140" s="32">
        <f t="shared" si="19"/>
        <v>132</v>
      </c>
      <c r="B140" s="29">
        <f t="shared" si="20"/>
        <v>33</v>
      </c>
      <c r="C140" s="29" t="b">
        <f>AND(VaBenefits[[#This Row],[timeFromValuation]]&gt;=ACT,VaBenefits[[#This Row],[Assumed Contract Value ]]&gt;0)</f>
        <v>0</v>
      </c>
      <c r="D140" s="20">
        <v>0</v>
      </c>
      <c r="E140" s="20">
        <v>0</v>
      </c>
      <c r="F140" s="20">
        <v>0</v>
      </c>
      <c r="G140" s="96">
        <f>ROUND($G$8+VaBenefits[[#This Row],[timeFromValuation]],0)</f>
        <v>88</v>
      </c>
      <c r="H140" s="20">
        <f>ROUND($H$8+VaBenefits[[#This Row],[timeFromValuation]],0)</f>
        <v>98</v>
      </c>
      <c r="I140" s="27" t="b">
        <f>VaBenefits[[#This Row],[Withdrawal Taken  ]]&gt;0</f>
        <v>0</v>
      </c>
      <c r="J140" s="41">
        <f>IF(AND(NOT(VaBenefits[[#This Row],[Is Activation]]),VaBenefits[[#This Row],[Assumed Contract Value ]]&gt;0),VaBenefits[[#This Row],[Withdrawal Taken  ]]/VaBenefits[[#This Row],[Assumed Contract Value ]],0)</f>
        <v>0</v>
      </c>
      <c r="K14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0" s="27" t="b">
        <f ca="1">AND(VaBenefits[[#This Row],[Is Activation]],SUMIFS($E$8:$E140,$C$8:$C140,TRUE)&gt;0)</f>
        <v>0</v>
      </c>
      <c r="M14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0" s="32" t="b">
        <f>IF(VaBenefits[[#This Row],[timeFromValuation]]=0,0, MOD(VaBenefits[[#This Row],[timeFromValuation]],1)=0)</f>
        <v>1</v>
      </c>
      <c r="O140" s="7">
        <f>IF(VaBenefits[[#This Row],[Is Anniversary?]]=TRUE,VaBenefits[[#This Row],[Assumed Contract Value ]],0)</f>
        <v>0</v>
      </c>
      <c r="P14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0" s="7" t="b">
        <f>VaBenefits[[#This Row],[Assumed Contract Value ]]&lt;0.1</f>
        <v>1</v>
      </c>
      <c r="R14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0" s="7">
        <f ca="1">IF(AND(VaBenefits[[#This Row],[Is Activation]]=FALSE,VaBenefits[[#This Row],[Is Anniversary?]]=TRUE),OFFSET( VaBenefits[[#This Row],[Income Credit Base]],-1,0)*ICP,0)</f>
        <v>0</v>
      </c>
      <c r="T140" s="5">
        <f>IF(VaBenefits[[#This Row],[Assumed Contract Value ]]&gt;0,VaBenefits[[#This Row],[Income Base]]*MAWA,0)</f>
        <v>0</v>
      </c>
      <c r="U140" s="95">
        <v>0</v>
      </c>
      <c r="V140" s="8">
        <f>1/(1+InterestRate)^VaBenefits[[#This Row],[timeFromValuation]]</f>
        <v>0.19987253960121634</v>
      </c>
      <c r="W140" s="90">
        <f>VaBenefits[[#This Row],[timeFromValuation]]</f>
        <v>33</v>
      </c>
      <c r="X140" s="91">
        <f>IF(($G$8+VaBenefits[[#This Row],[timeFromValuation]])&lt;=120,VLOOKUP(G140,Table2[],Qx!L$6,FALSE),0)</f>
        <v>0.92893400000000004</v>
      </c>
      <c r="Y140" s="91">
        <f>IF(($H$8+VaBenefits[[#This Row],[timeFromValuation]])&lt;=120,VLOOKUP(H140,Table2[],Qx!M$6,FALSE),0)</f>
        <v>0.76749299999999998</v>
      </c>
      <c r="Z140" s="91">
        <v>0</v>
      </c>
      <c r="AA140" s="91">
        <v>0</v>
      </c>
      <c r="AB140" s="91">
        <v>0</v>
      </c>
      <c r="AC140" s="91">
        <v>0</v>
      </c>
      <c r="AD140" s="97">
        <f>PV(1.03,20,-VaBenefits[[#This Row],[Protected Income Payment]])</f>
        <v>0</v>
      </c>
      <c r="AE140" s="130">
        <f>IF((AND(VaBenefits[[#This Row],[Is Anniversary?]],VaBenefits[[#This Row],[Assumed Contract Value ]]&lt;75000)),-50,0)</f>
        <v>-50</v>
      </c>
      <c r="AF140" s="133">
        <f>VaBenefits[[#This Row],[Assumed Contract Value ]]*-1.15%/4</f>
        <v>0</v>
      </c>
      <c r="AG140" s="129">
        <v>0</v>
      </c>
      <c r="AH140" s="131">
        <f>VaBenefits[[#This Row],[Maintenace Fee]]+VaBenefits[[#This Row],[Separate Account Charge]]+VaBenefits[[#This Row],[Rider Fee]]</f>
        <v>-50</v>
      </c>
      <c r="AR140" s="23">
        <f t="shared" si="21"/>
        <v>66</v>
      </c>
      <c r="AS140" s="24">
        <v>0</v>
      </c>
      <c r="AT140" s="24">
        <v>0</v>
      </c>
      <c r="AU140" s="22">
        <v>0</v>
      </c>
      <c r="AV140" s="16">
        <v>0</v>
      </c>
      <c r="AW140" s="14">
        <v>299982</v>
      </c>
      <c r="AX140" s="15">
        <v>0</v>
      </c>
      <c r="AY140" s="15">
        <v>0</v>
      </c>
      <c r="AZ140" s="14">
        <v>0</v>
      </c>
      <c r="BA140" s="17">
        <v>11999</v>
      </c>
    </row>
    <row r="141" spans="1:53" ht="15" thickBot="1" x14ac:dyDescent="0.35">
      <c r="A141" s="32">
        <f t="shared" si="19"/>
        <v>133</v>
      </c>
      <c r="B141" s="29">
        <f t="shared" si="20"/>
        <v>33.25</v>
      </c>
      <c r="C141" s="29" t="b">
        <f>AND(VaBenefits[[#This Row],[timeFromValuation]]&gt;=ACT,VaBenefits[[#This Row],[Assumed Contract Value ]]&gt;0)</f>
        <v>0</v>
      </c>
      <c r="D141" s="20">
        <v>0</v>
      </c>
      <c r="E141" s="20">
        <v>0</v>
      </c>
      <c r="F141" s="20">
        <v>0</v>
      </c>
      <c r="G141" s="96">
        <f>ROUND($G$8+VaBenefits[[#This Row],[timeFromValuation]],0)</f>
        <v>88</v>
      </c>
      <c r="H141" s="20">
        <f>ROUND($H$8+VaBenefits[[#This Row],[timeFromValuation]],0)</f>
        <v>98</v>
      </c>
      <c r="I141" s="27" t="b">
        <f>VaBenefits[[#This Row],[Withdrawal Taken  ]]&gt;0</f>
        <v>0</v>
      </c>
      <c r="J141" s="41">
        <f>IF(AND(NOT(VaBenefits[[#This Row],[Is Activation]]),VaBenefits[[#This Row],[Assumed Contract Value ]]&gt;0),VaBenefits[[#This Row],[Withdrawal Taken  ]]/VaBenefits[[#This Row],[Assumed Contract Value ]],0)</f>
        <v>0</v>
      </c>
      <c r="K14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1" s="27" t="b">
        <f ca="1">AND(VaBenefits[[#This Row],[Is Activation]],SUMIFS($E$8:$E141,$C$8:$C141,TRUE)&gt;0)</f>
        <v>0</v>
      </c>
      <c r="M14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1" s="32" t="b">
        <f>IF(VaBenefits[[#This Row],[timeFromValuation]]=0,0, MOD(VaBenefits[[#This Row],[timeFromValuation]],1)=0)</f>
        <v>0</v>
      </c>
      <c r="O141" s="7">
        <f>IF(VaBenefits[[#This Row],[Is Anniversary?]]=TRUE,VaBenefits[[#This Row],[Assumed Contract Value ]],0)</f>
        <v>0</v>
      </c>
      <c r="P14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1" s="7" t="b">
        <f>VaBenefits[[#This Row],[Assumed Contract Value ]]&lt;0.1</f>
        <v>1</v>
      </c>
      <c r="R14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1" s="7">
        <f ca="1">IF(AND(VaBenefits[[#This Row],[Is Activation]]=FALSE,VaBenefits[[#This Row],[Is Anniversary?]]=TRUE),OFFSET( VaBenefits[[#This Row],[Income Credit Base]],-1,0)*ICP,0)</f>
        <v>0</v>
      </c>
      <c r="T141" s="5">
        <f>IF(VaBenefits[[#This Row],[Assumed Contract Value ]]&gt;0,VaBenefits[[#This Row],[Income Base]]*MAWA,0)</f>
        <v>0</v>
      </c>
      <c r="U141" s="95">
        <v>0</v>
      </c>
      <c r="V141" s="8">
        <f>1/(1+InterestRate)^VaBenefits[[#This Row],[timeFromValuation]]</f>
        <v>0.19744939434593106</v>
      </c>
      <c r="W141" s="90">
        <f>VaBenefits[[#This Row],[timeFromValuation]]</f>
        <v>33.25</v>
      </c>
      <c r="X141" s="91">
        <f>IF(($G$8+VaBenefits[[#This Row],[timeFromValuation]])&lt;=120,VLOOKUP(G141,Table2[],Qx!L$6,FALSE),0)</f>
        <v>0.92893400000000004</v>
      </c>
      <c r="Y141" s="91">
        <f>IF(($H$8+VaBenefits[[#This Row],[timeFromValuation]])&lt;=120,VLOOKUP(H141,Table2[],Qx!M$6,FALSE),0)</f>
        <v>0.76749299999999998</v>
      </c>
      <c r="Z141" s="91">
        <v>0</v>
      </c>
      <c r="AA141" s="91">
        <v>0</v>
      </c>
      <c r="AB141" s="91">
        <v>0</v>
      </c>
      <c r="AC141" s="91">
        <v>0</v>
      </c>
      <c r="AD141" s="97">
        <f>PV(1.03,20,-VaBenefits[[#This Row],[Protected Income Payment]])</f>
        <v>0</v>
      </c>
      <c r="AE141" s="130">
        <f>IF((AND(VaBenefits[[#This Row],[Is Anniversary?]],VaBenefits[[#This Row],[Assumed Contract Value ]]&lt;75000)),-50,0)</f>
        <v>0</v>
      </c>
      <c r="AF141" s="133">
        <f>VaBenefits[[#This Row],[Assumed Contract Value ]]*-1.15%/4</f>
        <v>0</v>
      </c>
      <c r="AG141" s="129">
        <v>0</v>
      </c>
      <c r="AH141" s="131">
        <f>VaBenefits[[#This Row],[Maintenace Fee]]+VaBenefits[[#This Row],[Separate Account Charge]]+VaBenefits[[#This Row],[Rider Fee]]</f>
        <v>0</v>
      </c>
      <c r="AR141" s="23">
        <f t="shared" si="21"/>
        <v>66.5</v>
      </c>
      <c r="AS141" s="24">
        <v>0</v>
      </c>
      <c r="AT141" s="24">
        <v>0</v>
      </c>
      <c r="AU141" s="22">
        <v>0</v>
      </c>
      <c r="AV141" s="16">
        <v>0</v>
      </c>
      <c r="AW141" s="14">
        <v>299982</v>
      </c>
      <c r="AX141" s="15">
        <v>0</v>
      </c>
      <c r="AY141" s="15">
        <v>0</v>
      </c>
      <c r="AZ141" s="14">
        <v>0</v>
      </c>
      <c r="BA141" s="17">
        <v>11999</v>
      </c>
    </row>
    <row r="142" spans="1:53" ht="15" thickBot="1" x14ac:dyDescent="0.35">
      <c r="A142" s="32">
        <f t="shared" si="19"/>
        <v>134</v>
      </c>
      <c r="B142" s="29">
        <f t="shared" si="20"/>
        <v>33.5</v>
      </c>
      <c r="C142" s="29" t="b">
        <f>AND(VaBenefits[[#This Row],[timeFromValuation]]&gt;=ACT,VaBenefits[[#This Row],[Assumed Contract Value ]]&gt;0)</f>
        <v>0</v>
      </c>
      <c r="D142" s="20">
        <v>0</v>
      </c>
      <c r="E142" s="20">
        <v>0</v>
      </c>
      <c r="F142" s="20">
        <v>0</v>
      </c>
      <c r="G142" s="96">
        <f>ROUND($G$8+VaBenefits[[#This Row],[timeFromValuation]],0)</f>
        <v>89</v>
      </c>
      <c r="H142" s="20">
        <f>ROUND($H$8+VaBenefits[[#This Row],[timeFromValuation]],0)</f>
        <v>99</v>
      </c>
      <c r="I142" s="27" t="b">
        <f>VaBenefits[[#This Row],[Withdrawal Taken  ]]&gt;0</f>
        <v>0</v>
      </c>
      <c r="J142" s="41">
        <f>IF(AND(NOT(VaBenefits[[#This Row],[Is Activation]]),VaBenefits[[#This Row],[Assumed Contract Value ]]&gt;0),VaBenefits[[#This Row],[Withdrawal Taken  ]]/VaBenefits[[#This Row],[Assumed Contract Value ]],0)</f>
        <v>0</v>
      </c>
      <c r="K14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2" s="27" t="b">
        <f ca="1">AND(VaBenefits[[#This Row],[Is Activation]],SUMIFS($E$8:$E142,$C$8:$C142,TRUE)&gt;0)</f>
        <v>0</v>
      </c>
      <c r="M14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2" s="32" t="b">
        <f>IF(VaBenefits[[#This Row],[timeFromValuation]]=0,0, MOD(VaBenefits[[#This Row],[timeFromValuation]],1)=0)</f>
        <v>0</v>
      </c>
      <c r="O142" s="7">
        <f>IF(VaBenefits[[#This Row],[Is Anniversary?]]=TRUE,VaBenefits[[#This Row],[Assumed Contract Value ]],0)</f>
        <v>0</v>
      </c>
      <c r="P14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2" s="7" t="b">
        <f>VaBenefits[[#This Row],[Assumed Contract Value ]]&lt;0.1</f>
        <v>1</v>
      </c>
      <c r="R14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2" s="7">
        <f ca="1">IF(AND(VaBenefits[[#This Row],[Is Activation]]=FALSE,VaBenefits[[#This Row],[Is Anniversary?]]=TRUE),OFFSET( VaBenefits[[#This Row],[Income Credit Base]],-1,0)*ICP,0)</f>
        <v>0</v>
      </c>
      <c r="T142" s="5">
        <f>IF(VaBenefits[[#This Row],[Assumed Contract Value ]]&gt;0,VaBenefits[[#This Row],[Income Base]]*MAWA,0)</f>
        <v>0</v>
      </c>
      <c r="U142" s="95">
        <v>0</v>
      </c>
      <c r="V142" s="8">
        <f>1/(1+InterestRate)^VaBenefits[[#This Row],[timeFromValuation]]</f>
        <v>0.19505562597723539</v>
      </c>
      <c r="W142" s="90">
        <f>VaBenefits[[#This Row],[timeFromValuation]]</f>
        <v>33.5</v>
      </c>
      <c r="X142" s="91">
        <f>IF(($G$8+VaBenefits[[#This Row],[timeFromValuation]])&lt;=120,VLOOKUP(G142,Table2[],Qx!L$6,FALSE),0)</f>
        <v>0.92049800000000004</v>
      </c>
      <c r="Y142" s="91">
        <f>IF(($H$8+VaBenefits[[#This Row],[timeFromValuation]])&lt;=120,VLOOKUP(H142,Table2[],Qx!M$6,FALSE),0)</f>
        <v>0.74960300000000002</v>
      </c>
      <c r="Z142" s="91">
        <v>0</v>
      </c>
      <c r="AA142" s="91">
        <v>0</v>
      </c>
      <c r="AB142" s="91">
        <v>0</v>
      </c>
      <c r="AC142" s="91">
        <v>0</v>
      </c>
      <c r="AD142" s="97">
        <f>PV(1.03,20,-VaBenefits[[#This Row],[Protected Income Payment]])</f>
        <v>0</v>
      </c>
      <c r="AE142" s="130">
        <f>IF((AND(VaBenefits[[#This Row],[Is Anniversary?]],VaBenefits[[#This Row],[Assumed Contract Value ]]&lt;75000)),-50,0)</f>
        <v>0</v>
      </c>
      <c r="AF142" s="133">
        <f>VaBenefits[[#This Row],[Assumed Contract Value ]]*-1.15%/4</f>
        <v>0</v>
      </c>
      <c r="AG142" s="129">
        <v>0</v>
      </c>
      <c r="AH142" s="131">
        <f>VaBenefits[[#This Row],[Maintenace Fee]]+VaBenefits[[#This Row],[Separate Account Charge]]+VaBenefits[[#This Row],[Rider Fee]]</f>
        <v>0</v>
      </c>
      <c r="AR142" s="23">
        <f t="shared" si="21"/>
        <v>67</v>
      </c>
      <c r="AS142" s="24">
        <v>0</v>
      </c>
      <c r="AT142" s="24">
        <v>0</v>
      </c>
      <c r="AU142" s="22">
        <v>0</v>
      </c>
      <c r="AV142" s="16">
        <v>0</v>
      </c>
      <c r="AW142" s="14">
        <v>299982</v>
      </c>
      <c r="AX142" s="15">
        <v>0</v>
      </c>
      <c r="AY142" s="15">
        <v>0</v>
      </c>
      <c r="AZ142" s="14">
        <v>0</v>
      </c>
      <c r="BA142" s="17">
        <v>11999</v>
      </c>
    </row>
    <row r="143" spans="1:53" ht="15" thickBot="1" x14ac:dyDescent="0.35">
      <c r="A143" s="32">
        <f t="shared" si="19"/>
        <v>135</v>
      </c>
      <c r="B143" s="29">
        <f t="shared" si="20"/>
        <v>33.75</v>
      </c>
      <c r="C143" s="29" t="b">
        <f>AND(VaBenefits[[#This Row],[timeFromValuation]]&gt;=ACT,VaBenefits[[#This Row],[Assumed Contract Value ]]&gt;0)</f>
        <v>0</v>
      </c>
      <c r="D143" s="20">
        <v>0</v>
      </c>
      <c r="E143" s="20">
        <v>0</v>
      </c>
      <c r="F143" s="20">
        <v>0</v>
      </c>
      <c r="G143" s="96">
        <f>ROUND($G$8+VaBenefits[[#This Row],[timeFromValuation]],0)</f>
        <v>89</v>
      </c>
      <c r="H143" s="20">
        <f>ROUND($H$8+VaBenefits[[#This Row],[timeFromValuation]],0)</f>
        <v>99</v>
      </c>
      <c r="I143" s="27" t="b">
        <f>VaBenefits[[#This Row],[Withdrawal Taken  ]]&gt;0</f>
        <v>0</v>
      </c>
      <c r="J143" s="41">
        <f>IF(AND(NOT(VaBenefits[[#This Row],[Is Activation]]),VaBenefits[[#This Row],[Assumed Contract Value ]]&gt;0),VaBenefits[[#This Row],[Withdrawal Taken  ]]/VaBenefits[[#This Row],[Assumed Contract Value ]],0)</f>
        <v>0</v>
      </c>
      <c r="K14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3" s="27" t="b">
        <f ca="1">AND(VaBenefits[[#This Row],[Is Activation]],SUMIFS($E$8:$E143,$C$8:$C143,TRUE)&gt;0)</f>
        <v>0</v>
      </c>
      <c r="M14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3" s="32" t="b">
        <f>IF(VaBenefits[[#This Row],[timeFromValuation]]=0,0, MOD(VaBenefits[[#This Row],[timeFromValuation]],1)=0)</f>
        <v>0</v>
      </c>
      <c r="O143" s="7">
        <f>IF(VaBenefits[[#This Row],[Is Anniversary?]]=TRUE,VaBenefits[[#This Row],[Assumed Contract Value ]],0)</f>
        <v>0</v>
      </c>
      <c r="P14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3" s="7" t="b">
        <f>VaBenefits[[#This Row],[Assumed Contract Value ]]&lt;0.1</f>
        <v>1</v>
      </c>
      <c r="R14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3" s="7">
        <f ca="1">IF(AND(VaBenefits[[#This Row],[Is Activation]]=FALSE,VaBenefits[[#This Row],[Is Anniversary?]]=TRUE),OFFSET( VaBenefits[[#This Row],[Income Credit Base]],-1,0)*ICP,0)</f>
        <v>0</v>
      </c>
      <c r="T143" s="5">
        <f>IF(VaBenefits[[#This Row],[Assumed Contract Value ]]&gt;0,VaBenefits[[#This Row],[Income Base]]*MAWA,0)</f>
        <v>0</v>
      </c>
      <c r="U143" s="95">
        <v>0</v>
      </c>
      <c r="V143" s="8">
        <f>1/(1+InterestRate)^VaBenefits[[#This Row],[timeFromValuation]]</f>
        <v>0.19269087834583778</v>
      </c>
      <c r="W143" s="90">
        <f>VaBenefits[[#This Row],[timeFromValuation]]</f>
        <v>33.75</v>
      </c>
      <c r="X143" s="91">
        <f>IF(($G$8+VaBenefits[[#This Row],[timeFromValuation]])&lt;=120,VLOOKUP(G143,Table2[],Qx!L$6,FALSE),0)</f>
        <v>0.92049800000000004</v>
      </c>
      <c r="Y143" s="91">
        <f>IF(($H$8+VaBenefits[[#This Row],[timeFromValuation]])&lt;=120,VLOOKUP(H143,Table2[],Qx!M$6,FALSE),0)</f>
        <v>0.74960300000000002</v>
      </c>
      <c r="Z143" s="91">
        <v>0</v>
      </c>
      <c r="AA143" s="91">
        <v>0</v>
      </c>
      <c r="AB143" s="91">
        <v>0</v>
      </c>
      <c r="AC143" s="91">
        <v>0</v>
      </c>
      <c r="AD143" s="97">
        <f>PV(1.03,20,-VaBenefits[[#This Row],[Protected Income Payment]])</f>
        <v>0</v>
      </c>
      <c r="AE143" s="130">
        <f>IF((AND(VaBenefits[[#This Row],[Is Anniversary?]],VaBenefits[[#This Row],[Assumed Contract Value ]]&lt;75000)),-50,0)</f>
        <v>0</v>
      </c>
      <c r="AF143" s="133">
        <f>VaBenefits[[#This Row],[Assumed Contract Value ]]*-1.15%/4</f>
        <v>0</v>
      </c>
      <c r="AG143" s="129">
        <v>0</v>
      </c>
      <c r="AH143" s="131">
        <f>VaBenefits[[#This Row],[Maintenace Fee]]+VaBenefits[[#This Row],[Separate Account Charge]]+VaBenefits[[#This Row],[Rider Fee]]</f>
        <v>0</v>
      </c>
      <c r="AR143" s="23">
        <f t="shared" si="21"/>
        <v>67.5</v>
      </c>
      <c r="AS143" s="24">
        <v>0</v>
      </c>
      <c r="AT143" s="24">
        <v>0</v>
      </c>
      <c r="AU143" s="22">
        <v>0</v>
      </c>
      <c r="AV143" s="16">
        <v>0</v>
      </c>
      <c r="AW143" s="14">
        <v>299982</v>
      </c>
      <c r="AX143" s="15">
        <v>0</v>
      </c>
      <c r="AY143" s="15">
        <v>0</v>
      </c>
      <c r="AZ143" s="14">
        <v>0</v>
      </c>
      <c r="BA143" s="17">
        <v>11999</v>
      </c>
    </row>
    <row r="144" spans="1:53" ht="15" thickBot="1" x14ac:dyDescent="0.35">
      <c r="A144" s="32">
        <f t="shared" si="19"/>
        <v>136</v>
      </c>
      <c r="B144" s="29">
        <f t="shared" si="20"/>
        <v>34</v>
      </c>
      <c r="C144" s="29" t="b">
        <f>AND(VaBenefits[[#This Row],[timeFromValuation]]&gt;=ACT,VaBenefits[[#This Row],[Assumed Contract Value ]]&gt;0)</f>
        <v>0</v>
      </c>
      <c r="D144" s="20">
        <v>0</v>
      </c>
      <c r="E144" s="20">
        <v>0</v>
      </c>
      <c r="F144" s="20">
        <v>0</v>
      </c>
      <c r="G144" s="96">
        <f>ROUND($G$8+VaBenefits[[#This Row],[timeFromValuation]],0)</f>
        <v>89</v>
      </c>
      <c r="H144" s="20">
        <f>ROUND($H$8+VaBenefits[[#This Row],[timeFromValuation]],0)</f>
        <v>99</v>
      </c>
      <c r="I144" s="27" t="b">
        <f>VaBenefits[[#This Row],[Withdrawal Taken  ]]&gt;0</f>
        <v>0</v>
      </c>
      <c r="J144" s="41">
        <f>IF(AND(NOT(VaBenefits[[#This Row],[Is Activation]]),VaBenefits[[#This Row],[Assumed Contract Value ]]&gt;0),VaBenefits[[#This Row],[Withdrawal Taken  ]]/VaBenefits[[#This Row],[Assumed Contract Value ]],0)</f>
        <v>0</v>
      </c>
      <c r="K14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4" s="27" t="b">
        <f ca="1">AND(VaBenefits[[#This Row],[Is Activation]],SUMIFS($E$8:$E144,$C$8:$C144,TRUE)&gt;0)</f>
        <v>0</v>
      </c>
      <c r="M14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4" s="32" t="b">
        <f>IF(VaBenefits[[#This Row],[timeFromValuation]]=0,0, MOD(VaBenefits[[#This Row],[timeFromValuation]],1)=0)</f>
        <v>1</v>
      </c>
      <c r="O144" s="7">
        <f>IF(VaBenefits[[#This Row],[Is Anniversary?]]=TRUE,VaBenefits[[#This Row],[Assumed Contract Value ]],0)</f>
        <v>0</v>
      </c>
      <c r="P14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4" s="7" t="b">
        <f>VaBenefits[[#This Row],[Assumed Contract Value ]]&lt;0.1</f>
        <v>1</v>
      </c>
      <c r="R14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4" s="7">
        <f ca="1">IF(AND(VaBenefits[[#This Row],[Is Activation]]=FALSE,VaBenefits[[#This Row],[Is Anniversary?]]=TRUE),OFFSET( VaBenefits[[#This Row],[Income Credit Base]],-1,0)*ICP,0)</f>
        <v>0</v>
      </c>
      <c r="T144" s="5">
        <f>IF(VaBenefits[[#This Row],[Assumed Contract Value ]]&gt;0,VaBenefits[[#This Row],[Income Base]]*MAWA,0)</f>
        <v>0</v>
      </c>
      <c r="U144" s="95">
        <v>0</v>
      </c>
      <c r="V144" s="8">
        <f>1/(1+InterestRate)^VaBenefits[[#This Row],[timeFromValuation]]</f>
        <v>0.19035479962020604</v>
      </c>
      <c r="W144" s="90">
        <f>VaBenefits[[#This Row],[timeFromValuation]]</f>
        <v>34</v>
      </c>
      <c r="X144" s="91">
        <f>IF(($G$8+VaBenefits[[#This Row],[timeFromValuation]])&lt;=120,VLOOKUP(G144,Table2[],Qx!L$6,FALSE),0)</f>
        <v>0.92049800000000004</v>
      </c>
      <c r="Y144" s="91">
        <f>IF(($H$8+VaBenefits[[#This Row],[timeFromValuation]])&lt;=120,VLOOKUP(H144,Table2[],Qx!M$6,FALSE),0)</f>
        <v>0.74960300000000002</v>
      </c>
      <c r="Z144" s="91">
        <v>0</v>
      </c>
      <c r="AA144" s="91">
        <v>0</v>
      </c>
      <c r="AB144" s="91">
        <v>0</v>
      </c>
      <c r="AC144" s="91">
        <v>0</v>
      </c>
      <c r="AD144" s="97">
        <f>PV(1.03,20,-VaBenefits[[#This Row],[Protected Income Payment]])</f>
        <v>0</v>
      </c>
      <c r="AE144" s="130">
        <f>IF((AND(VaBenefits[[#This Row],[Is Anniversary?]],VaBenefits[[#This Row],[Assumed Contract Value ]]&lt;75000)),-50,0)</f>
        <v>-50</v>
      </c>
      <c r="AF144" s="133">
        <f>VaBenefits[[#This Row],[Assumed Contract Value ]]*-1.15%/4</f>
        <v>0</v>
      </c>
      <c r="AG144" s="129">
        <v>0</v>
      </c>
      <c r="AH144" s="131">
        <f>VaBenefits[[#This Row],[Maintenace Fee]]+VaBenefits[[#This Row],[Separate Account Charge]]+VaBenefits[[#This Row],[Rider Fee]]</f>
        <v>-50</v>
      </c>
      <c r="AR144" s="23">
        <f t="shared" si="21"/>
        <v>68</v>
      </c>
      <c r="AS144" s="24">
        <v>0</v>
      </c>
      <c r="AT144" s="24">
        <v>0</v>
      </c>
      <c r="AU144" s="22">
        <v>0</v>
      </c>
      <c r="AV144" s="16">
        <v>0</v>
      </c>
      <c r="AW144" s="14">
        <v>299982</v>
      </c>
      <c r="AX144" s="15">
        <v>0</v>
      </c>
      <c r="AY144" s="15">
        <v>0</v>
      </c>
      <c r="AZ144" s="14">
        <v>0</v>
      </c>
      <c r="BA144" s="17">
        <v>11999</v>
      </c>
    </row>
    <row r="145" spans="1:53" ht="15" thickBot="1" x14ac:dyDescent="0.35">
      <c r="A145" s="32">
        <f t="shared" si="19"/>
        <v>137</v>
      </c>
      <c r="B145" s="29">
        <f t="shared" si="20"/>
        <v>34.25</v>
      </c>
      <c r="C145" s="29" t="b">
        <f>AND(VaBenefits[[#This Row],[timeFromValuation]]&gt;=ACT,VaBenefits[[#This Row],[Assumed Contract Value ]]&gt;0)</f>
        <v>0</v>
      </c>
      <c r="D145" s="20">
        <v>0</v>
      </c>
      <c r="E145" s="20">
        <v>0</v>
      </c>
      <c r="F145" s="20">
        <v>0</v>
      </c>
      <c r="G145" s="96">
        <f>ROUND($G$8+VaBenefits[[#This Row],[timeFromValuation]],0)</f>
        <v>89</v>
      </c>
      <c r="H145" s="20">
        <f>ROUND($H$8+VaBenefits[[#This Row],[timeFromValuation]],0)</f>
        <v>99</v>
      </c>
      <c r="I145" s="27" t="b">
        <f>VaBenefits[[#This Row],[Withdrawal Taken  ]]&gt;0</f>
        <v>0</v>
      </c>
      <c r="J145" s="41">
        <f>IF(AND(NOT(VaBenefits[[#This Row],[Is Activation]]),VaBenefits[[#This Row],[Assumed Contract Value ]]&gt;0),VaBenefits[[#This Row],[Withdrawal Taken  ]]/VaBenefits[[#This Row],[Assumed Contract Value ]],0)</f>
        <v>0</v>
      </c>
      <c r="K14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5" s="27" t="b">
        <f ca="1">AND(VaBenefits[[#This Row],[Is Activation]],SUMIFS($E$8:$E145,$C$8:$C145,TRUE)&gt;0)</f>
        <v>0</v>
      </c>
      <c r="M14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5" s="32" t="b">
        <f>IF(VaBenefits[[#This Row],[timeFromValuation]]=0,0, MOD(VaBenefits[[#This Row],[timeFromValuation]],1)=0)</f>
        <v>0</v>
      </c>
      <c r="O145" s="7">
        <f>IF(VaBenefits[[#This Row],[Is Anniversary?]]=TRUE,VaBenefits[[#This Row],[Assumed Contract Value ]],0)</f>
        <v>0</v>
      </c>
      <c r="P14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5" s="7" t="b">
        <f>VaBenefits[[#This Row],[Assumed Contract Value ]]&lt;0.1</f>
        <v>1</v>
      </c>
      <c r="R14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5" s="7">
        <f ca="1">IF(AND(VaBenefits[[#This Row],[Is Activation]]=FALSE,VaBenefits[[#This Row],[Is Anniversary?]]=TRUE),OFFSET( VaBenefits[[#This Row],[Income Credit Base]],-1,0)*ICP,0)</f>
        <v>0</v>
      </c>
      <c r="T145" s="5">
        <f>IF(VaBenefits[[#This Row],[Assumed Contract Value ]]&gt;0,VaBenefits[[#This Row],[Income Base]]*MAWA,0)</f>
        <v>0</v>
      </c>
      <c r="U145" s="95">
        <v>0</v>
      </c>
      <c r="V145" s="8">
        <f>1/(1+InterestRate)^VaBenefits[[#This Row],[timeFromValuation]]</f>
        <v>0.18804704223422003</v>
      </c>
      <c r="W145" s="90">
        <f>VaBenefits[[#This Row],[timeFromValuation]]</f>
        <v>34.25</v>
      </c>
      <c r="X145" s="91">
        <f>IF(($G$8+VaBenefits[[#This Row],[timeFromValuation]])&lt;=120,VLOOKUP(G145,Table2[],Qx!L$6,FALSE),0)</f>
        <v>0.92049800000000004</v>
      </c>
      <c r="Y145" s="91">
        <f>IF(($H$8+VaBenefits[[#This Row],[timeFromValuation]])&lt;=120,VLOOKUP(H145,Table2[],Qx!M$6,FALSE),0)</f>
        <v>0.74960300000000002</v>
      </c>
      <c r="Z145" s="91">
        <v>0</v>
      </c>
      <c r="AA145" s="91">
        <v>0</v>
      </c>
      <c r="AB145" s="91">
        <v>0</v>
      </c>
      <c r="AC145" s="91">
        <v>0</v>
      </c>
      <c r="AD145" s="97">
        <f>PV(1.03,20,-VaBenefits[[#This Row],[Protected Income Payment]])</f>
        <v>0</v>
      </c>
      <c r="AE145" s="130">
        <f>IF((AND(VaBenefits[[#This Row],[Is Anniversary?]],VaBenefits[[#This Row],[Assumed Contract Value ]]&lt;75000)),-50,0)</f>
        <v>0</v>
      </c>
      <c r="AF145" s="133">
        <f>VaBenefits[[#This Row],[Assumed Contract Value ]]*-1.15%/4</f>
        <v>0</v>
      </c>
      <c r="AG145" s="129">
        <v>0</v>
      </c>
      <c r="AH145" s="131">
        <f>VaBenefits[[#This Row],[Maintenace Fee]]+VaBenefits[[#This Row],[Separate Account Charge]]+VaBenefits[[#This Row],[Rider Fee]]</f>
        <v>0</v>
      </c>
      <c r="AR145" s="23">
        <f t="shared" si="21"/>
        <v>68.5</v>
      </c>
      <c r="AS145" s="24">
        <v>0</v>
      </c>
      <c r="AT145" s="24">
        <v>0</v>
      </c>
      <c r="AU145" s="22">
        <v>0</v>
      </c>
      <c r="AV145" s="16">
        <v>0</v>
      </c>
      <c r="AW145" s="14">
        <v>299982</v>
      </c>
      <c r="AX145" s="15">
        <v>0</v>
      </c>
      <c r="AY145" s="15">
        <v>0</v>
      </c>
      <c r="AZ145" s="14">
        <v>0</v>
      </c>
      <c r="BA145" s="17">
        <v>11999</v>
      </c>
    </row>
    <row r="146" spans="1:53" ht="15" thickBot="1" x14ac:dyDescent="0.35">
      <c r="A146" s="32">
        <f t="shared" si="19"/>
        <v>138</v>
      </c>
      <c r="B146" s="29">
        <f t="shared" si="20"/>
        <v>34.5</v>
      </c>
      <c r="C146" s="29" t="b">
        <f>AND(VaBenefits[[#This Row],[timeFromValuation]]&gt;=ACT,VaBenefits[[#This Row],[Assumed Contract Value ]]&gt;0)</f>
        <v>0</v>
      </c>
      <c r="D146" s="20">
        <v>0</v>
      </c>
      <c r="E146" s="20">
        <v>0</v>
      </c>
      <c r="F146" s="20">
        <v>0</v>
      </c>
      <c r="G146" s="96">
        <f>ROUND($G$8+VaBenefits[[#This Row],[timeFromValuation]],0)</f>
        <v>90</v>
      </c>
      <c r="H146" s="20">
        <f>ROUND($H$8+VaBenefits[[#This Row],[timeFromValuation]],0)</f>
        <v>100</v>
      </c>
      <c r="I146" s="27" t="b">
        <f>VaBenefits[[#This Row],[Withdrawal Taken  ]]&gt;0</f>
        <v>0</v>
      </c>
      <c r="J146" s="41">
        <f>IF(AND(NOT(VaBenefits[[#This Row],[Is Activation]]),VaBenefits[[#This Row],[Assumed Contract Value ]]&gt;0),VaBenefits[[#This Row],[Withdrawal Taken  ]]/VaBenefits[[#This Row],[Assumed Contract Value ]],0)</f>
        <v>0</v>
      </c>
      <c r="K14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6" s="27" t="b">
        <f ca="1">AND(VaBenefits[[#This Row],[Is Activation]],SUMIFS($E$8:$E146,$C$8:$C146,TRUE)&gt;0)</f>
        <v>0</v>
      </c>
      <c r="M14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6" s="32" t="b">
        <f>IF(VaBenefits[[#This Row],[timeFromValuation]]=0,0, MOD(VaBenefits[[#This Row],[timeFromValuation]],1)=0)</f>
        <v>0</v>
      </c>
      <c r="O146" s="7">
        <f>IF(VaBenefits[[#This Row],[Is Anniversary?]]=TRUE,VaBenefits[[#This Row],[Assumed Contract Value ]],0)</f>
        <v>0</v>
      </c>
      <c r="P14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6" s="7" t="b">
        <f>VaBenefits[[#This Row],[Assumed Contract Value ]]&lt;0.1</f>
        <v>1</v>
      </c>
      <c r="R14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6" s="7">
        <f ca="1">IF(AND(VaBenefits[[#This Row],[Is Activation]]=FALSE,VaBenefits[[#This Row],[Is Anniversary?]]=TRUE),OFFSET( VaBenefits[[#This Row],[Income Credit Base]],-1,0)*ICP,0)</f>
        <v>0</v>
      </c>
      <c r="T146" s="5">
        <f>IF(VaBenefits[[#This Row],[Assumed Contract Value ]]&gt;0,VaBenefits[[#This Row],[Income Base]]*MAWA,0)</f>
        <v>0</v>
      </c>
      <c r="U146" s="95">
        <v>0</v>
      </c>
      <c r="V146" s="8">
        <f>1/(1+InterestRate)^VaBenefits[[#This Row],[timeFromValuation]]</f>
        <v>0.18576726283546227</v>
      </c>
      <c r="W146" s="90">
        <f>VaBenefits[[#This Row],[timeFromValuation]]</f>
        <v>34.5</v>
      </c>
      <c r="X146" s="91">
        <f>IF(($G$8+VaBenefits[[#This Row],[timeFromValuation]])&lt;=120,VLOOKUP(G146,Table2[],Qx!L$6,FALSE),0)</f>
        <v>0.91162299999999996</v>
      </c>
      <c r="Y146" s="91">
        <f>IF(($H$8+VaBenefits[[#This Row],[timeFromValuation]])&lt;=120,VLOOKUP(H146,Table2[],Qx!M$6,FALSE),0)</f>
        <v>0.73139299999999996</v>
      </c>
      <c r="Z146" s="91">
        <v>0</v>
      </c>
      <c r="AA146" s="91">
        <v>0</v>
      </c>
      <c r="AB146" s="91">
        <v>0</v>
      </c>
      <c r="AC146" s="91">
        <v>0</v>
      </c>
      <c r="AD146" s="97">
        <f>PV(1.03,20,-VaBenefits[[#This Row],[Protected Income Payment]])</f>
        <v>0</v>
      </c>
      <c r="AE146" s="130">
        <f>IF((AND(VaBenefits[[#This Row],[Is Anniversary?]],VaBenefits[[#This Row],[Assumed Contract Value ]]&lt;75000)),-50,0)</f>
        <v>0</v>
      </c>
      <c r="AF146" s="133">
        <f>VaBenefits[[#This Row],[Assumed Contract Value ]]*-1.15%/4</f>
        <v>0</v>
      </c>
      <c r="AG146" s="129">
        <v>0</v>
      </c>
      <c r="AH146" s="131">
        <f>VaBenefits[[#This Row],[Maintenace Fee]]+VaBenefits[[#This Row],[Separate Account Charge]]+VaBenefits[[#This Row],[Rider Fee]]</f>
        <v>0</v>
      </c>
      <c r="AR146" s="23">
        <f t="shared" si="21"/>
        <v>69</v>
      </c>
      <c r="AS146" s="24">
        <v>0</v>
      </c>
      <c r="AT146" s="24">
        <v>0</v>
      </c>
      <c r="AU146" s="22">
        <v>0</v>
      </c>
      <c r="AV146" s="16">
        <v>0</v>
      </c>
      <c r="AW146" s="14">
        <v>299982</v>
      </c>
      <c r="AX146" s="15">
        <v>0</v>
      </c>
      <c r="AY146" s="15">
        <v>0</v>
      </c>
      <c r="AZ146" s="14">
        <v>0</v>
      </c>
      <c r="BA146" s="17">
        <v>11999</v>
      </c>
    </row>
    <row r="147" spans="1:53" ht="15" thickBot="1" x14ac:dyDescent="0.35">
      <c r="A147" s="32">
        <f t="shared" si="19"/>
        <v>139</v>
      </c>
      <c r="B147" s="29">
        <f t="shared" si="20"/>
        <v>34.75</v>
      </c>
      <c r="C147" s="29" t="b">
        <f>AND(VaBenefits[[#This Row],[timeFromValuation]]&gt;=ACT,VaBenefits[[#This Row],[Assumed Contract Value ]]&gt;0)</f>
        <v>0</v>
      </c>
      <c r="D147" s="20">
        <v>0</v>
      </c>
      <c r="E147" s="20">
        <v>0</v>
      </c>
      <c r="F147" s="20">
        <v>0</v>
      </c>
      <c r="G147" s="96">
        <f>ROUND($G$8+VaBenefits[[#This Row],[timeFromValuation]],0)</f>
        <v>90</v>
      </c>
      <c r="H147" s="20">
        <f>ROUND($H$8+VaBenefits[[#This Row],[timeFromValuation]],0)</f>
        <v>100</v>
      </c>
      <c r="I147" s="27" t="b">
        <f>VaBenefits[[#This Row],[Withdrawal Taken  ]]&gt;0</f>
        <v>0</v>
      </c>
      <c r="J147" s="41">
        <f>IF(AND(NOT(VaBenefits[[#This Row],[Is Activation]]),VaBenefits[[#This Row],[Assumed Contract Value ]]&gt;0),VaBenefits[[#This Row],[Withdrawal Taken  ]]/VaBenefits[[#This Row],[Assumed Contract Value ]],0)</f>
        <v>0</v>
      </c>
      <c r="K14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7" s="27" t="b">
        <f ca="1">AND(VaBenefits[[#This Row],[Is Activation]],SUMIFS($E$8:$E147,$C$8:$C147,TRUE)&gt;0)</f>
        <v>0</v>
      </c>
      <c r="M14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7" s="32" t="b">
        <f>IF(VaBenefits[[#This Row],[timeFromValuation]]=0,0, MOD(VaBenefits[[#This Row],[timeFromValuation]],1)=0)</f>
        <v>0</v>
      </c>
      <c r="O147" s="7">
        <f>IF(VaBenefits[[#This Row],[Is Anniversary?]]=TRUE,VaBenefits[[#This Row],[Assumed Contract Value ]],0)</f>
        <v>0</v>
      </c>
      <c r="P14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7" s="7" t="b">
        <f>VaBenefits[[#This Row],[Assumed Contract Value ]]&lt;0.1</f>
        <v>1</v>
      </c>
      <c r="R14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7" s="7">
        <f ca="1">IF(AND(VaBenefits[[#This Row],[Is Activation]]=FALSE,VaBenefits[[#This Row],[Is Anniversary?]]=TRUE),OFFSET( VaBenefits[[#This Row],[Income Credit Base]],-1,0)*ICP,0)</f>
        <v>0</v>
      </c>
      <c r="T147" s="5">
        <f>IF(VaBenefits[[#This Row],[Assumed Contract Value ]]&gt;0,VaBenefits[[#This Row],[Income Base]]*MAWA,0)</f>
        <v>0</v>
      </c>
      <c r="U147" s="95">
        <v>0</v>
      </c>
      <c r="V147" s="8">
        <f>1/(1+InterestRate)^VaBenefits[[#This Row],[timeFromValuation]]</f>
        <v>0.18351512223413119</v>
      </c>
      <c r="W147" s="90">
        <f>VaBenefits[[#This Row],[timeFromValuation]]</f>
        <v>34.75</v>
      </c>
      <c r="X147" s="91">
        <f>IF(($G$8+VaBenefits[[#This Row],[timeFromValuation]])&lt;=120,VLOOKUP(G147,Table2[],Qx!L$6,FALSE),0)</f>
        <v>0.91162299999999996</v>
      </c>
      <c r="Y147" s="91">
        <f>IF(($H$8+VaBenefits[[#This Row],[timeFromValuation]])&lt;=120,VLOOKUP(H147,Table2[],Qx!M$6,FALSE),0)</f>
        <v>0.73139299999999996</v>
      </c>
      <c r="Z147" s="91">
        <v>0</v>
      </c>
      <c r="AA147" s="91">
        <v>0</v>
      </c>
      <c r="AB147" s="91">
        <v>0</v>
      </c>
      <c r="AC147" s="91">
        <v>0</v>
      </c>
      <c r="AD147" s="97">
        <f>PV(1.03,20,-VaBenefits[[#This Row],[Protected Income Payment]])</f>
        <v>0</v>
      </c>
      <c r="AE147" s="130">
        <f>IF((AND(VaBenefits[[#This Row],[Is Anniversary?]],VaBenefits[[#This Row],[Assumed Contract Value ]]&lt;75000)),-50,0)</f>
        <v>0</v>
      </c>
      <c r="AF147" s="133">
        <f>VaBenefits[[#This Row],[Assumed Contract Value ]]*-1.15%/4</f>
        <v>0</v>
      </c>
      <c r="AG147" s="129">
        <v>0</v>
      </c>
      <c r="AH147" s="131">
        <f>VaBenefits[[#This Row],[Maintenace Fee]]+VaBenefits[[#This Row],[Separate Account Charge]]+VaBenefits[[#This Row],[Rider Fee]]</f>
        <v>0</v>
      </c>
      <c r="AR147" s="23">
        <f t="shared" si="21"/>
        <v>69.5</v>
      </c>
      <c r="AS147" s="24">
        <v>0</v>
      </c>
      <c r="AT147" s="24">
        <v>0</v>
      </c>
      <c r="AU147" s="22">
        <v>0</v>
      </c>
      <c r="AV147" s="16">
        <v>0</v>
      </c>
      <c r="AW147" s="14">
        <v>299982</v>
      </c>
      <c r="AX147" s="15">
        <v>0</v>
      </c>
      <c r="AY147" s="15">
        <v>0</v>
      </c>
      <c r="AZ147" s="14">
        <v>0</v>
      </c>
      <c r="BA147" s="17">
        <v>11999</v>
      </c>
    </row>
    <row r="148" spans="1:53" ht="15" thickBot="1" x14ac:dyDescent="0.35">
      <c r="A148" s="32">
        <f t="shared" si="19"/>
        <v>140</v>
      </c>
      <c r="B148" s="29">
        <f t="shared" si="20"/>
        <v>35</v>
      </c>
      <c r="C148" s="29" t="b">
        <f>AND(VaBenefits[[#This Row],[timeFromValuation]]&gt;=ACT,VaBenefits[[#This Row],[Assumed Contract Value ]]&gt;0)</f>
        <v>0</v>
      </c>
      <c r="D148" s="20">
        <v>0</v>
      </c>
      <c r="E148" s="20">
        <v>0</v>
      </c>
      <c r="F148" s="20">
        <v>0</v>
      </c>
      <c r="G148" s="96">
        <f>ROUND($G$8+VaBenefits[[#This Row],[timeFromValuation]],0)</f>
        <v>90</v>
      </c>
      <c r="H148" s="20">
        <f>ROUND($H$8+VaBenefits[[#This Row],[timeFromValuation]],0)</f>
        <v>100</v>
      </c>
      <c r="I148" s="27" t="b">
        <f>VaBenefits[[#This Row],[Withdrawal Taken  ]]&gt;0</f>
        <v>0</v>
      </c>
      <c r="J148" s="41">
        <f>IF(AND(NOT(VaBenefits[[#This Row],[Is Activation]]),VaBenefits[[#This Row],[Assumed Contract Value ]]&gt;0),VaBenefits[[#This Row],[Withdrawal Taken  ]]/VaBenefits[[#This Row],[Assumed Contract Value ]],0)</f>
        <v>0</v>
      </c>
      <c r="K14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8" s="27" t="b">
        <f ca="1">AND(VaBenefits[[#This Row],[Is Activation]],SUMIFS($E$8:$E148,$C$8:$C148,TRUE)&gt;0)</f>
        <v>0</v>
      </c>
      <c r="M14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8" s="32" t="b">
        <f>IF(VaBenefits[[#This Row],[timeFromValuation]]=0,0, MOD(VaBenefits[[#This Row],[timeFromValuation]],1)=0)</f>
        <v>1</v>
      </c>
      <c r="O148" s="7">
        <f>IF(VaBenefits[[#This Row],[Is Anniversary?]]=TRUE,VaBenefits[[#This Row],[Assumed Contract Value ]],0)</f>
        <v>0</v>
      </c>
      <c r="P14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8" s="7" t="b">
        <f>VaBenefits[[#This Row],[Assumed Contract Value ]]&lt;0.1</f>
        <v>1</v>
      </c>
      <c r="R14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8" s="7">
        <f ca="1">IF(AND(VaBenefits[[#This Row],[Is Activation]]=FALSE,VaBenefits[[#This Row],[Is Anniversary?]]=TRUE),OFFSET( VaBenefits[[#This Row],[Income Credit Base]],-1,0)*ICP,0)</f>
        <v>0</v>
      </c>
      <c r="T148" s="5">
        <f>IF(VaBenefits[[#This Row],[Assumed Contract Value ]]&gt;0,VaBenefits[[#This Row],[Income Base]]*MAWA,0)</f>
        <v>0</v>
      </c>
      <c r="U148" s="95">
        <v>0</v>
      </c>
      <c r="V148" s="8">
        <f>1/(1+InterestRate)^VaBenefits[[#This Row],[timeFromValuation]]</f>
        <v>0.18129028535257716</v>
      </c>
      <c r="W148" s="90">
        <f>VaBenefits[[#This Row],[timeFromValuation]]</f>
        <v>35</v>
      </c>
      <c r="X148" s="91">
        <f>IF(($G$8+VaBenefits[[#This Row],[timeFromValuation]])&lt;=120,VLOOKUP(G148,Table2[],Qx!L$6,FALSE),0)</f>
        <v>0.91162299999999996</v>
      </c>
      <c r="Y148" s="91">
        <f>IF(($H$8+VaBenefits[[#This Row],[timeFromValuation]])&lt;=120,VLOOKUP(H148,Table2[],Qx!M$6,FALSE),0)</f>
        <v>0.73139299999999996</v>
      </c>
      <c r="Z148" s="91">
        <v>0</v>
      </c>
      <c r="AA148" s="91">
        <v>0</v>
      </c>
      <c r="AB148" s="91">
        <v>0</v>
      </c>
      <c r="AC148" s="91">
        <v>0</v>
      </c>
      <c r="AD148" s="97">
        <f>PV(1.03,20,-VaBenefits[[#This Row],[Protected Income Payment]])</f>
        <v>0</v>
      </c>
      <c r="AE148" s="130">
        <f>IF((AND(VaBenefits[[#This Row],[Is Anniversary?]],VaBenefits[[#This Row],[Assumed Contract Value ]]&lt;75000)),-50,0)</f>
        <v>-50</v>
      </c>
      <c r="AF148" s="133">
        <f>VaBenefits[[#This Row],[Assumed Contract Value ]]*-1.15%/4</f>
        <v>0</v>
      </c>
      <c r="AG148" s="129">
        <v>0</v>
      </c>
      <c r="AH148" s="131">
        <f>VaBenefits[[#This Row],[Maintenace Fee]]+VaBenefits[[#This Row],[Separate Account Charge]]+VaBenefits[[#This Row],[Rider Fee]]</f>
        <v>-50</v>
      </c>
      <c r="AR148" s="23">
        <f t="shared" si="21"/>
        <v>70</v>
      </c>
      <c r="AS148" s="24">
        <v>0</v>
      </c>
      <c r="AT148" s="24">
        <v>0</v>
      </c>
      <c r="AU148" s="22">
        <v>0</v>
      </c>
      <c r="AV148" s="16">
        <v>0</v>
      </c>
      <c r="AW148" s="14">
        <v>299982</v>
      </c>
      <c r="AX148" s="15">
        <v>0</v>
      </c>
      <c r="AY148" s="15">
        <v>0</v>
      </c>
      <c r="AZ148" s="14">
        <v>0</v>
      </c>
      <c r="BA148" s="17">
        <v>11999</v>
      </c>
    </row>
    <row r="149" spans="1:53" ht="15" thickBot="1" x14ac:dyDescent="0.35">
      <c r="A149" s="32">
        <f t="shared" si="19"/>
        <v>141</v>
      </c>
      <c r="B149" s="29">
        <f t="shared" si="20"/>
        <v>35.25</v>
      </c>
      <c r="C149" s="29" t="b">
        <f>AND(VaBenefits[[#This Row],[timeFromValuation]]&gt;=ACT,VaBenefits[[#This Row],[Assumed Contract Value ]]&gt;0)</f>
        <v>0</v>
      </c>
      <c r="D149" s="20">
        <v>0</v>
      </c>
      <c r="E149" s="20">
        <v>0</v>
      </c>
      <c r="F149" s="20">
        <v>0</v>
      </c>
      <c r="G149" s="96">
        <f>ROUND($G$8+VaBenefits[[#This Row],[timeFromValuation]],0)</f>
        <v>90</v>
      </c>
      <c r="H149" s="20">
        <f>ROUND($H$8+VaBenefits[[#This Row],[timeFromValuation]],0)</f>
        <v>100</v>
      </c>
      <c r="I149" s="27" t="b">
        <f>VaBenefits[[#This Row],[Withdrawal Taken  ]]&gt;0</f>
        <v>0</v>
      </c>
      <c r="J149" s="41">
        <f>IF(AND(NOT(VaBenefits[[#This Row],[Is Activation]]),VaBenefits[[#This Row],[Assumed Contract Value ]]&gt;0),VaBenefits[[#This Row],[Withdrawal Taken  ]]/VaBenefits[[#This Row],[Assumed Contract Value ]],0)</f>
        <v>0</v>
      </c>
      <c r="K14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9" s="27" t="b">
        <f ca="1">AND(VaBenefits[[#This Row],[Is Activation]],SUMIFS($E$8:$E149,$C$8:$C149,TRUE)&gt;0)</f>
        <v>0</v>
      </c>
      <c r="M14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9" s="32" t="b">
        <f>IF(VaBenefits[[#This Row],[timeFromValuation]]=0,0, MOD(VaBenefits[[#This Row],[timeFromValuation]],1)=0)</f>
        <v>0</v>
      </c>
      <c r="O149" s="7">
        <f>IF(VaBenefits[[#This Row],[Is Anniversary?]]=TRUE,VaBenefits[[#This Row],[Assumed Contract Value ]],0)</f>
        <v>0</v>
      </c>
      <c r="P14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9" s="7" t="b">
        <f>VaBenefits[[#This Row],[Assumed Contract Value ]]&lt;0.1</f>
        <v>1</v>
      </c>
      <c r="R14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9" s="7">
        <f ca="1">IF(AND(VaBenefits[[#This Row],[Is Activation]]=FALSE,VaBenefits[[#This Row],[Is Anniversary?]]=TRUE),OFFSET( VaBenefits[[#This Row],[Income Credit Base]],-1,0)*ICP,0)</f>
        <v>0</v>
      </c>
      <c r="T149" s="5">
        <f>IF(VaBenefits[[#This Row],[Assumed Contract Value ]]&gt;0,VaBenefits[[#This Row],[Income Base]]*MAWA,0)</f>
        <v>0</v>
      </c>
      <c r="U149" s="95">
        <v>0</v>
      </c>
      <c r="V149" s="8">
        <f>1/(1+InterestRate)^VaBenefits[[#This Row],[timeFromValuation]]</f>
        <v>0.17909242117544763</v>
      </c>
      <c r="W149" s="90">
        <f>VaBenefits[[#This Row],[timeFromValuation]]</f>
        <v>35.25</v>
      </c>
      <c r="X149" s="91">
        <f>IF(($G$8+VaBenefits[[#This Row],[timeFromValuation]])&lt;=120,VLOOKUP(G149,Table2[],Qx!L$6,FALSE),0)</f>
        <v>0.91162299999999996</v>
      </c>
      <c r="Y149" s="91">
        <f>IF(($H$8+VaBenefits[[#This Row],[timeFromValuation]])&lt;=120,VLOOKUP(H149,Table2[],Qx!M$6,FALSE),0)</f>
        <v>0.73139299999999996</v>
      </c>
      <c r="Z149" s="91">
        <v>0</v>
      </c>
      <c r="AA149" s="91">
        <v>0</v>
      </c>
      <c r="AB149" s="91">
        <v>0</v>
      </c>
      <c r="AC149" s="91">
        <v>0</v>
      </c>
      <c r="AD149" s="97">
        <f>PV(1.03,20,-VaBenefits[[#This Row],[Protected Income Payment]])</f>
        <v>0</v>
      </c>
      <c r="AE149" s="130">
        <f>IF((AND(VaBenefits[[#This Row],[Is Anniversary?]],VaBenefits[[#This Row],[Assumed Contract Value ]]&lt;75000)),-50,0)</f>
        <v>0</v>
      </c>
      <c r="AF149" s="133">
        <f>VaBenefits[[#This Row],[Assumed Contract Value ]]*-1.15%/4</f>
        <v>0</v>
      </c>
      <c r="AG149" s="129">
        <v>0</v>
      </c>
      <c r="AH149" s="131">
        <f>VaBenefits[[#This Row],[Maintenace Fee]]+VaBenefits[[#This Row],[Separate Account Charge]]+VaBenefits[[#This Row],[Rider Fee]]</f>
        <v>0</v>
      </c>
      <c r="AR149" s="23">
        <f t="shared" si="21"/>
        <v>70.5</v>
      </c>
      <c r="AS149" s="24">
        <v>0</v>
      </c>
      <c r="AT149" s="24">
        <v>0</v>
      </c>
      <c r="AU149" s="22">
        <v>0</v>
      </c>
      <c r="AV149" s="16">
        <v>0</v>
      </c>
      <c r="AW149" s="14">
        <v>299982</v>
      </c>
      <c r="AX149" s="15">
        <v>0</v>
      </c>
      <c r="AY149" s="15">
        <v>0</v>
      </c>
      <c r="AZ149" s="14">
        <v>0</v>
      </c>
      <c r="BA149" s="17">
        <v>11999</v>
      </c>
    </row>
    <row r="150" spans="1:53" ht="15" thickBot="1" x14ac:dyDescent="0.35">
      <c r="A150" s="32">
        <f t="shared" si="19"/>
        <v>142</v>
      </c>
      <c r="B150" s="29">
        <f t="shared" si="20"/>
        <v>35.5</v>
      </c>
      <c r="C150" s="29" t="b">
        <f>AND(VaBenefits[[#This Row],[timeFromValuation]]&gt;=ACT,VaBenefits[[#This Row],[Assumed Contract Value ]]&gt;0)</f>
        <v>0</v>
      </c>
      <c r="D150" s="20">
        <v>0</v>
      </c>
      <c r="E150" s="20">
        <v>0</v>
      </c>
      <c r="F150" s="20">
        <v>0</v>
      </c>
      <c r="G150" s="96">
        <f>ROUND($G$8+VaBenefits[[#This Row],[timeFromValuation]],0)</f>
        <v>91</v>
      </c>
      <c r="H150" s="20">
        <f>ROUND($H$8+VaBenefits[[#This Row],[timeFromValuation]],0)</f>
        <v>101</v>
      </c>
      <c r="I150" s="27" t="b">
        <f>VaBenefits[[#This Row],[Withdrawal Taken  ]]&gt;0</f>
        <v>0</v>
      </c>
      <c r="J150" s="41">
        <f>IF(AND(NOT(VaBenefits[[#This Row],[Is Activation]]),VaBenefits[[#This Row],[Assumed Contract Value ]]&gt;0),VaBenefits[[#This Row],[Withdrawal Taken  ]]/VaBenefits[[#This Row],[Assumed Contract Value ]],0)</f>
        <v>0</v>
      </c>
      <c r="K15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0" s="27" t="b">
        <f ca="1">AND(VaBenefits[[#This Row],[Is Activation]],SUMIFS($E$8:$E150,$C$8:$C150,TRUE)&gt;0)</f>
        <v>0</v>
      </c>
      <c r="M15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0" s="32" t="b">
        <f>IF(VaBenefits[[#This Row],[timeFromValuation]]=0,0, MOD(VaBenefits[[#This Row],[timeFromValuation]],1)=0)</f>
        <v>0</v>
      </c>
      <c r="O150" s="7">
        <f>IF(VaBenefits[[#This Row],[Is Anniversary?]]=TRUE,VaBenefits[[#This Row],[Assumed Contract Value ]],0)</f>
        <v>0</v>
      </c>
      <c r="P15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0" s="7" t="b">
        <f>VaBenefits[[#This Row],[Assumed Contract Value ]]&lt;0.1</f>
        <v>1</v>
      </c>
      <c r="R15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0" s="7">
        <f ca="1">IF(AND(VaBenefits[[#This Row],[Is Activation]]=FALSE,VaBenefits[[#This Row],[Is Anniversary?]]=TRUE),OFFSET( VaBenefits[[#This Row],[Income Credit Base]],-1,0)*ICP,0)</f>
        <v>0</v>
      </c>
      <c r="T150" s="5">
        <f>IF(VaBenefits[[#This Row],[Assumed Contract Value ]]&gt;0,VaBenefits[[#This Row],[Income Base]]*MAWA,0)</f>
        <v>0</v>
      </c>
      <c r="U150" s="95">
        <v>0</v>
      </c>
      <c r="V150" s="8">
        <f>1/(1+InterestRate)^VaBenefits[[#This Row],[timeFromValuation]]</f>
        <v>0.17692120270044026</v>
      </c>
      <c r="W150" s="90">
        <f>VaBenefits[[#This Row],[timeFromValuation]]</f>
        <v>35.5</v>
      </c>
      <c r="X150" s="91">
        <f>IF(($G$8+VaBenefits[[#This Row],[timeFromValuation]])&lt;=120,VLOOKUP(G150,Table2[],Qx!L$6,FALSE),0)</f>
        <v>0.90250900000000001</v>
      </c>
      <c r="Y150" s="91">
        <f>IF(($H$8+VaBenefits[[#This Row],[timeFromValuation]])&lt;=120,VLOOKUP(H150,Table2[],Qx!M$6,FALSE),0)</f>
        <v>0.70998399999999995</v>
      </c>
      <c r="Z150" s="91">
        <v>0</v>
      </c>
      <c r="AA150" s="91">
        <v>0</v>
      </c>
      <c r="AB150" s="91">
        <v>0</v>
      </c>
      <c r="AC150" s="91">
        <v>0</v>
      </c>
      <c r="AD150" s="97">
        <f>PV(1.03,20,-VaBenefits[[#This Row],[Protected Income Payment]])</f>
        <v>0</v>
      </c>
      <c r="AE150" s="130">
        <f>IF((AND(VaBenefits[[#This Row],[Is Anniversary?]],VaBenefits[[#This Row],[Assumed Contract Value ]]&lt;75000)),-50,0)</f>
        <v>0</v>
      </c>
      <c r="AF150" s="133">
        <f>VaBenefits[[#This Row],[Assumed Contract Value ]]*-1.15%/4</f>
        <v>0</v>
      </c>
      <c r="AG150" s="129">
        <v>0</v>
      </c>
      <c r="AH150" s="131">
        <f>VaBenefits[[#This Row],[Maintenace Fee]]+VaBenefits[[#This Row],[Separate Account Charge]]+VaBenefits[[#This Row],[Rider Fee]]</f>
        <v>0</v>
      </c>
      <c r="AR150" s="23">
        <f t="shared" si="21"/>
        <v>71</v>
      </c>
      <c r="AS150" s="24">
        <v>0</v>
      </c>
      <c r="AT150" s="24">
        <v>0</v>
      </c>
      <c r="AU150" s="22">
        <v>0</v>
      </c>
      <c r="AV150" s="16">
        <v>0</v>
      </c>
      <c r="AW150" s="14">
        <v>299982</v>
      </c>
      <c r="AX150" s="15">
        <v>0</v>
      </c>
      <c r="AY150" s="15">
        <v>0</v>
      </c>
      <c r="AZ150" s="14">
        <v>0</v>
      </c>
      <c r="BA150" s="17">
        <v>11999</v>
      </c>
    </row>
    <row r="151" spans="1:53" ht="15" thickBot="1" x14ac:dyDescent="0.35">
      <c r="A151" s="32">
        <f t="shared" si="19"/>
        <v>143</v>
      </c>
      <c r="B151" s="29">
        <f t="shared" si="20"/>
        <v>35.75</v>
      </c>
      <c r="C151" s="29" t="b">
        <f>AND(VaBenefits[[#This Row],[timeFromValuation]]&gt;=ACT,VaBenefits[[#This Row],[Assumed Contract Value ]]&gt;0)</f>
        <v>0</v>
      </c>
      <c r="D151" s="20">
        <v>0</v>
      </c>
      <c r="E151" s="20">
        <v>0</v>
      </c>
      <c r="F151" s="20">
        <v>0</v>
      </c>
      <c r="G151" s="96">
        <f>ROUND($G$8+VaBenefits[[#This Row],[timeFromValuation]],0)</f>
        <v>91</v>
      </c>
      <c r="H151" s="20">
        <f>ROUND($H$8+VaBenefits[[#This Row],[timeFromValuation]],0)</f>
        <v>101</v>
      </c>
      <c r="I151" s="27" t="b">
        <f>VaBenefits[[#This Row],[Withdrawal Taken  ]]&gt;0</f>
        <v>0</v>
      </c>
      <c r="J151" s="41">
        <f>IF(AND(NOT(VaBenefits[[#This Row],[Is Activation]]),VaBenefits[[#This Row],[Assumed Contract Value ]]&gt;0),VaBenefits[[#This Row],[Withdrawal Taken  ]]/VaBenefits[[#This Row],[Assumed Contract Value ]],0)</f>
        <v>0</v>
      </c>
      <c r="K15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1" s="27" t="b">
        <f ca="1">AND(VaBenefits[[#This Row],[Is Activation]],SUMIFS($E$8:$E151,$C$8:$C151,TRUE)&gt;0)</f>
        <v>0</v>
      </c>
      <c r="M15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1" s="32" t="b">
        <f>IF(VaBenefits[[#This Row],[timeFromValuation]]=0,0, MOD(VaBenefits[[#This Row],[timeFromValuation]],1)=0)</f>
        <v>0</v>
      </c>
      <c r="O151" s="7">
        <f>IF(VaBenefits[[#This Row],[Is Anniversary?]]=TRUE,VaBenefits[[#This Row],[Assumed Contract Value ]],0)</f>
        <v>0</v>
      </c>
      <c r="P15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1" s="7" t="b">
        <f>VaBenefits[[#This Row],[Assumed Contract Value ]]&lt;0.1</f>
        <v>1</v>
      </c>
      <c r="R15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1" s="7">
        <f ca="1">IF(AND(VaBenefits[[#This Row],[Is Activation]]=FALSE,VaBenefits[[#This Row],[Is Anniversary?]]=TRUE),OFFSET( VaBenefits[[#This Row],[Income Credit Base]],-1,0)*ICP,0)</f>
        <v>0</v>
      </c>
      <c r="T151" s="5">
        <f>IF(VaBenefits[[#This Row],[Assumed Contract Value ]]&gt;0,VaBenefits[[#This Row],[Income Base]]*MAWA,0)</f>
        <v>0</v>
      </c>
      <c r="U151" s="95">
        <v>0</v>
      </c>
      <c r="V151" s="8">
        <f>1/(1+InterestRate)^VaBenefits[[#This Row],[timeFromValuation]]</f>
        <v>0.17477630688964879</v>
      </c>
      <c r="W151" s="90">
        <f>VaBenefits[[#This Row],[timeFromValuation]]</f>
        <v>35.75</v>
      </c>
      <c r="X151" s="91">
        <f>IF(($G$8+VaBenefits[[#This Row],[timeFromValuation]])&lt;=120,VLOOKUP(G151,Table2[],Qx!L$6,FALSE),0)</f>
        <v>0.90250900000000001</v>
      </c>
      <c r="Y151" s="91">
        <f>IF(($H$8+VaBenefits[[#This Row],[timeFromValuation]])&lt;=120,VLOOKUP(H151,Table2[],Qx!M$6,FALSE),0)</f>
        <v>0.70998399999999995</v>
      </c>
      <c r="Z151" s="91">
        <v>0</v>
      </c>
      <c r="AA151" s="91">
        <v>0</v>
      </c>
      <c r="AB151" s="91">
        <v>0</v>
      </c>
      <c r="AC151" s="91">
        <v>0</v>
      </c>
      <c r="AD151" s="97">
        <f>PV(1.03,20,-VaBenefits[[#This Row],[Protected Income Payment]])</f>
        <v>0</v>
      </c>
      <c r="AE151" s="130">
        <f>IF((AND(VaBenefits[[#This Row],[Is Anniversary?]],VaBenefits[[#This Row],[Assumed Contract Value ]]&lt;75000)),-50,0)</f>
        <v>0</v>
      </c>
      <c r="AF151" s="133">
        <f>VaBenefits[[#This Row],[Assumed Contract Value ]]*-1.15%/4</f>
        <v>0</v>
      </c>
      <c r="AG151" s="129">
        <v>0</v>
      </c>
      <c r="AH151" s="131">
        <f>VaBenefits[[#This Row],[Maintenace Fee]]+VaBenefits[[#This Row],[Separate Account Charge]]+VaBenefits[[#This Row],[Rider Fee]]</f>
        <v>0</v>
      </c>
      <c r="AR151" s="23">
        <f t="shared" si="21"/>
        <v>71.5</v>
      </c>
      <c r="AS151" s="24">
        <v>0</v>
      </c>
      <c r="AT151" s="24">
        <v>0</v>
      </c>
      <c r="AU151" s="22">
        <v>0</v>
      </c>
      <c r="AV151" s="16">
        <v>0</v>
      </c>
      <c r="AW151" s="14">
        <v>299982</v>
      </c>
      <c r="AX151" s="15">
        <v>0</v>
      </c>
      <c r="AY151" s="15">
        <v>0</v>
      </c>
      <c r="AZ151" s="14">
        <v>0</v>
      </c>
      <c r="BA151" s="17">
        <v>11999</v>
      </c>
    </row>
    <row r="152" spans="1:53" ht="15" thickBot="1" x14ac:dyDescent="0.35">
      <c r="A152" s="32">
        <f t="shared" si="19"/>
        <v>144</v>
      </c>
      <c r="B152" s="29">
        <f t="shared" si="20"/>
        <v>36</v>
      </c>
      <c r="C152" s="29" t="b">
        <f>AND(VaBenefits[[#This Row],[timeFromValuation]]&gt;=ACT,VaBenefits[[#This Row],[Assumed Contract Value ]]&gt;0)</f>
        <v>0</v>
      </c>
      <c r="D152" s="20">
        <v>0</v>
      </c>
      <c r="E152" s="20">
        <v>0</v>
      </c>
      <c r="F152" s="20">
        <v>0</v>
      </c>
      <c r="G152" s="96">
        <f>ROUND($G$8+VaBenefits[[#This Row],[timeFromValuation]],0)</f>
        <v>91</v>
      </c>
      <c r="H152" s="20">
        <f>ROUND($H$8+VaBenefits[[#This Row],[timeFromValuation]],0)</f>
        <v>101</v>
      </c>
      <c r="I152" s="27" t="b">
        <f>VaBenefits[[#This Row],[Withdrawal Taken  ]]&gt;0</f>
        <v>0</v>
      </c>
      <c r="J152" s="41">
        <f>IF(AND(NOT(VaBenefits[[#This Row],[Is Activation]]),VaBenefits[[#This Row],[Assumed Contract Value ]]&gt;0),VaBenefits[[#This Row],[Withdrawal Taken  ]]/VaBenefits[[#This Row],[Assumed Contract Value ]],0)</f>
        <v>0</v>
      </c>
      <c r="K15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2" s="27" t="b">
        <f ca="1">AND(VaBenefits[[#This Row],[Is Activation]],SUMIFS($E$8:$E152,$C$8:$C152,TRUE)&gt;0)</f>
        <v>0</v>
      </c>
      <c r="M15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2" s="32" t="b">
        <f>IF(VaBenefits[[#This Row],[timeFromValuation]]=0,0, MOD(VaBenefits[[#This Row],[timeFromValuation]],1)=0)</f>
        <v>1</v>
      </c>
      <c r="O152" s="7">
        <f>IF(VaBenefits[[#This Row],[Is Anniversary?]]=TRUE,VaBenefits[[#This Row],[Assumed Contract Value ]],0)</f>
        <v>0</v>
      </c>
      <c r="P15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2" s="7" t="b">
        <f>VaBenefits[[#This Row],[Assumed Contract Value ]]&lt;0.1</f>
        <v>1</v>
      </c>
      <c r="R15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2" s="7">
        <f ca="1">IF(AND(VaBenefits[[#This Row],[Is Activation]]=FALSE,VaBenefits[[#This Row],[Is Anniversary?]]=TRUE),OFFSET( VaBenefits[[#This Row],[Income Credit Base]],-1,0)*ICP,0)</f>
        <v>0</v>
      </c>
      <c r="T152" s="5">
        <f>IF(VaBenefits[[#This Row],[Assumed Contract Value ]]&gt;0,VaBenefits[[#This Row],[Income Base]]*MAWA,0)</f>
        <v>0</v>
      </c>
      <c r="U152" s="95">
        <v>0</v>
      </c>
      <c r="V152" s="8">
        <f>1/(1+InterestRate)^VaBenefits[[#This Row],[timeFromValuation]]</f>
        <v>0.17265741462150208</v>
      </c>
      <c r="W152" s="90">
        <f>VaBenefits[[#This Row],[timeFromValuation]]</f>
        <v>36</v>
      </c>
      <c r="X152" s="91">
        <f>IF(($G$8+VaBenefits[[#This Row],[timeFromValuation]])&lt;=120,VLOOKUP(G152,Table2[],Qx!L$6,FALSE),0)</f>
        <v>0.90250900000000001</v>
      </c>
      <c r="Y152" s="91">
        <f>IF(($H$8+VaBenefits[[#This Row],[timeFromValuation]])&lt;=120,VLOOKUP(H152,Table2[],Qx!M$6,FALSE),0)</f>
        <v>0.70998399999999995</v>
      </c>
      <c r="Z152" s="91">
        <v>0</v>
      </c>
      <c r="AA152" s="91">
        <v>0</v>
      </c>
      <c r="AB152" s="91">
        <v>0</v>
      </c>
      <c r="AC152" s="91">
        <v>0</v>
      </c>
      <c r="AD152" s="97">
        <f>PV(1.03,20,-VaBenefits[[#This Row],[Protected Income Payment]])</f>
        <v>0</v>
      </c>
      <c r="AE152" s="130">
        <f>IF((AND(VaBenefits[[#This Row],[Is Anniversary?]],VaBenefits[[#This Row],[Assumed Contract Value ]]&lt;75000)),-50,0)</f>
        <v>-50</v>
      </c>
      <c r="AF152" s="133">
        <f>VaBenefits[[#This Row],[Assumed Contract Value ]]*-1.15%/4</f>
        <v>0</v>
      </c>
      <c r="AG152" s="129">
        <v>0</v>
      </c>
      <c r="AH152" s="131">
        <f>VaBenefits[[#This Row],[Maintenace Fee]]+VaBenefits[[#This Row],[Separate Account Charge]]+VaBenefits[[#This Row],[Rider Fee]]</f>
        <v>-50</v>
      </c>
      <c r="AR152" s="23">
        <f t="shared" si="21"/>
        <v>72</v>
      </c>
      <c r="AS152" s="24">
        <v>0</v>
      </c>
      <c r="AT152" s="24">
        <v>0</v>
      </c>
      <c r="AU152" s="22">
        <v>0</v>
      </c>
      <c r="AV152" s="16">
        <v>0</v>
      </c>
      <c r="AW152" s="14">
        <v>299982</v>
      </c>
      <c r="AX152" s="15">
        <v>0</v>
      </c>
      <c r="AY152" s="15">
        <v>0</v>
      </c>
      <c r="AZ152" s="14">
        <v>0</v>
      </c>
      <c r="BA152" s="17">
        <v>11999</v>
      </c>
    </row>
    <row r="153" spans="1:53" ht="15" thickBot="1" x14ac:dyDescent="0.35">
      <c r="A153" s="32">
        <f t="shared" si="19"/>
        <v>145</v>
      </c>
      <c r="B153" s="29">
        <f t="shared" si="20"/>
        <v>36.25</v>
      </c>
      <c r="C153" s="29" t="b">
        <f>AND(VaBenefits[[#This Row],[timeFromValuation]]&gt;=ACT,VaBenefits[[#This Row],[Assumed Contract Value ]]&gt;0)</f>
        <v>0</v>
      </c>
      <c r="D153" s="20">
        <v>0</v>
      </c>
      <c r="E153" s="20">
        <v>0</v>
      </c>
      <c r="F153" s="20">
        <v>0</v>
      </c>
      <c r="G153" s="96">
        <f>ROUND($G$8+VaBenefits[[#This Row],[timeFromValuation]],0)</f>
        <v>91</v>
      </c>
      <c r="H153" s="20">
        <f>ROUND($H$8+VaBenefits[[#This Row],[timeFromValuation]],0)</f>
        <v>101</v>
      </c>
      <c r="I153" s="27" t="b">
        <f>VaBenefits[[#This Row],[Withdrawal Taken  ]]&gt;0</f>
        <v>0</v>
      </c>
      <c r="J153" s="41">
        <f>IF(AND(NOT(VaBenefits[[#This Row],[Is Activation]]),VaBenefits[[#This Row],[Assumed Contract Value ]]&gt;0),VaBenefits[[#This Row],[Withdrawal Taken  ]]/VaBenefits[[#This Row],[Assumed Contract Value ]],0)</f>
        <v>0</v>
      </c>
      <c r="K15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3" s="27" t="b">
        <f ca="1">AND(VaBenefits[[#This Row],[Is Activation]],SUMIFS($E$8:$E153,$C$8:$C153,TRUE)&gt;0)</f>
        <v>0</v>
      </c>
      <c r="M15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3" s="32" t="b">
        <f>IF(VaBenefits[[#This Row],[timeFromValuation]]=0,0, MOD(VaBenefits[[#This Row],[timeFromValuation]],1)=0)</f>
        <v>0</v>
      </c>
      <c r="O153" s="7">
        <f>IF(VaBenefits[[#This Row],[Is Anniversary?]]=TRUE,VaBenefits[[#This Row],[Assumed Contract Value ]],0)</f>
        <v>0</v>
      </c>
      <c r="P15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3" s="7" t="b">
        <f>VaBenefits[[#This Row],[Assumed Contract Value ]]&lt;0.1</f>
        <v>1</v>
      </c>
      <c r="R15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3" s="7">
        <f ca="1">IF(AND(VaBenefits[[#This Row],[Is Activation]]=FALSE,VaBenefits[[#This Row],[Is Anniversary?]]=TRUE),OFFSET( VaBenefits[[#This Row],[Income Credit Base]],-1,0)*ICP,0)</f>
        <v>0</v>
      </c>
      <c r="T153" s="5">
        <f>IF(VaBenefits[[#This Row],[Assumed Contract Value ]]&gt;0,VaBenefits[[#This Row],[Income Base]]*MAWA,0)</f>
        <v>0</v>
      </c>
      <c r="U153" s="95">
        <v>0</v>
      </c>
      <c r="V153" s="8">
        <f>1/(1+InterestRate)^VaBenefits[[#This Row],[timeFromValuation]]</f>
        <v>0.17056421064328345</v>
      </c>
      <c r="W153" s="90">
        <f>VaBenefits[[#This Row],[timeFromValuation]]</f>
        <v>36.25</v>
      </c>
      <c r="X153" s="91">
        <f>IF(($G$8+VaBenefits[[#This Row],[timeFromValuation]])&lt;=120,VLOOKUP(G153,Table2[],Qx!L$6,FALSE),0)</f>
        <v>0.90250900000000001</v>
      </c>
      <c r="Y153" s="91">
        <f>IF(($H$8+VaBenefits[[#This Row],[timeFromValuation]])&lt;=120,VLOOKUP(H153,Table2[],Qx!M$6,FALSE),0)</f>
        <v>0.70998399999999995</v>
      </c>
      <c r="Z153" s="91">
        <v>0</v>
      </c>
      <c r="AA153" s="91">
        <v>0</v>
      </c>
      <c r="AB153" s="91">
        <v>0</v>
      </c>
      <c r="AC153" s="91">
        <v>0</v>
      </c>
      <c r="AD153" s="97">
        <f>PV(1.03,20,-VaBenefits[[#This Row],[Protected Income Payment]])</f>
        <v>0</v>
      </c>
      <c r="AE153" s="130">
        <f>IF((AND(VaBenefits[[#This Row],[Is Anniversary?]],VaBenefits[[#This Row],[Assumed Contract Value ]]&lt;75000)),-50,0)</f>
        <v>0</v>
      </c>
      <c r="AF153" s="133">
        <f>VaBenefits[[#This Row],[Assumed Contract Value ]]*-1.15%/4</f>
        <v>0</v>
      </c>
      <c r="AG153" s="129">
        <v>0</v>
      </c>
      <c r="AH153" s="131">
        <f>VaBenefits[[#This Row],[Maintenace Fee]]+VaBenefits[[#This Row],[Separate Account Charge]]+VaBenefits[[#This Row],[Rider Fee]]</f>
        <v>0</v>
      </c>
      <c r="AR153" s="23">
        <f t="shared" si="21"/>
        <v>72.5</v>
      </c>
      <c r="AS153" s="24">
        <v>0</v>
      </c>
      <c r="AT153" s="24">
        <v>0</v>
      </c>
      <c r="AU153" s="22">
        <v>0</v>
      </c>
      <c r="AV153" s="16">
        <v>0</v>
      </c>
      <c r="AW153" s="14">
        <v>299982</v>
      </c>
      <c r="AX153" s="15">
        <v>0</v>
      </c>
      <c r="AY153" s="15">
        <v>0</v>
      </c>
      <c r="AZ153" s="14">
        <v>0</v>
      </c>
      <c r="BA153" s="17">
        <v>11999</v>
      </c>
    </row>
    <row r="154" spans="1:53" ht="15" thickBot="1" x14ac:dyDescent="0.35">
      <c r="A154" s="32">
        <f t="shared" si="19"/>
        <v>146</v>
      </c>
      <c r="B154" s="29">
        <f t="shared" si="20"/>
        <v>36.5</v>
      </c>
      <c r="C154" s="29" t="b">
        <f>AND(VaBenefits[[#This Row],[timeFromValuation]]&gt;=ACT,VaBenefits[[#This Row],[Assumed Contract Value ]]&gt;0)</f>
        <v>0</v>
      </c>
      <c r="D154" s="20">
        <v>0</v>
      </c>
      <c r="E154" s="20">
        <v>0</v>
      </c>
      <c r="F154" s="20">
        <v>0</v>
      </c>
      <c r="G154" s="96">
        <f>ROUND($G$8+VaBenefits[[#This Row],[timeFromValuation]],0)</f>
        <v>92</v>
      </c>
      <c r="H154" s="20">
        <f>ROUND($H$8+VaBenefits[[#This Row],[timeFromValuation]],0)</f>
        <v>102</v>
      </c>
      <c r="I154" s="27" t="b">
        <f>VaBenefits[[#This Row],[Withdrawal Taken  ]]&gt;0</f>
        <v>0</v>
      </c>
      <c r="J154" s="41">
        <f>IF(AND(NOT(VaBenefits[[#This Row],[Is Activation]]),VaBenefits[[#This Row],[Assumed Contract Value ]]&gt;0),VaBenefits[[#This Row],[Withdrawal Taken  ]]/VaBenefits[[#This Row],[Assumed Contract Value ]],0)</f>
        <v>0</v>
      </c>
      <c r="K15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4" s="27" t="b">
        <f ca="1">AND(VaBenefits[[#This Row],[Is Activation]],SUMIFS($E$8:$E154,$C$8:$C154,TRUE)&gt;0)</f>
        <v>0</v>
      </c>
      <c r="M15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4" s="32" t="b">
        <f>IF(VaBenefits[[#This Row],[timeFromValuation]]=0,0, MOD(VaBenefits[[#This Row],[timeFromValuation]],1)=0)</f>
        <v>0</v>
      </c>
      <c r="O154" s="7">
        <f>IF(VaBenefits[[#This Row],[Is Anniversary?]]=TRUE,VaBenefits[[#This Row],[Assumed Contract Value ]],0)</f>
        <v>0</v>
      </c>
      <c r="P15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4" s="7" t="b">
        <f>VaBenefits[[#This Row],[Assumed Contract Value ]]&lt;0.1</f>
        <v>1</v>
      </c>
      <c r="R15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4" s="7">
        <f ca="1">IF(AND(VaBenefits[[#This Row],[Is Activation]]=FALSE,VaBenefits[[#This Row],[Is Anniversary?]]=TRUE),OFFSET( VaBenefits[[#This Row],[Income Credit Base]],-1,0)*ICP,0)</f>
        <v>0</v>
      </c>
      <c r="T154" s="5">
        <f>IF(VaBenefits[[#This Row],[Assumed Contract Value ]]&gt;0,VaBenefits[[#This Row],[Income Base]]*MAWA,0)</f>
        <v>0</v>
      </c>
      <c r="U154" s="95">
        <v>0</v>
      </c>
      <c r="V154" s="8">
        <f>1/(1+InterestRate)^VaBenefits[[#This Row],[timeFromValuation]]</f>
        <v>0.1684963835242288</v>
      </c>
      <c r="W154" s="90">
        <f>VaBenefits[[#This Row],[timeFromValuation]]</f>
        <v>36.5</v>
      </c>
      <c r="X154" s="91">
        <f>IF(($G$8+VaBenefits[[#This Row],[timeFromValuation]])&lt;=120,VLOOKUP(G154,Table2[],Qx!L$6,FALSE),0)</f>
        <v>0.89273099999999994</v>
      </c>
      <c r="Y154" s="91">
        <f>IF(($H$8+VaBenefits[[#This Row],[timeFromValuation]])&lt;=120,VLOOKUP(H154,Table2[],Qx!M$6,FALSE),0)</f>
        <v>0.68815099999999996</v>
      </c>
      <c r="Z154" s="91">
        <v>0</v>
      </c>
      <c r="AA154" s="91">
        <v>0</v>
      </c>
      <c r="AB154" s="91">
        <v>0</v>
      </c>
      <c r="AC154" s="91">
        <v>0</v>
      </c>
      <c r="AD154" s="97">
        <f>PV(1.03,20,-VaBenefits[[#This Row],[Protected Income Payment]])</f>
        <v>0</v>
      </c>
      <c r="AE154" s="130">
        <f>IF((AND(VaBenefits[[#This Row],[Is Anniversary?]],VaBenefits[[#This Row],[Assumed Contract Value ]]&lt;75000)),-50,0)</f>
        <v>0</v>
      </c>
      <c r="AF154" s="133">
        <f>VaBenefits[[#This Row],[Assumed Contract Value ]]*-1.15%/4</f>
        <v>0</v>
      </c>
      <c r="AG154" s="129">
        <v>0</v>
      </c>
      <c r="AH154" s="131">
        <f>VaBenefits[[#This Row],[Maintenace Fee]]+VaBenefits[[#This Row],[Separate Account Charge]]+VaBenefits[[#This Row],[Rider Fee]]</f>
        <v>0</v>
      </c>
      <c r="AR154" s="23">
        <f t="shared" si="21"/>
        <v>73</v>
      </c>
      <c r="AS154" s="24">
        <v>0</v>
      </c>
      <c r="AT154" s="24">
        <v>0</v>
      </c>
      <c r="AU154" s="22">
        <v>0</v>
      </c>
      <c r="AV154" s="16">
        <v>0</v>
      </c>
      <c r="AW154" s="14">
        <v>299982</v>
      </c>
      <c r="AX154" s="15">
        <v>0</v>
      </c>
      <c r="AY154" s="15">
        <v>0</v>
      </c>
      <c r="AZ154" s="14">
        <v>0</v>
      </c>
      <c r="BA154" s="17">
        <v>11999</v>
      </c>
    </row>
    <row r="155" spans="1:53" ht="15" thickBot="1" x14ac:dyDescent="0.35">
      <c r="A155" s="32">
        <f t="shared" si="19"/>
        <v>147</v>
      </c>
      <c r="B155" s="29">
        <f t="shared" si="20"/>
        <v>36.75</v>
      </c>
      <c r="C155" s="29" t="b">
        <f>AND(VaBenefits[[#This Row],[timeFromValuation]]&gt;=ACT,VaBenefits[[#This Row],[Assumed Contract Value ]]&gt;0)</f>
        <v>0</v>
      </c>
      <c r="D155" s="20">
        <v>0</v>
      </c>
      <c r="E155" s="20">
        <v>0</v>
      </c>
      <c r="F155" s="20">
        <v>0</v>
      </c>
      <c r="G155" s="96">
        <f>ROUND($G$8+VaBenefits[[#This Row],[timeFromValuation]],0)</f>
        <v>92</v>
      </c>
      <c r="H155" s="20">
        <f>ROUND($H$8+VaBenefits[[#This Row],[timeFromValuation]],0)</f>
        <v>102</v>
      </c>
      <c r="I155" s="27" t="b">
        <f>VaBenefits[[#This Row],[Withdrawal Taken  ]]&gt;0</f>
        <v>0</v>
      </c>
      <c r="J155" s="41">
        <f>IF(AND(NOT(VaBenefits[[#This Row],[Is Activation]]),VaBenefits[[#This Row],[Assumed Contract Value ]]&gt;0),VaBenefits[[#This Row],[Withdrawal Taken  ]]/VaBenefits[[#This Row],[Assumed Contract Value ]],0)</f>
        <v>0</v>
      </c>
      <c r="K15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5" s="27" t="b">
        <f ca="1">AND(VaBenefits[[#This Row],[Is Activation]],SUMIFS($E$8:$E155,$C$8:$C155,TRUE)&gt;0)</f>
        <v>0</v>
      </c>
      <c r="M15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5" s="32" t="b">
        <f>IF(VaBenefits[[#This Row],[timeFromValuation]]=0,0, MOD(VaBenefits[[#This Row],[timeFromValuation]],1)=0)</f>
        <v>0</v>
      </c>
      <c r="O155" s="7">
        <f>IF(VaBenefits[[#This Row],[Is Anniversary?]]=TRUE,VaBenefits[[#This Row],[Assumed Contract Value ]],0)</f>
        <v>0</v>
      </c>
      <c r="P15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5" s="7" t="b">
        <f>VaBenefits[[#This Row],[Assumed Contract Value ]]&lt;0.1</f>
        <v>1</v>
      </c>
      <c r="R15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5" s="7">
        <f ca="1">IF(AND(VaBenefits[[#This Row],[Is Activation]]=FALSE,VaBenefits[[#This Row],[Is Anniversary?]]=TRUE),OFFSET( VaBenefits[[#This Row],[Income Credit Base]],-1,0)*ICP,0)</f>
        <v>0</v>
      </c>
      <c r="T155" s="5">
        <f>IF(VaBenefits[[#This Row],[Assumed Contract Value ]]&gt;0,VaBenefits[[#This Row],[Income Base]]*MAWA,0)</f>
        <v>0</v>
      </c>
      <c r="U155" s="95">
        <v>0</v>
      </c>
      <c r="V155" s="8">
        <f>1/(1+InterestRate)^VaBenefits[[#This Row],[timeFromValuation]]</f>
        <v>0.1664536256091893</v>
      </c>
      <c r="W155" s="90">
        <f>VaBenefits[[#This Row],[timeFromValuation]]</f>
        <v>36.75</v>
      </c>
      <c r="X155" s="91">
        <f>IF(($G$8+VaBenefits[[#This Row],[timeFromValuation]])&lt;=120,VLOOKUP(G155,Table2[],Qx!L$6,FALSE),0)</f>
        <v>0.89273099999999994</v>
      </c>
      <c r="Y155" s="91">
        <f>IF(($H$8+VaBenefits[[#This Row],[timeFromValuation]])&lt;=120,VLOOKUP(H155,Table2[],Qx!M$6,FALSE),0)</f>
        <v>0.68815099999999996</v>
      </c>
      <c r="Z155" s="91">
        <v>0</v>
      </c>
      <c r="AA155" s="91">
        <v>0</v>
      </c>
      <c r="AB155" s="91">
        <v>0</v>
      </c>
      <c r="AC155" s="91">
        <v>0</v>
      </c>
      <c r="AD155" s="97">
        <f>PV(1.03,20,-VaBenefits[[#This Row],[Protected Income Payment]])</f>
        <v>0</v>
      </c>
      <c r="AE155" s="130">
        <f>IF((AND(VaBenefits[[#This Row],[Is Anniversary?]],VaBenefits[[#This Row],[Assumed Contract Value ]]&lt;75000)),-50,0)</f>
        <v>0</v>
      </c>
      <c r="AF155" s="133">
        <f>VaBenefits[[#This Row],[Assumed Contract Value ]]*-1.15%/4</f>
        <v>0</v>
      </c>
      <c r="AG155" s="129">
        <v>0</v>
      </c>
      <c r="AH155" s="131">
        <f>VaBenefits[[#This Row],[Maintenace Fee]]+VaBenefits[[#This Row],[Separate Account Charge]]+VaBenefits[[#This Row],[Rider Fee]]</f>
        <v>0</v>
      </c>
      <c r="AR155" s="23">
        <f t="shared" si="21"/>
        <v>73.5</v>
      </c>
      <c r="AS155" s="24">
        <v>0</v>
      </c>
      <c r="AT155" s="24">
        <v>0</v>
      </c>
      <c r="AU155" s="22">
        <v>0</v>
      </c>
      <c r="AV155" s="16">
        <v>0</v>
      </c>
      <c r="AW155" s="14">
        <v>299982</v>
      </c>
      <c r="AX155" s="15">
        <v>0</v>
      </c>
      <c r="AY155" s="15">
        <v>0</v>
      </c>
      <c r="AZ155" s="14">
        <v>0</v>
      </c>
      <c r="BA155" s="17">
        <v>11999</v>
      </c>
    </row>
    <row r="156" spans="1:53" ht="15" thickBot="1" x14ac:dyDescent="0.35">
      <c r="A156" s="32">
        <f t="shared" si="19"/>
        <v>148</v>
      </c>
      <c r="B156" s="29">
        <f t="shared" si="20"/>
        <v>37</v>
      </c>
      <c r="C156" s="29" t="b">
        <f>AND(VaBenefits[[#This Row],[timeFromValuation]]&gt;=ACT,VaBenefits[[#This Row],[Assumed Contract Value ]]&gt;0)</f>
        <v>0</v>
      </c>
      <c r="D156" s="20">
        <v>0</v>
      </c>
      <c r="E156" s="20">
        <v>0</v>
      </c>
      <c r="F156" s="20">
        <v>0</v>
      </c>
      <c r="G156" s="96">
        <f>ROUND($G$8+VaBenefits[[#This Row],[timeFromValuation]],0)</f>
        <v>92</v>
      </c>
      <c r="H156" s="20">
        <f>ROUND($H$8+VaBenefits[[#This Row],[timeFromValuation]],0)</f>
        <v>102</v>
      </c>
      <c r="I156" s="27" t="b">
        <f>VaBenefits[[#This Row],[Withdrawal Taken  ]]&gt;0</f>
        <v>0</v>
      </c>
      <c r="J156" s="41">
        <f>IF(AND(NOT(VaBenefits[[#This Row],[Is Activation]]),VaBenefits[[#This Row],[Assumed Contract Value ]]&gt;0),VaBenefits[[#This Row],[Withdrawal Taken  ]]/VaBenefits[[#This Row],[Assumed Contract Value ]],0)</f>
        <v>0</v>
      </c>
      <c r="K15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6" s="27" t="b">
        <f ca="1">AND(VaBenefits[[#This Row],[Is Activation]],SUMIFS($E$8:$E156,$C$8:$C156,TRUE)&gt;0)</f>
        <v>0</v>
      </c>
      <c r="M15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6" s="32" t="b">
        <f>IF(VaBenefits[[#This Row],[timeFromValuation]]=0,0, MOD(VaBenefits[[#This Row],[timeFromValuation]],1)=0)</f>
        <v>1</v>
      </c>
      <c r="O156" s="7">
        <f>IF(VaBenefits[[#This Row],[Is Anniversary?]]=TRUE,VaBenefits[[#This Row],[Assumed Contract Value ]],0)</f>
        <v>0</v>
      </c>
      <c r="P15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6" s="7" t="b">
        <f>VaBenefits[[#This Row],[Assumed Contract Value ]]&lt;0.1</f>
        <v>1</v>
      </c>
      <c r="R15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6" s="7">
        <f ca="1">IF(AND(VaBenefits[[#This Row],[Is Activation]]=FALSE,VaBenefits[[#This Row],[Is Anniversary?]]=TRUE),OFFSET( VaBenefits[[#This Row],[Income Credit Base]],-1,0)*ICP,0)</f>
        <v>0</v>
      </c>
      <c r="T156" s="5">
        <f>IF(VaBenefits[[#This Row],[Assumed Contract Value ]]&gt;0,VaBenefits[[#This Row],[Income Base]]*MAWA,0)</f>
        <v>0</v>
      </c>
      <c r="U156" s="95">
        <v>0</v>
      </c>
      <c r="V156" s="8">
        <f>1/(1+InterestRate)^VaBenefits[[#This Row],[timeFromValuation]]</f>
        <v>0.1644356329728591</v>
      </c>
      <c r="W156" s="90">
        <f>VaBenefits[[#This Row],[timeFromValuation]]</f>
        <v>37</v>
      </c>
      <c r="X156" s="91">
        <f>IF(($G$8+VaBenefits[[#This Row],[timeFromValuation]])&lt;=120,VLOOKUP(G156,Table2[],Qx!L$6,FALSE),0)</f>
        <v>0.89273099999999994</v>
      </c>
      <c r="Y156" s="91">
        <f>IF(($H$8+VaBenefits[[#This Row],[timeFromValuation]])&lt;=120,VLOOKUP(H156,Table2[],Qx!M$6,FALSE),0)</f>
        <v>0.68815099999999996</v>
      </c>
      <c r="Z156" s="91">
        <v>0</v>
      </c>
      <c r="AA156" s="91">
        <v>0</v>
      </c>
      <c r="AB156" s="91">
        <v>0</v>
      </c>
      <c r="AC156" s="91">
        <v>0</v>
      </c>
      <c r="AD156" s="97">
        <f>PV(1.03,20,-VaBenefits[[#This Row],[Protected Income Payment]])</f>
        <v>0</v>
      </c>
      <c r="AE156" s="130">
        <f>IF((AND(VaBenefits[[#This Row],[Is Anniversary?]],VaBenefits[[#This Row],[Assumed Contract Value ]]&lt;75000)),-50,0)</f>
        <v>-50</v>
      </c>
      <c r="AF156" s="133">
        <f>VaBenefits[[#This Row],[Assumed Contract Value ]]*-1.15%/4</f>
        <v>0</v>
      </c>
      <c r="AG156" s="129">
        <v>0</v>
      </c>
      <c r="AH156" s="131">
        <f>VaBenefits[[#This Row],[Maintenace Fee]]+VaBenefits[[#This Row],[Separate Account Charge]]+VaBenefits[[#This Row],[Rider Fee]]</f>
        <v>-50</v>
      </c>
      <c r="AR156" s="23">
        <f t="shared" si="21"/>
        <v>74</v>
      </c>
      <c r="AS156" s="24">
        <v>0</v>
      </c>
      <c r="AT156" s="24">
        <v>0</v>
      </c>
      <c r="AU156" s="22">
        <v>0</v>
      </c>
      <c r="AV156" s="16">
        <v>0</v>
      </c>
      <c r="AW156" s="14">
        <v>299982</v>
      </c>
      <c r="AX156" s="15">
        <v>0</v>
      </c>
      <c r="AY156" s="15">
        <v>0</v>
      </c>
      <c r="AZ156" s="14">
        <v>0</v>
      </c>
      <c r="BA156" s="17">
        <v>11999</v>
      </c>
    </row>
    <row r="157" spans="1:53" ht="15" thickBot="1" x14ac:dyDescent="0.35">
      <c r="A157" s="32">
        <f t="shared" si="19"/>
        <v>149</v>
      </c>
      <c r="B157" s="29">
        <f t="shared" si="20"/>
        <v>37.25</v>
      </c>
      <c r="C157" s="29" t="b">
        <f>AND(VaBenefits[[#This Row],[timeFromValuation]]&gt;=ACT,VaBenefits[[#This Row],[Assumed Contract Value ]]&gt;0)</f>
        <v>0</v>
      </c>
      <c r="D157" s="20">
        <v>0</v>
      </c>
      <c r="E157" s="20">
        <v>0</v>
      </c>
      <c r="F157" s="20">
        <v>0</v>
      </c>
      <c r="G157" s="96">
        <f>ROUND($G$8+VaBenefits[[#This Row],[timeFromValuation]],0)</f>
        <v>92</v>
      </c>
      <c r="H157" s="20">
        <f>ROUND($H$8+VaBenefits[[#This Row],[timeFromValuation]],0)</f>
        <v>102</v>
      </c>
      <c r="I157" s="27" t="b">
        <f>VaBenefits[[#This Row],[Withdrawal Taken  ]]&gt;0</f>
        <v>0</v>
      </c>
      <c r="J157" s="41">
        <f>IF(AND(NOT(VaBenefits[[#This Row],[Is Activation]]),VaBenefits[[#This Row],[Assumed Contract Value ]]&gt;0),VaBenefits[[#This Row],[Withdrawal Taken  ]]/VaBenefits[[#This Row],[Assumed Contract Value ]],0)</f>
        <v>0</v>
      </c>
      <c r="K15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7" s="27" t="b">
        <f ca="1">AND(VaBenefits[[#This Row],[Is Activation]],SUMIFS($E$8:$E157,$C$8:$C157,TRUE)&gt;0)</f>
        <v>0</v>
      </c>
      <c r="M15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7" s="32" t="b">
        <f>IF(VaBenefits[[#This Row],[timeFromValuation]]=0,0, MOD(VaBenefits[[#This Row],[timeFromValuation]],1)=0)</f>
        <v>0</v>
      </c>
      <c r="O157" s="7">
        <f>IF(VaBenefits[[#This Row],[Is Anniversary?]]=TRUE,VaBenefits[[#This Row],[Assumed Contract Value ]],0)</f>
        <v>0</v>
      </c>
      <c r="P15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7" s="7" t="b">
        <f>VaBenefits[[#This Row],[Assumed Contract Value ]]&lt;0.1</f>
        <v>1</v>
      </c>
      <c r="R15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7" s="7">
        <f ca="1">IF(AND(VaBenefits[[#This Row],[Is Activation]]=FALSE,VaBenefits[[#This Row],[Is Anniversary?]]=TRUE),OFFSET( VaBenefits[[#This Row],[Income Credit Base]],-1,0)*ICP,0)</f>
        <v>0</v>
      </c>
      <c r="T157" s="5">
        <f>IF(VaBenefits[[#This Row],[Assumed Contract Value ]]&gt;0,VaBenefits[[#This Row],[Income Base]]*MAWA,0)</f>
        <v>0</v>
      </c>
      <c r="U157" s="95">
        <v>0</v>
      </c>
      <c r="V157" s="8">
        <f>1/(1+InterestRate)^VaBenefits[[#This Row],[timeFromValuation]]</f>
        <v>0.16244210537455567</v>
      </c>
      <c r="W157" s="90">
        <f>VaBenefits[[#This Row],[timeFromValuation]]</f>
        <v>37.25</v>
      </c>
      <c r="X157" s="91">
        <f>IF(($G$8+VaBenefits[[#This Row],[timeFromValuation]])&lt;=120,VLOOKUP(G157,Table2[],Qx!L$6,FALSE),0)</f>
        <v>0.89273099999999994</v>
      </c>
      <c r="Y157" s="91">
        <f>IF(($H$8+VaBenefits[[#This Row],[timeFromValuation]])&lt;=120,VLOOKUP(H157,Table2[],Qx!M$6,FALSE),0)</f>
        <v>0.68815099999999996</v>
      </c>
      <c r="Z157" s="91">
        <v>0</v>
      </c>
      <c r="AA157" s="91">
        <v>0</v>
      </c>
      <c r="AB157" s="91">
        <v>0</v>
      </c>
      <c r="AC157" s="91">
        <v>0</v>
      </c>
      <c r="AD157" s="97">
        <f>PV(1.03,20,-VaBenefits[[#This Row],[Protected Income Payment]])</f>
        <v>0</v>
      </c>
      <c r="AE157" s="130">
        <f>IF((AND(VaBenefits[[#This Row],[Is Anniversary?]],VaBenefits[[#This Row],[Assumed Contract Value ]]&lt;75000)),-50,0)</f>
        <v>0</v>
      </c>
      <c r="AF157" s="133">
        <f>VaBenefits[[#This Row],[Assumed Contract Value ]]*-1.15%/4</f>
        <v>0</v>
      </c>
      <c r="AG157" s="129">
        <v>0</v>
      </c>
      <c r="AH157" s="131">
        <f>VaBenefits[[#This Row],[Maintenace Fee]]+VaBenefits[[#This Row],[Separate Account Charge]]+VaBenefits[[#This Row],[Rider Fee]]</f>
        <v>0</v>
      </c>
      <c r="AR157" s="23">
        <f t="shared" si="21"/>
        <v>74.5</v>
      </c>
      <c r="AS157" s="24">
        <v>0</v>
      </c>
      <c r="AT157" s="24">
        <v>0</v>
      </c>
      <c r="AU157" s="22">
        <v>0</v>
      </c>
      <c r="AV157" s="16">
        <v>0</v>
      </c>
      <c r="AW157" s="14">
        <v>299982</v>
      </c>
      <c r="AX157" s="15">
        <v>0</v>
      </c>
      <c r="AY157" s="15">
        <v>0</v>
      </c>
      <c r="AZ157" s="14">
        <v>0</v>
      </c>
      <c r="BA157" s="17">
        <v>11999</v>
      </c>
    </row>
    <row r="158" spans="1:53" ht="15" thickBot="1" x14ac:dyDescent="0.35">
      <c r="A158" s="32">
        <f t="shared" si="19"/>
        <v>150</v>
      </c>
      <c r="B158" s="29">
        <f t="shared" si="20"/>
        <v>37.5</v>
      </c>
      <c r="C158" s="29" t="b">
        <f>AND(VaBenefits[[#This Row],[timeFromValuation]]&gt;=ACT,VaBenefits[[#This Row],[Assumed Contract Value ]]&gt;0)</f>
        <v>0</v>
      </c>
      <c r="D158" s="20">
        <v>0</v>
      </c>
      <c r="E158" s="20">
        <v>0</v>
      </c>
      <c r="F158" s="20">
        <v>0</v>
      </c>
      <c r="G158" s="96">
        <f>ROUND($G$8+VaBenefits[[#This Row],[timeFromValuation]],0)</f>
        <v>93</v>
      </c>
      <c r="H158" s="20">
        <f>ROUND($H$8+VaBenefits[[#This Row],[timeFromValuation]],0)</f>
        <v>103</v>
      </c>
      <c r="I158" s="27" t="b">
        <f>VaBenefits[[#This Row],[Withdrawal Taken  ]]&gt;0</f>
        <v>0</v>
      </c>
      <c r="J158" s="41">
        <f>IF(AND(NOT(VaBenefits[[#This Row],[Is Activation]]),VaBenefits[[#This Row],[Assumed Contract Value ]]&gt;0),VaBenefits[[#This Row],[Withdrawal Taken  ]]/VaBenefits[[#This Row],[Assumed Contract Value ]],0)</f>
        <v>0</v>
      </c>
      <c r="K15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8" s="27" t="b">
        <f ca="1">AND(VaBenefits[[#This Row],[Is Activation]],SUMIFS($E$8:$E158,$C$8:$C158,TRUE)&gt;0)</f>
        <v>0</v>
      </c>
      <c r="M15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8" s="32" t="b">
        <f>IF(VaBenefits[[#This Row],[timeFromValuation]]=0,0, MOD(VaBenefits[[#This Row],[timeFromValuation]],1)=0)</f>
        <v>0</v>
      </c>
      <c r="O158" s="7">
        <f>IF(VaBenefits[[#This Row],[Is Anniversary?]]=TRUE,VaBenefits[[#This Row],[Assumed Contract Value ]],0)</f>
        <v>0</v>
      </c>
      <c r="P15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8" s="7" t="b">
        <f>VaBenefits[[#This Row],[Assumed Contract Value ]]&lt;0.1</f>
        <v>1</v>
      </c>
      <c r="R15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8" s="7">
        <f ca="1">IF(AND(VaBenefits[[#This Row],[Is Activation]]=FALSE,VaBenefits[[#This Row],[Is Anniversary?]]=TRUE),OFFSET( VaBenefits[[#This Row],[Income Credit Base]],-1,0)*ICP,0)</f>
        <v>0</v>
      </c>
      <c r="T158" s="5">
        <f>IF(VaBenefits[[#This Row],[Assumed Contract Value ]]&gt;0,VaBenefits[[#This Row],[Income Base]]*MAWA,0)</f>
        <v>0</v>
      </c>
      <c r="U158" s="95">
        <v>0</v>
      </c>
      <c r="V158" s="8">
        <f>1/(1+InterestRate)^VaBenefits[[#This Row],[timeFromValuation]]</f>
        <v>0.16047274621355123</v>
      </c>
      <c r="W158" s="90">
        <f>VaBenefits[[#This Row],[timeFromValuation]]</f>
        <v>37.5</v>
      </c>
      <c r="X158" s="91">
        <f>IF(($G$8+VaBenefits[[#This Row],[timeFromValuation]])&lt;=120,VLOOKUP(G158,Table2[],Qx!L$6,FALSE),0)</f>
        <v>0.881799</v>
      </c>
      <c r="Y158" s="91">
        <f>IF(($H$8+VaBenefits[[#This Row],[timeFromValuation]])&lt;=120,VLOOKUP(H158,Table2[],Qx!M$6,FALSE),0)</f>
        <v>0.66603800000000002</v>
      </c>
      <c r="Z158" s="91">
        <v>0</v>
      </c>
      <c r="AA158" s="91">
        <v>0</v>
      </c>
      <c r="AB158" s="91">
        <v>0</v>
      </c>
      <c r="AC158" s="91">
        <v>0</v>
      </c>
      <c r="AD158" s="97">
        <f>PV(1.03,20,-VaBenefits[[#This Row],[Protected Income Payment]])</f>
        <v>0</v>
      </c>
      <c r="AE158" s="130">
        <f>IF((AND(VaBenefits[[#This Row],[Is Anniversary?]],VaBenefits[[#This Row],[Assumed Contract Value ]]&lt;75000)),-50,0)</f>
        <v>0</v>
      </c>
      <c r="AF158" s="133">
        <f>VaBenefits[[#This Row],[Assumed Contract Value ]]*-1.15%/4</f>
        <v>0</v>
      </c>
      <c r="AG158" s="129">
        <v>0</v>
      </c>
      <c r="AH158" s="131">
        <f>VaBenefits[[#This Row],[Maintenace Fee]]+VaBenefits[[#This Row],[Separate Account Charge]]+VaBenefits[[#This Row],[Rider Fee]]</f>
        <v>0</v>
      </c>
      <c r="AR158" s="23">
        <f t="shared" si="21"/>
        <v>75</v>
      </c>
      <c r="AS158" s="24">
        <v>0</v>
      </c>
      <c r="AT158" s="24">
        <v>0</v>
      </c>
      <c r="AU158" s="22">
        <v>0</v>
      </c>
      <c r="AV158" s="16">
        <v>0</v>
      </c>
      <c r="AW158" s="14">
        <v>299982</v>
      </c>
      <c r="AX158" s="15">
        <v>0</v>
      </c>
      <c r="AY158" s="15">
        <v>0</v>
      </c>
      <c r="AZ158" s="14">
        <v>0</v>
      </c>
      <c r="BA158" s="17">
        <v>11999</v>
      </c>
    </row>
    <row r="159" spans="1:53" ht="15" thickBot="1" x14ac:dyDescent="0.35">
      <c r="A159" s="32">
        <f t="shared" si="19"/>
        <v>151</v>
      </c>
      <c r="B159" s="29">
        <f t="shared" si="20"/>
        <v>37.75</v>
      </c>
      <c r="C159" s="29" t="b">
        <f>AND(VaBenefits[[#This Row],[timeFromValuation]]&gt;=ACT,VaBenefits[[#This Row],[Assumed Contract Value ]]&gt;0)</f>
        <v>0</v>
      </c>
      <c r="D159" s="20">
        <v>0</v>
      </c>
      <c r="E159" s="20">
        <v>0</v>
      </c>
      <c r="F159" s="20">
        <v>0</v>
      </c>
      <c r="G159" s="96">
        <f>ROUND($G$8+VaBenefits[[#This Row],[timeFromValuation]],0)</f>
        <v>93</v>
      </c>
      <c r="H159" s="20">
        <f>ROUND($H$8+VaBenefits[[#This Row],[timeFromValuation]],0)</f>
        <v>103</v>
      </c>
      <c r="I159" s="27" t="b">
        <f>VaBenefits[[#This Row],[Withdrawal Taken  ]]&gt;0</f>
        <v>0</v>
      </c>
      <c r="J159" s="41">
        <f>IF(AND(NOT(VaBenefits[[#This Row],[Is Activation]]),VaBenefits[[#This Row],[Assumed Contract Value ]]&gt;0),VaBenefits[[#This Row],[Withdrawal Taken  ]]/VaBenefits[[#This Row],[Assumed Contract Value ]],0)</f>
        <v>0</v>
      </c>
      <c r="K15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9" s="27" t="b">
        <f ca="1">AND(VaBenefits[[#This Row],[Is Activation]],SUMIFS($E$8:$E159,$C$8:$C159,TRUE)&gt;0)</f>
        <v>0</v>
      </c>
      <c r="M15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9" s="32" t="b">
        <f>IF(VaBenefits[[#This Row],[timeFromValuation]]=0,0, MOD(VaBenefits[[#This Row],[timeFromValuation]],1)=0)</f>
        <v>0</v>
      </c>
      <c r="O159" s="7">
        <f>IF(VaBenefits[[#This Row],[Is Anniversary?]]=TRUE,VaBenefits[[#This Row],[Assumed Contract Value ]],0)</f>
        <v>0</v>
      </c>
      <c r="P15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9" s="7" t="b">
        <f>VaBenefits[[#This Row],[Assumed Contract Value ]]&lt;0.1</f>
        <v>1</v>
      </c>
      <c r="R15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9" s="7">
        <f ca="1">IF(AND(VaBenefits[[#This Row],[Is Activation]]=FALSE,VaBenefits[[#This Row],[Is Anniversary?]]=TRUE),OFFSET( VaBenefits[[#This Row],[Income Credit Base]],-1,0)*ICP,0)</f>
        <v>0</v>
      </c>
      <c r="T159" s="5">
        <f>IF(VaBenefits[[#This Row],[Assumed Contract Value ]]&gt;0,VaBenefits[[#This Row],[Income Base]]*MAWA,0)</f>
        <v>0</v>
      </c>
      <c r="U159" s="95">
        <v>0</v>
      </c>
      <c r="V159" s="8">
        <f>1/(1+InterestRate)^VaBenefits[[#This Row],[timeFromValuation]]</f>
        <v>0.1585272624849422</v>
      </c>
      <c r="W159" s="90">
        <f>VaBenefits[[#This Row],[timeFromValuation]]</f>
        <v>37.75</v>
      </c>
      <c r="X159" s="91">
        <f>IF(($G$8+VaBenefits[[#This Row],[timeFromValuation]])&lt;=120,VLOOKUP(G159,Table2[],Qx!L$6,FALSE),0)</f>
        <v>0.881799</v>
      </c>
      <c r="Y159" s="91">
        <f>IF(($H$8+VaBenefits[[#This Row],[timeFromValuation]])&lt;=120,VLOOKUP(H159,Table2[],Qx!M$6,FALSE),0)</f>
        <v>0.66603800000000002</v>
      </c>
      <c r="Z159" s="91">
        <v>0</v>
      </c>
      <c r="AA159" s="91">
        <v>0</v>
      </c>
      <c r="AB159" s="91">
        <v>0</v>
      </c>
      <c r="AC159" s="91">
        <v>0</v>
      </c>
      <c r="AD159" s="97">
        <f>PV(1.03,20,-VaBenefits[[#This Row],[Protected Income Payment]])</f>
        <v>0</v>
      </c>
      <c r="AE159" s="130">
        <f>IF((AND(VaBenefits[[#This Row],[Is Anniversary?]],VaBenefits[[#This Row],[Assumed Contract Value ]]&lt;75000)),-50,0)</f>
        <v>0</v>
      </c>
      <c r="AF159" s="133">
        <f>VaBenefits[[#This Row],[Assumed Contract Value ]]*-1.15%/4</f>
        <v>0</v>
      </c>
      <c r="AG159" s="129">
        <v>0</v>
      </c>
      <c r="AH159" s="131">
        <f>VaBenefits[[#This Row],[Maintenace Fee]]+VaBenefits[[#This Row],[Separate Account Charge]]+VaBenefits[[#This Row],[Rider Fee]]</f>
        <v>0</v>
      </c>
      <c r="AR159" s="23">
        <f t="shared" si="21"/>
        <v>75.5</v>
      </c>
      <c r="AS159" s="24">
        <v>0</v>
      </c>
      <c r="AT159" s="24">
        <v>0</v>
      </c>
      <c r="AU159" s="22">
        <v>0</v>
      </c>
      <c r="AV159" s="16">
        <v>0</v>
      </c>
      <c r="AW159" s="14">
        <v>299982</v>
      </c>
      <c r="AX159" s="15">
        <v>0</v>
      </c>
      <c r="AY159" s="15">
        <v>0</v>
      </c>
      <c r="AZ159" s="14">
        <v>0</v>
      </c>
      <c r="BA159" s="17">
        <v>11999</v>
      </c>
    </row>
    <row r="160" spans="1:53" ht="15" thickBot="1" x14ac:dyDescent="0.35">
      <c r="A160" s="32">
        <f t="shared" si="19"/>
        <v>152</v>
      </c>
      <c r="B160" s="29">
        <f t="shared" si="20"/>
        <v>38</v>
      </c>
      <c r="C160" s="29" t="b">
        <f>AND(VaBenefits[[#This Row],[timeFromValuation]]&gt;=ACT,VaBenefits[[#This Row],[Assumed Contract Value ]]&gt;0)</f>
        <v>0</v>
      </c>
      <c r="D160" s="20">
        <v>0</v>
      </c>
      <c r="E160" s="20">
        <v>0</v>
      </c>
      <c r="F160" s="20">
        <v>0</v>
      </c>
      <c r="G160" s="96">
        <f>ROUND($G$8+VaBenefits[[#This Row],[timeFromValuation]],0)</f>
        <v>93</v>
      </c>
      <c r="H160" s="20">
        <f>ROUND($H$8+VaBenefits[[#This Row],[timeFromValuation]],0)</f>
        <v>103</v>
      </c>
      <c r="I160" s="27" t="b">
        <f>VaBenefits[[#This Row],[Withdrawal Taken  ]]&gt;0</f>
        <v>0</v>
      </c>
      <c r="J160" s="41">
        <f>IF(AND(NOT(VaBenefits[[#This Row],[Is Activation]]),VaBenefits[[#This Row],[Assumed Contract Value ]]&gt;0),VaBenefits[[#This Row],[Withdrawal Taken  ]]/VaBenefits[[#This Row],[Assumed Contract Value ]],0)</f>
        <v>0</v>
      </c>
      <c r="K16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0" s="27" t="b">
        <f ca="1">AND(VaBenefits[[#This Row],[Is Activation]],SUMIFS($E$8:$E160,$C$8:$C160,TRUE)&gt;0)</f>
        <v>0</v>
      </c>
      <c r="M16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0" s="32" t="b">
        <f>IF(VaBenefits[[#This Row],[timeFromValuation]]=0,0, MOD(VaBenefits[[#This Row],[timeFromValuation]],1)=0)</f>
        <v>1</v>
      </c>
      <c r="O160" s="7">
        <f>IF(VaBenefits[[#This Row],[Is Anniversary?]]=TRUE,VaBenefits[[#This Row],[Assumed Contract Value ]],0)</f>
        <v>0</v>
      </c>
      <c r="P16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0" s="7" t="b">
        <f>VaBenefits[[#This Row],[Assumed Contract Value ]]&lt;0.1</f>
        <v>1</v>
      </c>
      <c r="R16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0" s="7">
        <f ca="1">IF(AND(VaBenefits[[#This Row],[Is Activation]]=FALSE,VaBenefits[[#This Row],[Is Anniversary?]]=TRUE),OFFSET( VaBenefits[[#This Row],[Income Credit Base]],-1,0)*ICP,0)</f>
        <v>0</v>
      </c>
      <c r="T160" s="5">
        <f>IF(VaBenefits[[#This Row],[Assumed Contract Value ]]&gt;0,VaBenefits[[#This Row],[Income Base]]*MAWA,0)</f>
        <v>0</v>
      </c>
      <c r="U160" s="95">
        <v>0</v>
      </c>
      <c r="V160" s="8">
        <f>1/(1+InterestRate)^VaBenefits[[#This Row],[timeFromValuation]]</f>
        <v>0.15660536473605632</v>
      </c>
      <c r="W160" s="90">
        <f>VaBenefits[[#This Row],[timeFromValuation]]</f>
        <v>38</v>
      </c>
      <c r="X160" s="91">
        <f>IF(($G$8+VaBenefits[[#This Row],[timeFromValuation]])&lt;=120,VLOOKUP(G160,Table2[],Qx!L$6,FALSE),0)</f>
        <v>0.881799</v>
      </c>
      <c r="Y160" s="91">
        <f>IF(($H$8+VaBenefits[[#This Row],[timeFromValuation]])&lt;=120,VLOOKUP(H160,Table2[],Qx!M$6,FALSE),0)</f>
        <v>0.66603800000000002</v>
      </c>
      <c r="Z160" s="91">
        <v>0</v>
      </c>
      <c r="AA160" s="91">
        <v>0</v>
      </c>
      <c r="AB160" s="91">
        <v>0</v>
      </c>
      <c r="AC160" s="91">
        <v>0</v>
      </c>
      <c r="AD160" s="97">
        <f>PV(1.03,20,-VaBenefits[[#This Row],[Protected Income Payment]])</f>
        <v>0</v>
      </c>
      <c r="AE160" s="130">
        <f>IF((AND(VaBenefits[[#This Row],[Is Anniversary?]],VaBenefits[[#This Row],[Assumed Contract Value ]]&lt;75000)),-50,0)</f>
        <v>-50</v>
      </c>
      <c r="AF160" s="133">
        <f>VaBenefits[[#This Row],[Assumed Contract Value ]]*-1.15%/4</f>
        <v>0</v>
      </c>
      <c r="AG160" s="129">
        <v>0</v>
      </c>
      <c r="AH160" s="131">
        <f>VaBenefits[[#This Row],[Maintenace Fee]]+VaBenefits[[#This Row],[Separate Account Charge]]+VaBenefits[[#This Row],[Rider Fee]]</f>
        <v>-50</v>
      </c>
      <c r="AR160" s="23">
        <f t="shared" si="21"/>
        <v>76</v>
      </c>
      <c r="AS160" s="24">
        <v>0</v>
      </c>
      <c r="AT160" s="24">
        <v>0</v>
      </c>
      <c r="AU160" s="22">
        <v>0</v>
      </c>
      <c r="AV160" s="16">
        <v>0</v>
      </c>
      <c r="AW160" s="14">
        <v>299982</v>
      </c>
      <c r="AX160" s="15">
        <v>0</v>
      </c>
      <c r="AY160" s="15">
        <v>0</v>
      </c>
      <c r="AZ160" s="14">
        <v>0</v>
      </c>
      <c r="BA160" s="17">
        <v>11999</v>
      </c>
    </row>
    <row r="161" spans="1:53" ht="15" thickBot="1" x14ac:dyDescent="0.35">
      <c r="A161" s="32">
        <f t="shared" si="19"/>
        <v>153</v>
      </c>
      <c r="B161" s="29">
        <f t="shared" si="20"/>
        <v>38.25</v>
      </c>
      <c r="C161" s="29" t="b">
        <f>AND(VaBenefits[[#This Row],[timeFromValuation]]&gt;=ACT,VaBenefits[[#This Row],[Assumed Contract Value ]]&gt;0)</f>
        <v>0</v>
      </c>
      <c r="D161" s="20">
        <v>0</v>
      </c>
      <c r="E161" s="20">
        <v>0</v>
      </c>
      <c r="F161" s="20">
        <v>0</v>
      </c>
      <c r="G161" s="96">
        <f>ROUND($G$8+VaBenefits[[#This Row],[timeFromValuation]],0)</f>
        <v>93</v>
      </c>
      <c r="H161" s="20">
        <f>ROUND($H$8+VaBenefits[[#This Row],[timeFromValuation]],0)</f>
        <v>103</v>
      </c>
      <c r="I161" s="27" t="b">
        <f>VaBenefits[[#This Row],[Withdrawal Taken  ]]&gt;0</f>
        <v>0</v>
      </c>
      <c r="J161" s="41">
        <f>IF(AND(NOT(VaBenefits[[#This Row],[Is Activation]]),VaBenefits[[#This Row],[Assumed Contract Value ]]&gt;0),VaBenefits[[#This Row],[Withdrawal Taken  ]]/VaBenefits[[#This Row],[Assumed Contract Value ]],0)</f>
        <v>0</v>
      </c>
      <c r="K16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1" s="27" t="b">
        <f ca="1">AND(VaBenefits[[#This Row],[Is Activation]],SUMIFS($E$8:$E161,$C$8:$C161,TRUE)&gt;0)</f>
        <v>0</v>
      </c>
      <c r="M16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1" s="32" t="b">
        <f>IF(VaBenefits[[#This Row],[timeFromValuation]]=0,0, MOD(VaBenefits[[#This Row],[timeFromValuation]],1)=0)</f>
        <v>0</v>
      </c>
      <c r="O161" s="7">
        <f>IF(VaBenefits[[#This Row],[Is Anniversary?]]=TRUE,VaBenefits[[#This Row],[Assumed Contract Value ]],0)</f>
        <v>0</v>
      </c>
      <c r="P16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1" s="7" t="b">
        <f>VaBenefits[[#This Row],[Assumed Contract Value ]]&lt;0.1</f>
        <v>1</v>
      </c>
      <c r="R16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1" s="7">
        <f ca="1">IF(AND(VaBenefits[[#This Row],[Is Activation]]=FALSE,VaBenefits[[#This Row],[Is Anniversary?]]=TRUE),OFFSET( VaBenefits[[#This Row],[Income Credit Base]],-1,0)*ICP,0)</f>
        <v>0</v>
      </c>
      <c r="T161" s="5">
        <f>IF(VaBenefits[[#This Row],[Assumed Contract Value ]]&gt;0,VaBenefits[[#This Row],[Income Base]]*MAWA,0)</f>
        <v>0</v>
      </c>
      <c r="U161" s="95">
        <v>0</v>
      </c>
      <c r="V161" s="8">
        <f>1/(1+InterestRate)^VaBenefits[[#This Row],[timeFromValuation]]</f>
        <v>0.15470676702338632</v>
      </c>
      <c r="W161" s="90">
        <f>VaBenefits[[#This Row],[timeFromValuation]]</f>
        <v>38.25</v>
      </c>
      <c r="X161" s="91">
        <f>IF(($G$8+VaBenefits[[#This Row],[timeFromValuation]])&lt;=120,VLOOKUP(G161,Table2[],Qx!L$6,FALSE),0)</f>
        <v>0.881799</v>
      </c>
      <c r="Y161" s="91">
        <f>IF(($H$8+VaBenefits[[#This Row],[timeFromValuation]])&lt;=120,VLOOKUP(H161,Table2[],Qx!M$6,FALSE),0)</f>
        <v>0.66603800000000002</v>
      </c>
      <c r="Z161" s="91">
        <v>0</v>
      </c>
      <c r="AA161" s="91">
        <v>0</v>
      </c>
      <c r="AB161" s="91">
        <v>0</v>
      </c>
      <c r="AC161" s="91">
        <v>0</v>
      </c>
      <c r="AD161" s="97">
        <f>PV(1.03,20,-VaBenefits[[#This Row],[Protected Income Payment]])</f>
        <v>0</v>
      </c>
      <c r="AE161" s="130">
        <f>IF((AND(VaBenefits[[#This Row],[Is Anniversary?]],VaBenefits[[#This Row],[Assumed Contract Value ]]&lt;75000)),-50,0)</f>
        <v>0</v>
      </c>
      <c r="AF161" s="133">
        <f>VaBenefits[[#This Row],[Assumed Contract Value ]]*-1.15%/4</f>
        <v>0</v>
      </c>
      <c r="AG161" s="129">
        <v>0</v>
      </c>
      <c r="AH161" s="131">
        <f>VaBenefits[[#This Row],[Maintenace Fee]]+VaBenefits[[#This Row],[Separate Account Charge]]+VaBenefits[[#This Row],[Rider Fee]]</f>
        <v>0</v>
      </c>
      <c r="AR161" s="23">
        <f t="shared" si="21"/>
        <v>76.5</v>
      </c>
      <c r="AS161" s="24">
        <v>0</v>
      </c>
      <c r="AT161" s="24">
        <v>0</v>
      </c>
      <c r="AU161" s="22">
        <v>0</v>
      </c>
      <c r="AV161" s="16">
        <v>0</v>
      </c>
      <c r="AW161" s="14">
        <v>299982</v>
      </c>
      <c r="AX161" s="15">
        <v>0</v>
      </c>
      <c r="AY161" s="15">
        <v>0</v>
      </c>
      <c r="AZ161" s="14">
        <v>0</v>
      </c>
      <c r="BA161" s="17">
        <v>11999</v>
      </c>
    </row>
    <row r="162" spans="1:53" ht="15" thickBot="1" x14ac:dyDescent="0.35">
      <c r="A162" s="32">
        <f t="shared" si="19"/>
        <v>154</v>
      </c>
      <c r="B162" s="29">
        <f t="shared" si="20"/>
        <v>38.5</v>
      </c>
      <c r="C162" s="29" t="b">
        <f>AND(VaBenefits[[#This Row],[timeFromValuation]]&gt;=ACT,VaBenefits[[#This Row],[Assumed Contract Value ]]&gt;0)</f>
        <v>0</v>
      </c>
      <c r="D162" s="20">
        <v>0</v>
      </c>
      <c r="E162" s="20">
        <v>0</v>
      </c>
      <c r="F162" s="20">
        <v>0</v>
      </c>
      <c r="G162" s="96">
        <f>ROUND($G$8+VaBenefits[[#This Row],[timeFromValuation]],0)</f>
        <v>94</v>
      </c>
      <c r="H162" s="20">
        <f>ROUND($H$8+VaBenefits[[#This Row],[timeFromValuation]],0)</f>
        <v>104</v>
      </c>
      <c r="I162" s="27" t="b">
        <f>VaBenefits[[#This Row],[Withdrawal Taken  ]]&gt;0</f>
        <v>0</v>
      </c>
      <c r="J162" s="41">
        <f>IF(AND(NOT(VaBenefits[[#This Row],[Is Activation]]),VaBenefits[[#This Row],[Assumed Contract Value ]]&gt;0),VaBenefits[[#This Row],[Withdrawal Taken  ]]/VaBenefits[[#This Row],[Assumed Contract Value ]],0)</f>
        <v>0</v>
      </c>
      <c r="K16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2" s="27" t="b">
        <f ca="1">AND(VaBenefits[[#This Row],[Is Activation]],SUMIFS($E$8:$E162,$C$8:$C162,TRUE)&gt;0)</f>
        <v>0</v>
      </c>
      <c r="M16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2" s="32" t="b">
        <f>IF(VaBenefits[[#This Row],[timeFromValuation]]=0,0, MOD(VaBenefits[[#This Row],[timeFromValuation]],1)=0)</f>
        <v>0</v>
      </c>
      <c r="O162" s="7">
        <f>IF(VaBenefits[[#This Row],[Is Anniversary?]]=TRUE,VaBenefits[[#This Row],[Assumed Contract Value ]],0)</f>
        <v>0</v>
      </c>
      <c r="P16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2" s="7" t="b">
        <f>VaBenefits[[#This Row],[Assumed Contract Value ]]&lt;0.1</f>
        <v>1</v>
      </c>
      <c r="R16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2" s="7">
        <f ca="1">IF(AND(VaBenefits[[#This Row],[Is Activation]]=FALSE,VaBenefits[[#This Row],[Is Anniversary?]]=TRUE),OFFSET( VaBenefits[[#This Row],[Income Credit Base]],-1,0)*ICP,0)</f>
        <v>0</v>
      </c>
      <c r="T162" s="5">
        <f>IF(VaBenefits[[#This Row],[Assumed Contract Value ]]&gt;0,VaBenefits[[#This Row],[Income Base]]*MAWA,0)</f>
        <v>0</v>
      </c>
      <c r="U162" s="95">
        <v>0</v>
      </c>
      <c r="V162" s="8">
        <f>1/(1+InterestRate)^VaBenefits[[#This Row],[timeFromValuation]]</f>
        <v>0.15283118687004879</v>
      </c>
      <c r="W162" s="90">
        <f>VaBenefits[[#This Row],[timeFromValuation]]</f>
        <v>38.5</v>
      </c>
      <c r="X162" s="91">
        <f>IF(($G$8+VaBenefits[[#This Row],[timeFromValuation]])&lt;=120,VLOOKUP(G162,Table2[],Qx!L$6,FALSE),0)</f>
        <v>0.869031</v>
      </c>
      <c r="Y162" s="91">
        <f>IF(($H$8+VaBenefits[[#This Row],[timeFromValuation]])&lt;=120,VLOOKUP(H162,Table2[],Qx!M$6,FALSE),0)</f>
        <v>0.64379300000000006</v>
      </c>
      <c r="Z162" s="91">
        <v>0</v>
      </c>
      <c r="AA162" s="91">
        <v>0</v>
      </c>
      <c r="AB162" s="91">
        <v>0</v>
      </c>
      <c r="AC162" s="91">
        <v>0</v>
      </c>
      <c r="AD162" s="97">
        <f>PV(1.03,20,-VaBenefits[[#This Row],[Protected Income Payment]])</f>
        <v>0</v>
      </c>
      <c r="AE162" s="130">
        <f>IF((AND(VaBenefits[[#This Row],[Is Anniversary?]],VaBenefits[[#This Row],[Assumed Contract Value ]]&lt;75000)),-50,0)</f>
        <v>0</v>
      </c>
      <c r="AF162" s="133">
        <f>VaBenefits[[#This Row],[Assumed Contract Value ]]*-1.15%/4</f>
        <v>0</v>
      </c>
      <c r="AG162" s="129">
        <v>0</v>
      </c>
      <c r="AH162" s="131">
        <f>VaBenefits[[#This Row],[Maintenace Fee]]+VaBenefits[[#This Row],[Separate Account Charge]]+VaBenefits[[#This Row],[Rider Fee]]</f>
        <v>0</v>
      </c>
      <c r="AR162" s="23">
        <f t="shared" si="21"/>
        <v>77</v>
      </c>
      <c r="AS162" s="24">
        <v>0</v>
      </c>
      <c r="AT162" s="24">
        <v>0</v>
      </c>
      <c r="AU162" s="22">
        <v>0</v>
      </c>
      <c r="AV162" s="16">
        <v>0</v>
      </c>
      <c r="AW162" s="14">
        <v>299982</v>
      </c>
      <c r="AX162" s="15">
        <v>0</v>
      </c>
      <c r="AY162" s="15">
        <v>0</v>
      </c>
      <c r="AZ162" s="14">
        <v>0</v>
      </c>
      <c r="BA162" s="17">
        <v>11999</v>
      </c>
    </row>
    <row r="163" spans="1:53" ht="15" thickBot="1" x14ac:dyDescent="0.35">
      <c r="A163" s="32">
        <f t="shared" si="19"/>
        <v>155</v>
      </c>
      <c r="B163" s="29">
        <f t="shared" si="20"/>
        <v>38.75</v>
      </c>
      <c r="C163" s="29" t="b">
        <f>AND(VaBenefits[[#This Row],[timeFromValuation]]&gt;=ACT,VaBenefits[[#This Row],[Assumed Contract Value ]]&gt;0)</f>
        <v>0</v>
      </c>
      <c r="D163" s="20">
        <v>0</v>
      </c>
      <c r="E163" s="20">
        <v>0</v>
      </c>
      <c r="F163" s="20">
        <v>0</v>
      </c>
      <c r="G163" s="96">
        <f>ROUND($G$8+VaBenefits[[#This Row],[timeFromValuation]],0)</f>
        <v>94</v>
      </c>
      <c r="H163" s="20">
        <f>ROUND($H$8+VaBenefits[[#This Row],[timeFromValuation]],0)</f>
        <v>104</v>
      </c>
      <c r="I163" s="27" t="b">
        <f>VaBenefits[[#This Row],[Withdrawal Taken  ]]&gt;0</f>
        <v>0</v>
      </c>
      <c r="J163" s="41">
        <f>IF(AND(NOT(VaBenefits[[#This Row],[Is Activation]]),VaBenefits[[#This Row],[Assumed Contract Value ]]&gt;0),VaBenefits[[#This Row],[Withdrawal Taken  ]]/VaBenefits[[#This Row],[Assumed Contract Value ]],0)</f>
        <v>0</v>
      </c>
      <c r="K16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3" s="27" t="b">
        <f ca="1">AND(VaBenefits[[#This Row],[Is Activation]],SUMIFS($E$8:$E163,$C$8:$C163,TRUE)&gt;0)</f>
        <v>0</v>
      </c>
      <c r="M16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3" s="32" t="b">
        <f>IF(VaBenefits[[#This Row],[timeFromValuation]]=0,0, MOD(VaBenefits[[#This Row],[timeFromValuation]],1)=0)</f>
        <v>0</v>
      </c>
      <c r="O163" s="7">
        <f>IF(VaBenefits[[#This Row],[Is Anniversary?]]=TRUE,VaBenefits[[#This Row],[Assumed Contract Value ]],0)</f>
        <v>0</v>
      </c>
      <c r="P16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3" s="7" t="b">
        <f>VaBenefits[[#This Row],[Assumed Contract Value ]]&lt;0.1</f>
        <v>1</v>
      </c>
      <c r="R16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3" s="7">
        <f ca="1">IF(AND(VaBenefits[[#This Row],[Is Activation]]=FALSE,VaBenefits[[#This Row],[Is Anniversary?]]=TRUE),OFFSET( VaBenefits[[#This Row],[Income Credit Base]],-1,0)*ICP,0)</f>
        <v>0</v>
      </c>
      <c r="T163" s="5">
        <f>IF(VaBenefits[[#This Row],[Assumed Contract Value ]]&gt;0,VaBenefits[[#This Row],[Income Base]]*MAWA,0)</f>
        <v>0</v>
      </c>
      <c r="U163" s="95">
        <v>0</v>
      </c>
      <c r="V163" s="8">
        <f>1/(1+InterestRate)^VaBenefits[[#This Row],[timeFromValuation]]</f>
        <v>0.15097834522375445</v>
      </c>
      <c r="W163" s="90">
        <f>VaBenefits[[#This Row],[timeFromValuation]]</f>
        <v>38.75</v>
      </c>
      <c r="X163" s="91">
        <f>IF(($G$8+VaBenefits[[#This Row],[timeFromValuation]])&lt;=120,VLOOKUP(G163,Table2[],Qx!L$6,FALSE),0)</f>
        <v>0.869031</v>
      </c>
      <c r="Y163" s="91">
        <f>IF(($H$8+VaBenefits[[#This Row],[timeFromValuation]])&lt;=120,VLOOKUP(H163,Table2[],Qx!M$6,FALSE),0)</f>
        <v>0.64379300000000006</v>
      </c>
      <c r="Z163" s="91">
        <v>0</v>
      </c>
      <c r="AA163" s="91">
        <v>0</v>
      </c>
      <c r="AB163" s="91">
        <v>0</v>
      </c>
      <c r="AC163" s="91">
        <v>0</v>
      </c>
      <c r="AD163" s="97">
        <f>PV(1.03,20,-VaBenefits[[#This Row],[Protected Income Payment]])</f>
        <v>0</v>
      </c>
      <c r="AE163" s="130">
        <f>IF((AND(VaBenefits[[#This Row],[Is Anniversary?]],VaBenefits[[#This Row],[Assumed Contract Value ]]&lt;75000)),-50,0)</f>
        <v>0</v>
      </c>
      <c r="AF163" s="133">
        <f>VaBenefits[[#This Row],[Assumed Contract Value ]]*-1.15%/4</f>
        <v>0</v>
      </c>
      <c r="AG163" s="129">
        <v>0</v>
      </c>
      <c r="AH163" s="131">
        <f>VaBenefits[[#This Row],[Maintenace Fee]]+VaBenefits[[#This Row],[Separate Account Charge]]+VaBenefits[[#This Row],[Rider Fee]]</f>
        <v>0</v>
      </c>
      <c r="AR163" s="23">
        <f t="shared" si="21"/>
        <v>77.5</v>
      </c>
      <c r="AS163" s="24">
        <v>0</v>
      </c>
      <c r="AT163" s="24">
        <v>0</v>
      </c>
      <c r="AU163" s="22">
        <v>0</v>
      </c>
      <c r="AV163" s="16">
        <v>0</v>
      </c>
      <c r="AW163" s="14">
        <v>299982</v>
      </c>
      <c r="AX163" s="15">
        <v>0</v>
      </c>
      <c r="AY163" s="15">
        <v>0</v>
      </c>
      <c r="AZ163" s="14">
        <v>0</v>
      </c>
      <c r="BA163" s="17">
        <v>11999</v>
      </c>
    </row>
    <row r="164" spans="1:53" ht="15" thickBot="1" x14ac:dyDescent="0.35">
      <c r="A164" s="32">
        <f t="shared" si="19"/>
        <v>156</v>
      </c>
      <c r="B164" s="29">
        <f t="shared" si="20"/>
        <v>39</v>
      </c>
      <c r="C164" s="29" t="b">
        <f>AND(VaBenefits[[#This Row],[timeFromValuation]]&gt;=ACT,VaBenefits[[#This Row],[Assumed Contract Value ]]&gt;0)</f>
        <v>0</v>
      </c>
      <c r="D164" s="20">
        <v>0</v>
      </c>
      <c r="E164" s="20">
        <v>0</v>
      </c>
      <c r="F164" s="20">
        <v>0</v>
      </c>
      <c r="G164" s="96">
        <f>ROUND($G$8+VaBenefits[[#This Row],[timeFromValuation]],0)</f>
        <v>94</v>
      </c>
      <c r="H164" s="20">
        <f>ROUND($H$8+VaBenefits[[#This Row],[timeFromValuation]],0)</f>
        <v>104</v>
      </c>
      <c r="I164" s="27" t="b">
        <f>VaBenefits[[#This Row],[Withdrawal Taken  ]]&gt;0</f>
        <v>0</v>
      </c>
      <c r="J164" s="41">
        <f>IF(AND(NOT(VaBenefits[[#This Row],[Is Activation]]),VaBenefits[[#This Row],[Assumed Contract Value ]]&gt;0),VaBenefits[[#This Row],[Withdrawal Taken  ]]/VaBenefits[[#This Row],[Assumed Contract Value ]],0)</f>
        <v>0</v>
      </c>
      <c r="K16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4" s="27" t="b">
        <f ca="1">AND(VaBenefits[[#This Row],[Is Activation]],SUMIFS($E$8:$E164,$C$8:$C164,TRUE)&gt;0)</f>
        <v>0</v>
      </c>
      <c r="M16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4" s="32" t="b">
        <f>IF(VaBenefits[[#This Row],[timeFromValuation]]=0,0, MOD(VaBenefits[[#This Row],[timeFromValuation]],1)=0)</f>
        <v>1</v>
      </c>
      <c r="O164" s="7">
        <f>IF(VaBenefits[[#This Row],[Is Anniversary?]]=TRUE,VaBenefits[[#This Row],[Assumed Contract Value ]],0)</f>
        <v>0</v>
      </c>
      <c r="P16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4" s="7" t="b">
        <f>VaBenefits[[#This Row],[Assumed Contract Value ]]&lt;0.1</f>
        <v>1</v>
      </c>
      <c r="R16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4" s="7">
        <f ca="1">IF(AND(VaBenefits[[#This Row],[Is Activation]]=FALSE,VaBenefits[[#This Row],[Is Anniversary?]]=TRUE),OFFSET( VaBenefits[[#This Row],[Income Credit Base]],-1,0)*ICP,0)</f>
        <v>0</v>
      </c>
      <c r="T164" s="5">
        <f>IF(VaBenefits[[#This Row],[Assumed Contract Value ]]&gt;0,VaBenefits[[#This Row],[Income Base]]*MAWA,0)</f>
        <v>0</v>
      </c>
      <c r="U164" s="95">
        <v>0</v>
      </c>
      <c r="V164" s="8">
        <f>1/(1+InterestRate)^VaBenefits[[#This Row],[timeFromValuation]]</f>
        <v>0.14914796641529171</v>
      </c>
      <c r="W164" s="90">
        <f>VaBenefits[[#This Row],[timeFromValuation]]</f>
        <v>39</v>
      </c>
      <c r="X164" s="91">
        <f>IF(($G$8+VaBenefits[[#This Row],[timeFromValuation]])&lt;=120,VLOOKUP(G164,Table2[],Qx!L$6,FALSE),0)</f>
        <v>0.869031</v>
      </c>
      <c r="Y164" s="91">
        <f>IF(($H$8+VaBenefits[[#This Row],[timeFromValuation]])&lt;=120,VLOOKUP(H164,Table2[],Qx!M$6,FALSE),0)</f>
        <v>0.64379300000000006</v>
      </c>
      <c r="Z164" s="91">
        <v>0</v>
      </c>
      <c r="AA164" s="91">
        <v>0</v>
      </c>
      <c r="AB164" s="91">
        <v>0</v>
      </c>
      <c r="AC164" s="91">
        <v>0</v>
      </c>
      <c r="AD164" s="97">
        <f>PV(1.03,20,-VaBenefits[[#This Row],[Protected Income Payment]])</f>
        <v>0</v>
      </c>
      <c r="AE164" s="130">
        <f>IF((AND(VaBenefits[[#This Row],[Is Anniversary?]],VaBenefits[[#This Row],[Assumed Contract Value ]]&lt;75000)),-50,0)</f>
        <v>-50</v>
      </c>
      <c r="AF164" s="133">
        <f>VaBenefits[[#This Row],[Assumed Contract Value ]]*-1.15%/4</f>
        <v>0</v>
      </c>
      <c r="AG164" s="129">
        <v>0</v>
      </c>
      <c r="AH164" s="131">
        <f>VaBenefits[[#This Row],[Maintenace Fee]]+VaBenefits[[#This Row],[Separate Account Charge]]+VaBenefits[[#This Row],[Rider Fee]]</f>
        <v>-50</v>
      </c>
      <c r="AR164" s="23">
        <f t="shared" si="21"/>
        <v>78</v>
      </c>
      <c r="AS164" s="24">
        <v>0</v>
      </c>
      <c r="AT164" s="24">
        <v>0</v>
      </c>
      <c r="AU164" s="22">
        <v>0</v>
      </c>
      <c r="AV164" s="16">
        <v>0</v>
      </c>
      <c r="AW164" s="14">
        <v>299982</v>
      </c>
      <c r="AX164" s="15">
        <v>0</v>
      </c>
      <c r="AY164" s="15">
        <v>0</v>
      </c>
      <c r="AZ164" s="14">
        <v>0</v>
      </c>
      <c r="BA164" s="17">
        <v>11999</v>
      </c>
    </row>
    <row r="165" spans="1:53" ht="15" thickBot="1" x14ac:dyDescent="0.35">
      <c r="A165" s="32">
        <f t="shared" si="19"/>
        <v>157</v>
      </c>
      <c r="B165" s="29">
        <f t="shared" si="20"/>
        <v>39.25</v>
      </c>
      <c r="C165" s="29" t="b">
        <f>AND(VaBenefits[[#This Row],[timeFromValuation]]&gt;=ACT,VaBenefits[[#This Row],[Assumed Contract Value ]]&gt;0)</f>
        <v>0</v>
      </c>
      <c r="D165" s="20">
        <v>0</v>
      </c>
      <c r="E165" s="20">
        <v>0</v>
      </c>
      <c r="F165" s="20">
        <v>0</v>
      </c>
      <c r="G165" s="96">
        <f>ROUND($G$8+VaBenefits[[#This Row],[timeFromValuation]],0)</f>
        <v>94</v>
      </c>
      <c r="H165" s="20">
        <f>ROUND($H$8+VaBenefits[[#This Row],[timeFromValuation]],0)</f>
        <v>104</v>
      </c>
      <c r="I165" s="27" t="b">
        <f>VaBenefits[[#This Row],[Withdrawal Taken  ]]&gt;0</f>
        <v>0</v>
      </c>
      <c r="J165" s="41">
        <f>IF(AND(NOT(VaBenefits[[#This Row],[Is Activation]]),VaBenefits[[#This Row],[Assumed Contract Value ]]&gt;0),VaBenefits[[#This Row],[Withdrawal Taken  ]]/VaBenefits[[#This Row],[Assumed Contract Value ]],0)</f>
        <v>0</v>
      </c>
      <c r="K16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5" s="27" t="b">
        <f ca="1">AND(VaBenefits[[#This Row],[Is Activation]],SUMIFS($E$8:$E165,$C$8:$C165,TRUE)&gt;0)</f>
        <v>0</v>
      </c>
      <c r="M16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5" s="32" t="b">
        <f>IF(VaBenefits[[#This Row],[timeFromValuation]]=0,0, MOD(VaBenefits[[#This Row],[timeFromValuation]],1)=0)</f>
        <v>0</v>
      </c>
      <c r="O165" s="7">
        <f>IF(VaBenefits[[#This Row],[Is Anniversary?]]=TRUE,VaBenefits[[#This Row],[Assumed Contract Value ]],0)</f>
        <v>0</v>
      </c>
      <c r="P16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5" s="7" t="b">
        <f>VaBenefits[[#This Row],[Assumed Contract Value ]]&lt;0.1</f>
        <v>1</v>
      </c>
      <c r="R16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5" s="7">
        <f ca="1">IF(AND(VaBenefits[[#This Row],[Is Activation]]=FALSE,VaBenefits[[#This Row],[Is Anniversary?]]=TRUE),OFFSET( VaBenefits[[#This Row],[Income Credit Base]],-1,0)*ICP,0)</f>
        <v>0</v>
      </c>
      <c r="T165" s="5">
        <f>IF(VaBenefits[[#This Row],[Assumed Contract Value ]]&gt;0,VaBenefits[[#This Row],[Income Base]]*MAWA,0)</f>
        <v>0</v>
      </c>
      <c r="U165" s="95">
        <v>0</v>
      </c>
      <c r="V165" s="8">
        <f>1/(1+InterestRate)^VaBenefits[[#This Row],[timeFromValuation]]</f>
        <v>0.14733977811751081</v>
      </c>
      <c r="W165" s="90">
        <f>VaBenefits[[#This Row],[timeFromValuation]]</f>
        <v>39.25</v>
      </c>
      <c r="X165" s="91">
        <f>IF(($G$8+VaBenefits[[#This Row],[timeFromValuation]])&lt;=120,VLOOKUP(G165,Table2[],Qx!L$6,FALSE),0)</f>
        <v>0.869031</v>
      </c>
      <c r="Y165" s="91">
        <f>IF(($H$8+VaBenefits[[#This Row],[timeFromValuation]])&lt;=120,VLOOKUP(H165,Table2[],Qx!M$6,FALSE),0)</f>
        <v>0.64379300000000006</v>
      </c>
      <c r="Z165" s="91">
        <v>0</v>
      </c>
      <c r="AA165" s="91">
        <v>0</v>
      </c>
      <c r="AB165" s="91">
        <v>0</v>
      </c>
      <c r="AC165" s="91">
        <v>0</v>
      </c>
      <c r="AD165" s="97">
        <f>PV(1.03,20,-VaBenefits[[#This Row],[Protected Income Payment]])</f>
        <v>0</v>
      </c>
      <c r="AE165" s="130">
        <f>IF((AND(VaBenefits[[#This Row],[Is Anniversary?]],VaBenefits[[#This Row],[Assumed Contract Value ]]&lt;75000)),-50,0)</f>
        <v>0</v>
      </c>
      <c r="AF165" s="133">
        <f>VaBenefits[[#This Row],[Assumed Contract Value ]]*-1.15%/4</f>
        <v>0</v>
      </c>
      <c r="AG165" s="129">
        <v>0</v>
      </c>
      <c r="AH165" s="131">
        <f>VaBenefits[[#This Row],[Maintenace Fee]]+VaBenefits[[#This Row],[Separate Account Charge]]+VaBenefits[[#This Row],[Rider Fee]]</f>
        <v>0</v>
      </c>
      <c r="AR165" s="23">
        <f t="shared" si="21"/>
        <v>78.5</v>
      </c>
      <c r="AS165" s="24">
        <v>0</v>
      </c>
      <c r="AT165" s="24">
        <v>0</v>
      </c>
      <c r="AU165" s="22">
        <v>0</v>
      </c>
      <c r="AV165" s="16">
        <v>0</v>
      </c>
      <c r="AW165" s="14">
        <v>299982</v>
      </c>
      <c r="AX165" s="15">
        <v>0</v>
      </c>
      <c r="AY165" s="15">
        <v>0</v>
      </c>
      <c r="AZ165" s="14">
        <v>0</v>
      </c>
      <c r="BA165" s="17">
        <v>11999</v>
      </c>
    </row>
    <row r="166" spans="1:53" ht="15" thickBot="1" x14ac:dyDescent="0.35">
      <c r="A166" s="32">
        <f t="shared" si="19"/>
        <v>158</v>
      </c>
      <c r="B166" s="29">
        <f t="shared" si="20"/>
        <v>39.5</v>
      </c>
      <c r="C166" s="29" t="b">
        <f>AND(VaBenefits[[#This Row],[timeFromValuation]]&gt;=ACT,VaBenefits[[#This Row],[Assumed Contract Value ]]&gt;0)</f>
        <v>0</v>
      </c>
      <c r="D166" s="20">
        <v>0</v>
      </c>
      <c r="E166" s="20">
        <v>0</v>
      </c>
      <c r="F166" s="20">
        <v>0</v>
      </c>
      <c r="G166" s="96">
        <f>ROUND($G$8+VaBenefits[[#This Row],[timeFromValuation]],0)</f>
        <v>95</v>
      </c>
      <c r="H166" s="20">
        <f>ROUND($H$8+VaBenefits[[#This Row],[timeFromValuation]],0)</f>
        <v>105</v>
      </c>
      <c r="I166" s="27" t="b">
        <f>VaBenefits[[#This Row],[Withdrawal Taken  ]]&gt;0</f>
        <v>0</v>
      </c>
      <c r="J166" s="41">
        <f>IF(AND(NOT(VaBenefits[[#This Row],[Is Activation]]),VaBenefits[[#This Row],[Assumed Contract Value ]]&gt;0),VaBenefits[[#This Row],[Withdrawal Taken  ]]/VaBenefits[[#This Row],[Assumed Contract Value ]],0)</f>
        <v>0</v>
      </c>
      <c r="K16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6" s="27" t="b">
        <f ca="1">AND(VaBenefits[[#This Row],[Is Activation]],SUMIFS($E$8:$E166,$C$8:$C166,TRUE)&gt;0)</f>
        <v>0</v>
      </c>
      <c r="M16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6" s="32" t="b">
        <f>IF(VaBenefits[[#This Row],[timeFromValuation]]=0,0, MOD(VaBenefits[[#This Row],[timeFromValuation]],1)=0)</f>
        <v>0</v>
      </c>
      <c r="O166" s="7">
        <f>IF(VaBenefits[[#This Row],[Is Anniversary?]]=TRUE,VaBenefits[[#This Row],[Assumed Contract Value ]],0)</f>
        <v>0</v>
      </c>
      <c r="P16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6" s="7" t="b">
        <f>VaBenefits[[#This Row],[Assumed Contract Value ]]&lt;0.1</f>
        <v>1</v>
      </c>
      <c r="R16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6" s="7">
        <f ca="1">IF(AND(VaBenefits[[#This Row],[Is Activation]]=FALSE,VaBenefits[[#This Row],[Is Anniversary?]]=TRUE),OFFSET( VaBenefits[[#This Row],[Income Credit Base]],-1,0)*ICP,0)</f>
        <v>0</v>
      </c>
      <c r="T166" s="5">
        <f>IF(VaBenefits[[#This Row],[Assumed Contract Value ]]&gt;0,VaBenefits[[#This Row],[Income Base]]*MAWA,0)</f>
        <v>0</v>
      </c>
      <c r="U166" s="95">
        <v>0</v>
      </c>
      <c r="V166" s="8">
        <f>1/(1+InterestRate)^VaBenefits[[#This Row],[timeFromValuation]]</f>
        <v>0.14555351130480837</v>
      </c>
      <c r="W166" s="90">
        <f>VaBenefits[[#This Row],[timeFromValuation]]</f>
        <v>39.5</v>
      </c>
      <c r="X166" s="91">
        <f>IF(($G$8+VaBenefits[[#This Row],[timeFromValuation]])&lt;=120,VLOOKUP(G166,Table2[],Qx!L$6,FALSE),0)</f>
        <v>0.85355099999999995</v>
      </c>
      <c r="Y166" s="91">
        <f>IF(($H$8+VaBenefits[[#This Row],[timeFromValuation]])&lt;=120,VLOOKUP(H166,Table2[],Qx!M$6,FALSE),0)</f>
        <v>0.62</v>
      </c>
      <c r="Z166" s="91">
        <v>0</v>
      </c>
      <c r="AA166" s="91">
        <v>0</v>
      </c>
      <c r="AB166" s="91">
        <v>0</v>
      </c>
      <c r="AC166" s="91">
        <v>0</v>
      </c>
      <c r="AD166" s="97">
        <f>PV(1.03,20,-VaBenefits[[#This Row],[Protected Income Payment]])</f>
        <v>0</v>
      </c>
      <c r="AE166" s="130">
        <f>IF((AND(VaBenefits[[#This Row],[Is Anniversary?]],VaBenefits[[#This Row],[Assumed Contract Value ]]&lt;75000)),-50,0)</f>
        <v>0</v>
      </c>
      <c r="AF166" s="133">
        <f>VaBenefits[[#This Row],[Assumed Contract Value ]]*-1.15%/4</f>
        <v>0</v>
      </c>
      <c r="AG166" s="129">
        <v>0</v>
      </c>
      <c r="AH166" s="131">
        <f>VaBenefits[[#This Row],[Maintenace Fee]]+VaBenefits[[#This Row],[Separate Account Charge]]+VaBenefits[[#This Row],[Rider Fee]]</f>
        <v>0</v>
      </c>
      <c r="AR166" s="23">
        <f t="shared" si="21"/>
        <v>79</v>
      </c>
      <c r="AS166" s="24">
        <v>0</v>
      </c>
      <c r="AT166" s="24">
        <v>0</v>
      </c>
      <c r="AU166" s="22">
        <v>0</v>
      </c>
      <c r="AV166" s="16">
        <v>0</v>
      </c>
      <c r="AW166" s="14">
        <v>299982</v>
      </c>
      <c r="AX166" s="15">
        <v>0</v>
      </c>
      <c r="AY166" s="15">
        <v>0</v>
      </c>
      <c r="AZ166" s="14">
        <v>0</v>
      </c>
      <c r="BA166" s="17">
        <v>11999</v>
      </c>
    </row>
    <row r="167" spans="1:53" ht="15" thickBot="1" x14ac:dyDescent="0.35">
      <c r="A167" s="32">
        <f t="shared" si="19"/>
        <v>159</v>
      </c>
      <c r="B167" s="29">
        <f t="shared" si="20"/>
        <v>39.75</v>
      </c>
      <c r="C167" s="29" t="b">
        <f>AND(VaBenefits[[#This Row],[timeFromValuation]]&gt;=ACT,VaBenefits[[#This Row],[Assumed Contract Value ]]&gt;0)</f>
        <v>0</v>
      </c>
      <c r="D167" s="20">
        <v>0</v>
      </c>
      <c r="E167" s="20">
        <v>0</v>
      </c>
      <c r="F167" s="20">
        <v>0</v>
      </c>
      <c r="G167" s="96">
        <f>ROUND($G$8+VaBenefits[[#This Row],[timeFromValuation]],0)</f>
        <v>95</v>
      </c>
      <c r="H167" s="20">
        <f>ROUND($H$8+VaBenefits[[#This Row],[timeFromValuation]],0)</f>
        <v>105</v>
      </c>
      <c r="I167" s="27" t="b">
        <f>VaBenefits[[#This Row],[Withdrawal Taken  ]]&gt;0</f>
        <v>0</v>
      </c>
      <c r="J167" s="41">
        <f>IF(AND(NOT(VaBenefits[[#This Row],[Is Activation]]),VaBenefits[[#This Row],[Assumed Contract Value ]]&gt;0),VaBenefits[[#This Row],[Withdrawal Taken  ]]/VaBenefits[[#This Row],[Assumed Contract Value ]],0)</f>
        <v>0</v>
      </c>
      <c r="K16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7" s="27" t="b">
        <f ca="1">AND(VaBenefits[[#This Row],[Is Activation]],SUMIFS($E$8:$E167,$C$8:$C167,TRUE)&gt;0)</f>
        <v>0</v>
      </c>
      <c r="M16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7" s="32" t="b">
        <f>IF(VaBenefits[[#This Row],[timeFromValuation]]=0,0, MOD(VaBenefits[[#This Row],[timeFromValuation]],1)=0)</f>
        <v>0</v>
      </c>
      <c r="O167" s="7">
        <f>IF(VaBenefits[[#This Row],[Is Anniversary?]]=TRUE,VaBenefits[[#This Row],[Assumed Contract Value ]],0)</f>
        <v>0</v>
      </c>
      <c r="P16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7" s="7" t="b">
        <f>VaBenefits[[#This Row],[Assumed Contract Value ]]&lt;0.1</f>
        <v>1</v>
      </c>
      <c r="R16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7" s="7">
        <f ca="1">IF(AND(VaBenefits[[#This Row],[Is Activation]]=FALSE,VaBenefits[[#This Row],[Is Anniversary?]]=TRUE),OFFSET( VaBenefits[[#This Row],[Income Credit Base]],-1,0)*ICP,0)</f>
        <v>0</v>
      </c>
      <c r="T167" s="5">
        <f>IF(VaBenefits[[#This Row],[Assumed Contract Value ]]&gt;0,VaBenefits[[#This Row],[Income Base]]*MAWA,0)</f>
        <v>0</v>
      </c>
      <c r="U167" s="95">
        <v>0</v>
      </c>
      <c r="V167" s="8">
        <f>1/(1+InterestRate)^VaBenefits[[#This Row],[timeFromValuation]]</f>
        <v>0.14378890021309948</v>
      </c>
      <c r="W167" s="90">
        <f>VaBenefits[[#This Row],[timeFromValuation]]</f>
        <v>39.75</v>
      </c>
      <c r="X167" s="91">
        <f>IF(($G$8+VaBenefits[[#This Row],[timeFromValuation]])&lt;=120,VLOOKUP(G167,Table2[],Qx!L$6,FALSE),0)</f>
        <v>0.85355099999999995</v>
      </c>
      <c r="Y167" s="91">
        <f>IF(($H$8+VaBenefits[[#This Row],[timeFromValuation]])&lt;=120,VLOOKUP(H167,Table2[],Qx!M$6,FALSE),0)</f>
        <v>0.62</v>
      </c>
      <c r="Z167" s="91">
        <v>0</v>
      </c>
      <c r="AA167" s="91">
        <v>0</v>
      </c>
      <c r="AB167" s="91">
        <v>0</v>
      </c>
      <c r="AC167" s="91">
        <v>0</v>
      </c>
      <c r="AD167" s="97">
        <f>PV(1.03,20,-VaBenefits[[#This Row],[Protected Income Payment]])</f>
        <v>0</v>
      </c>
      <c r="AE167" s="130">
        <f>IF((AND(VaBenefits[[#This Row],[Is Anniversary?]],VaBenefits[[#This Row],[Assumed Contract Value ]]&lt;75000)),-50,0)</f>
        <v>0</v>
      </c>
      <c r="AF167" s="133">
        <f>VaBenefits[[#This Row],[Assumed Contract Value ]]*-1.15%/4</f>
        <v>0</v>
      </c>
      <c r="AG167" s="129">
        <v>0</v>
      </c>
      <c r="AH167" s="131">
        <f>VaBenefits[[#This Row],[Maintenace Fee]]+VaBenefits[[#This Row],[Separate Account Charge]]+VaBenefits[[#This Row],[Rider Fee]]</f>
        <v>0</v>
      </c>
      <c r="AR167" s="23">
        <f t="shared" si="21"/>
        <v>79.5</v>
      </c>
      <c r="AS167" s="24">
        <v>0</v>
      </c>
      <c r="AT167" s="24">
        <v>0</v>
      </c>
      <c r="AU167" s="22">
        <v>0</v>
      </c>
      <c r="AV167" s="16">
        <v>0</v>
      </c>
      <c r="AW167" s="14">
        <v>299982</v>
      </c>
      <c r="AX167" s="15">
        <v>0</v>
      </c>
      <c r="AY167" s="15">
        <v>0</v>
      </c>
      <c r="AZ167" s="14">
        <v>0</v>
      </c>
      <c r="BA167" s="17">
        <v>11999</v>
      </c>
    </row>
    <row r="168" spans="1:53" ht="15" thickBot="1" x14ac:dyDescent="0.35">
      <c r="A168" s="32">
        <f t="shared" si="19"/>
        <v>160</v>
      </c>
      <c r="B168" s="29">
        <f t="shared" si="20"/>
        <v>40</v>
      </c>
      <c r="C168" s="29" t="b">
        <f>AND(VaBenefits[[#This Row],[timeFromValuation]]&gt;=ACT,VaBenefits[[#This Row],[Assumed Contract Value ]]&gt;0)</f>
        <v>0</v>
      </c>
      <c r="D168" s="20">
        <v>0</v>
      </c>
      <c r="E168" s="20">
        <v>0</v>
      </c>
      <c r="F168" s="20">
        <v>0</v>
      </c>
      <c r="G168" s="96">
        <f>ROUND($G$8+VaBenefits[[#This Row],[timeFromValuation]],0)</f>
        <v>95</v>
      </c>
      <c r="H168" s="20">
        <f>ROUND($H$8+VaBenefits[[#This Row],[timeFromValuation]],0)</f>
        <v>105</v>
      </c>
      <c r="I168" s="27" t="b">
        <f>VaBenefits[[#This Row],[Withdrawal Taken  ]]&gt;0</f>
        <v>0</v>
      </c>
      <c r="J168" s="41">
        <f>IF(AND(NOT(VaBenefits[[#This Row],[Is Activation]]),VaBenefits[[#This Row],[Assumed Contract Value ]]&gt;0),VaBenefits[[#This Row],[Withdrawal Taken  ]]/VaBenefits[[#This Row],[Assumed Contract Value ]],0)</f>
        <v>0</v>
      </c>
      <c r="K16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8" s="27" t="b">
        <f ca="1">AND(VaBenefits[[#This Row],[Is Activation]],SUMIFS($E$8:$E168,$C$8:$C168,TRUE)&gt;0)</f>
        <v>0</v>
      </c>
      <c r="M16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8" s="32" t="b">
        <f>IF(VaBenefits[[#This Row],[timeFromValuation]]=0,0, MOD(VaBenefits[[#This Row],[timeFromValuation]],1)=0)</f>
        <v>1</v>
      </c>
      <c r="O168" s="7">
        <f>IF(VaBenefits[[#This Row],[Is Anniversary?]]=TRUE,VaBenefits[[#This Row],[Assumed Contract Value ]],0)</f>
        <v>0</v>
      </c>
      <c r="P16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8" s="7" t="b">
        <f>VaBenefits[[#This Row],[Assumed Contract Value ]]&lt;0.1</f>
        <v>1</v>
      </c>
      <c r="R16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8" s="7">
        <f ca="1">IF(AND(VaBenefits[[#This Row],[Is Activation]]=FALSE,VaBenefits[[#This Row],[Is Anniversary?]]=TRUE),OFFSET( VaBenefits[[#This Row],[Income Credit Base]],-1,0)*ICP,0)</f>
        <v>0</v>
      </c>
      <c r="T168" s="5">
        <f>IF(VaBenefits[[#This Row],[Assumed Contract Value ]]&gt;0,VaBenefits[[#This Row],[Income Base]]*MAWA,0)</f>
        <v>0</v>
      </c>
      <c r="U168" s="95">
        <v>0</v>
      </c>
      <c r="V168" s="8">
        <f>1/(1+InterestRate)^VaBenefits[[#This Row],[timeFromValuation]]</f>
        <v>0.14204568230027784</v>
      </c>
      <c r="W168" s="90">
        <f>VaBenefits[[#This Row],[timeFromValuation]]</f>
        <v>40</v>
      </c>
      <c r="X168" s="91">
        <f>IF(($G$8+VaBenefits[[#This Row],[timeFromValuation]])&lt;=120,VLOOKUP(G168,Table2[],Qx!L$6,FALSE),0)</f>
        <v>0.85355099999999995</v>
      </c>
      <c r="Y168" s="91">
        <f>IF(($H$8+VaBenefits[[#This Row],[timeFromValuation]])&lt;=120,VLOOKUP(H168,Table2[],Qx!M$6,FALSE),0)</f>
        <v>0.62</v>
      </c>
      <c r="Z168" s="91">
        <v>0</v>
      </c>
      <c r="AA168" s="91">
        <v>0</v>
      </c>
      <c r="AB168" s="91">
        <v>0</v>
      </c>
      <c r="AC168" s="91">
        <v>0</v>
      </c>
      <c r="AD168" s="97">
        <f>PV(1.03,20,-VaBenefits[[#This Row],[Protected Income Payment]])</f>
        <v>0</v>
      </c>
      <c r="AE168" s="130">
        <f>IF((AND(VaBenefits[[#This Row],[Is Anniversary?]],VaBenefits[[#This Row],[Assumed Contract Value ]]&lt;75000)),-50,0)</f>
        <v>-50</v>
      </c>
      <c r="AF168" s="133">
        <f>VaBenefits[[#This Row],[Assumed Contract Value ]]*-1.15%/4</f>
        <v>0</v>
      </c>
      <c r="AG168" s="129">
        <v>0</v>
      </c>
      <c r="AH168" s="131">
        <f>VaBenefits[[#This Row],[Maintenace Fee]]+VaBenefits[[#This Row],[Separate Account Charge]]+VaBenefits[[#This Row],[Rider Fee]]</f>
        <v>-50</v>
      </c>
      <c r="AR168" s="23">
        <f t="shared" si="21"/>
        <v>80</v>
      </c>
      <c r="AS168" s="24">
        <v>0</v>
      </c>
      <c r="AT168" s="24">
        <v>0</v>
      </c>
      <c r="AU168" s="22">
        <v>0</v>
      </c>
      <c r="AV168" s="16">
        <v>0</v>
      </c>
      <c r="AW168" s="14">
        <v>299982</v>
      </c>
      <c r="AX168" s="15">
        <v>0</v>
      </c>
      <c r="AY168" s="15">
        <v>0</v>
      </c>
      <c r="AZ168" s="14">
        <v>0</v>
      </c>
      <c r="BA168" s="17">
        <v>11999</v>
      </c>
    </row>
    <row r="169" spans="1:53" ht="15" thickBot="1" x14ac:dyDescent="0.35">
      <c r="A169" s="32">
        <f t="shared" si="19"/>
        <v>161</v>
      </c>
      <c r="B169" s="29">
        <f t="shared" si="20"/>
        <v>40.25</v>
      </c>
      <c r="C169" s="29" t="b">
        <f>AND(VaBenefits[[#This Row],[timeFromValuation]]&gt;=ACT,VaBenefits[[#This Row],[Assumed Contract Value ]]&gt;0)</f>
        <v>0</v>
      </c>
      <c r="D169" s="20">
        <v>0</v>
      </c>
      <c r="E169" s="20">
        <v>0</v>
      </c>
      <c r="F169" s="20">
        <v>0</v>
      </c>
      <c r="G169" s="96">
        <f>ROUND($G$8+VaBenefits[[#This Row],[timeFromValuation]],0)</f>
        <v>95</v>
      </c>
      <c r="H169" s="20">
        <f>ROUND($H$8+VaBenefits[[#This Row],[timeFromValuation]],0)</f>
        <v>105</v>
      </c>
      <c r="I169" s="27" t="b">
        <f>VaBenefits[[#This Row],[Withdrawal Taken  ]]&gt;0</f>
        <v>0</v>
      </c>
      <c r="J169" s="41">
        <f>IF(AND(NOT(VaBenefits[[#This Row],[Is Activation]]),VaBenefits[[#This Row],[Assumed Contract Value ]]&gt;0),VaBenefits[[#This Row],[Withdrawal Taken  ]]/VaBenefits[[#This Row],[Assumed Contract Value ]],0)</f>
        <v>0</v>
      </c>
      <c r="K16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9" s="27" t="b">
        <f ca="1">AND(VaBenefits[[#This Row],[Is Activation]],SUMIFS($E$8:$E169,$C$8:$C169,TRUE)&gt;0)</f>
        <v>0</v>
      </c>
      <c r="M16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9" s="32" t="b">
        <f>IF(VaBenefits[[#This Row],[timeFromValuation]]=0,0, MOD(VaBenefits[[#This Row],[timeFromValuation]],1)=0)</f>
        <v>0</v>
      </c>
      <c r="O169" s="7">
        <f>IF(VaBenefits[[#This Row],[Is Anniversary?]]=TRUE,VaBenefits[[#This Row],[Assumed Contract Value ]],0)</f>
        <v>0</v>
      </c>
      <c r="P16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9" s="7" t="b">
        <f>VaBenefits[[#This Row],[Assumed Contract Value ]]&lt;0.1</f>
        <v>1</v>
      </c>
      <c r="R16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9" s="7">
        <f ca="1">IF(AND(VaBenefits[[#This Row],[Is Activation]]=FALSE,VaBenefits[[#This Row],[Is Anniversary?]]=TRUE),OFFSET( VaBenefits[[#This Row],[Income Credit Base]],-1,0)*ICP,0)</f>
        <v>0</v>
      </c>
      <c r="T169" s="5">
        <f>IF(VaBenefits[[#This Row],[Assumed Contract Value ]]&gt;0,VaBenefits[[#This Row],[Income Base]]*MAWA,0)</f>
        <v>0</v>
      </c>
      <c r="U169" s="95">
        <v>0</v>
      </c>
      <c r="V169" s="8">
        <f>1/(1+InterestRate)^VaBenefits[[#This Row],[timeFromValuation]]</f>
        <v>0.14032359820715312</v>
      </c>
      <c r="W169" s="90">
        <f>VaBenefits[[#This Row],[timeFromValuation]]</f>
        <v>40.25</v>
      </c>
      <c r="X169" s="91">
        <f>IF(($G$8+VaBenefits[[#This Row],[timeFromValuation]])&lt;=120,VLOOKUP(G169,Table2[],Qx!L$6,FALSE),0)</f>
        <v>0.85355099999999995</v>
      </c>
      <c r="Y169" s="91">
        <f>IF(($H$8+VaBenefits[[#This Row],[timeFromValuation]])&lt;=120,VLOOKUP(H169,Table2[],Qx!M$6,FALSE),0)</f>
        <v>0.62</v>
      </c>
      <c r="Z169" s="91">
        <v>0</v>
      </c>
      <c r="AA169" s="91">
        <v>0</v>
      </c>
      <c r="AB169" s="91">
        <v>0</v>
      </c>
      <c r="AC169" s="91">
        <v>0</v>
      </c>
      <c r="AD169" s="97">
        <f>PV(1.03,20,-VaBenefits[[#This Row],[Protected Income Payment]])</f>
        <v>0</v>
      </c>
      <c r="AE169" s="130">
        <f>IF((AND(VaBenefits[[#This Row],[Is Anniversary?]],VaBenefits[[#This Row],[Assumed Contract Value ]]&lt;75000)),-50,0)</f>
        <v>0</v>
      </c>
      <c r="AF169" s="133">
        <f>VaBenefits[[#This Row],[Assumed Contract Value ]]*-1.15%/4</f>
        <v>0</v>
      </c>
      <c r="AG169" s="129">
        <v>0</v>
      </c>
      <c r="AH169" s="131">
        <f>VaBenefits[[#This Row],[Maintenace Fee]]+VaBenefits[[#This Row],[Separate Account Charge]]+VaBenefits[[#This Row],[Rider Fee]]</f>
        <v>0</v>
      </c>
      <c r="AR169" s="23">
        <f t="shared" si="21"/>
        <v>80.5</v>
      </c>
      <c r="AS169" s="24">
        <v>0</v>
      </c>
      <c r="AT169" s="24">
        <v>0</v>
      </c>
      <c r="AU169" s="22">
        <v>0</v>
      </c>
      <c r="AV169" s="16">
        <v>0</v>
      </c>
      <c r="AW169" s="14">
        <v>299982</v>
      </c>
      <c r="AX169" s="15">
        <v>0</v>
      </c>
      <c r="AY169" s="15">
        <v>0</v>
      </c>
      <c r="AZ169" s="14">
        <v>0</v>
      </c>
      <c r="BA169" s="17">
        <v>11999</v>
      </c>
    </row>
    <row r="170" spans="1:53" ht="15" thickBot="1" x14ac:dyDescent="0.35">
      <c r="A170" s="32">
        <f t="shared" si="19"/>
        <v>162</v>
      </c>
      <c r="B170" s="29">
        <f t="shared" si="20"/>
        <v>40.5</v>
      </c>
      <c r="C170" s="29" t="b">
        <f>AND(VaBenefits[[#This Row],[timeFromValuation]]&gt;=ACT,VaBenefits[[#This Row],[Assumed Contract Value ]]&gt;0)</f>
        <v>0</v>
      </c>
      <c r="D170" s="20">
        <v>0</v>
      </c>
      <c r="E170" s="20">
        <v>0</v>
      </c>
      <c r="F170" s="20">
        <v>0</v>
      </c>
      <c r="G170" s="96">
        <f>ROUND($G$8+VaBenefits[[#This Row],[timeFromValuation]],0)</f>
        <v>96</v>
      </c>
      <c r="H170" s="20">
        <f>ROUND($H$8+VaBenefits[[#This Row],[timeFromValuation]],0)</f>
        <v>106</v>
      </c>
      <c r="I170" s="27" t="b">
        <f>VaBenefits[[#This Row],[Withdrawal Taken  ]]&gt;0</f>
        <v>0</v>
      </c>
      <c r="J170" s="41">
        <f>IF(AND(NOT(VaBenefits[[#This Row],[Is Activation]]),VaBenefits[[#This Row],[Assumed Contract Value ]]&gt;0),VaBenefits[[#This Row],[Withdrawal Taken  ]]/VaBenefits[[#This Row],[Assumed Contract Value ]],0)</f>
        <v>0</v>
      </c>
      <c r="K17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0" s="27" t="b">
        <f ca="1">AND(VaBenefits[[#This Row],[Is Activation]],SUMIFS($E$8:$E170,$C$8:$C170,TRUE)&gt;0)</f>
        <v>0</v>
      </c>
      <c r="M17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0" s="32" t="b">
        <f>IF(VaBenefits[[#This Row],[timeFromValuation]]=0,0, MOD(VaBenefits[[#This Row],[timeFromValuation]],1)=0)</f>
        <v>0</v>
      </c>
      <c r="O170" s="7">
        <f>IF(VaBenefits[[#This Row],[Is Anniversary?]]=TRUE,VaBenefits[[#This Row],[Assumed Contract Value ]],0)</f>
        <v>0</v>
      </c>
      <c r="P17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0" s="7" t="b">
        <f>VaBenefits[[#This Row],[Assumed Contract Value ]]&lt;0.1</f>
        <v>1</v>
      </c>
      <c r="R17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0" s="7">
        <f ca="1">IF(AND(VaBenefits[[#This Row],[Is Activation]]=FALSE,VaBenefits[[#This Row],[Is Anniversary?]]=TRUE),OFFSET( VaBenefits[[#This Row],[Income Credit Base]],-1,0)*ICP,0)</f>
        <v>0</v>
      </c>
      <c r="T170" s="5">
        <f>IF(VaBenefits[[#This Row],[Assumed Contract Value ]]&gt;0,VaBenefits[[#This Row],[Income Base]]*MAWA,0)</f>
        <v>0</v>
      </c>
      <c r="U170" s="95">
        <v>0</v>
      </c>
      <c r="V170" s="8">
        <f>1/(1+InterestRate)^VaBenefits[[#This Row],[timeFromValuation]]</f>
        <v>0.13862239171886509</v>
      </c>
      <c r="W170" s="90">
        <f>VaBenefits[[#This Row],[timeFromValuation]]</f>
        <v>40.5</v>
      </c>
      <c r="X170" s="91">
        <f>IF(($G$8+VaBenefits[[#This Row],[timeFromValuation]])&lt;=120,VLOOKUP(G170,Table2[],Qx!L$6,FALSE),0)</f>
        <v>0.83609200000000006</v>
      </c>
      <c r="Y170" s="91">
        <f>IF(($H$8+VaBenefits[[#This Row],[timeFromValuation]])&lt;=120,VLOOKUP(H170,Table2[],Qx!M$6,FALSE),0)</f>
        <v>0.6</v>
      </c>
      <c r="Z170" s="91">
        <v>0</v>
      </c>
      <c r="AA170" s="91">
        <v>0</v>
      </c>
      <c r="AB170" s="91">
        <v>0</v>
      </c>
      <c r="AC170" s="91">
        <v>0</v>
      </c>
      <c r="AD170" s="97">
        <f>PV(1.03,20,-VaBenefits[[#This Row],[Protected Income Payment]])</f>
        <v>0</v>
      </c>
      <c r="AE170" s="130">
        <f>IF((AND(VaBenefits[[#This Row],[Is Anniversary?]],VaBenefits[[#This Row],[Assumed Contract Value ]]&lt;75000)),-50,0)</f>
        <v>0</v>
      </c>
      <c r="AF170" s="133">
        <f>VaBenefits[[#This Row],[Assumed Contract Value ]]*-1.15%/4</f>
        <v>0</v>
      </c>
      <c r="AG170" s="129">
        <v>0</v>
      </c>
      <c r="AH170" s="131">
        <f>VaBenefits[[#This Row],[Maintenace Fee]]+VaBenefits[[#This Row],[Separate Account Charge]]+VaBenefits[[#This Row],[Rider Fee]]</f>
        <v>0</v>
      </c>
      <c r="AR170" s="23">
        <f t="shared" si="21"/>
        <v>81</v>
      </c>
      <c r="AS170" s="24">
        <v>0</v>
      </c>
      <c r="AT170" s="24">
        <v>0</v>
      </c>
      <c r="AU170" s="22">
        <v>0</v>
      </c>
      <c r="AV170" s="16">
        <v>0</v>
      </c>
      <c r="AW170" s="14">
        <v>299982</v>
      </c>
      <c r="AX170" s="15">
        <v>0</v>
      </c>
      <c r="AY170" s="15">
        <v>0</v>
      </c>
      <c r="AZ170" s="14">
        <v>0</v>
      </c>
      <c r="BA170" s="17">
        <v>11999</v>
      </c>
    </row>
    <row r="171" spans="1:53" ht="15" thickBot="1" x14ac:dyDescent="0.35">
      <c r="A171" s="32">
        <f t="shared" si="19"/>
        <v>163</v>
      </c>
      <c r="B171" s="29">
        <f t="shared" si="20"/>
        <v>40.75</v>
      </c>
      <c r="C171" s="29" t="b">
        <f>AND(VaBenefits[[#This Row],[timeFromValuation]]&gt;=ACT,VaBenefits[[#This Row],[Assumed Contract Value ]]&gt;0)</f>
        <v>0</v>
      </c>
      <c r="D171" s="20">
        <v>0</v>
      </c>
      <c r="E171" s="20">
        <v>0</v>
      </c>
      <c r="F171" s="20">
        <v>0</v>
      </c>
      <c r="G171" s="96">
        <f>ROUND($G$8+VaBenefits[[#This Row],[timeFromValuation]],0)</f>
        <v>96</v>
      </c>
      <c r="H171" s="20">
        <f>ROUND($H$8+VaBenefits[[#This Row],[timeFromValuation]],0)</f>
        <v>106</v>
      </c>
      <c r="I171" s="27" t="b">
        <f>VaBenefits[[#This Row],[Withdrawal Taken  ]]&gt;0</f>
        <v>0</v>
      </c>
      <c r="J171" s="41">
        <f>IF(AND(NOT(VaBenefits[[#This Row],[Is Activation]]),VaBenefits[[#This Row],[Assumed Contract Value ]]&gt;0),VaBenefits[[#This Row],[Withdrawal Taken  ]]/VaBenefits[[#This Row],[Assumed Contract Value ]],0)</f>
        <v>0</v>
      </c>
      <c r="K17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1" s="27" t="b">
        <f ca="1">AND(VaBenefits[[#This Row],[Is Activation]],SUMIFS($E$8:$E171,$C$8:$C171,TRUE)&gt;0)</f>
        <v>0</v>
      </c>
      <c r="M17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1" s="32" t="b">
        <f>IF(VaBenefits[[#This Row],[timeFromValuation]]=0,0, MOD(VaBenefits[[#This Row],[timeFromValuation]],1)=0)</f>
        <v>0</v>
      </c>
      <c r="O171" s="7">
        <f>IF(VaBenefits[[#This Row],[Is Anniversary?]]=TRUE,VaBenefits[[#This Row],[Assumed Contract Value ]],0)</f>
        <v>0</v>
      </c>
      <c r="P17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1" s="7" t="b">
        <f>VaBenefits[[#This Row],[Assumed Contract Value ]]&lt;0.1</f>
        <v>1</v>
      </c>
      <c r="R17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1" s="7">
        <f ca="1">IF(AND(VaBenefits[[#This Row],[Is Activation]]=FALSE,VaBenefits[[#This Row],[Is Anniversary?]]=TRUE),OFFSET( VaBenefits[[#This Row],[Income Credit Base]],-1,0)*ICP,0)</f>
        <v>0</v>
      </c>
      <c r="T171" s="5">
        <f>IF(VaBenefits[[#This Row],[Assumed Contract Value ]]&gt;0,VaBenefits[[#This Row],[Income Base]]*MAWA,0)</f>
        <v>0</v>
      </c>
      <c r="U171" s="95">
        <v>0</v>
      </c>
      <c r="V171" s="8">
        <f>1/(1+InterestRate)^VaBenefits[[#This Row],[timeFromValuation]]</f>
        <v>0.13694180972676137</v>
      </c>
      <c r="W171" s="90">
        <f>VaBenefits[[#This Row],[timeFromValuation]]</f>
        <v>40.75</v>
      </c>
      <c r="X171" s="91">
        <f>IF(($G$8+VaBenefits[[#This Row],[timeFromValuation]])&lt;=120,VLOOKUP(G171,Table2[],Qx!L$6,FALSE),0)</f>
        <v>0.83609200000000006</v>
      </c>
      <c r="Y171" s="91">
        <f>IF(($H$8+VaBenefits[[#This Row],[timeFromValuation]])&lt;=120,VLOOKUP(H171,Table2[],Qx!M$6,FALSE),0)</f>
        <v>0.6</v>
      </c>
      <c r="Z171" s="91">
        <v>0</v>
      </c>
      <c r="AA171" s="91">
        <v>0</v>
      </c>
      <c r="AB171" s="91">
        <v>0</v>
      </c>
      <c r="AC171" s="91">
        <v>0</v>
      </c>
      <c r="AD171" s="97">
        <f>PV(1.03,20,-VaBenefits[[#This Row],[Protected Income Payment]])</f>
        <v>0</v>
      </c>
      <c r="AE171" s="130">
        <f>IF((AND(VaBenefits[[#This Row],[Is Anniversary?]],VaBenefits[[#This Row],[Assumed Contract Value ]]&lt;75000)),-50,0)</f>
        <v>0</v>
      </c>
      <c r="AF171" s="133">
        <f>VaBenefits[[#This Row],[Assumed Contract Value ]]*-1.15%/4</f>
        <v>0</v>
      </c>
      <c r="AG171" s="129">
        <v>0</v>
      </c>
      <c r="AH171" s="131">
        <f>VaBenefits[[#This Row],[Maintenace Fee]]+VaBenefits[[#This Row],[Separate Account Charge]]+VaBenefits[[#This Row],[Rider Fee]]</f>
        <v>0</v>
      </c>
      <c r="AR171" s="23">
        <f t="shared" si="21"/>
        <v>81.5</v>
      </c>
      <c r="AS171" s="24">
        <v>0</v>
      </c>
      <c r="AT171" s="24">
        <v>0</v>
      </c>
      <c r="AU171" s="22">
        <v>0</v>
      </c>
      <c r="AV171" s="16">
        <v>0</v>
      </c>
      <c r="AW171" s="14">
        <v>299982</v>
      </c>
      <c r="AX171" s="15">
        <v>0</v>
      </c>
      <c r="AY171" s="15">
        <v>0</v>
      </c>
      <c r="AZ171" s="14">
        <v>0</v>
      </c>
      <c r="BA171" s="17">
        <v>11999</v>
      </c>
    </row>
    <row r="172" spans="1:53" ht="15" thickBot="1" x14ac:dyDescent="0.35">
      <c r="A172" s="32">
        <f t="shared" si="19"/>
        <v>164</v>
      </c>
      <c r="B172" s="29">
        <f t="shared" si="20"/>
        <v>41</v>
      </c>
      <c r="C172" s="29" t="b">
        <f>AND(VaBenefits[[#This Row],[timeFromValuation]]&gt;=ACT,VaBenefits[[#This Row],[Assumed Contract Value ]]&gt;0)</f>
        <v>0</v>
      </c>
      <c r="D172" s="20">
        <v>0</v>
      </c>
      <c r="E172" s="20">
        <v>0</v>
      </c>
      <c r="F172" s="20">
        <v>0</v>
      </c>
      <c r="G172" s="96">
        <f>ROUND($G$8+VaBenefits[[#This Row],[timeFromValuation]],0)</f>
        <v>96</v>
      </c>
      <c r="H172" s="20">
        <f>ROUND($H$8+VaBenefits[[#This Row],[timeFromValuation]],0)</f>
        <v>106</v>
      </c>
      <c r="I172" s="27" t="b">
        <f>VaBenefits[[#This Row],[Withdrawal Taken  ]]&gt;0</f>
        <v>0</v>
      </c>
      <c r="J172" s="41">
        <f>IF(AND(NOT(VaBenefits[[#This Row],[Is Activation]]),VaBenefits[[#This Row],[Assumed Contract Value ]]&gt;0),VaBenefits[[#This Row],[Withdrawal Taken  ]]/VaBenefits[[#This Row],[Assumed Contract Value ]],0)</f>
        <v>0</v>
      </c>
      <c r="K17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2" s="27" t="b">
        <f ca="1">AND(VaBenefits[[#This Row],[Is Activation]],SUMIFS($E$8:$E172,$C$8:$C172,TRUE)&gt;0)</f>
        <v>0</v>
      </c>
      <c r="M17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2" s="32" t="b">
        <f>IF(VaBenefits[[#This Row],[timeFromValuation]]=0,0, MOD(VaBenefits[[#This Row],[timeFromValuation]],1)=0)</f>
        <v>1</v>
      </c>
      <c r="O172" s="7">
        <f>IF(VaBenefits[[#This Row],[Is Anniversary?]]=TRUE,VaBenefits[[#This Row],[Assumed Contract Value ]],0)</f>
        <v>0</v>
      </c>
      <c r="P17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2" s="7" t="b">
        <f>VaBenefits[[#This Row],[Assumed Contract Value ]]&lt;0.1</f>
        <v>1</v>
      </c>
      <c r="R17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2" s="7">
        <f ca="1">IF(AND(VaBenefits[[#This Row],[Is Activation]]=FALSE,VaBenefits[[#This Row],[Is Anniversary?]]=TRUE),OFFSET( VaBenefits[[#This Row],[Income Credit Base]],-1,0)*ICP,0)</f>
        <v>0</v>
      </c>
      <c r="T172" s="5">
        <f>IF(VaBenefits[[#This Row],[Assumed Contract Value ]]&gt;0,VaBenefits[[#This Row],[Income Base]]*MAWA,0)</f>
        <v>0</v>
      </c>
      <c r="U172" s="95">
        <v>0</v>
      </c>
      <c r="V172" s="8">
        <f>1/(1+InterestRate)^VaBenefits[[#This Row],[timeFromValuation]]</f>
        <v>0.13528160219074079</v>
      </c>
      <c r="W172" s="90">
        <f>VaBenefits[[#This Row],[timeFromValuation]]</f>
        <v>41</v>
      </c>
      <c r="X172" s="91">
        <f>IF(($G$8+VaBenefits[[#This Row],[timeFromValuation]])&lt;=120,VLOOKUP(G172,Table2[],Qx!L$6,FALSE),0)</f>
        <v>0.83609200000000006</v>
      </c>
      <c r="Y172" s="91">
        <f>IF(($H$8+VaBenefits[[#This Row],[timeFromValuation]])&lt;=120,VLOOKUP(H172,Table2[],Qx!M$6,FALSE),0)</f>
        <v>0.6</v>
      </c>
      <c r="Z172" s="91">
        <v>0</v>
      </c>
      <c r="AA172" s="91">
        <v>0</v>
      </c>
      <c r="AB172" s="91">
        <v>0</v>
      </c>
      <c r="AC172" s="91">
        <v>0</v>
      </c>
      <c r="AD172" s="97">
        <f>PV(1.03,20,-VaBenefits[[#This Row],[Protected Income Payment]])</f>
        <v>0</v>
      </c>
      <c r="AE172" s="130">
        <f>IF((AND(VaBenefits[[#This Row],[Is Anniversary?]],VaBenefits[[#This Row],[Assumed Contract Value ]]&lt;75000)),-50,0)</f>
        <v>-50</v>
      </c>
      <c r="AF172" s="133">
        <f>VaBenefits[[#This Row],[Assumed Contract Value ]]*-1.15%/4</f>
        <v>0</v>
      </c>
      <c r="AG172" s="129">
        <v>0</v>
      </c>
      <c r="AH172" s="131">
        <f>VaBenefits[[#This Row],[Maintenace Fee]]+VaBenefits[[#This Row],[Separate Account Charge]]+VaBenefits[[#This Row],[Rider Fee]]</f>
        <v>-50</v>
      </c>
      <c r="AR172" s="23">
        <f t="shared" si="21"/>
        <v>82</v>
      </c>
      <c r="AS172" s="24">
        <v>0</v>
      </c>
      <c r="AT172" s="24">
        <v>0</v>
      </c>
      <c r="AU172" s="22">
        <v>0</v>
      </c>
      <c r="AV172" s="16">
        <v>0</v>
      </c>
      <c r="AW172" s="14">
        <v>299982</v>
      </c>
      <c r="AX172" s="15">
        <v>0</v>
      </c>
      <c r="AY172" s="15">
        <v>0</v>
      </c>
      <c r="AZ172" s="14">
        <v>0</v>
      </c>
      <c r="BA172" s="17">
        <v>11999</v>
      </c>
    </row>
    <row r="173" spans="1:53" ht="15" thickBot="1" x14ac:dyDescent="0.35">
      <c r="A173" s="32">
        <f t="shared" si="19"/>
        <v>165</v>
      </c>
      <c r="B173" s="29">
        <f t="shared" si="20"/>
        <v>41.25</v>
      </c>
      <c r="C173" s="29" t="b">
        <f>AND(VaBenefits[[#This Row],[timeFromValuation]]&gt;=ACT,VaBenefits[[#This Row],[Assumed Contract Value ]]&gt;0)</f>
        <v>0</v>
      </c>
      <c r="D173" s="20">
        <v>0</v>
      </c>
      <c r="E173" s="20">
        <v>0</v>
      </c>
      <c r="F173" s="20">
        <v>0</v>
      </c>
      <c r="G173" s="96">
        <f>ROUND($G$8+VaBenefits[[#This Row],[timeFromValuation]],0)</f>
        <v>96</v>
      </c>
      <c r="H173" s="20">
        <f>ROUND($H$8+VaBenefits[[#This Row],[timeFromValuation]],0)</f>
        <v>106</v>
      </c>
      <c r="I173" s="27" t="b">
        <f>VaBenefits[[#This Row],[Withdrawal Taken  ]]&gt;0</f>
        <v>0</v>
      </c>
      <c r="J173" s="41">
        <f>IF(AND(NOT(VaBenefits[[#This Row],[Is Activation]]),VaBenefits[[#This Row],[Assumed Contract Value ]]&gt;0),VaBenefits[[#This Row],[Withdrawal Taken  ]]/VaBenefits[[#This Row],[Assumed Contract Value ]],0)</f>
        <v>0</v>
      </c>
      <c r="K17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3" s="27" t="b">
        <f ca="1">AND(VaBenefits[[#This Row],[Is Activation]],SUMIFS($E$8:$E173,$C$8:$C173,TRUE)&gt;0)</f>
        <v>0</v>
      </c>
      <c r="M17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3" s="32" t="b">
        <f>IF(VaBenefits[[#This Row],[timeFromValuation]]=0,0, MOD(VaBenefits[[#This Row],[timeFromValuation]],1)=0)</f>
        <v>0</v>
      </c>
      <c r="O173" s="7">
        <f>IF(VaBenefits[[#This Row],[Is Anniversary?]]=TRUE,VaBenefits[[#This Row],[Assumed Contract Value ]],0)</f>
        <v>0</v>
      </c>
      <c r="P17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3" s="7" t="b">
        <f>VaBenefits[[#This Row],[Assumed Contract Value ]]&lt;0.1</f>
        <v>1</v>
      </c>
      <c r="R17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3" s="7">
        <f ca="1">IF(AND(VaBenefits[[#This Row],[Is Activation]]=FALSE,VaBenefits[[#This Row],[Is Anniversary?]]=TRUE),OFFSET( VaBenefits[[#This Row],[Income Credit Base]],-1,0)*ICP,0)</f>
        <v>0</v>
      </c>
      <c r="T173" s="5">
        <f>IF(VaBenefits[[#This Row],[Assumed Contract Value ]]&gt;0,VaBenefits[[#This Row],[Income Base]]*MAWA,0)</f>
        <v>0</v>
      </c>
      <c r="U173" s="95">
        <v>0</v>
      </c>
      <c r="V173" s="8">
        <f>1/(1+InterestRate)^VaBenefits[[#This Row],[timeFromValuation]]</f>
        <v>0.13364152210205058</v>
      </c>
      <c r="W173" s="90">
        <f>VaBenefits[[#This Row],[timeFromValuation]]</f>
        <v>41.25</v>
      </c>
      <c r="X173" s="91">
        <f>IF(($G$8+VaBenefits[[#This Row],[timeFromValuation]])&lt;=120,VLOOKUP(G173,Table2[],Qx!L$6,FALSE),0)</f>
        <v>0.83609200000000006</v>
      </c>
      <c r="Y173" s="91">
        <f>IF(($H$8+VaBenefits[[#This Row],[timeFromValuation]])&lt;=120,VLOOKUP(H173,Table2[],Qx!M$6,FALSE),0)</f>
        <v>0.6</v>
      </c>
      <c r="Z173" s="91">
        <v>0</v>
      </c>
      <c r="AA173" s="91">
        <v>0</v>
      </c>
      <c r="AB173" s="91">
        <v>0</v>
      </c>
      <c r="AC173" s="91">
        <v>0</v>
      </c>
      <c r="AD173" s="97">
        <f>PV(1.03,20,-VaBenefits[[#This Row],[Protected Income Payment]])</f>
        <v>0</v>
      </c>
      <c r="AE173" s="130">
        <f>IF((AND(VaBenefits[[#This Row],[Is Anniversary?]],VaBenefits[[#This Row],[Assumed Contract Value ]]&lt;75000)),-50,0)</f>
        <v>0</v>
      </c>
      <c r="AF173" s="133">
        <f>VaBenefits[[#This Row],[Assumed Contract Value ]]*-1.15%/4</f>
        <v>0</v>
      </c>
      <c r="AG173" s="129">
        <v>0</v>
      </c>
      <c r="AH173" s="131">
        <f>VaBenefits[[#This Row],[Maintenace Fee]]+VaBenefits[[#This Row],[Separate Account Charge]]+VaBenefits[[#This Row],[Rider Fee]]</f>
        <v>0</v>
      </c>
      <c r="AR173" s="23">
        <f t="shared" si="21"/>
        <v>82.5</v>
      </c>
      <c r="AS173" s="24">
        <v>0</v>
      </c>
      <c r="AT173" s="24">
        <v>0</v>
      </c>
      <c r="AU173" s="22">
        <v>0</v>
      </c>
      <c r="AV173" s="16">
        <v>0</v>
      </c>
      <c r="AW173" s="14">
        <v>299982</v>
      </c>
      <c r="AX173" s="15">
        <v>0</v>
      </c>
      <c r="AY173" s="15">
        <v>0</v>
      </c>
      <c r="AZ173" s="14">
        <v>0</v>
      </c>
      <c r="BA173" s="17">
        <v>11999</v>
      </c>
    </row>
    <row r="174" spans="1:53" ht="15" thickBot="1" x14ac:dyDescent="0.35">
      <c r="A174" s="32">
        <f t="shared" si="19"/>
        <v>166</v>
      </c>
      <c r="B174" s="29">
        <f t="shared" si="20"/>
        <v>41.5</v>
      </c>
      <c r="C174" s="29" t="b">
        <f>AND(VaBenefits[[#This Row],[timeFromValuation]]&gt;=ACT,VaBenefits[[#This Row],[Assumed Contract Value ]]&gt;0)</f>
        <v>0</v>
      </c>
      <c r="D174" s="20">
        <v>0</v>
      </c>
      <c r="E174" s="20">
        <v>0</v>
      </c>
      <c r="F174" s="20">
        <v>0</v>
      </c>
      <c r="G174" s="96">
        <f>ROUND($G$8+VaBenefits[[#This Row],[timeFromValuation]],0)</f>
        <v>97</v>
      </c>
      <c r="H174" s="20">
        <f>ROUND($H$8+VaBenefits[[#This Row],[timeFromValuation]],0)</f>
        <v>107</v>
      </c>
      <c r="I174" s="27" t="b">
        <f>VaBenefits[[#This Row],[Withdrawal Taken  ]]&gt;0</f>
        <v>0</v>
      </c>
      <c r="J174" s="41">
        <f>IF(AND(NOT(VaBenefits[[#This Row],[Is Activation]]),VaBenefits[[#This Row],[Assumed Contract Value ]]&gt;0),VaBenefits[[#This Row],[Withdrawal Taken  ]]/VaBenefits[[#This Row],[Assumed Contract Value ]],0)</f>
        <v>0</v>
      </c>
      <c r="K17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4" s="27" t="b">
        <f ca="1">AND(VaBenefits[[#This Row],[Is Activation]],SUMIFS($E$8:$E174,$C$8:$C174,TRUE)&gt;0)</f>
        <v>0</v>
      </c>
      <c r="M17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4" s="32" t="b">
        <f>IF(VaBenefits[[#This Row],[timeFromValuation]]=0,0, MOD(VaBenefits[[#This Row],[timeFromValuation]],1)=0)</f>
        <v>0</v>
      </c>
      <c r="O174" s="7">
        <f>IF(VaBenefits[[#This Row],[Is Anniversary?]]=TRUE,VaBenefits[[#This Row],[Assumed Contract Value ]],0)</f>
        <v>0</v>
      </c>
      <c r="P17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4" s="7" t="b">
        <f>VaBenefits[[#This Row],[Assumed Contract Value ]]&lt;0.1</f>
        <v>1</v>
      </c>
      <c r="R17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4" s="7">
        <f ca="1">IF(AND(VaBenefits[[#This Row],[Is Activation]]=FALSE,VaBenefits[[#This Row],[Is Anniversary?]]=TRUE),OFFSET( VaBenefits[[#This Row],[Income Credit Base]],-1,0)*ICP,0)</f>
        <v>0</v>
      </c>
      <c r="T174" s="5">
        <f>IF(VaBenefits[[#This Row],[Assumed Contract Value ]]&gt;0,VaBenefits[[#This Row],[Income Base]]*MAWA,0)</f>
        <v>0</v>
      </c>
      <c r="U174" s="95">
        <v>0</v>
      </c>
      <c r="V174" s="8">
        <f>1/(1+InterestRate)^VaBenefits[[#This Row],[timeFromValuation]]</f>
        <v>0.13202132544653816</v>
      </c>
      <c r="W174" s="90">
        <f>VaBenefits[[#This Row],[timeFromValuation]]</f>
        <v>41.5</v>
      </c>
      <c r="X174" s="91">
        <f>IF(($G$8+VaBenefits[[#This Row],[timeFromValuation]])&lt;=120,VLOOKUP(G174,Table2[],Qx!L$6,FALSE),0)</f>
        <v>0.82030500000000006</v>
      </c>
      <c r="Y174" s="91">
        <f>IF(($H$8+VaBenefits[[#This Row],[timeFromValuation]])&lt;=120,VLOOKUP(H174,Table2[],Qx!M$6,FALSE),0)</f>
        <v>0.6</v>
      </c>
      <c r="Z174" s="91">
        <v>0</v>
      </c>
      <c r="AA174" s="91">
        <v>0</v>
      </c>
      <c r="AB174" s="91">
        <v>0</v>
      </c>
      <c r="AC174" s="91">
        <v>0</v>
      </c>
      <c r="AD174" s="97">
        <f>PV(1.03,20,-VaBenefits[[#This Row],[Protected Income Payment]])</f>
        <v>0</v>
      </c>
      <c r="AE174" s="130">
        <f>IF((AND(VaBenefits[[#This Row],[Is Anniversary?]],VaBenefits[[#This Row],[Assumed Contract Value ]]&lt;75000)),-50,0)</f>
        <v>0</v>
      </c>
      <c r="AF174" s="133">
        <f>VaBenefits[[#This Row],[Assumed Contract Value ]]*-1.15%/4</f>
        <v>0</v>
      </c>
      <c r="AG174" s="129">
        <v>0</v>
      </c>
      <c r="AH174" s="131">
        <f>VaBenefits[[#This Row],[Maintenace Fee]]+VaBenefits[[#This Row],[Separate Account Charge]]+VaBenefits[[#This Row],[Rider Fee]]</f>
        <v>0</v>
      </c>
      <c r="AR174" s="23">
        <f t="shared" si="21"/>
        <v>83</v>
      </c>
      <c r="AS174" s="24">
        <v>0</v>
      </c>
      <c r="AT174" s="24">
        <v>0</v>
      </c>
      <c r="AU174" s="22">
        <v>0</v>
      </c>
      <c r="AV174" s="16">
        <v>0</v>
      </c>
      <c r="AW174" s="14">
        <v>299982</v>
      </c>
      <c r="AX174" s="15">
        <v>0</v>
      </c>
      <c r="AY174" s="15">
        <v>0</v>
      </c>
      <c r="AZ174" s="14">
        <v>0</v>
      </c>
      <c r="BA174" s="17">
        <v>11999</v>
      </c>
    </row>
    <row r="175" spans="1:53" ht="15" thickBot="1" x14ac:dyDescent="0.35">
      <c r="A175" s="32">
        <f t="shared" si="19"/>
        <v>167</v>
      </c>
      <c r="B175" s="29">
        <f t="shared" si="20"/>
        <v>41.75</v>
      </c>
      <c r="C175" s="29" t="b">
        <f>AND(VaBenefits[[#This Row],[timeFromValuation]]&gt;=ACT,VaBenefits[[#This Row],[Assumed Contract Value ]]&gt;0)</f>
        <v>0</v>
      </c>
      <c r="D175" s="20">
        <v>0</v>
      </c>
      <c r="E175" s="20">
        <v>0</v>
      </c>
      <c r="F175" s="20">
        <v>0</v>
      </c>
      <c r="G175" s="96">
        <f>ROUND($G$8+VaBenefits[[#This Row],[timeFromValuation]],0)</f>
        <v>97</v>
      </c>
      <c r="H175" s="20">
        <f>ROUND($H$8+VaBenefits[[#This Row],[timeFromValuation]],0)</f>
        <v>107</v>
      </c>
      <c r="I175" s="27" t="b">
        <f>VaBenefits[[#This Row],[Withdrawal Taken  ]]&gt;0</f>
        <v>0</v>
      </c>
      <c r="J175" s="41">
        <f>IF(AND(NOT(VaBenefits[[#This Row],[Is Activation]]),VaBenefits[[#This Row],[Assumed Contract Value ]]&gt;0),VaBenefits[[#This Row],[Withdrawal Taken  ]]/VaBenefits[[#This Row],[Assumed Contract Value ]],0)</f>
        <v>0</v>
      </c>
      <c r="K17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5" s="27" t="b">
        <f ca="1">AND(VaBenefits[[#This Row],[Is Activation]],SUMIFS($E$8:$E175,$C$8:$C175,TRUE)&gt;0)</f>
        <v>0</v>
      </c>
      <c r="M17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5" s="32" t="b">
        <f>IF(VaBenefits[[#This Row],[timeFromValuation]]=0,0, MOD(VaBenefits[[#This Row],[timeFromValuation]],1)=0)</f>
        <v>0</v>
      </c>
      <c r="O175" s="7">
        <f>IF(VaBenefits[[#This Row],[Is Anniversary?]]=TRUE,VaBenefits[[#This Row],[Assumed Contract Value ]],0)</f>
        <v>0</v>
      </c>
      <c r="P17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5" s="7" t="b">
        <f>VaBenefits[[#This Row],[Assumed Contract Value ]]&lt;0.1</f>
        <v>1</v>
      </c>
      <c r="R17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5" s="7">
        <f ca="1">IF(AND(VaBenefits[[#This Row],[Is Activation]]=FALSE,VaBenefits[[#This Row],[Is Anniversary?]]=TRUE),OFFSET( VaBenefits[[#This Row],[Income Credit Base]],-1,0)*ICP,0)</f>
        <v>0</v>
      </c>
      <c r="T175" s="5">
        <f>IF(VaBenefits[[#This Row],[Assumed Contract Value ]]&gt;0,VaBenefits[[#This Row],[Income Base]]*MAWA,0)</f>
        <v>0</v>
      </c>
      <c r="U175" s="95">
        <v>0</v>
      </c>
      <c r="V175" s="8">
        <f>1/(1+InterestRate)^VaBenefits[[#This Row],[timeFromValuation]]</f>
        <v>0.13042077116834416</v>
      </c>
      <c r="W175" s="90">
        <f>VaBenefits[[#This Row],[timeFromValuation]]</f>
        <v>41.75</v>
      </c>
      <c r="X175" s="91">
        <f>IF(($G$8+VaBenefits[[#This Row],[timeFromValuation]])&lt;=120,VLOOKUP(G175,Table2[],Qx!L$6,FALSE),0)</f>
        <v>0.82030500000000006</v>
      </c>
      <c r="Y175" s="91">
        <f>IF(($H$8+VaBenefits[[#This Row],[timeFromValuation]])&lt;=120,VLOOKUP(H175,Table2[],Qx!M$6,FALSE),0)</f>
        <v>0.6</v>
      </c>
      <c r="Z175" s="91">
        <v>0</v>
      </c>
      <c r="AA175" s="91">
        <v>0</v>
      </c>
      <c r="AB175" s="91">
        <v>0</v>
      </c>
      <c r="AC175" s="91">
        <v>0</v>
      </c>
      <c r="AD175" s="97">
        <f>PV(1.03,20,-VaBenefits[[#This Row],[Protected Income Payment]])</f>
        <v>0</v>
      </c>
      <c r="AE175" s="130">
        <f>IF((AND(VaBenefits[[#This Row],[Is Anniversary?]],VaBenefits[[#This Row],[Assumed Contract Value ]]&lt;75000)),-50,0)</f>
        <v>0</v>
      </c>
      <c r="AF175" s="133">
        <f>VaBenefits[[#This Row],[Assumed Contract Value ]]*-1.15%/4</f>
        <v>0</v>
      </c>
      <c r="AG175" s="129">
        <v>0</v>
      </c>
      <c r="AH175" s="131">
        <f>VaBenefits[[#This Row],[Maintenace Fee]]+VaBenefits[[#This Row],[Separate Account Charge]]+VaBenefits[[#This Row],[Rider Fee]]</f>
        <v>0</v>
      </c>
      <c r="AR175" s="23">
        <f t="shared" si="21"/>
        <v>83.5</v>
      </c>
      <c r="AS175" s="24">
        <v>0</v>
      </c>
      <c r="AT175" s="24">
        <v>0</v>
      </c>
      <c r="AU175" s="22">
        <v>0</v>
      </c>
      <c r="AV175" s="16">
        <v>0</v>
      </c>
      <c r="AW175" s="14">
        <v>299982</v>
      </c>
      <c r="AX175" s="15">
        <v>0</v>
      </c>
      <c r="AY175" s="15">
        <v>0</v>
      </c>
      <c r="AZ175" s="14">
        <v>0</v>
      </c>
      <c r="BA175" s="17">
        <v>11999</v>
      </c>
    </row>
    <row r="176" spans="1:53" ht="15" thickBot="1" x14ac:dyDescent="0.35">
      <c r="A176" s="32">
        <f t="shared" si="19"/>
        <v>168</v>
      </c>
      <c r="B176" s="29">
        <f t="shared" si="20"/>
        <v>42</v>
      </c>
      <c r="C176" s="29" t="b">
        <f>AND(VaBenefits[[#This Row],[timeFromValuation]]&gt;=ACT,VaBenefits[[#This Row],[Assumed Contract Value ]]&gt;0)</f>
        <v>0</v>
      </c>
      <c r="D176" s="20">
        <v>0</v>
      </c>
      <c r="E176" s="20">
        <v>0</v>
      </c>
      <c r="F176" s="20">
        <v>0</v>
      </c>
      <c r="G176" s="96">
        <f>ROUND($G$8+VaBenefits[[#This Row],[timeFromValuation]],0)</f>
        <v>97</v>
      </c>
      <c r="H176" s="20">
        <f>ROUND($H$8+VaBenefits[[#This Row],[timeFromValuation]],0)</f>
        <v>107</v>
      </c>
      <c r="I176" s="27" t="b">
        <f>VaBenefits[[#This Row],[Withdrawal Taken  ]]&gt;0</f>
        <v>0</v>
      </c>
      <c r="J176" s="41">
        <f>IF(AND(NOT(VaBenefits[[#This Row],[Is Activation]]),VaBenefits[[#This Row],[Assumed Contract Value ]]&gt;0),VaBenefits[[#This Row],[Withdrawal Taken  ]]/VaBenefits[[#This Row],[Assumed Contract Value ]],0)</f>
        <v>0</v>
      </c>
      <c r="K17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6" s="27" t="b">
        <f ca="1">AND(VaBenefits[[#This Row],[Is Activation]],SUMIFS($E$8:$E176,$C$8:$C176,TRUE)&gt;0)</f>
        <v>0</v>
      </c>
      <c r="M17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6" s="32" t="b">
        <f>IF(VaBenefits[[#This Row],[timeFromValuation]]=0,0, MOD(VaBenefits[[#This Row],[timeFromValuation]],1)=0)</f>
        <v>1</v>
      </c>
      <c r="O176" s="7">
        <f>IF(VaBenefits[[#This Row],[Is Anniversary?]]=TRUE,VaBenefits[[#This Row],[Assumed Contract Value ]],0)</f>
        <v>0</v>
      </c>
      <c r="P17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6" s="7" t="b">
        <f>VaBenefits[[#This Row],[Assumed Contract Value ]]&lt;0.1</f>
        <v>1</v>
      </c>
      <c r="R17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6" s="7">
        <f ca="1">IF(AND(VaBenefits[[#This Row],[Is Activation]]=FALSE,VaBenefits[[#This Row],[Is Anniversary?]]=TRUE),OFFSET( VaBenefits[[#This Row],[Income Credit Base]],-1,0)*ICP,0)</f>
        <v>0</v>
      </c>
      <c r="T176" s="5">
        <f>IF(VaBenefits[[#This Row],[Assumed Contract Value ]]&gt;0,VaBenefits[[#This Row],[Income Base]]*MAWA,0)</f>
        <v>0</v>
      </c>
      <c r="U176" s="95">
        <v>0</v>
      </c>
      <c r="V176" s="8">
        <f>1/(1+InterestRate)^VaBenefits[[#This Row],[timeFromValuation]]</f>
        <v>0.12883962113403885</v>
      </c>
      <c r="W176" s="90">
        <f>VaBenefits[[#This Row],[timeFromValuation]]</f>
        <v>42</v>
      </c>
      <c r="X176" s="91">
        <f>IF(($G$8+VaBenefits[[#This Row],[timeFromValuation]])&lt;=120,VLOOKUP(G176,Table2[],Qx!L$6,FALSE),0)</f>
        <v>0.82030500000000006</v>
      </c>
      <c r="Y176" s="91">
        <f>IF(($H$8+VaBenefits[[#This Row],[timeFromValuation]])&lt;=120,VLOOKUP(H176,Table2[],Qx!M$6,FALSE),0)</f>
        <v>0.6</v>
      </c>
      <c r="Z176" s="91">
        <v>0</v>
      </c>
      <c r="AA176" s="91">
        <v>0</v>
      </c>
      <c r="AB176" s="91">
        <v>0</v>
      </c>
      <c r="AC176" s="91">
        <v>0</v>
      </c>
      <c r="AD176" s="97">
        <f>PV(1.03,20,-VaBenefits[[#This Row],[Protected Income Payment]])</f>
        <v>0</v>
      </c>
      <c r="AE176" s="130">
        <f>IF((AND(VaBenefits[[#This Row],[Is Anniversary?]],VaBenefits[[#This Row],[Assumed Contract Value ]]&lt;75000)),-50,0)</f>
        <v>-50</v>
      </c>
      <c r="AF176" s="133">
        <f>VaBenefits[[#This Row],[Assumed Contract Value ]]*-1.15%/4</f>
        <v>0</v>
      </c>
      <c r="AG176" s="129">
        <v>0</v>
      </c>
      <c r="AH176" s="131">
        <f>VaBenefits[[#This Row],[Maintenace Fee]]+VaBenefits[[#This Row],[Separate Account Charge]]+VaBenefits[[#This Row],[Rider Fee]]</f>
        <v>-50</v>
      </c>
      <c r="AR176" s="23">
        <f t="shared" si="21"/>
        <v>84</v>
      </c>
      <c r="AS176" s="24">
        <v>0</v>
      </c>
      <c r="AT176" s="24">
        <v>0</v>
      </c>
      <c r="AU176" s="22">
        <v>0</v>
      </c>
      <c r="AV176" s="16">
        <v>0</v>
      </c>
      <c r="AW176" s="14">
        <v>299982</v>
      </c>
      <c r="AX176" s="15">
        <v>0</v>
      </c>
      <c r="AY176" s="15">
        <v>0</v>
      </c>
      <c r="AZ176" s="14">
        <v>0</v>
      </c>
      <c r="BA176" s="17">
        <v>11999</v>
      </c>
    </row>
    <row r="177" spans="1:53" ht="15" thickBot="1" x14ac:dyDescent="0.35">
      <c r="A177" s="32">
        <f t="shared" si="19"/>
        <v>169</v>
      </c>
      <c r="B177" s="29">
        <f t="shared" si="20"/>
        <v>42.25</v>
      </c>
      <c r="C177" s="29" t="b">
        <f>AND(VaBenefits[[#This Row],[timeFromValuation]]&gt;=ACT,VaBenefits[[#This Row],[Assumed Contract Value ]]&gt;0)</f>
        <v>0</v>
      </c>
      <c r="D177" s="20">
        <v>0</v>
      </c>
      <c r="E177" s="20">
        <v>0</v>
      </c>
      <c r="F177" s="20">
        <v>0</v>
      </c>
      <c r="G177" s="96">
        <f>ROUND($G$8+VaBenefits[[#This Row],[timeFromValuation]],0)</f>
        <v>97</v>
      </c>
      <c r="H177" s="20">
        <f>ROUND($H$8+VaBenefits[[#This Row],[timeFromValuation]],0)</f>
        <v>107</v>
      </c>
      <c r="I177" s="27" t="b">
        <f>VaBenefits[[#This Row],[Withdrawal Taken  ]]&gt;0</f>
        <v>0</v>
      </c>
      <c r="J177" s="41">
        <f>IF(AND(NOT(VaBenefits[[#This Row],[Is Activation]]),VaBenefits[[#This Row],[Assumed Contract Value ]]&gt;0),VaBenefits[[#This Row],[Withdrawal Taken  ]]/VaBenefits[[#This Row],[Assumed Contract Value ]],0)</f>
        <v>0</v>
      </c>
      <c r="K17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7" s="27" t="b">
        <f ca="1">AND(VaBenefits[[#This Row],[Is Activation]],SUMIFS($E$8:$E177,$C$8:$C177,TRUE)&gt;0)</f>
        <v>0</v>
      </c>
      <c r="M17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7" s="32" t="b">
        <f>IF(VaBenefits[[#This Row],[timeFromValuation]]=0,0, MOD(VaBenefits[[#This Row],[timeFromValuation]],1)=0)</f>
        <v>0</v>
      </c>
      <c r="O177" s="7">
        <f>IF(VaBenefits[[#This Row],[Is Anniversary?]]=TRUE,VaBenefits[[#This Row],[Assumed Contract Value ]],0)</f>
        <v>0</v>
      </c>
      <c r="P17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7" s="7" t="b">
        <f>VaBenefits[[#This Row],[Assumed Contract Value ]]&lt;0.1</f>
        <v>1</v>
      </c>
      <c r="R17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7" s="7">
        <f ca="1">IF(AND(VaBenefits[[#This Row],[Is Activation]]=FALSE,VaBenefits[[#This Row],[Is Anniversary?]]=TRUE),OFFSET( VaBenefits[[#This Row],[Income Credit Base]],-1,0)*ICP,0)</f>
        <v>0</v>
      </c>
      <c r="T177" s="5">
        <f>IF(VaBenefits[[#This Row],[Assumed Contract Value ]]&gt;0,VaBenefits[[#This Row],[Income Base]]*MAWA,0)</f>
        <v>0</v>
      </c>
      <c r="U177" s="95">
        <v>0</v>
      </c>
      <c r="V177" s="8">
        <f>1/(1+InterestRate)^VaBenefits[[#This Row],[timeFromValuation]]</f>
        <v>0.12727764009719106</v>
      </c>
      <c r="W177" s="90">
        <f>VaBenefits[[#This Row],[timeFromValuation]]</f>
        <v>42.25</v>
      </c>
      <c r="X177" s="91">
        <f>IF(($G$8+VaBenefits[[#This Row],[timeFromValuation]])&lt;=120,VLOOKUP(G177,Table2[],Qx!L$6,FALSE),0)</f>
        <v>0.82030500000000006</v>
      </c>
      <c r="Y177" s="91">
        <f>IF(($H$8+VaBenefits[[#This Row],[timeFromValuation]])&lt;=120,VLOOKUP(H177,Table2[],Qx!M$6,FALSE),0)</f>
        <v>0.6</v>
      </c>
      <c r="Z177" s="91">
        <v>0</v>
      </c>
      <c r="AA177" s="91">
        <v>0</v>
      </c>
      <c r="AB177" s="91">
        <v>0</v>
      </c>
      <c r="AC177" s="91">
        <v>0</v>
      </c>
      <c r="AD177" s="97">
        <f>PV(1.03,20,-VaBenefits[[#This Row],[Protected Income Payment]])</f>
        <v>0</v>
      </c>
      <c r="AE177" s="130">
        <f>IF((AND(VaBenefits[[#This Row],[Is Anniversary?]],VaBenefits[[#This Row],[Assumed Contract Value ]]&lt;75000)),-50,0)</f>
        <v>0</v>
      </c>
      <c r="AF177" s="133">
        <f>VaBenefits[[#This Row],[Assumed Contract Value ]]*-1.15%/4</f>
        <v>0</v>
      </c>
      <c r="AG177" s="129">
        <v>0</v>
      </c>
      <c r="AH177" s="131">
        <f>VaBenefits[[#This Row],[Maintenace Fee]]+VaBenefits[[#This Row],[Separate Account Charge]]+VaBenefits[[#This Row],[Rider Fee]]</f>
        <v>0</v>
      </c>
      <c r="AR177" s="23">
        <f t="shared" si="21"/>
        <v>84.5</v>
      </c>
      <c r="AS177" s="24">
        <v>0</v>
      </c>
      <c r="AT177" s="24">
        <v>0</v>
      </c>
      <c r="AU177" s="22">
        <v>0</v>
      </c>
      <c r="AV177" s="16">
        <v>0</v>
      </c>
      <c r="AW177" s="14">
        <v>299982</v>
      </c>
      <c r="AX177" s="15">
        <v>0</v>
      </c>
      <c r="AY177" s="15">
        <v>0</v>
      </c>
      <c r="AZ177" s="14">
        <v>0</v>
      </c>
      <c r="BA177" s="17">
        <v>11999</v>
      </c>
    </row>
    <row r="178" spans="1:53" ht="15" thickBot="1" x14ac:dyDescent="0.35">
      <c r="A178" s="32">
        <f t="shared" si="19"/>
        <v>170</v>
      </c>
      <c r="B178" s="29">
        <f t="shared" si="20"/>
        <v>42.5</v>
      </c>
      <c r="C178" s="29" t="b">
        <f>AND(VaBenefits[[#This Row],[timeFromValuation]]&gt;=ACT,VaBenefits[[#This Row],[Assumed Contract Value ]]&gt;0)</f>
        <v>0</v>
      </c>
      <c r="D178" s="20">
        <v>0</v>
      </c>
      <c r="E178" s="20">
        <v>0</v>
      </c>
      <c r="F178" s="20">
        <v>0</v>
      </c>
      <c r="G178" s="96">
        <f>ROUND($G$8+VaBenefits[[#This Row],[timeFromValuation]],0)</f>
        <v>98</v>
      </c>
      <c r="H178" s="20">
        <f>ROUND($H$8+VaBenefits[[#This Row],[timeFromValuation]],0)</f>
        <v>108</v>
      </c>
      <c r="I178" s="27" t="b">
        <f>VaBenefits[[#This Row],[Withdrawal Taken  ]]&gt;0</f>
        <v>0</v>
      </c>
      <c r="J178" s="41">
        <f>IF(AND(NOT(VaBenefits[[#This Row],[Is Activation]]),VaBenefits[[#This Row],[Assumed Contract Value ]]&gt;0),VaBenefits[[#This Row],[Withdrawal Taken  ]]/VaBenefits[[#This Row],[Assumed Contract Value ]],0)</f>
        <v>0</v>
      </c>
      <c r="K17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8" s="27" t="b">
        <f ca="1">AND(VaBenefits[[#This Row],[Is Activation]],SUMIFS($E$8:$E178,$C$8:$C178,TRUE)&gt;0)</f>
        <v>0</v>
      </c>
      <c r="M17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8" s="32" t="b">
        <f>IF(VaBenefits[[#This Row],[timeFromValuation]]=0,0, MOD(VaBenefits[[#This Row],[timeFromValuation]],1)=0)</f>
        <v>0</v>
      </c>
      <c r="O178" s="7">
        <f>IF(VaBenefits[[#This Row],[Is Anniversary?]]=TRUE,VaBenefits[[#This Row],[Assumed Contract Value ]],0)</f>
        <v>0</v>
      </c>
      <c r="P17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8" s="7" t="b">
        <f>VaBenefits[[#This Row],[Assumed Contract Value ]]&lt;0.1</f>
        <v>1</v>
      </c>
      <c r="R17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8" s="7">
        <f ca="1">IF(AND(VaBenefits[[#This Row],[Is Activation]]=FALSE,VaBenefits[[#This Row],[Is Anniversary?]]=TRUE),OFFSET( VaBenefits[[#This Row],[Income Credit Base]],-1,0)*ICP,0)</f>
        <v>0</v>
      </c>
      <c r="T178" s="5">
        <f>IF(VaBenefits[[#This Row],[Assumed Contract Value ]]&gt;0,VaBenefits[[#This Row],[Income Base]]*MAWA,0)</f>
        <v>0</v>
      </c>
      <c r="U178" s="95">
        <v>0</v>
      </c>
      <c r="V178" s="8">
        <f>1/(1+InterestRate)^VaBenefits[[#This Row],[timeFromValuation]]</f>
        <v>0.12573459566336972</v>
      </c>
      <c r="W178" s="90">
        <f>VaBenefits[[#This Row],[timeFromValuation]]</f>
        <v>42.5</v>
      </c>
      <c r="X178" s="91">
        <f>IF(($G$8+VaBenefits[[#This Row],[timeFromValuation]])&lt;=120,VLOOKUP(G178,Table2[],Qx!L$6,FALSE),0)</f>
        <v>0.80384900000000004</v>
      </c>
      <c r="Y178" s="91">
        <f>IF(($H$8+VaBenefits[[#This Row],[timeFromValuation]])&lt;=120,VLOOKUP(H178,Table2[],Qx!M$6,FALSE),0)</f>
        <v>0.6</v>
      </c>
      <c r="Z178" s="91">
        <v>0</v>
      </c>
      <c r="AA178" s="91">
        <v>0</v>
      </c>
      <c r="AB178" s="91">
        <v>0</v>
      </c>
      <c r="AC178" s="91">
        <v>0</v>
      </c>
      <c r="AD178" s="97">
        <f>PV(1.03,20,-VaBenefits[[#This Row],[Protected Income Payment]])</f>
        <v>0</v>
      </c>
      <c r="AE178" s="130">
        <f>IF((AND(VaBenefits[[#This Row],[Is Anniversary?]],VaBenefits[[#This Row],[Assumed Contract Value ]]&lt;75000)),-50,0)</f>
        <v>0</v>
      </c>
      <c r="AF178" s="133">
        <f>VaBenefits[[#This Row],[Assumed Contract Value ]]*-1.15%/4</f>
        <v>0</v>
      </c>
      <c r="AG178" s="129">
        <v>0</v>
      </c>
      <c r="AH178" s="131">
        <f>VaBenefits[[#This Row],[Maintenace Fee]]+VaBenefits[[#This Row],[Separate Account Charge]]+VaBenefits[[#This Row],[Rider Fee]]</f>
        <v>0</v>
      </c>
      <c r="AR178" s="23">
        <f t="shared" si="21"/>
        <v>85</v>
      </c>
      <c r="AS178" s="24">
        <v>0</v>
      </c>
      <c r="AT178" s="24">
        <v>0</v>
      </c>
      <c r="AU178" s="22">
        <v>0</v>
      </c>
      <c r="AV178" s="16">
        <v>0</v>
      </c>
      <c r="AW178" s="14">
        <v>299982</v>
      </c>
      <c r="AX178" s="15">
        <v>0</v>
      </c>
      <c r="AY178" s="15">
        <v>0</v>
      </c>
      <c r="AZ178" s="14">
        <v>0</v>
      </c>
      <c r="BA178" s="17">
        <v>11999</v>
      </c>
    </row>
    <row r="179" spans="1:53" ht="15" thickBot="1" x14ac:dyDescent="0.35">
      <c r="A179" s="32">
        <f t="shared" si="19"/>
        <v>171</v>
      </c>
      <c r="B179" s="29">
        <f t="shared" si="20"/>
        <v>42.75</v>
      </c>
      <c r="C179" s="29" t="b">
        <f>AND(VaBenefits[[#This Row],[timeFromValuation]]&gt;=ACT,VaBenefits[[#This Row],[Assumed Contract Value ]]&gt;0)</f>
        <v>0</v>
      </c>
      <c r="D179" s="20">
        <v>0</v>
      </c>
      <c r="E179" s="20">
        <v>0</v>
      </c>
      <c r="F179" s="20">
        <v>0</v>
      </c>
      <c r="G179" s="96">
        <f>ROUND($G$8+VaBenefits[[#This Row],[timeFromValuation]],0)</f>
        <v>98</v>
      </c>
      <c r="H179" s="20">
        <f>ROUND($H$8+VaBenefits[[#This Row],[timeFromValuation]],0)</f>
        <v>108</v>
      </c>
      <c r="I179" s="27" t="b">
        <f>VaBenefits[[#This Row],[Withdrawal Taken  ]]&gt;0</f>
        <v>0</v>
      </c>
      <c r="J179" s="41">
        <f>IF(AND(NOT(VaBenefits[[#This Row],[Is Activation]]),VaBenefits[[#This Row],[Assumed Contract Value ]]&gt;0),VaBenefits[[#This Row],[Withdrawal Taken  ]]/VaBenefits[[#This Row],[Assumed Contract Value ]],0)</f>
        <v>0</v>
      </c>
      <c r="K17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9" s="27" t="b">
        <f ca="1">AND(VaBenefits[[#This Row],[Is Activation]],SUMIFS($E$8:$E179,$C$8:$C179,TRUE)&gt;0)</f>
        <v>0</v>
      </c>
      <c r="M17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9" s="32" t="b">
        <f>IF(VaBenefits[[#This Row],[timeFromValuation]]=0,0, MOD(VaBenefits[[#This Row],[timeFromValuation]],1)=0)</f>
        <v>0</v>
      </c>
      <c r="O179" s="7">
        <f>IF(VaBenefits[[#This Row],[Is Anniversary?]]=TRUE,VaBenefits[[#This Row],[Assumed Contract Value ]],0)</f>
        <v>0</v>
      </c>
      <c r="P17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9" s="7" t="b">
        <f>VaBenefits[[#This Row],[Assumed Contract Value ]]&lt;0.1</f>
        <v>1</v>
      </c>
      <c r="R17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9" s="7">
        <f ca="1">IF(AND(VaBenefits[[#This Row],[Is Activation]]=FALSE,VaBenefits[[#This Row],[Is Anniversary?]]=TRUE),OFFSET( VaBenefits[[#This Row],[Income Credit Base]],-1,0)*ICP,0)</f>
        <v>0</v>
      </c>
      <c r="T179" s="5">
        <f>IF(VaBenefits[[#This Row],[Assumed Contract Value ]]&gt;0,VaBenefits[[#This Row],[Income Base]]*MAWA,0)</f>
        <v>0</v>
      </c>
      <c r="U179" s="95">
        <v>0</v>
      </c>
      <c r="V179" s="8">
        <f>1/(1+InterestRate)^VaBenefits[[#This Row],[timeFromValuation]]</f>
        <v>0.12421025825556591</v>
      </c>
      <c r="W179" s="90">
        <f>VaBenefits[[#This Row],[timeFromValuation]]</f>
        <v>42.75</v>
      </c>
      <c r="X179" s="91">
        <f>IF(($G$8+VaBenefits[[#This Row],[timeFromValuation]])&lt;=120,VLOOKUP(G179,Table2[],Qx!L$6,FALSE),0)</f>
        <v>0.80384900000000004</v>
      </c>
      <c r="Y179" s="91">
        <f>IF(($H$8+VaBenefits[[#This Row],[timeFromValuation]])&lt;=120,VLOOKUP(H179,Table2[],Qx!M$6,FALSE),0)</f>
        <v>0.6</v>
      </c>
      <c r="Z179" s="91">
        <v>0</v>
      </c>
      <c r="AA179" s="91">
        <v>0</v>
      </c>
      <c r="AB179" s="91">
        <v>0</v>
      </c>
      <c r="AC179" s="91">
        <v>0</v>
      </c>
      <c r="AD179" s="97">
        <f>PV(1.03,20,-VaBenefits[[#This Row],[Protected Income Payment]])</f>
        <v>0</v>
      </c>
      <c r="AE179" s="130">
        <f>IF((AND(VaBenefits[[#This Row],[Is Anniversary?]],VaBenefits[[#This Row],[Assumed Contract Value ]]&lt;75000)),-50,0)</f>
        <v>0</v>
      </c>
      <c r="AF179" s="133">
        <f>VaBenefits[[#This Row],[Assumed Contract Value ]]*-1.15%/4</f>
        <v>0</v>
      </c>
      <c r="AG179" s="129">
        <v>0</v>
      </c>
      <c r="AH179" s="131">
        <f>VaBenefits[[#This Row],[Maintenace Fee]]+VaBenefits[[#This Row],[Separate Account Charge]]+VaBenefits[[#This Row],[Rider Fee]]</f>
        <v>0</v>
      </c>
      <c r="AR179" s="23">
        <f t="shared" si="21"/>
        <v>85.5</v>
      </c>
      <c r="AS179" s="24">
        <v>0</v>
      </c>
      <c r="AT179" s="24">
        <v>0</v>
      </c>
      <c r="AU179" s="22">
        <v>0</v>
      </c>
      <c r="AV179" s="16">
        <v>0</v>
      </c>
      <c r="AW179" s="14">
        <v>299982</v>
      </c>
      <c r="AX179" s="15">
        <v>0</v>
      </c>
      <c r="AY179" s="15">
        <v>0</v>
      </c>
      <c r="AZ179" s="14">
        <v>0</v>
      </c>
      <c r="BA179" s="17">
        <v>11999</v>
      </c>
    </row>
    <row r="180" spans="1:53" ht="15" thickBot="1" x14ac:dyDescent="0.35">
      <c r="A180" s="32">
        <f t="shared" si="19"/>
        <v>172</v>
      </c>
      <c r="B180" s="29">
        <f t="shared" si="20"/>
        <v>43</v>
      </c>
      <c r="C180" s="29" t="b">
        <f>AND(VaBenefits[[#This Row],[timeFromValuation]]&gt;=ACT,VaBenefits[[#This Row],[Assumed Contract Value ]]&gt;0)</f>
        <v>0</v>
      </c>
      <c r="D180" s="20">
        <v>0</v>
      </c>
      <c r="E180" s="20">
        <v>0</v>
      </c>
      <c r="F180" s="20">
        <v>0</v>
      </c>
      <c r="G180" s="96">
        <f>ROUND($G$8+VaBenefits[[#This Row],[timeFromValuation]],0)</f>
        <v>98</v>
      </c>
      <c r="H180" s="20">
        <f>ROUND($H$8+VaBenefits[[#This Row],[timeFromValuation]],0)</f>
        <v>108</v>
      </c>
      <c r="I180" s="27" t="b">
        <f>VaBenefits[[#This Row],[Withdrawal Taken  ]]&gt;0</f>
        <v>0</v>
      </c>
      <c r="J180" s="41">
        <f>IF(AND(NOT(VaBenefits[[#This Row],[Is Activation]]),VaBenefits[[#This Row],[Assumed Contract Value ]]&gt;0),VaBenefits[[#This Row],[Withdrawal Taken  ]]/VaBenefits[[#This Row],[Assumed Contract Value ]],0)</f>
        <v>0</v>
      </c>
      <c r="K18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0" s="27" t="b">
        <f ca="1">AND(VaBenefits[[#This Row],[Is Activation]],SUMIFS($E$8:$E310,$C$8:$C310,TRUE)&gt;0)</f>
        <v>0</v>
      </c>
      <c r="M18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0" s="32" t="b">
        <f>IF(VaBenefits[[#This Row],[timeFromValuation]]=0,0, MOD(VaBenefits[[#This Row],[timeFromValuation]],1)=0)</f>
        <v>1</v>
      </c>
      <c r="O180" s="7">
        <f>IF(VaBenefits[[#This Row],[Is Anniversary?]]=TRUE,VaBenefits[[#This Row],[Assumed Contract Value ]],0)</f>
        <v>0</v>
      </c>
      <c r="P18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0" s="7" t="b">
        <f>VaBenefits[[#This Row],[Assumed Contract Value ]]&lt;0.1</f>
        <v>1</v>
      </c>
      <c r="R18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0" s="7">
        <f ca="1">IF(AND(VaBenefits[[#This Row],[Is Activation]]=FALSE,VaBenefits[[#This Row],[Is Anniversary?]]=TRUE),OFFSET( VaBenefits[[#This Row],[Income Credit Base]],-1,0)*ICP,0)</f>
        <v>0</v>
      </c>
      <c r="T180" s="5">
        <f>IF(VaBenefits[[#This Row],[Assumed Contract Value ]]&gt;0,VaBenefits[[#This Row],[Income Base]]*MAWA,0)</f>
        <v>0</v>
      </c>
      <c r="U180" s="95">
        <v>0</v>
      </c>
      <c r="V180" s="8">
        <f>1/(1+InterestRate)^VaBenefits[[#This Row],[timeFromValuation]]</f>
        <v>0.12270440108003698</v>
      </c>
      <c r="W180" s="90">
        <f>VaBenefits[[#This Row],[timeFromValuation]]</f>
        <v>43</v>
      </c>
      <c r="X180" s="91">
        <f>IF(($G$8+VaBenefits[[#This Row],[timeFromValuation]])&lt;=120,VLOOKUP(G180,Table2[],Qx!L$6,FALSE),0)</f>
        <v>0.80384900000000004</v>
      </c>
      <c r="Y180" s="91">
        <f>IF(($H$8+VaBenefits[[#This Row],[timeFromValuation]])&lt;=120,VLOOKUP(H180,Table2[],Qx!M$6,FALSE),0)</f>
        <v>0.6</v>
      </c>
      <c r="Z180" s="91">
        <v>0</v>
      </c>
      <c r="AA180" s="91">
        <v>0</v>
      </c>
      <c r="AB180" s="91">
        <v>0</v>
      </c>
      <c r="AC180" s="91">
        <v>0</v>
      </c>
      <c r="AD180" s="97">
        <f>PV(1.03,20,-VaBenefits[[#This Row],[Protected Income Payment]])</f>
        <v>0</v>
      </c>
      <c r="AE180" s="130">
        <f>IF((AND(VaBenefits[[#This Row],[Is Anniversary?]],VaBenefits[[#This Row],[Assumed Contract Value ]]&lt;75000)),-50,0)</f>
        <v>-50</v>
      </c>
      <c r="AF180" s="133">
        <f>VaBenefits[[#This Row],[Assumed Contract Value ]]*-1.15%/4</f>
        <v>0</v>
      </c>
      <c r="AG180" s="129">
        <v>0</v>
      </c>
      <c r="AH180" s="131">
        <f>VaBenefits[[#This Row],[Maintenace Fee]]+VaBenefits[[#This Row],[Separate Account Charge]]+VaBenefits[[#This Row],[Rider Fee]]</f>
        <v>-50</v>
      </c>
      <c r="AR180" s="23">
        <f t="shared" si="21"/>
        <v>86</v>
      </c>
      <c r="AS180" s="24">
        <v>0</v>
      </c>
      <c r="AT180" s="24">
        <v>0</v>
      </c>
      <c r="AU180" s="22">
        <v>0</v>
      </c>
      <c r="AV180" s="16">
        <v>0</v>
      </c>
      <c r="AW180" s="14">
        <v>299982</v>
      </c>
      <c r="AX180" s="15">
        <v>0</v>
      </c>
      <c r="AY180" s="15">
        <v>0</v>
      </c>
      <c r="AZ180" s="14">
        <v>0</v>
      </c>
      <c r="BA180" s="17">
        <v>11999</v>
      </c>
    </row>
    <row r="181" spans="1:53" ht="15" thickBot="1" x14ac:dyDescent="0.35">
      <c r="A181" s="32">
        <f t="shared" si="19"/>
        <v>173</v>
      </c>
      <c r="B181" s="29">
        <f t="shared" si="20"/>
        <v>43.25</v>
      </c>
      <c r="C181" s="29" t="b">
        <f>AND(VaBenefits[[#This Row],[timeFromValuation]]&gt;=ACT,VaBenefits[[#This Row],[Assumed Contract Value ]]&gt;0)</f>
        <v>0</v>
      </c>
      <c r="D181" s="20">
        <v>0</v>
      </c>
      <c r="E181" s="20">
        <v>0</v>
      </c>
      <c r="F181" s="20">
        <v>0</v>
      </c>
      <c r="G181" s="96">
        <f>ROUND($G$8+VaBenefits[[#This Row],[timeFromValuation]],0)</f>
        <v>98</v>
      </c>
      <c r="H181" s="20">
        <f>ROUND($H$8+VaBenefits[[#This Row],[timeFromValuation]],0)</f>
        <v>108</v>
      </c>
      <c r="I181" s="27" t="b">
        <f>VaBenefits[[#This Row],[Withdrawal Taken  ]]&gt;0</f>
        <v>0</v>
      </c>
      <c r="J181" s="41">
        <f>IF(AND(NOT(VaBenefits[[#This Row],[Is Activation]]),VaBenefits[[#This Row],[Assumed Contract Value ]]&gt;0),VaBenefits[[#This Row],[Withdrawal Taken  ]]/VaBenefits[[#This Row],[Assumed Contract Value ]],0)</f>
        <v>0</v>
      </c>
      <c r="K18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1" s="27" t="b">
        <f ca="1">AND(VaBenefits[[#This Row],[Is Activation]],SUMIFS($E$8:$E181,$C$8:$C181,TRUE)&gt;0)</f>
        <v>0</v>
      </c>
      <c r="M18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1" s="32" t="b">
        <f>IF(VaBenefits[[#This Row],[timeFromValuation]]=0,0, MOD(VaBenefits[[#This Row],[timeFromValuation]],1)=0)</f>
        <v>0</v>
      </c>
      <c r="O181" s="7">
        <f>IF(VaBenefits[[#This Row],[Is Anniversary?]]=TRUE,VaBenefits[[#This Row],[Assumed Contract Value ]],0)</f>
        <v>0</v>
      </c>
      <c r="P18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1" s="7" t="b">
        <f>VaBenefits[[#This Row],[Assumed Contract Value ]]&lt;0.1</f>
        <v>1</v>
      </c>
      <c r="R18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1" s="7">
        <f ca="1">IF(AND(VaBenefits[[#This Row],[Is Activation]]=FALSE,VaBenefits[[#This Row],[Is Anniversary?]]=TRUE),OFFSET( VaBenefits[[#This Row],[Income Credit Base]],-1,0)*ICP,0)</f>
        <v>0</v>
      </c>
      <c r="T181" s="5">
        <f>IF(VaBenefits[[#This Row],[Assumed Contract Value ]]&gt;0,VaBenefits[[#This Row],[Income Base]]*MAWA,0)</f>
        <v>0</v>
      </c>
      <c r="U181" s="95">
        <v>0</v>
      </c>
      <c r="V181" s="92">
        <f>1/(1+InterestRate)^VaBenefits[[#This Row],[timeFromValuation]]</f>
        <v>0.12121680009256292</v>
      </c>
      <c r="W181" s="93">
        <f>VaBenefits[[#This Row],[timeFromValuation]]</f>
        <v>43.25</v>
      </c>
      <c r="X181" s="91">
        <f>IF(($G$8+VaBenefits[[#This Row],[timeFromValuation]])&lt;=120,VLOOKUP(G181,Table2[],Qx!L$6,FALSE),0)</f>
        <v>0.80384900000000004</v>
      </c>
      <c r="Y181" s="91">
        <f>IF(($H$8+VaBenefits[[#This Row],[timeFromValuation]])&lt;=120,VLOOKUP(H181,Table2[],Qx!M$6,FALSE),0)</f>
        <v>0.6</v>
      </c>
      <c r="Z181" s="91">
        <v>0</v>
      </c>
      <c r="AA181" s="91">
        <v>0</v>
      </c>
      <c r="AB181" s="91">
        <v>0</v>
      </c>
      <c r="AC181" s="91">
        <v>0</v>
      </c>
      <c r="AD181" s="99">
        <f>PV(1.03,20,-VaBenefits[[#This Row],[Protected Income Payment]])</f>
        <v>0</v>
      </c>
      <c r="AE181" s="130">
        <f>IF((AND(VaBenefits[[#This Row],[Is Anniversary?]],VaBenefits[[#This Row],[Assumed Contract Value ]]&lt;75000)),-50,0)</f>
        <v>0</v>
      </c>
      <c r="AF181" s="134">
        <f>VaBenefits[[#This Row],[Assumed Contract Value ]]*-1.15%/4</f>
        <v>0</v>
      </c>
      <c r="AG181" s="129">
        <v>0</v>
      </c>
      <c r="AH181" s="6">
        <f>VaBenefits[[#This Row],[Maintenace Fee]]+VaBenefits[[#This Row],[Separate Account Charge]]+VaBenefits[[#This Row],[Rider Fee]]</f>
        <v>0</v>
      </c>
      <c r="AR181" s="23">
        <f t="shared" si="21"/>
        <v>86.5</v>
      </c>
      <c r="AS181" s="24">
        <v>0</v>
      </c>
      <c r="AT181" s="24">
        <v>0</v>
      </c>
      <c r="AU181" s="22">
        <v>0</v>
      </c>
      <c r="AV181" s="16">
        <v>0</v>
      </c>
      <c r="AW181" s="14">
        <v>299982</v>
      </c>
      <c r="AX181" s="15">
        <v>0</v>
      </c>
      <c r="AY181" s="15">
        <v>0</v>
      </c>
      <c r="AZ181" s="14">
        <v>0</v>
      </c>
      <c r="BA181" s="17">
        <v>11999</v>
      </c>
    </row>
    <row r="182" spans="1:53" ht="15" thickBot="1" x14ac:dyDescent="0.35">
      <c r="A182" s="32">
        <f t="shared" si="19"/>
        <v>174</v>
      </c>
      <c r="B182" s="29">
        <f t="shared" si="20"/>
        <v>43.5</v>
      </c>
      <c r="C182" s="29" t="b">
        <f>AND(VaBenefits[[#This Row],[timeFromValuation]]&gt;=ACT,VaBenefits[[#This Row],[Assumed Contract Value ]]&gt;0)</f>
        <v>0</v>
      </c>
      <c r="D182" s="20">
        <v>0</v>
      </c>
      <c r="E182" s="20">
        <v>0</v>
      </c>
      <c r="F182" s="20">
        <v>0</v>
      </c>
      <c r="G182" s="96">
        <f>ROUND($G$8+VaBenefits[[#This Row],[timeFromValuation]],0)</f>
        <v>99</v>
      </c>
      <c r="H182" s="20">
        <f>ROUND($H$8+VaBenefits[[#This Row],[timeFromValuation]],0)</f>
        <v>109</v>
      </c>
      <c r="I182" s="27" t="b">
        <f>VaBenefits[[#This Row],[Withdrawal Taken  ]]&gt;0</f>
        <v>0</v>
      </c>
      <c r="J182" s="41">
        <f>IF(AND(NOT(VaBenefits[[#This Row],[Is Activation]]),VaBenefits[[#This Row],[Assumed Contract Value ]]&gt;0),VaBenefits[[#This Row],[Withdrawal Taken  ]]/VaBenefits[[#This Row],[Assumed Contract Value ]],0)</f>
        <v>0</v>
      </c>
      <c r="K18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2" s="27" t="b">
        <f ca="1">AND(VaBenefits[[#This Row],[Is Activation]],SUMIFS($E$8:$E182,$C$8:$C182,TRUE)&gt;0)</f>
        <v>0</v>
      </c>
      <c r="M18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2" s="32" t="b">
        <f>IF(VaBenefits[[#This Row],[timeFromValuation]]=0,0, MOD(VaBenefits[[#This Row],[timeFromValuation]],1)=0)</f>
        <v>0</v>
      </c>
      <c r="O182" s="7">
        <f>IF(VaBenefits[[#This Row],[Is Anniversary?]]=TRUE,VaBenefits[[#This Row],[Assumed Contract Value ]],0)</f>
        <v>0</v>
      </c>
      <c r="P18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2" s="7" t="b">
        <f>VaBenefits[[#This Row],[Assumed Contract Value ]]&lt;0.1</f>
        <v>1</v>
      </c>
      <c r="R18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2" s="7">
        <f ca="1">IF(AND(VaBenefits[[#This Row],[Is Activation]]=FALSE,VaBenefits[[#This Row],[Is Anniversary?]]=TRUE),OFFSET( VaBenefits[[#This Row],[Income Credit Base]],-1,0)*ICP,0)</f>
        <v>0</v>
      </c>
      <c r="T182" s="5">
        <f>IF(VaBenefits[[#This Row],[Assumed Contract Value ]]&gt;0,VaBenefits[[#This Row],[Income Base]]*MAWA,0)</f>
        <v>0</v>
      </c>
      <c r="U182" s="95">
        <v>0</v>
      </c>
      <c r="V182" s="92">
        <f>1/(1+InterestRate)^VaBenefits[[#This Row],[timeFromValuation]]</f>
        <v>0.119747233965114</v>
      </c>
      <c r="W182" s="93">
        <f>VaBenefits[[#This Row],[timeFromValuation]]</f>
        <v>43.5</v>
      </c>
      <c r="X182" s="91">
        <f>IF(($G$8+VaBenefits[[#This Row],[timeFromValuation]])&lt;=120,VLOOKUP(G182,Table2[],Qx!L$6,FALSE),0)</f>
        <v>0.78685000000000005</v>
      </c>
      <c r="Y182" s="91">
        <f>IF(($H$8+VaBenefits[[#This Row],[timeFromValuation]])&lt;=120,VLOOKUP(H182,Table2[],Qx!M$6,FALSE),0)</f>
        <v>0.6</v>
      </c>
      <c r="Z182" s="91">
        <v>0</v>
      </c>
      <c r="AA182" s="91">
        <v>0</v>
      </c>
      <c r="AB182" s="91">
        <v>0</v>
      </c>
      <c r="AC182" s="91">
        <v>0</v>
      </c>
      <c r="AD182" s="99">
        <f>PV(1.03,20,-VaBenefits[[#This Row],[Protected Income Payment]])</f>
        <v>0</v>
      </c>
      <c r="AE182" s="130">
        <f>IF((AND(VaBenefits[[#This Row],[Is Anniversary?]],VaBenefits[[#This Row],[Assumed Contract Value ]]&lt;75000)),-50,0)</f>
        <v>0</v>
      </c>
      <c r="AF182" s="134">
        <f>VaBenefits[[#This Row],[Assumed Contract Value ]]*-1.15%/4</f>
        <v>0</v>
      </c>
      <c r="AG182" s="129">
        <v>0</v>
      </c>
      <c r="AH182" s="6">
        <f>VaBenefits[[#This Row],[Maintenace Fee]]+VaBenefits[[#This Row],[Separate Account Charge]]+VaBenefits[[#This Row],[Rider Fee]]</f>
        <v>0</v>
      </c>
      <c r="AR182" s="23">
        <f t="shared" si="21"/>
        <v>87</v>
      </c>
      <c r="AS182" s="24">
        <v>0</v>
      </c>
      <c r="AT182" s="24">
        <v>0</v>
      </c>
      <c r="AU182" s="22">
        <v>0</v>
      </c>
      <c r="AV182" s="16">
        <v>0</v>
      </c>
      <c r="AW182" s="14">
        <v>299982</v>
      </c>
      <c r="AX182" s="15">
        <v>0</v>
      </c>
      <c r="AY182" s="15">
        <v>0</v>
      </c>
      <c r="AZ182" s="14">
        <v>0</v>
      </c>
      <c r="BA182" s="17">
        <v>11999</v>
      </c>
    </row>
    <row r="183" spans="1:53" ht="15" thickBot="1" x14ac:dyDescent="0.35">
      <c r="A183" s="32">
        <f t="shared" si="19"/>
        <v>175</v>
      </c>
      <c r="B183" s="29">
        <f t="shared" si="20"/>
        <v>43.75</v>
      </c>
      <c r="C183" s="29" t="b">
        <f>AND(VaBenefits[[#This Row],[timeFromValuation]]&gt;=ACT,VaBenefits[[#This Row],[Assumed Contract Value ]]&gt;0)</f>
        <v>0</v>
      </c>
      <c r="D183" s="20">
        <v>0</v>
      </c>
      <c r="E183" s="20">
        <v>0</v>
      </c>
      <c r="F183" s="20">
        <v>0</v>
      </c>
      <c r="G183" s="96">
        <f>ROUND($G$8+VaBenefits[[#This Row],[timeFromValuation]],0)</f>
        <v>99</v>
      </c>
      <c r="H183" s="20">
        <f>ROUND($H$8+VaBenefits[[#This Row],[timeFromValuation]],0)</f>
        <v>109</v>
      </c>
      <c r="I183" s="27" t="b">
        <f>VaBenefits[[#This Row],[Withdrawal Taken  ]]&gt;0</f>
        <v>0</v>
      </c>
      <c r="J183" s="41">
        <f>IF(AND(NOT(VaBenefits[[#This Row],[Is Activation]]),VaBenefits[[#This Row],[Assumed Contract Value ]]&gt;0),VaBenefits[[#This Row],[Withdrawal Taken  ]]/VaBenefits[[#This Row],[Assumed Contract Value ]],0)</f>
        <v>0</v>
      </c>
      <c r="K18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3" s="27" t="b">
        <f ca="1">AND(VaBenefits[[#This Row],[Is Activation]],SUMIFS($E$8:$E183,$C$8:$C183,TRUE)&gt;0)</f>
        <v>0</v>
      </c>
      <c r="M18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3" s="32" t="b">
        <f>IF(VaBenefits[[#This Row],[timeFromValuation]]=0,0, MOD(VaBenefits[[#This Row],[timeFromValuation]],1)=0)</f>
        <v>0</v>
      </c>
      <c r="O183" s="7">
        <f>IF(VaBenefits[[#This Row],[Is Anniversary?]]=TRUE,VaBenefits[[#This Row],[Assumed Contract Value ]],0)</f>
        <v>0</v>
      </c>
      <c r="P18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3" s="7" t="b">
        <f>VaBenefits[[#This Row],[Assumed Contract Value ]]&lt;0.1</f>
        <v>1</v>
      </c>
      <c r="R18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3" s="7">
        <f ca="1">IF(AND(VaBenefits[[#This Row],[Is Activation]]=FALSE,VaBenefits[[#This Row],[Is Anniversary?]]=TRUE),OFFSET( VaBenefits[[#This Row],[Income Credit Base]],-1,0)*ICP,0)</f>
        <v>0</v>
      </c>
      <c r="T183" s="5">
        <f>IF(VaBenefits[[#This Row],[Assumed Contract Value ]]&gt;0,VaBenefits[[#This Row],[Income Base]]*MAWA,0)</f>
        <v>0</v>
      </c>
      <c r="U183" s="95">
        <v>0</v>
      </c>
      <c r="V183" s="92">
        <f>1/(1+InterestRate)^VaBenefits[[#This Row],[timeFromValuation]]</f>
        <v>0.11829548405291988</v>
      </c>
      <c r="W183" s="93">
        <f>VaBenefits[[#This Row],[timeFromValuation]]</f>
        <v>43.75</v>
      </c>
      <c r="X183" s="91">
        <f>IF(($G$8+VaBenefits[[#This Row],[timeFromValuation]])&lt;=120,VLOOKUP(G183,Table2[],Qx!L$6,FALSE),0)</f>
        <v>0.78685000000000005</v>
      </c>
      <c r="Y183" s="91">
        <f>IF(($H$8+VaBenefits[[#This Row],[timeFromValuation]])&lt;=120,VLOOKUP(H183,Table2[],Qx!M$6,FALSE),0)</f>
        <v>0.6</v>
      </c>
      <c r="Z183" s="91">
        <v>0</v>
      </c>
      <c r="AA183" s="91">
        <v>0</v>
      </c>
      <c r="AB183" s="91">
        <v>0</v>
      </c>
      <c r="AC183" s="91">
        <v>0</v>
      </c>
      <c r="AD183" s="99">
        <f>PV(1.03,20,-VaBenefits[[#This Row],[Protected Income Payment]])</f>
        <v>0</v>
      </c>
      <c r="AE183" s="130">
        <f>IF((AND(VaBenefits[[#This Row],[Is Anniversary?]],VaBenefits[[#This Row],[Assumed Contract Value ]]&lt;75000)),-50,0)</f>
        <v>0</v>
      </c>
      <c r="AF183" s="134">
        <f>VaBenefits[[#This Row],[Assumed Contract Value ]]*-1.15%/4</f>
        <v>0</v>
      </c>
      <c r="AG183" s="129">
        <v>0</v>
      </c>
      <c r="AH183" s="6">
        <f>VaBenefits[[#This Row],[Maintenace Fee]]+VaBenefits[[#This Row],[Separate Account Charge]]+VaBenefits[[#This Row],[Rider Fee]]</f>
        <v>0</v>
      </c>
      <c r="AR183" s="23">
        <f t="shared" si="21"/>
        <v>87.5</v>
      </c>
      <c r="AS183" s="24">
        <v>0</v>
      </c>
      <c r="AT183" s="24">
        <v>0</v>
      </c>
      <c r="AU183" s="22">
        <v>0</v>
      </c>
      <c r="AV183" s="16">
        <v>0</v>
      </c>
      <c r="AW183" s="14">
        <v>299982</v>
      </c>
      <c r="AX183" s="15">
        <v>0</v>
      </c>
      <c r="AY183" s="15">
        <v>0</v>
      </c>
      <c r="AZ183" s="14">
        <v>0</v>
      </c>
      <c r="BA183" s="17">
        <v>11999</v>
      </c>
    </row>
    <row r="184" spans="1:53" ht="15" thickBot="1" x14ac:dyDescent="0.35">
      <c r="A184" s="32">
        <f t="shared" si="19"/>
        <v>176</v>
      </c>
      <c r="B184" s="29">
        <f t="shared" si="20"/>
        <v>44</v>
      </c>
      <c r="C184" s="29" t="b">
        <f>AND(VaBenefits[[#This Row],[timeFromValuation]]&gt;=ACT,VaBenefits[[#This Row],[Assumed Contract Value ]]&gt;0)</f>
        <v>0</v>
      </c>
      <c r="D184" s="20">
        <v>0</v>
      </c>
      <c r="E184" s="20">
        <v>0</v>
      </c>
      <c r="F184" s="20">
        <v>0</v>
      </c>
      <c r="G184" s="96">
        <f>ROUND($G$8+VaBenefits[[#This Row],[timeFromValuation]],0)</f>
        <v>99</v>
      </c>
      <c r="H184" s="20">
        <f>ROUND($H$8+VaBenefits[[#This Row],[timeFromValuation]],0)</f>
        <v>109</v>
      </c>
      <c r="I184" s="27" t="b">
        <f>VaBenefits[[#This Row],[Withdrawal Taken  ]]&gt;0</f>
        <v>0</v>
      </c>
      <c r="J184" s="41">
        <f>IF(AND(NOT(VaBenefits[[#This Row],[Is Activation]]),VaBenefits[[#This Row],[Assumed Contract Value ]]&gt;0),VaBenefits[[#This Row],[Withdrawal Taken  ]]/VaBenefits[[#This Row],[Assumed Contract Value ]],0)</f>
        <v>0</v>
      </c>
      <c r="K18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4" s="27" t="b">
        <f ca="1">AND(VaBenefits[[#This Row],[Is Activation]],SUMIFS($E$8:$E184,$C$8:$C184,TRUE)&gt;0)</f>
        <v>0</v>
      </c>
      <c r="M18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4" s="32" t="b">
        <f>IF(VaBenefits[[#This Row],[timeFromValuation]]=0,0, MOD(VaBenefits[[#This Row],[timeFromValuation]],1)=0)</f>
        <v>1</v>
      </c>
      <c r="O184" s="7">
        <f>IF(VaBenefits[[#This Row],[Is Anniversary?]]=TRUE,VaBenefits[[#This Row],[Assumed Contract Value ]],0)</f>
        <v>0</v>
      </c>
      <c r="P18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4" s="7" t="b">
        <f>VaBenefits[[#This Row],[Assumed Contract Value ]]&lt;0.1</f>
        <v>1</v>
      </c>
      <c r="R18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4" s="7">
        <f ca="1">IF(AND(VaBenefits[[#This Row],[Is Activation]]=FALSE,VaBenefits[[#This Row],[Is Anniversary?]]=TRUE),OFFSET( VaBenefits[[#This Row],[Income Credit Base]],-1,0)*ICP,0)</f>
        <v>0</v>
      </c>
      <c r="T184" s="5">
        <f>IF(VaBenefits[[#This Row],[Assumed Contract Value ]]&gt;0,VaBenefits[[#This Row],[Income Base]]*MAWA,0)</f>
        <v>0</v>
      </c>
      <c r="U184" s="95">
        <v>0</v>
      </c>
      <c r="V184" s="92">
        <f>1/(1+InterestRate)^VaBenefits[[#This Row],[timeFromValuation]]</f>
        <v>0.11686133436193999</v>
      </c>
      <c r="W184" s="93">
        <f>VaBenefits[[#This Row],[timeFromValuation]]</f>
        <v>44</v>
      </c>
      <c r="X184" s="91">
        <f>IF(($G$8+VaBenefits[[#This Row],[timeFromValuation]])&lt;=120,VLOOKUP(G184,Table2[],Qx!L$6,FALSE),0)</f>
        <v>0.78685000000000005</v>
      </c>
      <c r="Y184" s="91">
        <f>IF(($H$8+VaBenefits[[#This Row],[timeFromValuation]])&lt;=120,VLOOKUP(H184,Table2[],Qx!M$6,FALSE),0)</f>
        <v>0.6</v>
      </c>
      <c r="Z184" s="91">
        <v>0</v>
      </c>
      <c r="AA184" s="91">
        <v>0</v>
      </c>
      <c r="AB184" s="91">
        <v>0</v>
      </c>
      <c r="AC184" s="91">
        <v>0</v>
      </c>
      <c r="AD184" s="99">
        <f>PV(1.03,20,-VaBenefits[[#This Row],[Protected Income Payment]])</f>
        <v>0</v>
      </c>
      <c r="AE184" s="130">
        <f>IF((AND(VaBenefits[[#This Row],[Is Anniversary?]],VaBenefits[[#This Row],[Assumed Contract Value ]]&lt;75000)),-50,0)</f>
        <v>-50</v>
      </c>
      <c r="AF184" s="134">
        <f>VaBenefits[[#This Row],[Assumed Contract Value ]]*-1.15%/4</f>
        <v>0</v>
      </c>
      <c r="AG184" s="129">
        <v>0</v>
      </c>
      <c r="AH184" s="6">
        <f>VaBenefits[[#This Row],[Maintenace Fee]]+VaBenefits[[#This Row],[Separate Account Charge]]+VaBenefits[[#This Row],[Rider Fee]]</f>
        <v>-50</v>
      </c>
      <c r="AR184" s="23">
        <f t="shared" si="21"/>
        <v>88</v>
      </c>
      <c r="AS184" s="24">
        <v>0</v>
      </c>
      <c r="AT184" s="24">
        <v>0</v>
      </c>
      <c r="AU184" s="22">
        <v>0</v>
      </c>
      <c r="AV184" s="16">
        <v>0</v>
      </c>
      <c r="AW184" s="14">
        <v>299982</v>
      </c>
      <c r="AX184" s="15">
        <v>0</v>
      </c>
      <c r="AY184" s="15">
        <v>0</v>
      </c>
      <c r="AZ184" s="14">
        <v>0</v>
      </c>
      <c r="BA184" s="17">
        <v>11999</v>
      </c>
    </row>
    <row r="185" spans="1:53" ht="15" thickBot="1" x14ac:dyDescent="0.35">
      <c r="A185" s="32">
        <f t="shared" si="19"/>
        <v>177</v>
      </c>
      <c r="B185" s="29">
        <f t="shared" si="20"/>
        <v>44.25</v>
      </c>
      <c r="C185" s="29" t="b">
        <f>AND(VaBenefits[[#This Row],[timeFromValuation]]&gt;=ACT,VaBenefits[[#This Row],[Assumed Contract Value ]]&gt;0)</f>
        <v>0</v>
      </c>
      <c r="D185" s="20">
        <v>0</v>
      </c>
      <c r="E185" s="20">
        <v>0</v>
      </c>
      <c r="F185" s="20">
        <v>0</v>
      </c>
      <c r="G185" s="96">
        <f>ROUND($G$8+VaBenefits[[#This Row],[timeFromValuation]],0)</f>
        <v>99</v>
      </c>
      <c r="H185" s="20">
        <f>ROUND($H$8+VaBenefits[[#This Row],[timeFromValuation]],0)</f>
        <v>109</v>
      </c>
      <c r="I185" s="27" t="b">
        <f>VaBenefits[[#This Row],[Withdrawal Taken  ]]&gt;0</f>
        <v>0</v>
      </c>
      <c r="J185" s="41">
        <f>IF(AND(NOT(VaBenefits[[#This Row],[Is Activation]]),VaBenefits[[#This Row],[Assumed Contract Value ]]&gt;0),VaBenefits[[#This Row],[Withdrawal Taken  ]]/VaBenefits[[#This Row],[Assumed Contract Value ]],0)</f>
        <v>0</v>
      </c>
      <c r="K18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5" s="27" t="b">
        <f ca="1">AND(VaBenefits[[#This Row],[Is Activation]],SUMIFS($E$8:$E185,$C$8:$C185,TRUE)&gt;0)</f>
        <v>0</v>
      </c>
      <c r="M18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5" s="32" t="b">
        <f>IF(VaBenefits[[#This Row],[timeFromValuation]]=0,0, MOD(VaBenefits[[#This Row],[timeFromValuation]],1)=0)</f>
        <v>0</v>
      </c>
      <c r="O185" s="7">
        <f>IF(VaBenefits[[#This Row],[Is Anniversary?]]=TRUE,VaBenefits[[#This Row],[Assumed Contract Value ]],0)</f>
        <v>0</v>
      </c>
      <c r="P18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5" s="7" t="b">
        <f>VaBenefits[[#This Row],[Assumed Contract Value ]]&lt;0.1</f>
        <v>1</v>
      </c>
      <c r="R18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5" s="7">
        <f ca="1">IF(AND(VaBenefits[[#This Row],[Is Activation]]=FALSE,VaBenefits[[#This Row],[Is Anniversary?]]=TRUE),OFFSET( VaBenefits[[#This Row],[Income Credit Base]],-1,0)*ICP,0)</f>
        <v>0</v>
      </c>
      <c r="T185" s="5">
        <f>IF(VaBenefits[[#This Row],[Assumed Contract Value ]]&gt;0,VaBenefits[[#This Row],[Income Base]]*MAWA,0)</f>
        <v>0</v>
      </c>
      <c r="U185" s="95">
        <v>0</v>
      </c>
      <c r="V185" s="92">
        <f>1/(1+InterestRate)^VaBenefits[[#This Row],[timeFromValuation]]</f>
        <v>0.11544457151672656</v>
      </c>
      <c r="W185" s="93">
        <f>VaBenefits[[#This Row],[timeFromValuation]]</f>
        <v>44.25</v>
      </c>
      <c r="X185" s="91">
        <f>IF(($G$8+VaBenefits[[#This Row],[timeFromValuation]])&lt;=120,VLOOKUP(G185,Table2[],Qx!L$6,FALSE),0)</f>
        <v>0.78685000000000005</v>
      </c>
      <c r="Y185" s="91">
        <f>IF(($H$8+VaBenefits[[#This Row],[timeFromValuation]])&lt;=120,VLOOKUP(H185,Table2[],Qx!M$6,FALSE),0)</f>
        <v>0.6</v>
      </c>
      <c r="Z185" s="91">
        <v>0</v>
      </c>
      <c r="AA185" s="91">
        <v>0</v>
      </c>
      <c r="AB185" s="91">
        <v>0</v>
      </c>
      <c r="AC185" s="91">
        <v>0</v>
      </c>
      <c r="AD185" s="99">
        <f>PV(1.03,20,-VaBenefits[[#This Row],[Protected Income Payment]])</f>
        <v>0</v>
      </c>
      <c r="AE185" s="130">
        <f>IF((AND(VaBenefits[[#This Row],[Is Anniversary?]],VaBenefits[[#This Row],[Assumed Contract Value ]]&lt;75000)),-50,0)</f>
        <v>0</v>
      </c>
      <c r="AF185" s="134">
        <f>VaBenefits[[#This Row],[Assumed Contract Value ]]*-1.15%/4</f>
        <v>0</v>
      </c>
      <c r="AG185" s="129">
        <v>0</v>
      </c>
      <c r="AH185" s="6">
        <f>VaBenefits[[#This Row],[Maintenace Fee]]+VaBenefits[[#This Row],[Separate Account Charge]]+VaBenefits[[#This Row],[Rider Fee]]</f>
        <v>0</v>
      </c>
      <c r="AR185" s="23">
        <f t="shared" si="21"/>
        <v>88.5</v>
      </c>
      <c r="AS185" s="24">
        <v>0</v>
      </c>
      <c r="AT185" s="24">
        <v>0</v>
      </c>
      <c r="AU185" s="22">
        <v>0</v>
      </c>
      <c r="AV185" s="16">
        <v>0</v>
      </c>
      <c r="AW185" s="14">
        <v>299982</v>
      </c>
      <c r="AX185" s="15">
        <v>0</v>
      </c>
      <c r="AY185" s="15">
        <v>0</v>
      </c>
      <c r="AZ185" s="14">
        <v>0</v>
      </c>
      <c r="BA185" s="17">
        <v>11999</v>
      </c>
    </row>
    <row r="186" spans="1:53" ht="15" thickBot="1" x14ac:dyDescent="0.35">
      <c r="A186" s="32">
        <f t="shared" si="19"/>
        <v>178</v>
      </c>
      <c r="B186" s="29">
        <f t="shared" si="20"/>
        <v>44.5</v>
      </c>
      <c r="C186" s="29" t="b">
        <f>AND(VaBenefits[[#This Row],[timeFromValuation]]&gt;=ACT,VaBenefits[[#This Row],[Assumed Contract Value ]]&gt;0)</f>
        <v>0</v>
      </c>
      <c r="D186" s="20">
        <v>0</v>
      </c>
      <c r="E186" s="20">
        <v>0</v>
      </c>
      <c r="F186" s="20">
        <v>0</v>
      </c>
      <c r="G186" s="96">
        <f>ROUND($G$8+VaBenefits[[#This Row],[timeFromValuation]],0)</f>
        <v>100</v>
      </c>
      <c r="H186" s="20">
        <f>ROUND($H$8+VaBenefits[[#This Row],[timeFromValuation]],0)</f>
        <v>110</v>
      </c>
      <c r="I186" s="27" t="b">
        <f>VaBenefits[[#This Row],[Withdrawal Taken  ]]&gt;0</f>
        <v>0</v>
      </c>
      <c r="J186" s="41">
        <f>IF(AND(NOT(VaBenefits[[#This Row],[Is Activation]]),VaBenefits[[#This Row],[Assumed Contract Value ]]&gt;0),VaBenefits[[#This Row],[Withdrawal Taken  ]]/VaBenefits[[#This Row],[Assumed Contract Value ]],0)</f>
        <v>0</v>
      </c>
      <c r="K18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6" s="27" t="b">
        <f ca="1">AND(VaBenefits[[#This Row],[Is Activation]],SUMIFS($E$8:$E186,$C$8:$C186,TRUE)&gt;0)</f>
        <v>0</v>
      </c>
      <c r="M18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6" s="32" t="b">
        <f>IF(VaBenefits[[#This Row],[timeFromValuation]]=0,0, MOD(VaBenefits[[#This Row],[timeFromValuation]],1)=0)</f>
        <v>0</v>
      </c>
      <c r="O186" s="7">
        <f>IF(VaBenefits[[#This Row],[Is Anniversary?]]=TRUE,VaBenefits[[#This Row],[Assumed Contract Value ]],0)</f>
        <v>0</v>
      </c>
      <c r="P18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6" s="7" t="b">
        <f>VaBenefits[[#This Row],[Assumed Contract Value ]]&lt;0.1</f>
        <v>1</v>
      </c>
      <c r="R18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6" s="7">
        <f ca="1">IF(AND(VaBenefits[[#This Row],[Is Activation]]=FALSE,VaBenefits[[#This Row],[Is Anniversary?]]=TRUE),OFFSET( VaBenefits[[#This Row],[Income Credit Base]],-1,0)*ICP,0)</f>
        <v>0</v>
      </c>
      <c r="T186" s="5">
        <f>IF(VaBenefits[[#This Row],[Assumed Contract Value ]]&gt;0,VaBenefits[[#This Row],[Income Base]]*MAWA,0)</f>
        <v>0</v>
      </c>
      <c r="U186" s="95">
        <v>0</v>
      </c>
      <c r="V186" s="92">
        <f>1/(1+InterestRate)^VaBenefits[[#This Row],[timeFromValuation]]</f>
        <v>0.11404498472867998</v>
      </c>
      <c r="W186" s="93">
        <f>VaBenefits[[#This Row],[timeFromValuation]]</f>
        <v>44.5</v>
      </c>
      <c r="X186" s="91">
        <f>IF(($G$8+VaBenefits[[#This Row],[timeFromValuation]])&lt;=120,VLOOKUP(G186,Table2[],Qx!L$6,FALSE),0)</f>
        <v>0.76927800000000002</v>
      </c>
      <c r="Y186" s="91">
        <f>IF(($H$8+VaBenefits[[#This Row],[timeFromValuation]])&lt;=120,VLOOKUP(H186,Table2[],Qx!M$6,FALSE),0)</f>
        <v>0.6</v>
      </c>
      <c r="Z186" s="91">
        <v>0</v>
      </c>
      <c r="AA186" s="91">
        <v>0</v>
      </c>
      <c r="AB186" s="91">
        <v>0</v>
      </c>
      <c r="AC186" s="91">
        <v>0</v>
      </c>
      <c r="AD186" s="99">
        <f>PV(1.03,20,-VaBenefits[[#This Row],[Protected Income Payment]])</f>
        <v>0</v>
      </c>
      <c r="AE186" s="130">
        <f>IF((AND(VaBenefits[[#This Row],[Is Anniversary?]],VaBenefits[[#This Row],[Assumed Contract Value ]]&lt;75000)),-50,0)</f>
        <v>0</v>
      </c>
      <c r="AF186" s="134">
        <f>VaBenefits[[#This Row],[Assumed Contract Value ]]*-1.15%/4</f>
        <v>0</v>
      </c>
      <c r="AG186" s="129">
        <v>0</v>
      </c>
      <c r="AH186" s="6">
        <f>VaBenefits[[#This Row],[Maintenace Fee]]+VaBenefits[[#This Row],[Separate Account Charge]]+VaBenefits[[#This Row],[Rider Fee]]</f>
        <v>0</v>
      </c>
      <c r="AR186" s="23">
        <f t="shared" si="21"/>
        <v>89</v>
      </c>
      <c r="AS186" s="24">
        <v>0</v>
      </c>
      <c r="AT186" s="24">
        <v>0</v>
      </c>
      <c r="AU186" s="22">
        <v>0</v>
      </c>
      <c r="AV186" s="16">
        <v>0</v>
      </c>
      <c r="AW186" s="14">
        <v>299982</v>
      </c>
      <c r="AX186" s="15">
        <v>0</v>
      </c>
      <c r="AY186" s="15">
        <v>0</v>
      </c>
      <c r="AZ186" s="14">
        <v>0</v>
      </c>
      <c r="BA186" s="17">
        <v>11999</v>
      </c>
    </row>
    <row r="187" spans="1:53" ht="15" thickBot="1" x14ac:dyDescent="0.35">
      <c r="A187" s="32">
        <f t="shared" si="19"/>
        <v>179</v>
      </c>
      <c r="B187" s="29">
        <f t="shared" si="20"/>
        <v>44.75</v>
      </c>
      <c r="C187" s="29" t="b">
        <f>AND(VaBenefits[[#This Row],[timeFromValuation]]&gt;=ACT,VaBenefits[[#This Row],[Assumed Contract Value ]]&gt;0)</f>
        <v>0</v>
      </c>
      <c r="D187" s="20">
        <v>0</v>
      </c>
      <c r="E187" s="20">
        <v>0</v>
      </c>
      <c r="F187" s="20">
        <v>0</v>
      </c>
      <c r="G187" s="96">
        <f>ROUND($G$8+VaBenefits[[#This Row],[timeFromValuation]],0)</f>
        <v>100</v>
      </c>
      <c r="H187" s="20">
        <f>ROUND($H$8+VaBenefits[[#This Row],[timeFromValuation]],0)</f>
        <v>110</v>
      </c>
      <c r="I187" s="27" t="b">
        <f>VaBenefits[[#This Row],[Withdrawal Taken  ]]&gt;0</f>
        <v>0</v>
      </c>
      <c r="J187" s="41">
        <f>IF(AND(NOT(VaBenefits[[#This Row],[Is Activation]]),VaBenefits[[#This Row],[Assumed Contract Value ]]&gt;0),VaBenefits[[#This Row],[Withdrawal Taken  ]]/VaBenefits[[#This Row],[Assumed Contract Value ]],0)</f>
        <v>0</v>
      </c>
      <c r="K18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7" s="27" t="b">
        <f ca="1">AND(VaBenefits[[#This Row],[Is Activation]],SUMIFS($E$8:$E187,$C$8:$C187,TRUE)&gt;0)</f>
        <v>0</v>
      </c>
      <c r="M18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7" s="32" t="b">
        <f>IF(VaBenefits[[#This Row],[timeFromValuation]]=0,0, MOD(VaBenefits[[#This Row],[timeFromValuation]],1)=0)</f>
        <v>0</v>
      </c>
      <c r="O187" s="7">
        <f>IF(VaBenefits[[#This Row],[Is Anniversary?]]=TRUE,VaBenefits[[#This Row],[Assumed Contract Value ]],0)</f>
        <v>0</v>
      </c>
      <c r="P18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7" s="7" t="b">
        <f>VaBenefits[[#This Row],[Assumed Contract Value ]]&lt;0.1</f>
        <v>1</v>
      </c>
      <c r="R18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7" s="7">
        <f ca="1">IF(AND(VaBenefits[[#This Row],[Is Activation]]=FALSE,VaBenefits[[#This Row],[Is Anniversary?]]=TRUE),OFFSET( VaBenefits[[#This Row],[Income Credit Base]],-1,0)*ICP,0)</f>
        <v>0</v>
      </c>
      <c r="T187" s="5">
        <f>IF(VaBenefits[[#This Row],[Assumed Contract Value ]]&gt;0,VaBenefits[[#This Row],[Income Base]]*MAWA,0)</f>
        <v>0</v>
      </c>
      <c r="U187" s="95">
        <v>0</v>
      </c>
      <c r="V187" s="92">
        <f>1/(1+InterestRate)^VaBenefits[[#This Row],[timeFromValuation]]</f>
        <v>0.11266236576468559</v>
      </c>
      <c r="W187" s="93">
        <f>VaBenefits[[#This Row],[timeFromValuation]]</f>
        <v>44.75</v>
      </c>
      <c r="X187" s="91">
        <f>IF(($G$8+VaBenefits[[#This Row],[timeFromValuation]])&lt;=120,VLOOKUP(G187,Table2[],Qx!L$6,FALSE),0)</f>
        <v>0.76927800000000002</v>
      </c>
      <c r="Y187" s="91">
        <f>IF(($H$8+VaBenefits[[#This Row],[timeFromValuation]])&lt;=120,VLOOKUP(H187,Table2[],Qx!M$6,FALSE),0)</f>
        <v>0.6</v>
      </c>
      <c r="Z187" s="91">
        <v>0</v>
      </c>
      <c r="AA187" s="91">
        <v>0</v>
      </c>
      <c r="AB187" s="91">
        <v>0</v>
      </c>
      <c r="AC187" s="91">
        <v>0</v>
      </c>
      <c r="AD187" s="99">
        <f>PV(1.03,20,-VaBenefits[[#This Row],[Protected Income Payment]])</f>
        <v>0</v>
      </c>
      <c r="AE187" s="130">
        <f>IF((AND(VaBenefits[[#This Row],[Is Anniversary?]],VaBenefits[[#This Row],[Assumed Contract Value ]]&lt;75000)),-50,0)</f>
        <v>0</v>
      </c>
      <c r="AF187" s="134">
        <f>VaBenefits[[#This Row],[Assumed Contract Value ]]*-1.15%/4</f>
        <v>0</v>
      </c>
      <c r="AG187" s="129">
        <v>0</v>
      </c>
      <c r="AH187" s="6">
        <f>VaBenefits[[#This Row],[Maintenace Fee]]+VaBenefits[[#This Row],[Separate Account Charge]]+VaBenefits[[#This Row],[Rider Fee]]</f>
        <v>0</v>
      </c>
      <c r="AR187" s="23">
        <f t="shared" si="21"/>
        <v>89.5</v>
      </c>
      <c r="AS187" s="24">
        <v>0</v>
      </c>
      <c r="AT187" s="24">
        <v>0</v>
      </c>
      <c r="AU187" s="22">
        <v>0</v>
      </c>
      <c r="AV187" s="16">
        <v>0</v>
      </c>
      <c r="AW187" s="14">
        <v>299982</v>
      </c>
      <c r="AX187" s="15">
        <v>0</v>
      </c>
      <c r="AY187" s="15">
        <v>0</v>
      </c>
      <c r="AZ187" s="14">
        <v>0</v>
      </c>
      <c r="BA187" s="17">
        <v>11999</v>
      </c>
    </row>
    <row r="188" spans="1:53" ht="15" thickBot="1" x14ac:dyDescent="0.35">
      <c r="A188" s="32">
        <f t="shared" si="19"/>
        <v>180</v>
      </c>
      <c r="B188" s="29">
        <f t="shared" si="20"/>
        <v>45</v>
      </c>
      <c r="C188" s="29" t="b">
        <f>AND(VaBenefits[[#This Row],[timeFromValuation]]&gt;=ACT,VaBenefits[[#This Row],[Assumed Contract Value ]]&gt;0)</f>
        <v>0</v>
      </c>
      <c r="D188" s="20">
        <v>0</v>
      </c>
      <c r="E188" s="20">
        <v>0</v>
      </c>
      <c r="F188" s="20">
        <v>0</v>
      </c>
      <c r="G188" s="96">
        <f>ROUND($G$8+VaBenefits[[#This Row],[timeFromValuation]],0)</f>
        <v>100</v>
      </c>
      <c r="H188" s="20">
        <f>ROUND($H$8+VaBenefits[[#This Row],[timeFromValuation]],0)</f>
        <v>110</v>
      </c>
      <c r="I188" s="27" t="b">
        <f>VaBenefits[[#This Row],[Withdrawal Taken  ]]&gt;0</f>
        <v>0</v>
      </c>
      <c r="J188" s="41">
        <f>IF(AND(NOT(VaBenefits[[#This Row],[Is Activation]]),VaBenefits[[#This Row],[Assumed Contract Value ]]&gt;0),VaBenefits[[#This Row],[Withdrawal Taken  ]]/VaBenefits[[#This Row],[Assumed Contract Value ]],0)</f>
        <v>0</v>
      </c>
      <c r="K18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8" s="27" t="b">
        <f ca="1">AND(VaBenefits[[#This Row],[Is Activation]],SUMIFS($E$8:$E188,$C$8:$C188,TRUE)&gt;0)</f>
        <v>0</v>
      </c>
      <c r="M18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8" s="32" t="b">
        <f>IF(VaBenefits[[#This Row],[timeFromValuation]]=0,0, MOD(VaBenefits[[#This Row],[timeFromValuation]],1)=0)</f>
        <v>1</v>
      </c>
      <c r="O188" s="7">
        <f>IF(VaBenefits[[#This Row],[Is Anniversary?]]=TRUE,VaBenefits[[#This Row],[Assumed Contract Value ]],0)</f>
        <v>0</v>
      </c>
      <c r="P18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8" s="7" t="b">
        <f>VaBenefits[[#This Row],[Assumed Contract Value ]]&lt;0.1</f>
        <v>1</v>
      </c>
      <c r="R18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8" s="7">
        <f ca="1">IF(AND(VaBenefits[[#This Row],[Is Activation]]=FALSE,VaBenefits[[#This Row],[Is Anniversary?]]=TRUE),OFFSET( VaBenefits[[#This Row],[Income Credit Base]],-1,0)*ICP,0)</f>
        <v>0</v>
      </c>
      <c r="T188" s="5">
        <f>IF(VaBenefits[[#This Row],[Assumed Contract Value ]]&gt;0,VaBenefits[[#This Row],[Income Base]]*MAWA,0)</f>
        <v>0</v>
      </c>
      <c r="U188" s="95">
        <v>0</v>
      </c>
      <c r="V188" s="92">
        <f>1/(1+InterestRate)^VaBenefits[[#This Row],[timeFromValuation]]</f>
        <v>0.1112965089161333</v>
      </c>
      <c r="W188" s="93">
        <f>VaBenefits[[#This Row],[timeFromValuation]]</f>
        <v>45</v>
      </c>
      <c r="X188" s="91">
        <f>IF(($G$8+VaBenefits[[#This Row],[timeFromValuation]])&lt;=120,VLOOKUP(G188,Table2[],Qx!L$6,FALSE),0)</f>
        <v>0.76927800000000002</v>
      </c>
      <c r="Y188" s="91">
        <f>IF(($H$8+VaBenefits[[#This Row],[timeFromValuation]])&lt;=120,VLOOKUP(H188,Table2[],Qx!M$6,FALSE),0)</f>
        <v>0.6</v>
      </c>
      <c r="Z188" s="91">
        <v>0</v>
      </c>
      <c r="AA188" s="91">
        <v>0</v>
      </c>
      <c r="AB188" s="91">
        <v>0</v>
      </c>
      <c r="AC188" s="91">
        <v>0</v>
      </c>
      <c r="AD188" s="99">
        <f>PV(1.03,20,-VaBenefits[[#This Row],[Protected Income Payment]])</f>
        <v>0</v>
      </c>
      <c r="AE188" s="130">
        <f>IF((AND(VaBenefits[[#This Row],[Is Anniversary?]],VaBenefits[[#This Row],[Assumed Contract Value ]]&lt;75000)),-50,0)</f>
        <v>-50</v>
      </c>
      <c r="AF188" s="134">
        <f>VaBenefits[[#This Row],[Assumed Contract Value ]]*-1.15%/4</f>
        <v>0</v>
      </c>
      <c r="AG188" s="129">
        <v>0</v>
      </c>
      <c r="AH188" s="6">
        <f>VaBenefits[[#This Row],[Maintenace Fee]]+VaBenefits[[#This Row],[Separate Account Charge]]+VaBenefits[[#This Row],[Rider Fee]]</f>
        <v>-50</v>
      </c>
      <c r="AR188" s="23">
        <f t="shared" si="21"/>
        <v>90</v>
      </c>
      <c r="AS188" s="24">
        <v>0</v>
      </c>
      <c r="AT188" s="24">
        <v>0</v>
      </c>
      <c r="AU188" s="22">
        <v>0</v>
      </c>
      <c r="AV188" s="16">
        <v>0</v>
      </c>
      <c r="AW188" s="14">
        <v>299982</v>
      </c>
      <c r="AX188" s="15">
        <v>0</v>
      </c>
      <c r="AY188" s="15">
        <v>0</v>
      </c>
      <c r="AZ188" s="14">
        <v>0</v>
      </c>
      <c r="BA188" s="17">
        <v>11999</v>
      </c>
    </row>
    <row r="189" spans="1:53" ht="15" thickBot="1" x14ac:dyDescent="0.35">
      <c r="A189" s="32">
        <f t="shared" si="19"/>
        <v>181</v>
      </c>
      <c r="B189" s="29">
        <f t="shared" si="20"/>
        <v>45.25</v>
      </c>
      <c r="C189" s="29" t="b">
        <f>AND(VaBenefits[[#This Row],[timeFromValuation]]&gt;=ACT,VaBenefits[[#This Row],[Assumed Contract Value ]]&gt;0)</f>
        <v>0</v>
      </c>
      <c r="D189" s="20">
        <v>0</v>
      </c>
      <c r="E189" s="20">
        <v>0</v>
      </c>
      <c r="F189" s="20">
        <v>0</v>
      </c>
      <c r="G189" s="96">
        <f>ROUND($G$8+VaBenefits[[#This Row],[timeFromValuation]],0)</f>
        <v>100</v>
      </c>
      <c r="H189" s="20">
        <f>ROUND($H$8+VaBenefits[[#This Row],[timeFromValuation]],0)</f>
        <v>110</v>
      </c>
      <c r="I189" s="27" t="b">
        <f>VaBenefits[[#This Row],[Withdrawal Taken  ]]&gt;0</f>
        <v>0</v>
      </c>
      <c r="J189" s="41">
        <f>IF(AND(NOT(VaBenefits[[#This Row],[Is Activation]]),VaBenefits[[#This Row],[Assumed Contract Value ]]&gt;0),VaBenefits[[#This Row],[Withdrawal Taken  ]]/VaBenefits[[#This Row],[Assumed Contract Value ]],0)</f>
        <v>0</v>
      </c>
      <c r="K18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9" s="27" t="b">
        <f ca="1">AND(VaBenefits[[#This Row],[Is Activation]],SUMIFS($E$8:$E189,$C$8:$C189,TRUE)&gt;0)</f>
        <v>0</v>
      </c>
      <c r="M18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9" s="32" t="b">
        <f>IF(VaBenefits[[#This Row],[timeFromValuation]]=0,0, MOD(VaBenefits[[#This Row],[timeFromValuation]],1)=0)</f>
        <v>0</v>
      </c>
      <c r="O189" s="7">
        <f>IF(VaBenefits[[#This Row],[Is Anniversary?]]=TRUE,VaBenefits[[#This Row],[Assumed Contract Value ]],0)</f>
        <v>0</v>
      </c>
      <c r="P18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9" s="7" t="b">
        <f>VaBenefits[[#This Row],[Assumed Contract Value ]]&lt;0.1</f>
        <v>1</v>
      </c>
      <c r="R18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9" s="7">
        <f ca="1">IF(AND(VaBenefits[[#This Row],[Is Activation]]=FALSE,VaBenefits[[#This Row],[Is Anniversary?]]=TRUE),OFFSET( VaBenefits[[#This Row],[Income Credit Base]],-1,0)*ICP,0)</f>
        <v>0</v>
      </c>
      <c r="T189" s="5">
        <f>IF(VaBenefits[[#This Row],[Assumed Contract Value ]]&gt;0,VaBenefits[[#This Row],[Income Base]]*MAWA,0)</f>
        <v>0</v>
      </c>
      <c r="U189" s="95">
        <v>0</v>
      </c>
      <c r="V189" s="92">
        <f>1/(1+InterestRate)^VaBenefits[[#This Row],[timeFromValuation]]</f>
        <v>0.10994721096831099</v>
      </c>
      <c r="W189" s="93">
        <f>VaBenefits[[#This Row],[timeFromValuation]]</f>
        <v>45.25</v>
      </c>
      <c r="X189" s="91">
        <f>IF(($G$8+VaBenefits[[#This Row],[timeFromValuation]])&lt;=120,VLOOKUP(G189,Table2[],Qx!L$6,FALSE),0)</f>
        <v>0.76927800000000002</v>
      </c>
      <c r="Y189" s="91">
        <f>IF(($H$8+VaBenefits[[#This Row],[timeFromValuation]])&lt;=120,VLOOKUP(H189,Table2[],Qx!M$6,FALSE),0)</f>
        <v>0.6</v>
      </c>
      <c r="Z189" s="91">
        <v>0</v>
      </c>
      <c r="AA189" s="91">
        <v>0</v>
      </c>
      <c r="AB189" s="91">
        <v>0</v>
      </c>
      <c r="AC189" s="91">
        <v>0</v>
      </c>
      <c r="AD189" s="99">
        <f>PV(1.03,20,-VaBenefits[[#This Row],[Protected Income Payment]])</f>
        <v>0</v>
      </c>
      <c r="AE189" s="130">
        <f>IF((AND(VaBenefits[[#This Row],[Is Anniversary?]],VaBenefits[[#This Row],[Assumed Contract Value ]]&lt;75000)),-50,0)</f>
        <v>0</v>
      </c>
      <c r="AF189" s="134">
        <f>VaBenefits[[#This Row],[Assumed Contract Value ]]*-1.15%/4</f>
        <v>0</v>
      </c>
      <c r="AG189" s="129">
        <v>0</v>
      </c>
      <c r="AH189" s="6">
        <f>VaBenefits[[#This Row],[Maintenace Fee]]+VaBenefits[[#This Row],[Separate Account Charge]]+VaBenefits[[#This Row],[Rider Fee]]</f>
        <v>0</v>
      </c>
      <c r="AR189" s="23">
        <f t="shared" si="21"/>
        <v>90.5</v>
      </c>
      <c r="AS189" s="24">
        <v>0</v>
      </c>
      <c r="AT189" s="24">
        <v>0</v>
      </c>
      <c r="AU189" s="22">
        <v>0</v>
      </c>
      <c r="AV189" s="16">
        <v>0</v>
      </c>
      <c r="AW189" s="14">
        <v>299982</v>
      </c>
      <c r="AX189" s="15">
        <v>0</v>
      </c>
      <c r="AY189" s="15">
        <v>0</v>
      </c>
      <c r="AZ189" s="14">
        <v>0</v>
      </c>
      <c r="BA189" s="17">
        <v>11999</v>
      </c>
    </row>
    <row r="190" spans="1:53" ht="15" thickBot="1" x14ac:dyDescent="0.35">
      <c r="A190" s="32">
        <f t="shared" si="19"/>
        <v>182</v>
      </c>
      <c r="B190" s="29">
        <f t="shared" si="20"/>
        <v>45.5</v>
      </c>
      <c r="C190" s="29" t="b">
        <f>AND(VaBenefits[[#This Row],[timeFromValuation]]&gt;=ACT,VaBenefits[[#This Row],[Assumed Contract Value ]]&gt;0)</f>
        <v>0</v>
      </c>
      <c r="D190" s="20">
        <v>0</v>
      </c>
      <c r="E190" s="20">
        <v>0</v>
      </c>
      <c r="F190" s="20">
        <v>0</v>
      </c>
      <c r="G190" s="96">
        <f>ROUND($G$8+VaBenefits[[#This Row],[timeFromValuation]],0)</f>
        <v>101</v>
      </c>
      <c r="H190" s="20">
        <f>ROUND($H$8+VaBenefits[[#This Row],[timeFromValuation]],0)</f>
        <v>111</v>
      </c>
      <c r="I190" s="27" t="b">
        <f>VaBenefits[[#This Row],[Withdrawal Taken  ]]&gt;0</f>
        <v>0</v>
      </c>
      <c r="J190" s="41">
        <f>IF(AND(NOT(VaBenefits[[#This Row],[Is Activation]]),VaBenefits[[#This Row],[Assumed Contract Value ]]&gt;0),VaBenefits[[#This Row],[Withdrawal Taken  ]]/VaBenefits[[#This Row],[Assumed Contract Value ]],0)</f>
        <v>0</v>
      </c>
      <c r="K19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0" s="27" t="b">
        <f ca="1">AND(VaBenefits[[#This Row],[Is Activation]],SUMIFS($E$8:$E310,$C$8:$C310,TRUE)&gt;0)</f>
        <v>0</v>
      </c>
      <c r="M19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0" s="32" t="b">
        <f>IF(VaBenefits[[#This Row],[timeFromValuation]]=0,0, MOD(VaBenefits[[#This Row],[timeFromValuation]],1)=0)</f>
        <v>0</v>
      </c>
      <c r="O190" s="7">
        <f>IF(VaBenefits[[#This Row],[Is Anniversary?]]=TRUE,VaBenefits[[#This Row],[Assumed Contract Value ]],0)</f>
        <v>0</v>
      </c>
      <c r="P19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0" s="7" t="b">
        <f>VaBenefits[[#This Row],[Assumed Contract Value ]]&lt;0.1</f>
        <v>1</v>
      </c>
      <c r="R19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0" s="7">
        <f ca="1">IF(AND(VaBenefits[[#This Row],[Is Activation]]=FALSE,VaBenefits[[#This Row],[Is Anniversary?]]=TRUE),OFFSET( VaBenefits[[#This Row],[Income Credit Base]],-1,0)*ICP,0)</f>
        <v>0</v>
      </c>
      <c r="T190" s="5">
        <f>IF(VaBenefits[[#This Row],[Assumed Contract Value ]]&gt;0,VaBenefits[[#This Row],[Income Base]]*MAWA,0)</f>
        <v>0</v>
      </c>
      <c r="U190" s="95">
        <v>0</v>
      </c>
      <c r="V190" s="92">
        <f>1/(1+InterestRate)^VaBenefits[[#This Row],[timeFromValuation]]</f>
        <v>0.1086142711701714</v>
      </c>
      <c r="W190" s="93">
        <f>VaBenefits[[#This Row],[timeFromValuation]]</f>
        <v>45.5</v>
      </c>
      <c r="X190" s="91">
        <f>IF(($G$8+VaBenefits[[#This Row],[timeFromValuation]])&lt;=120,VLOOKUP(G190,Table2[],Qx!L$6,FALSE),0)</f>
        <v>0.74849500000000002</v>
      </c>
      <c r="Y190" s="91">
        <f>IF(($H$8+VaBenefits[[#This Row],[timeFromValuation]])&lt;=120,VLOOKUP(H190,Table2[],Qx!M$6,FALSE),0)</f>
        <v>0.6</v>
      </c>
      <c r="Z190" s="91">
        <v>0</v>
      </c>
      <c r="AA190" s="91">
        <v>0</v>
      </c>
      <c r="AB190" s="91">
        <v>0</v>
      </c>
      <c r="AC190" s="91">
        <v>0</v>
      </c>
      <c r="AD190" s="100">
        <f>PV(1.03,20,-VaBenefits[[#This Row],[Protected Income Payment]])</f>
        <v>0</v>
      </c>
      <c r="AE190" s="130">
        <f>IF((AND(VaBenefits[[#This Row],[Is Anniversary?]],VaBenefits[[#This Row],[Assumed Contract Value ]]&lt;75000)),-50,0)</f>
        <v>0</v>
      </c>
      <c r="AF190" s="134">
        <f>VaBenefits[[#This Row],[Assumed Contract Value ]]*-1.15%/4</f>
        <v>0</v>
      </c>
      <c r="AG190" s="129">
        <v>0</v>
      </c>
      <c r="AH190" s="6">
        <f>VaBenefits[[#This Row],[Maintenace Fee]]+VaBenefits[[#This Row],[Separate Account Charge]]+VaBenefits[[#This Row],[Rider Fee]]</f>
        <v>0</v>
      </c>
      <c r="AR190" s="23">
        <f t="shared" si="21"/>
        <v>91</v>
      </c>
      <c r="AS190" s="24">
        <v>0</v>
      </c>
      <c r="AT190" s="24">
        <v>0</v>
      </c>
      <c r="AU190" s="22">
        <v>0</v>
      </c>
      <c r="AV190" s="16">
        <v>0</v>
      </c>
      <c r="AW190" s="14">
        <v>299982</v>
      </c>
      <c r="AX190" s="15">
        <v>0</v>
      </c>
      <c r="AY190" s="15">
        <v>0</v>
      </c>
      <c r="AZ190" s="14">
        <v>0</v>
      </c>
      <c r="BA190" s="17">
        <v>11999</v>
      </c>
    </row>
    <row r="191" spans="1:53" ht="15" thickBot="1" x14ac:dyDescent="0.35">
      <c r="A191" s="32">
        <f t="shared" si="19"/>
        <v>183</v>
      </c>
      <c r="B191" s="29">
        <f t="shared" ref="B191:B254" si="22">B190+0.25</f>
        <v>45.75</v>
      </c>
      <c r="C191" s="29" t="b">
        <f>AND(VaBenefits[[#This Row],[timeFromValuation]]&gt;=ACT,VaBenefits[[#This Row],[Assumed Contract Value ]]&gt;0)</f>
        <v>0</v>
      </c>
      <c r="D191" s="20">
        <v>0</v>
      </c>
      <c r="E191" s="20">
        <v>0</v>
      </c>
      <c r="F191" s="20">
        <v>0</v>
      </c>
      <c r="G191" s="96">
        <f>ROUND($G$8+VaBenefits[[#This Row],[timeFromValuation]],0)</f>
        <v>101</v>
      </c>
      <c r="H191" s="20">
        <f>ROUND($H$8+VaBenefits[[#This Row],[timeFromValuation]],0)</f>
        <v>111</v>
      </c>
      <c r="I191" s="27" t="b">
        <f>VaBenefits[[#This Row],[Withdrawal Taken  ]]&gt;0</f>
        <v>0</v>
      </c>
      <c r="J191" s="41">
        <f>IF(AND(NOT(VaBenefits[[#This Row],[Is Activation]]),VaBenefits[[#This Row],[Assumed Contract Value ]]&gt;0),VaBenefits[[#This Row],[Withdrawal Taken  ]]/VaBenefits[[#This Row],[Assumed Contract Value ]],0)</f>
        <v>0</v>
      </c>
      <c r="K19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1" s="27" t="b">
        <f ca="1">AND(VaBenefits[[#This Row],[Is Activation]],SUMIFS($E$8:$E191,$C$8:$C191,TRUE)&gt;0)</f>
        <v>0</v>
      </c>
      <c r="M19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1" s="32" t="b">
        <f>IF(VaBenefits[[#This Row],[timeFromValuation]]=0,0, MOD(VaBenefits[[#This Row],[timeFromValuation]],1)=0)</f>
        <v>0</v>
      </c>
      <c r="O191" s="7">
        <f>IF(VaBenefits[[#This Row],[Is Anniversary?]]=TRUE,VaBenefits[[#This Row],[Assumed Contract Value ]],0)</f>
        <v>0</v>
      </c>
      <c r="P19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1" s="7" t="b">
        <f>VaBenefits[[#This Row],[Assumed Contract Value ]]&lt;0.1</f>
        <v>1</v>
      </c>
      <c r="R19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1" s="7">
        <f ca="1">IF(AND(VaBenefits[[#This Row],[Is Activation]]=FALSE,VaBenefits[[#This Row],[Is Anniversary?]]=TRUE),OFFSET( VaBenefits[[#This Row],[Income Credit Base]],-1,0)*ICP,0)</f>
        <v>0</v>
      </c>
      <c r="T191" s="5">
        <f>IF(VaBenefits[[#This Row],[Assumed Contract Value ]]&gt;0,VaBenefits[[#This Row],[Income Base]]*MAWA,0)</f>
        <v>0</v>
      </c>
      <c r="U191" s="95">
        <v>1</v>
      </c>
      <c r="V191" s="92">
        <f>1/(1+InterestRate)^VaBenefits[[#This Row],[timeFromValuation]]</f>
        <v>0.10729749120446244</v>
      </c>
      <c r="W191" s="93">
        <f>VaBenefits[[#This Row],[timeFromValuation]]</f>
        <v>45.75</v>
      </c>
      <c r="X191" s="91">
        <f>IF(($G$8+VaBenefits[[#This Row],[timeFromValuation]])&lt;=120,VLOOKUP(G191,Table2[],Qx!L$6,FALSE),0)</f>
        <v>0.74849500000000002</v>
      </c>
      <c r="Y191" s="91">
        <f>IF(($H$8+VaBenefits[[#This Row],[timeFromValuation]])&lt;=120,VLOOKUP(H191,Table2[],Qx!M$6,FALSE),0)</f>
        <v>0.6</v>
      </c>
      <c r="Z191" s="91">
        <v>0</v>
      </c>
      <c r="AA191" s="91">
        <v>0</v>
      </c>
      <c r="AB191" s="91">
        <v>0</v>
      </c>
      <c r="AC191" s="91">
        <v>0</v>
      </c>
      <c r="AD191" s="100">
        <f>PV(1.03,20,-VaBenefits[[#This Row],[Protected Income Payment]])</f>
        <v>0.97087309895634122</v>
      </c>
      <c r="AE191" s="130">
        <f>IF((AND(VaBenefits[[#This Row],[Is Anniversary?]],VaBenefits[[#This Row],[Assumed Contract Value ]]&lt;75000)),-50,0)</f>
        <v>0</v>
      </c>
      <c r="AF191" s="134">
        <f>VaBenefits[[#This Row],[Assumed Contract Value ]]*-1.15%/4</f>
        <v>0</v>
      </c>
      <c r="AG191" s="129">
        <v>0</v>
      </c>
      <c r="AH191" s="6">
        <f>VaBenefits[[#This Row],[Maintenace Fee]]+VaBenefits[[#This Row],[Separate Account Charge]]+VaBenefits[[#This Row],[Rider Fee]]</f>
        <v>0</v>
      </c>
      <c r="AR191" s="23">
        <f t="shared" si="21"/>
        <v>91.5</v>
      </c>
      <c r="AS191" s="24">
        <v>0</v>
      </c>
      <c r="AT191" s="24">
        <v>0</v>
      </c>
      <c r="AU191" s="22">
        <v>0</v>
      </c>
      <c r="AV191" s="16">
        <v>0</v>
      </c>
      <c r="AW191" s="14">
        <v>299982</v>
      </c>
      <c r="AX191" s="15">
        <v>0</v>
      </c>
      <c r="AY191" s="15">
        <v>0</v>
      </c>
      <c r="AZ191" s="14">
        <v>0</v>
      </c>
      <c r="BA191" s="17">
        <v>11999</v>
      </c>
    </row>
    <row r="192" spans="1:53" ht="15" thickBot="1" x14ac:dyDescent="0.35">
      <c r="A192" s="32">
        <f t="shared" si="19"/>
        <v>184</v>
      </c>
      <c r="B192" s="29">
        <f t="shared" si="22"/>
        <v>46</v>
      </c>
      <c r="C192" s="29" t="b">
        <f>AND(VaBenefits[[#This Row],[timeFromValuation]]&gt;=ACT,VaBenefits[[#This Row],[Assumed Contract Value ]]&gt;0)</f>
        <v>0</v>
      </c>
      <c r="D192" s="20">
        <v>0</v>
      </c>
      <c r="E192" s="20">
        <v>0</v>
      </c>
      <c r="F192" s="20">
        <v>0</v>
      </c>
      <c r="G192" s="96">
        <f>ROUND($G$8+VaBenefits[[#This Row],[timeFromValuation]],0)</f>
        <v>101</v>
      </c>
      <c r="H192" s="20">
        <f>ROUND($H$8+VaBenefits[[#This Row],[timeFromValuation]],0)</f>
        <v>111</v>
      </c>
      <c r="I192" s="27" t="b">
        <f>VaBenefits[[#This Row],[Withdrawal Taken  ]]&gt;0</f>
        <v>0</v>
      </c>
      <c r="J192" s="41">
        <f>IF(AND(NOT(VaBenefits[[#This Row],[Is Activation]]),VaBenefits[[#This Row],[Assumed Contract Value ]]&gt;0),VaBenefits[[#This Row],[Withdrawal Taken  ]]/VaBenefits[[#This Row],[Assumed Contract Value ]],0)</f>
        <v>0</v>
      </c>
      <c r="K19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2" s="27" t="b">
        <f ca="1">AND(VaBenefits[[#This Row],[Is Activation]],SUMIFS($E$8:$E192,$C$8:$C192,TRUE)&gt;0)</f>
        <v>0</v>
      </c>
      <c r="M19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2" s="32" t="b">
        <f>IF(VaBenefits[[#This Row],[timeFromValuation]]=0,0, MOD(VaBenefits[[#This Row],[timeFromValuation]],1)=0)</f>
        <v>1</v>
      </c>
      <c r="O192" s="7">
        <f>IF(VaBenefits[[#This Row],[Is Anniversary?]]=TRUE,VaBenefits[[#This Row],[Assumed Contract Value ]],0)</f>
        <v>0</v>
      </c>
      <c r="P19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2" s="7" t="b">
        <f>VaBenefits[[#This Row],[Assumed Contract Value ]]&lt;0.1</f>
        <v>1</v>
      </c>
      <c r="R19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2" s="7">
        <f ca="1">IF(AND(VaBenefits[[#This Row],[Is Activation]]=FALSE,VaBenefits[[#This Row],[Is Anniversary?]]=TRUE),OFFSET( VaBenefits[[#This Row],[Income Credit Base]],-1,0)*ICP,0)</f>
        <v>0</v>
      </c>
      <c r="T192" s="5">
        <f>IF(VaBenefits[[#This Row],[Assumed Contract Value ]]&gt;0,VaBenefits[[#This Row],[Income Base]]*MAWA,0)</f>
        <v>0</v>
      </c>
      <c r="U192" s="95">
        <v>2</v>
      </c>
      <c r="V192" s="92">
        <f>1/(1+InterestRate)^VaBenefits[[#This Row],[timeFromValuation]]</f>
        <v>0.10599667515822221</v>
      </c>
      <c r="W192" s="93">
        <f>VaBenefits[[#This Row],[timeFromValuation]]</f>
        <v>46</v>
      </c>
      <c r="X192" s="91">
        <f>IF(($G$8+VaBenefits[[#This Row],[timeFromValuation]])&lt;=120,VLOOKUP(G192,Table2[],Qx!L$6,FALSE),0)</f>
        <v>0.74849500000000002</v>
      </c>
      <c r="Y192" s="91">
        <f>IF(($H$8+VaBenefits[[#This Row],[timeFromValuation]])&lt;=120,VLOOKUP(H192,Table2[],Qx!M$6,FALSE),0)</f>
        <v>0.6</v>
      </c>
      <c r="Z192" s="91">
        <v>0</v>
      </c>
      <c r="AA192" s="91">
        <v>0</v>
      </c>
      <c r="AB192" s="91">
        <v>0</v>
      </c>
      <c r="AC192" s="91">
        <v>0</v>
      </c>
      <c r="AD192" s="100">
        <f>PV(1.03,20,-VaBenefits[[#This Row],[Protected Income Payment]])</f>
        <v>1.9417461979126824</v>
      </c>
      <c r="AE192" s="130">
        <f>IF((AND(VaBenefits[[#This Row],[Is Anniversary?]],VaBenefits[[#This Row],[Assumed Contract Value ]]&lt;75000)),-50,0)</f>
        <v>-50</v>
      </c>
      <c r="AF192" s="134">
        <f>VaBenefits[[#This Row],[Assumed Contract Value ]]*-1.15%/4</f>
        <v>0</v>
      </c>
      <c r="AG192" s="129">
        <v>0</v>
      </c>
      <c r="AH192" s="6">
        <f>VaBenefits[[#This Row],[Maintenace Fee]]+VaBenefits[[#This Row],[Separate Account Charge]]+VaBenefits[[#This Row],[Rider Fee]]</f>
        <v>-50</v>
      </c>
      <c r="AR192" s="23">
        <f t="shared" si="21"/>
        <v>92</v>
      </c>
      <c r="AS192" s="24">
        <v>0</v>
      </c>
      <c r="AT192" s="24">
        <v>0</v>
      </c>
      <c r="AU192" s="22">
        <v>0</v>
      </c>
      <c r="AV192" s="16">
        <v>0</v>
      </c>
      <c r="AW192" s="14">
        <v>299982</v>
      </c>
      <c r="AX192" s="15">
        <v>0</v>
      </c>
      <c r="AY192" s="15">
        <v>0</v>
      </c>
      <c r="AZ192" s="14">
        <v>0</v>
      </c>
      <c r="BA192" s="17">
        <v>11999</v>
      </c>
    </row>
    <row r="193" spans="1:53" ht="15" thickBot="1" x14ac:dyDescent="0.35">
      <c r="A193" s="32">
        <f t="shared" si="19"/>
        <v>185</v>
      </c>
      <c r="B193" s="29">
        <f t="shared" si="22"/>
        <v>46.25</v>
      </c>
      <c r="C193" s="29" t="b">
        <f>AND(VaBenefits[[#This Row],[timeFromValuation]]&gt;=ACT,VaBenefits[[#This Row],[Assumed Contract Value ]]&gt;0)</f>
        <v>0</v>
      </c>
      <c r="D193" s="20">
        <v>0</v>
      </c>
      <c r="E193" s="20">
        <v>0</v>
      </c>
      <c r="F193" s="20">
        <v>0</v>
      </c>
      <c r="G193" s="96">
        <f>ROUND($G$8+VaBenefits[[#This Row],[timeFromValuation]],0)</f>
        <v>101</v>
      </c>
      <c r="H193" s="20">
        <f>ROUND($H$8+VaBenefits[[#This Row],[timeFromValuation]],0)</f>
        <v>111</v>
      </c>
      <c r="I193" s="27" t="b">
        <f>VaBenefits[[#This Row],[Withdrawal Taken  ]]&gt;0</f>
        <v>0</v>
      </c>
      <c r="J193" s="41">
        <f>IF(AND(NOT(VaBenefits[[#This Row],[Is Activation]]),VaBenefits[[#This Row],[Assumed Contract Value ]]&gt;0),VaBenefits[[#This Row],[Withdrawal Taken  ]]/VaBenefits[[#This Row],[Assumed Contract Value ]],0)</f>
        <v>0</v>
      </c>
      <c r="K19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3" s="27" t="b">
        <f ca="1">AND(VaBenefits[[#This Row],[Is Activation]],SUMIFS($E$8:$E193,$C$8:$C193,TRUE)&gt;0)</f>
        <v>0</v>
      </c>
      <c r="M19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3" s="32" t="b">
        <f>IF(VaBenefits[[#This Row],[timeFromValuation]]=0,0, MOD(VaBenefits[[#This Row],[timeFromValuation]],1)=0)</f>
        <v>0</v>
      </c>
      <c r="O193" s="7">
        <f>IF(VaBenefits[[#This Row],[Is Anniversary?]]=TRUE,VaBenefits[[#This Row],[Assumed Contract Value ]],0)</f>
        <v>0</v>
      </c>
      <c r="P19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3" s="7" t="b">
        <f>VaBenefits[[#This Row],[Assumed Contract Value ]]&lt;0.1</f>
        <v>1</v>
      </c>
      <c r="R19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3" s="7">
        <f ca="1">IF(AND(VaBenefits[[#This Row],[Is Activation]]=FALSE,VaBenefits[[#This Row],[Is Anniversary?]]=TRUE),OFFSET( VaBenefits[[#This Row],[Income Credit Base]],-1,0)*ICP,0)</f>
        <v>0</v>
      </c>
      <c r="T193" s="5">
        <f>IF(VaBenefits[[#This Row],[Assumed Contract Value ]]&gt;0,VaBenefits[[#This Row],[Income Base]]*MAWA,0)</f>
        <v>0</v>
      </c>
      <c r="U193" s="95">
        <v>3</v>
      </c>
      <c r="V193" s="92">
        <f>1/(1+InterestRate)^VaBenefits[[#This Row],[timeFromValuation]]</f>
        <v>0.10471162949362953</v>
      </c>
      <c r="W193" s="93">
        <f>VaBenefits[[#This Row],[timeFromValuation]]</f>
        <v>46.25</v>
      </c>
      <c r="X193" s="91">
        <f>IF(($G$8+VaBenefits[[#This Row],[timeFromValuation]])&lt;=120,VLOOKUP(G193,Table2[],Qx!L$6,FALSE),0)</f>
        <v>0.74849500000000002</v>
      </c>
      <c r="Y193" s="91">
        <f>IF(($H$8+VaBenefits[[#This Row],[timeFromValuation]])&lt;=120,VLOOKUP(H193,Table2[],Qx!M$6,FALSE),0)</f>
        <v>0.6</v>
      </c>
      <c r="Z193" s="91">
        <v>0</v>
      </c>
      <c r="AA193" s="91">
        <v>0</v>
      </c>
      <c r="AB193" s="91">
        <v>0</v>
      </c>
      <c r="AC193" s="91">
        <v>0</v>
      </c>
      <c r="AD193" s="100">
        <f>PV(1.03,20,-VaBenefits[[#This Row],[Protected Income Payment]])</f>
        <v>2.9126192968690234</v>
      </c>
      <c r="AE193" s="130">
        <f>IF((AND(VaBenefits[[#This Row],[Is Anniversary?]],VaBenefits[[#This Row],[Assumed Contract Value ]]&lt;75000)),-50,0)</f>
        <v>0</v>
      </c>
      <c r="AF193" s="134">
        <f>VaBenefits[[#This Row],[Assumed Contract Value ]]*-1.15%/4</f>
        <v>0</v>
      </c>
      <c r="AG193" s="129">
        <v>0</v>
      </c>
      <c r="AH193" s="6">
        <f>VaBenefits[[#This Row],[Maintenace Fee]]+VaBenefits[[#This Row],[Separate Account Charge]]+VaBenefits[[#This Row],[Rider Fee]]</f>
        <v>0</v>
      </c>
      <c r="AR193" s="23">
        <f t="shared" si="21"/>
        <v>92.5</v>
      </c>
      <c r="AS193" s="24">
        <v>0</v>
      </c>
      <c r="AT193" s="24">
        <v>0</v>
      </c>
      <c r="AU193" s="22">
        <v>0</v>
      </c>
      <c r="AV193" s="16">
        <v>0</v>
      </c>
      <c r="AW193" s="14">
        <v>299982</v>
      </c>
      <c r="AX193" s="15">
        <v>0</v>
      </c>
      <c r="AY193" s="15">
        <v>0</v>
      </c>
      <c r="AZ193" s="14">
        <v>0</v>
      </c>
      <c r="BA193" s="17">
        <v>11999</v>
      </c>
    </row>
    <row r="194" spans="1:53" ht="15" thickBot="1" x14ac:dyDescent="0.35">
      <c r="A194" s="32">
        <f t="shared" si="19"/>
        <v>186</v>
      </c>
      <c r="B194" s="29">
        <f t="shared" si="22"/>
        <v>46.5</v>
      </c>
      <c r="C194" s="29" t="b">
        <f>AND(VaBenefits[[#This Row],[timeFromValuation]]&gt;=ACT,VaBenefits[[#This Row],[Assumed Contract Value ]]&gt;0)</f>
        <v>0</v>
      </c>
      <c r="D194" s="20">
        <v>0</v>
      </c>
      <c r="E194" s="20">
        <v>0</v>
      </c>
      <c r="F194" s="20">
        <v>0</v>
      </c>
      <c r="G194" s="96">
        <f>ROUND($G$8+VaBenefits[[#This Row],[timeFromValuation]],0)</f>
        <v>102</v>
      </c>
      <c r="H194" s="20">
        <f>ROUND($H$8+VaBenefits[[#This Row],[timeFromValuation]],0)</f>
        <v>112</v>
      </c>
      <c r="I194" s="27" t="b">
        <f>VaBenefits[[#This Row],[Withdrawal Taken  ]]&gt;0</f>
        <v>0</v>
      </c>
      <c r="J194" s="41">
        <f>IF(AND(NOT(VaBenefits[[#This Row],[Is Activation]]),VaBenefits[[#This Row],[Assumed Contract Value ]]&gt;0),VaBenefits[[#This Row],[Withdrawal Taken  ]]/VaBenefits[[#This Row],[Assumed Contract Value ]],0)</f>
        <v>0</v>
      </c>
      <c r="K19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4" s="27" t="b">
        <f ca="1">AND(VaBenefits[[#This Row],[Is Activation]],SUMIFS($E$8:$E194,$C$8:$C194,TRUE)&gt;0)</f>
        <v>0</v>
      </c>
      <c r="M19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4" s="32" t="b">
        <f>IF(VaBenefits[[#This Row],[timeFromValuation]]=0,0, MOD(VaBenefits[[#This Row],[timeFromValuation]],1)=0)</f>
        <v>0</v>
      </c>
      <c r="O194" s="7">
        <f>IF(VaBenefits[[#This Row],[Is Anniversary?]]=TRUE,VaBenefits[[#This Row],[Assumed Contract Value ]],0)</f>
        <v>0</v>
      </c>
      <c r="P19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4" s="7" t="b">
        <f>VaBenefits[[#This Row],[Assumed Contract Value ]]&lt;0.1</f>
        <v>1</v>
      </c>
      <c r="R19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4" s="7">
        <f ca="1">IF(AND(VaBenefits[[#This Row],[Is Activation]]=FALSE,VaBenefits[[#This Row],[Is Anniversary?]]=TRUE),OFFSET( VaBenefits[[#This Row],[Income Credit Base]],-1,0)*ICP,0)</f>
        <v>0</v>
      </c>
      <c r="T194" s="5">
        <f>IF(VaBenefits[[#This Row],[Assumed Contract Value ]]&gt;0,VaBenefits[[#This Row],[Income Base]]*MAWA,0)</f>
        <v>0</v>
      </c>
      <c r="U194" s="95">
        <v>4</v>
      </c>
      <c r="V194" s="92">
        <f>1/(1+InterestRate)^VaBenefits[[#This Row],[timeFromValuation]]</f>
        <v>0.10344216301921087</v>
      </c>
      <c r="W194" s="93">
        <f>VaBenefits[[#This Row],[timeFromValuation]]</f>
        <v>46.5</v>
      </c>
      <c r="X194" s="91">
        <f>IF(($G$8+VaBenefits[[#This Row],[timeFromValuation]])&lt;=120,VLOOKUP(G194,Table2[],Qx!L$6,FALSE),0)</f>
        <v>0.726993</v>
      </c>
      <c r="Y194" s="91">
        <f>IF(($H$8+VaBenefits[[#This Row],[timeFromValuation]])&lt;=120,VLOOKUP(H194,Table2[],Qx!M$6,FALSE),0)</f>
        <v>0.6</v>
      </c>
      <c r="Z194" s="91">
        <v>0</v>
      </c>
      <c r="AA194" s="91">
        <v>0</v>
      </c>
      <c r="AB194" s="91">
        <v>0</v>
      </c>
      <c r="AC194" s="91">
        <v>0</v>
      </c>
      <c r="AD194" s="100">
        <f>PV(1.03,20,-VaBenefits[[#This Row],[Protected Income Payment]])</f>
        <v>3.8834923958253649</v>
      </c>
      <c r="AE194" s="130">
        <f>IF((AND(VaBenefits[[#This Row],[Is Anniversary?]],VaBenefits[[#This Row],[Assumed Contract Value ]]&lt;75000)),-50,0)</f>
        <v>0</v>
      </c>
      <c r="AF194" s="134">
        <f>VaBenefits[[#This Row],[Assumed Contract Value ]]*-1.15%/4</f>
        <v>0</v>
      </c>
      <c r="AG194" s="129">
        <v>0</v>
      </c>
      <c r="AH194" s="6">
        <f>VaBenefits[[#This Row],[Maintenace Fee]]+VaBenefits[[#This Row],[Separate Account Charge]]+VaBenefits[[#This Row],[Rider Fee]]</f>
        <v>0</v>
      </c>
      <c r="AR194" s="23">
        <f t="shared" si="21"/>
        <v>93</v>
      </c>
      <c r="AS194" s="24">
        <v>0</v>
      </c>
      <c r="AT194" s="24">
        <v>0</v>
      </c>
      <c r="AU194" s="22">
        <v>0</v>
      </c>
      <c r="AV194" s="16">
        <v>0</v>
      </c>
      <c r="AW194" s="14">
        <v>299982</v>
      </c>
      <c r="AX194" s="15">
        <v>0</v>
      </c>
      <c r="AY194" s="15">
        <v>0</v>
      </c>
      <c r="AZ194" s="14">
        <v>0</v>
      </c>
      <c r="BA194" s="17">
        <v>11999</v>
      </c>
    </row>
    <row r="195" spans="1:53" ht="15" thickBot="1" x14ac:dyDescent="0.35">
      <c r="A195" s="32">
        <f t="shared" si="19"/>
        <v>187</v>
      </c>
      <c r="B195" s="29">
        <f t="shared" si="22"/>
        <v>46.75</v>
      </c>
      <c r="C195" s="29" t="b">
        <f>AND(VaBenefits[[#This Row],[timeFromValuation]]&gt;=ACT,VaBenefits[[#This Row],[Assumed Contract Value ]]&gt;0)</f>
        <v>0</v>
      </c>
      <c r="D195" s="20">
        <v>0</v>
      </c>
      <c r="E195" s="20">
        <v>0</v>
      </c>
      <c r="F195" s="20">
        <v>0</v>
      </c>
      <c r="G195" s="96">
        <f>ROUND($G$8+VaBenefits[[#This Row],[timeFromValuation]],0)</f>
        <v>102</v>
      </c>
      <c r="H195" s="20">
        <f>ROUND($H$8+VaBenefits[[#This Row],[timeFromValuation]],0)</f>
        <v>112</v>
      </c>
      <c r="I195" s="27" t="b">
        <f>VaBenefits[[#This Row],[Withdrawal Taken  ]]&gt;0</f>
        <v>0</v>
      </c>
      <c r="J195" s="41">
        <f>IF(AND(NOT(VaBenefits[[#This Row],[Is Activation]]),VaBenefits[[#This Row],[Assumed Contract Value ]]&gt;0),VaBenefits[[#This Row],[Withdrawal Taken  ]]/VaBenefits[[#This Row],[Assumed Contract Value ]],0)</f>
        <v>0</v>
      </c>
      <c r="K19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5" s="27" t="b">
        <f ca="1">AND(VaBenefits[[#This Row],[Is Activation]],SUMIFS($E$8:$E195,$C$8:$C195,TRUE)&gt;0)</f>
        <v>0</v>
      </c>
      <c r="M19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5" s="32" t="b">
        <f>IF(VaBenefits[[#This Row],[timeFromValuation]]=0,0, MOD(VaBenefits[[#This Row],[timeFromValuation]],1)=0)</f>
        <v>0</v>
      </c>
      <c r="O195" s="7">
        <f>IF(VaBenefits[[#This Row],[Is Anniversary?]]=TRUE,VaBenefits[[#This Row],[Assumed Contract Value ]],0)</f>
        <v>0</v>
      </c>
      <c r="P19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5" s="7" t="b">
        <f>VaBenefits[[#This Row],[Assumed Contract Value ]]&lt;0.1</f>
        <v>1</v>
      </c>
      <c r="R19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5" s="7">
        <f ca="1">IF(AND(VaBenefits[[#This Row],[Is Activation]]=FALSE,VaBenefits[[#This Row],[Is Anniversary?]]=TRUE),OFFSET( VaBenefits[[#This Row],[Income Credit Base]],-1,0)*ICP,0)</f>
        <v>0</v>
      </c>
      <c r="T195" s="5">
        <f>IF(VaBenefits[[#This Row],[Assumed Contract Value ]]&gt;0,VaBenefits[[#This Row],[Income Base]]*MAWA,0)</f>
        <v>0</v>
      </c>
      <c r="U195" s="95">
        <v>5</v>
      </c>
      <c r="V195" s="92">
        <f>1/(1+InterestRate)^VaBenefits[[#This Row],[timeFromValuation]]</f>
        <v>0.10218808686139283</v>
      </c>
      <c r="W195" s="93">
        <f>VaBenefits[[#This Row],[timeFromValuation]]</f>
        <v>46.75</v>
      </c>
      <c r="X195" s="91">
        <f>IF(($G$8+VaBenefits[[#This Row],[timeFromValuation]])&lt;=120,VLOOKUP(G195,Table2[],Qx!L$6,FALSE),0)</f>
        <v>0.726993</v>
      </c>
      <c r="Y195" s="91">
        <f>IF(($H$8+VaBenefits[[#This Row],[timeFromValuation]])&lt;=120,VLOOKUP(H195,Table2[],Qx!M$6,FALSE),0)</f>
        <v>0.6</v>
      </c>
      <c r="Z195" s="91">
        <v>0</v>
      </c>
      <c r="AA195" s="91">
        <v>0</v>
      </c>
      <c r="AB195" s="91">
        <v>0</v>
      </c>
      <c r="AC195" s="91">
        <v>0</v>
      </c>
      <c r="AD195" s="100">
        <f>PV(1.03,20,-VaBenefits[[#This Row],[Protected Income Payment]])</f>
        <v>4.8543654947817059</v>
      </c>
      <c r="AE195" s="130">
        <f>IF((AND(VaBenefits[[#This Row],[Is Anniversary?]],VaBenefits[[#This Row],[Assumed Contract Value ]]&lt;75000)),-50,0)</f>
        <v>0</v>
      </c>
      <c r="AF195" s="134">
        <f>VaBenefits[[#This Row],[Assumed Contract Value ]]*-1.15%/4</f>
        <v>0</v>
      </c>
      <c r="AG195" s="129">
        <v>0</v>
      </c>
      <c r="AH195" s="6">
        <f>VaBenefits[[#This Row],[Maintenace Fee]]+VaBenefits[[#This Row],[Separate Account Charge]]+VaBenefits[[#This Row],[Rider Fee]]</f>
        <v>0</v>
      </c>
      <c r="AR195" s="23">
        <f t="shared" si="21"/>
        <v>93.5</v>
      </c>
      <c r="AS195" s="24">
        <v>0</v>
      </c>
      <c r="AT195" s="24">
        <v>0</v>
      </c>
      <c r="AU195" s="22">
        <v>0</v>
      </c>
      <c r="AV195" s="16">
        <v>0</v>
      </c>
      <c r="AW195" s="14">
        <v>299982</v>
      </c>
      <c r="AX195" s="15">
        <v>0</v>
      </c>
      <c r="AY195" s="15">
        <v>0</v>
      </c>
      <c r="AZ195" s="14">
        <v>0</v>
      </c>
      <c r="BA195" s="17">
        <v>11999</v>
      </c>
    </row>
    <row r="196" spans="1:53" ht="15" thickBot="1" x14ac:dyDescent="0.35">
      <c r="A196" s="32">
        <f t="shared" si="19"/>
        <v>188</v>
      </c>
      <c r="B196" s="29">
        <f t="shared" si="22"/>
        <v>47</v>
      </c>
      <c r="C196" s="29" t="b">
        <f>AND(VaBenefits[[#This Row],[timeFromValuation]]&gt;=ACT,VaBenefits[[#This Row],[Assumed Contract Value ]]&gt;0)</f>
        <v>0</v>
      </c>
      <c r="D196" s="20">
        <v>0</v>
      </c>
      <c r="E196" s="20">
        <v>0</v>
      </c>
      <c r="F196" s="20">
        <v>0</v>
      </c>
      <c r="G196" s="96">
        <f>ROUND($G$8+VaBenefits[[#This Row],[timeFromValuation]],0)</f>
        <v>102</v>
      </c>
      <c r="H196" s="20">
        <f>ROUND($H$8+VaBenefits[[#This Row],[timeFromValuation]],0)</f>
        <v>112</v>
      </c>
      <c r="I196" s="27" t="b">
        <f>VaBenefits[[#This Row],[Withdrawal Taken  ]]&gt;0</f>
        <v>0</v>
      </c>
      <c r="J196" s="41">
        <f>IF(AND(NOT(VaBenefits[[#This Row],[Is Activation]]),VaBenefits[[#This Row],[Assumed Contract Value ]]&gt;0),VaBenefits[[#This Row],[Withdrawal Taken  ]]/VaBenefits[[#This Row],[Assumed Contract Value ]],0)</f>
        <v>0</v>
      </c>
      <c r="K19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6" s="27" t="b">
        <f ca="1">AND(VaBenefits[[#This Row],[Is Activation]],SUMIFS($E$8:$E196,$C$8:$C196,TRUE)&gt;0)</f>
        <v>0</v>
      </c>
      <c r="M19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6" s="32" t="b">
        <f>IF(VaBenefits[[#This Row],[timeFromValuation]]=0,0, MOD(VaBenefits[[#This Row],[timeFromValuation]],1)=0)</f>
        <v>1</v>
      </c>
      <c r="O196" s="7">
        <f>IF(VaBenefits[[#This Row],[Is Anniversary?]]=TRUE,VaBenefits[[#This Row],[Assumed Contract Value ]],0)</f>
        <v>0</v>
      </c>
      <c r="P19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6" s="7" t="b">
        <f>VaBenefits[[#This Row],[Assumed Contract Value ]]&lt;0.1</f>
        <v>1</v>
      </c>
      <c r="R19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6" s="7">
        <f ca="1">IF(AND(VaBenefits[[#This Row],[Is Activation]]=FALSE,VaBenefits[[#This Row],[Is Anniversary?]]=TRUE),OFFSET( VaBenefits[[#This Row],[Income Credit Base]],-1,0)*ICP,0)</f>
        <v>0</v>
      </c>
      <c r="T196" s="5">
        <f>IF(VaBenefits[[#This Row],[Assumed Contract Value ]]&gt;0,VaBenefits[[#This Row],[Income Base]]*MAWA,0)</f>
        <v>0</v>
      </c>
      <c r="U196" s="95">
        <v>6</v>
      </c>
      <c r="V196" s="92">
        <f>1/(1+InterestRate)^VaBenefits[[#This Row],[timeFromValuation]]</f>
        <v>0.10094921443640208</v>
      </c>
      <c r="W196" s="93">
        <f>VaBenefits[[#This Row],[timeFromValuation]]</f>
        <v>47</v>
      </c>
      <c r="X196" s="91">
        <f>IF(($G$8+VaBenefits[[#This Row],[timeFromValuation]])&lt;=120,VLOOKUP(G196,Table2[],Qx!L$6,FALSE),0)</f>
        <v>0.726993</v>
      </c>
      <c r="Y196" s="91">
        <f>IF(($H$8+VaBenefits[[#This Row],[timeFromValuation]])&lt;=120,VLOOKUP(H196,Table2[],Qx!M$6,FALSE),0)</f>
        <v>0.6</v>
      </c>
      <c r="Z196" s="91">
        <v>0</v>
      </c>
      <c r="AA196" s="91">
        <v>0</v>
      </c>
      <c r="AB196" s="91">
        <v>0</v>
      </c>
      <c r="AC196" s="91">
        <v>0</v>
      </c>
      <c r="AD196" s="100">
        <f>PV(1.03,20,-VaBenefits[[#This Row],[Protected Income Payment]])</f>
        <v>5.8252385937380469</v>
      </c>
      <c r="AE196" s="130">
        <f>IF((AND(VaBenefits[[#This Row],[Is Anniversary?]],VaBenefits[[#This Row],[Assumed Contract Value ]]&lt;75000)),-50,0)</f>
        <v>-50</v>
      </c>
      <c r="AF196" s="134">
        <f>VaBenefits[[#This Row],[Assumed Contract Value ]]*-1.15%/4</f>
        <v>0</v>
      </c>
      <c r="AG196" s="129">
        <v>0</v>
      </c>
      <c r="AH196" s="6">
        <f>VaBenefits[[#This Row],[Maintenace Fee]]+VaBenefits[[#This Row],[Separate Account Charge]]+VaBenefits[[#This Row],[Rider Fee]]</f>
        <v>-50</v>
      </c>
      <c r="AR196" s="23">
        <f t="shared" si="21"/>
        <v>94</v>
      </c>
      <c r="AS196" s="24">
        <v>0</v>
      </c>
      <c r="AT196" s="24">
        <v>0</v>
      </c>
      <c r="AU196" s="22">
        <v>0</v>
      </c>
      <c r="AV196" s="16">
        <v>0</v>
      </c>
      <c r="AW196" s="14">
        <v>299982</v>
      </c>
      <c r="AX196" s="15">
        <v>0</v>
      </c>
      <c r="AY196" s="15">
        <v>0</v>
      </c>
      <c r="AZ196" s="14">
        <v>0</v>
      </c>
      <c r="BA196" s="17">
        <v>11999</v>
      </c>
    </row>
    <row r="197" spans="1:53" ht="15" thickBot="1" x14ac:dyDescent="0.35">
      <c r="A197" s="32">
        <f t="shared" si="19"/>
        <v>189</v>
      </c>
      <c r="B197" s="29">
        <f t="shared" si="22"/>
        <v>47.25</v>
      </c>
      <c r="C197" s="29" t="b">
        <f>AND(VaBenefits[[#This Row],[timeFromValuation]]&gt;=ACT,VaBenefits[[#This Row],[Assumed Contract Value ]]&gt;0)</f>
        <v>0</v>
      </c>
      <c r="D197" s="20">
        <v>0</v>
      </c>
      <c r="E197" s="20">
        <v>0</v>
      </c>
      <c r="F197" s="20">
        <v>0</v>
      </c>
      <c r="G197" s="96">
        <f>ROUND($G$8+VaBenefits[[#This Row],[timeFromValuation]],0)</f>
        <v>102</v>
      </c>
      <c r="H197" s="20">
        <f>ROUND($H$8+VaBenefits[[#This Row],[timeFromValuation]],0)</f>
        <v>112</v>
      </c>
      <c r="I197" s="27" t="b">
        <f>VaBenefits[[#This Row],[Withdrawal Taken  ]]&gt;0</f>
        <v>0</v>
      </c>
      <c r="J197" s="41">
        <f>IF(AND(NOT(VaBenefits[[#This Row],[Is Activation]]),VaBenefits[[#This Row],[Assumed Contract Value ]]&gt;0),VaBenefits[[#This Row],[Withdrawal Taken  ]]/VaBenefits[[#This Row],[Assumed Contract Value ]],0)</f>
        <v>0</v>
      </c>
      <c r="K19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7" s="27" t="b">
        <f ca="1">AND(VaBenefits[[#This Row],[Is Activation]],SUMIFS($E$8:$E197,$C$8:$C197,TRUE)&gt;0)</f>
        <v>0</v>
      </c>
      <c r="M19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7" s="32" t="b">
        <f>IF(VaBenefits[[#This Row],[timeFromValuation]]=0,0, MOD(VaBenefits[[#This Row],[timeFromValuation]],1)=0)</f>
        <v>0</v>
      </c>
      <c r="O197" s="7">
        <f>IF(VaBenefits[[#This Row],[Is Anniversary?]]=TRUE,VaBenefits[[#This Row],[Assumed Contract Value ]],0)</f>
        <v>0</v>
      </c>
      <c r="P19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7" s="7" t="b">
        <f>VaBenefits[[#This Row],[Assumed Contract Value ]]&lt;0.1</f>
        <v>1</v>
      </c>
      <c r="R19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7" s="7">
        <f ca="1">IF(AND(VaBenefits[[#This Row],[Is Activation]]=FALSE,VaBenefits[[#This Row],[Is Anniversary?]]=TRUE),OFFSET( VaBenefits[[#This Row],[Income Credit Base]],-1,0)*ICP,0)</f>
        <v>0</v>
      </c>
      <c r="T197" s="5">
        <f>IF(VaBenefits[[#This Row],[Assumed Contract Value ]]&gt;0,VaBenefits[[#This Row],[Income Base]]*MAWA,0)</f>
        <v>0</v>
      </c>
      <c r="U197" s="95">
        <v>7</v>
      </c>
      <c r="V197" s="92">
        <f>1/(1+InterestRate)^VaBenefits[[#This Row],[timeFromValuation]]</f>
        <v>9.9725361422504308E-2</v>
      </c>
      <c r="W197" s="93">
        <f>VaBenefits[[#This Row],[timeFromValuation]]</f>
        <v>47.25</v>
      </c>
      <c r="X197" s="91">
        <f>IF(($G$8+VaBenefits[[#This Row],[timeFromValuation]])&lt;=120,VLOOKUP(G197,Table2[],Qx!L$6,FALSE),0)</f>
        <v>0.726993</v>
      </c>
      <c r="Y197" s="91">
        <f>IF(($H$8+VaBenefits[[#This Row],[timeFromValuation]])&lt;=120,VLOOKUP(H197,Table2[],Qx!M$6,FALSE),0)</f>
        <v>0.6</v>
      </c>
      <c r="Z197" s="91">
        <v>0</v>
      </c>
      <c r="AA197" s="91">
        <v>0</v>
      </c>
      <c r="AB197" s="91">
        <v>0</v>
      </c>
      <c r="AC197" s="91">
        <v>0</v>
      </c>
      <c r="AD197" s="100">
        <f>PV(1.03,20,-VaBenefits[[#This Row],[Protected Income Payment]])</f>
        <v>6.7961116926943888</v>
      </c>
      <c r="AE197" s="130">
        <f>IF((AND(VaBenefits[[#This Row],[Is Anniversary?]],VaBenefits[[#This Row],[Assumed Contract Value ]]&lt;75000)),-50,0)</f>
        <v>0</v>
      </c>
      <c r="AF197" s="134">
        <f>VaBenefits[[#This Row],[Assumed Contract Value ]]*-1.15%/4</f>
        <v>0</v>
      </c>
      <c r="AG197" s="129">
        <v>0</v>
      </c>
      <c r="AH197" s="6">
        <f>VaBenefits[[#This Row],[Maintenace Fee]]+VaBenefits[[#This Row],[Separate Account Charge]]+VaBenefits[[#This Row],[Rider Fee]]</f>
        <v>0</v>
      </c>
      <c r="AR197" s="23">
        <f t="shared" si="21"/>
        <v>94.5</v>
      </c>
      <c r="AS197" s="24">
        <v>0</v>
      </c>
      <c r="AT197" s="24">
        <v>0</v>
      </c>
      <c r="AU197" s="22">
        <v>0</v>
      </c>
      <c r="AV197" s="16">
        <v>0</v>
      </c>
      <c r="AW197" s="14">
        <v>299982</v>
      </c>
      <c r="AX197" s="15">
        <v>0</v>
      </c>
      <c r="AY197" s="15">
        <v>0</v>
      </c>
      <c r="AZ197" s="14">
        <v>0</v>
      </c>
      <c r="BA197" s="17">
        <v>11999</v>
      </c>
    </row>
    <row r="198" spans="1:53" ht="15" thickBot="1" x14ac:dyDescent="0.35">
      <c r="A198" s="32">
        <f t="shared" si="19"/>
        <v>190</v>
      </c>
      <c r="B198" s="29">
        <f t="shared" si="22"/>
        <v>47.5</v>
      </c>
      <c r="C198" s="29" t="b">
        <f>AND(VaBenefits[[#This Row],[timeFromValuation]]&gt;=ACT,VaBenefits[[#This Row],[Assumed Contract Value ]]&gt;0)</f>
        <v>0</v>
      </c>
      <c r="D198" s="20">
        <v>0</v>
      </c>
      <c r="E198" s="20">
        <v>0</v>
      </c>
      <c r="F198" s="20">
        <v>0</v>
      </c>
      <c r="G198" s="96">
        <f>ROUND($G$8+VaBenefits[[#This Row],[timeFromValuation]],0)</f>
        <v>103</v>
      </c>
      <c r="H198" s="20">
        <f>ROUND($H$8+VaBenefits[[#This Row],[timeFromValuation]],0)</f>
        <v>113</v>
      </c>
      <c r="I198" s="27" t="b">
        <f>VaBenefits[[#This Row],[Withdrawal Taken  ]]&gt;0</f>
        <v>0</v>
      </c>
      <c r="J198" s="41">
        <f>IF(AND(NOT(VaBenefits[[#This Row],[Is Activation]]),VaBenefits[[#This Row],[Assumed Contract Value ]]&gt;0),VaBenefits[[#This Row],[Withdrawal Taken  ]]/VaBenefits[[#This Row],[Assumed Contract Value ]],0)</f>
        <v>0</v>
      </c>
      <c r="K19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8" s="27" t="b">
        <f ca="1">AND(VaBenefits[[#This Row],[Is Activation]],SUMIFS($E$8:$E198,$C$8:$C198,TRUE)&gt;0)</f>
        <v>0</v>
      </c>
      <c r="M19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8" s="32" t="b">
        <f>IF(VaBenefits[[#This Row],[timeFromValuation]]=0,0, MOD(VaBenefits[[#This Row],[timeFromValuation]],1)=0)</f>
        <v>0</v>
      </c>
      <c r="O198" s="7">
        <f>IF(VaBenefits[[#This Row],[Is Anniversary?]]=TRUE,VaBenefits[[#This Row],[Assumed Contract Value ]],0)</f>
        <v>0</v>
      </c>
      <c r="P19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8" s="7" t="b">
        <f>VaBenefits[[#This Row],[Assumed Contract Value ]]&lt;0.1</f>
        <v>1</v>
      </c>
      <c r="R19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8" s="7">
        <f ca="1">IF(AND(VaBenefits[[#This Row],[Is Activation]]=FALSE,VaBenefits[[#This Row],[Is Anniversary?]]=TRUE),OFFSET( VaBenefits[[#This Row],[Income Credit Base]],-1,0)*ICP,0)</f>
        <v>0</v>
      </c>
      <c r="T198" s="5">
        <f>IF(VaBenefits[[#This Row],[Assumed Contract Value ]]&gt;0,VaBenefits[[#This Row],[Income Base]]*MAWA,0)</f>
        <v>0</v>
      </c>
      <c r="U198" s="95">
        <v>8</v>
      </c>
      <c r="V198" s="92">
        <f>1/(1+InterestRate)^VaBenefits[[#This Row],[timeFromValuation]]</f>
        <v>9.8516345732581778E-2</v>
      </c>
      <c r="W198" s="93">
        <f>VaBenefits[[#This Row],[timeFromValuation]]</f>
        <v>47.5</v>
      </c>
      <c r="X198" s="91">
        <f>IF(($G$8+VaBenefits[[#This Row],[timeFromValuation]])&lt;=120,VLOOKUP(G198,Table2[],Qx!L$6,FALSE),0)</f>
        <v>0.70491400000000004</v>
      </c>
      <c r="Y198" s="91">
        <f>IF(($H$8+VaBenefits[[#This Row],[timeFromValuation]])&lt;=120,VLOOKUP(H198,Table2[],Qx!M$6,FALSE),0)</f>
        <v>0.6</v>
      </c>
      <c r="Z198" s="91">
        <v>0</v>
      </c>
      <c r="AA198" s="91">
        <v>0</v>
      </c>
      <c r="AB198" s="91">
        <v>0</v>
      </c>
      <c r="AC198" s="91">
        <v>0</v>
      </c>
      <c r="AD198" s="100">
        <f>PV(1.03,20,-VaBenefits[[#This Row],[Protected Income Payment]])</f>
        <v>7.7669847916507297</v>
      </c>
      <c r="AE198" s="130">
        <f>IF((AND(VaBenefits[[#This Row],[Is Anniversary?]],VaBenefits[[#This Row],[Assumed Contract Value ]]&lt;75000)),-50,0)</f>
        <v>0</v>
      </c>
      <c r="AF198" s="134">
        <f>VaBenefits[[#This Row],[Assumed Contract Value ]]*-1.15%/4</f>
        <v>0</v>
      </c>
      <c r="AG198" s="129">
        <v>0</v>
      </c>
      <c r="AH198" s="6">
        <f>VaBenefits[[#This Row],[Maintenace Fee]]+VaBenefits[[#This Row],[Separate Account Charge]]+VaBenefits[[#This Row],[Rider Fee]]</f>
        <v>0</v>
      </c>
      <c r="AR198" s="23">
        <f t="shared" si="21"/>
        <v>95</v>
      </c>
      <c r="AS198" s="24">
        <v>0</v>
      </c>
      <c r="AT198" s="24">
        <v>0</v>
      </c>
      <c r="AU198" s="22">
        <v>0</v>
      </c>
      <c r="AV198" s="16">
        <v>0</v>
      </c>
      <c r="AW198" s="14">
        <v>299982</v>
      </c>
      <c r="AX198" s="15">
        <v>0</v>
      </c>
      <c r="AY198" s="15">
        <v>0</v>
      </c>
      <c r="AZ198" s="14">
        <v>0</v>
      </c>
      <c r="BA198" s="17">
        <v>11999</v>
      </c>
    </row>
    <row r="199" spans="1:53" ht="15" thickBot="1" x14ac:dyDescent="0.35">
      <c r="A199" s="32">
        <f t="shared" si="19"/>
        <v>191</v>
      </c>
      <c r="B199" s="29">
        <f t="shared" si="22"/>
        <v>47.75</v>
      </c>
      <c r="C199" s="29" t="b">
        <f>AND(VaBenefits[[#This Row],[timeFromValuation]]&gt;=ACT,VaBenefits[[#This Row],[Assumed Contract Value ]]&gt;0)</f>
        <v>0</v>
      </c>
      <c r="D199" s="20">
        <v>0</v>
      </c>
      <c r="E199" s="20">
        <v>0</v>
      </c>
      <c r="F199" s="20">
        <v>0</v>
      </c>
      <c r="G199" s="96">
        <f>ROUND($G$8+VaBenefits[[#This Row],[timeFromValuation]],0)</f>
        <v>103</v>
      </c>
      <c r="H199" s="20">
        <f>ROUND($H$8+VaBenefits[[#This Row],[timeFromValuation]],0)</f>
        <v>113</v>
      </c>
      <c r="I199" s="27" t="b">
        <f>VaBenefits[[#This Row],[Withdrawal Taken  ]]&gt;0</f>
        <v>0</v>
      </c>
      <c r="J199" s="41">
        <f>IF(AND(NOT(VaBenefits[[#This Row],[Is Activation]]),VaBenefits[[#This Row],[Assumed Contract Value ]]&gt;0),VaBenefits[[#This Row],[Withdrawal Taken  ]]/VaBenefits[[#This Row],[Assumed Contract Value ]],0)</f>
        <v>0</v>
      </c>
      <c r="K19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9" s="27" t="b">
        <f ca="1">AND(VaBenefits[[#This Row],[Is Activation]],SUMIFS($E$8:$E199,$C$8:$C199,TRUE)&gt;0)</f>
        <v>0</v>
      </c>
      <c r="M19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9" s="32" t="b">
        <f>IF(VaBenefits[[#This Row],[timeFromValuation]]=0,0, MOD(VaBenefits[[#This Row],[timeFromValuation]],1)=0)</f>
        <v>0</v>
      </c>
      <c r="O199" s="7">
        <f>IF(VaBenefits[[#This Row],[Is Anniversary?]]=TRUE,VaBenefits[[#This Row],[Assumed Contract Value ]],0)</f>
        <v>0</v>
      </c>
      <c r="P19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9" s="7" t="b">
        <f>VaBenefits[[#This Row],[Assumed Contract Value ]]&lt;0.1</f>
        <v>1</v>
      </c>
      <c r="R19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9" s="7">
        <f ca="1">IF(AND(VaBenefits[[#This Row],[Is Activation]]=FALSE,VaBenefits[[#This Row],[Is Anniversary?]]=TRUE),OFFSET( VaBenefits[[#This Row],[Income Credit Base]],-1,0)*ICP,0)</f>
        <v>0</v>
      </c>
      <c r="T199" s="5">
        <f>IF(VaBenefits[[#This Row],[Assumed Contract Value ]]&gt;0,VaBenefits[[#This Row],[Income Base]]*MAWA,0)</f>
        <v>0</v>
      </c>
      <c r="U199" s="95">
        <v>9</v>
      </c>
      <c r="V199" s="92">
        <f>1/(1+InterestRate)^VaBenefits[[#This Row],[timeFromValuation]]</f>
        <v>9.7321987487040781E-2</v>
      </c>
      <c r="W199" s="93">
        <f>VaBenefits[[#This Row],[timeFromValuation]]</f>
        <v>47.75</v>
      </c>
      <c r="X199" s="91">
        <f>IF(($G$8+VaBenefits[[#This Row],[timeFromValuation]])&lt;=120,VLOOKUP(G199,Table2[],Qx!L$6,FALSE),0)</f>
        <v>0.70491400000000004</v>
      </c>
      <c r="Y199" s="91">
        <f>IF(($H$8+VaBenefits[[#This Row],[timeFromValuation]])&lt;=120,VLOOKUP(H199,Table2[],Qx!M$6,FALSE),0)</f>
        <v>0.6</v>
      </c>
      <c r="Z199" s="91">
        <v>0</v>
      </c>
      <c r="AA199" s="91">
        <v>0</v>
      </c>
      <c r="AB199" s="91">
        <v>0</v>
      </c>
      <c r="AC199" s="91">
        <v>0</v>
      </c>
      <c r="AD199" s="100">
        <f>PV(1.03,20,-VaBenefits[[#This Row],[Protected Income Payment]])</f>
        <v>8.7378578906070707</v>
      </c>
      <c r="AE199" s="130">
        <f>IF((AND(VaBenefits[[#This Row],[Is Anniversary?]],VaBenefits[[#This Row],[Assumed Contract Value ]]&lt;75000)),-50,0)</f>
        <v>0</v>
      </c>
      <c r="AF199" s="134">
        <f>VaBenefits[[#This Row],[Assumed Contract Value ]]*-1.15%/4</f>
        <v>0</v>
      </c>
      <c r="AG199" s="129">
        <v>0</v>
      </c>
      <c r="AH199" s="6">
        <f>VaBenefits[[#This Row],[Maintenace Fee]]+VaBenefits[[#This Row],[Separate Account Charge]]+VaBenefits[[#This Row],[Rider Fee]]</f>
        <v>0</v>
      </c>
      <c r="AR199" s="23">
        <f t="shared" si="21"/>
        <v>95.5</v>
      </c>
      <c r="AS199" s="24">
        <v>0</v>
      </c>
      <c r="AT199" s="24">
        <v>0</v>
      </c>
      <c r="AU199" s="22">
        <v>0</v>
      </c>
      <c r="AV199" s="16">
        <v>0</v>
      </c>
      <c r="AW199" s="14">
        <v>299982</v>
      </c>
      <c r="AX199" s="15">
        <v>0</v>
      </c>
      <c r="AY199" s="15">
        <v>0</v>
      </c>
      <c r="AZ199" s="14">
        <v>0</v>
      </c>
      <c r="BA199" s="17">
        <v>11999</v>
      </c>
    </row>
    <row r="200" spans="1:53" ht="15" thickBot="1" x14ac:dyDescent="0.35">
      <c r="A200" s="32">
        <f t="shared" si="19"/>
        <v>192</v>
      </c>
      <c r="B200" s="29">
        <f t="shared" si="22"/>
        <v>48</v>
      </c>
      <c r="C200" s="29" t="b">
        <f>AND(VaBenefits[[#This Row],[timeFromValuation]]&gt;=ACT,VaBenefits[[#This Row],[Assumed Contract Value ]]&gt;0)</f>
        <v>0</v>
      </c>
      <c r="D200" s="20">
        <v>0</v>
      </c>
      <c r="E200" s="20">
        <v>0</v>
      </c>
      <c r="F200" s="20">
        <v>0</v>
      </c>
      <c r="G200" s="96">
        <f>ROUND($G$8+VaBenefits[[#This Row],[timeFromValuation]],0)</f>
        <v>103</v>
      </c>
      <c r="H200" s="20">
        <f>ROUND($H$8+VaBenefits[[#This Row],[timeFromValuation]],0)</f>
        <v>113</v>
      </c>
      <c r="I200" s="27" t="b">
        <f>VaBenefits[[#This Row],[Withdrawal Taken  ]]&gt;0</f>
        <v>0</v>
      </c>
      <c r="J200" s="41">
        <f>IF(AND(NOT(VaBenefits[[#This Row],[Is Activation]]),VaBenefits[[#This Row],[Assumed Contract Value ]]&gt;0),VaBenefits[[#This Row],[Withdrawal Taken  ]]/VaBenefits[[#This Row],[Assumed Contract Value ]],0)</f>
        <v>0</v>
      </c>
      <c r="K20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0" s="27" t="b">
        <f ca="1">AND(VaBenefits[[#This Row],[Is Activation]],SUMIFS($E$8:$E200,$C$8:$C200,TRUE)&gt;0)</f>
        <v>0</v>
      </c>
      <c r="M20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0" s="32" t="b">
        <f>IF(VaBenefits[[#This Row],[timeFromValuation]]=0,0, MOD(VaBenefits[[#This Row],[timeFromValuation]],1)=0)</f>
        <v>1</v>
      </c>
      <c r="O200" s="7">
        <f>IF(VaBenefits[[#This Row],[Is Anniversary?]]=TRUE,VaBenefits[[#This Row],[Assumed Contract Value ]],0)</f>
        <v>0</v>
      </c>
      <c r="P20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0" s="7" t="b">
        <f>VaBenefits[[#This Row],[Assumed Contract Value ]]&lt;0.1</f>
        <v>1</v>
      </c>
      <c r="R20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0" s="7">
        <f ca="1">IF(AND(VaBenefits[[#This Row],[Is Activation]]=FALSE,VaBenefits[[#This Row],[Is Anniversary?]]=TRUE),OFFSET( VaBenefits[[#This Row],[Income Credit Base]],-1,0)*ICP,0)</f>
        <v>0</v>
      </c>
      <c r="T200" s="5">
        <f>IF(VaBenefits[[#This Row],[Assumed Contract Value ]]&gt;0,VaBenefits[[#This Row],[Income Base]]*MAWA,0)</f>
        <v>0</v>
      </c>
      <c r="U200" s="95">
        <v>10</v>
      </c>
      <c r="V200" s="92">
        <f>1/(1+InterestRate)^VaBenefits[[#This Row],[timeFromValuation]]</f>
        <v>9.6142108987049613E-2</v>
      </c>
      <c r="W200" s="93">
        <f>VaBenefits[[#This Row],[timeFromValuation]]</f>
        <v>48</v>
      </c>
      <c r="X200" s="91">
        <f>IF(($G$8+VaBenefits[[#This Row],[timeFromValuation]])&lt;=120,VLOOKUP(G200,Table2[],Qx!L$6,FALSE),0)</f>
        <v>0.70491400000000004</v>
      </c>
      <c r="Y200" s="91">
        <f>IF(($H$8+VaBenefits[[#This Row],[timeFromValuation]])&lt;=120,VLOOKUP(H200,Table2[],Qx!M$6,FALSE),0)</f>
        <v>0.6</v>
      </c>
      <c r="Z200" s="91">
        <v>0</v>
      </c>
      <c r="AA200" s="91">
        <v>0</v>
      </c>
      <c r="AB200" s="91">
        <v>0</v>
      </c>
      <c r="AC200" s="91">
        <v>0</v>
      </c>
      <c r="AD200" s="100">
        <f>PV(1.03,20,-VaBenefits[[#This Row],[Protected Income Payment]])</f>
        <v>9.7087309895634117</v>
      </c>
      <c r="AE200" s="130">
        <f>IF((AND(VaBenefits[[#This Row],[Is Anniversary?]],VaBenefits[[#This Row],[Assumed Contract Value ]]&lt;75000)),-50,0)</f>
        <v>-50</v>
      </c>
      <c r="AF200" s="134">
        <f>VaBenefits[[#This Row],[Assumed Contract Value ]]*-1.15%/4</f>
        <v>0</v>
      </c>
      <c r="AG200" s="129">
        <v>0</v>
      </c>
      <c r="AH200" s="6">
        <f>VaBenefits[[#This Row],[Maintenace Fee]]+VaBenefits[[#This Row],[Separate Account Charge]]+VaBenefits[[#This Row],[Rider Fee]]</f>
        <v>-50</v>
      </c>
      <c r="AR200" s="23">
        <f t="shared" si="21"/>
        <v>96</v>
      </c>
      <c r="AS200" s="24">
        <v>0</v>
      </c>
      <c r="AT200" s="24">
        <v>0</v>
      </c>
      <c r="AU200" s="22">
        <v>0</v>
      </c>
      <c r="AV200" s="16">
        <v>0</v>
      </c>
      <c r="AW200" s="14">
        <v>299982</v>
      </c>
      <c r="AX200" s="15">
        <v>0</v>
      </c>
      <c r="AY200" s="15">
        <v>0</v>
      </c>
      <c r="AZ200" s="14">
        <v>0</v>
      </c>
      <c r="BA200" s="17">
        <v>11999</v>
      </c>
    </row>
    <row r="201" spans="1:53" ht="15" thickBot="1" x14ac:dyDescent="0.35">
      <c r="A201" s="32">
        <f t="shared" si="19"/>
        <v>193</v>
      </c>
      <c r="B201" s="29">
        <f t="shared" si="22"/>
        <v>48.25</v>
      </c>
      <c r="C201" s="29" t="b">
        <f>AND(VaBenefits[[#This Row],[timeFromValuation]]&gt;=ACT,VaBenefits[[#This Row],[Assumed Contract Value ]]&gt;0)</f>
        <v>0</v>
      </c>
      <c r="D201" s="20">
        <v>0</v>
      </c>
      <c r="E201" s="20">
        <v>0</v>
      </c>
      <c r="F201" s="20">
        <v>0</v>
      </c>
      <c r="G201" s="96">
        <f>ROUND($G$8+VaBenefits[[#This Row],[timeFromValuation]],0)</f>
        <v>103</v>
      </c>
      <c r="H201" s="20">
        <f>ROUND($H$8+VaBenefits[[#This Row],[timeFromValuation]],0)</f>
        <v>113</v>
      </c>
      <c r="I201" s="27" t="b">
        <f>VaBenefits[[#This Row],[Withdrawal Taken  ]]&gt;0</f>
        <v>0</v>
      </c>
      <c r="J201" s="41">
        <f>IF(AND(NOT(VaBenefits[[#This Row],[Is Activation]]),VaBenefits[[#This Row],[Assumed Contract Value ]]&gt;0),VaBenefits[[#This Row],[Withdrawal Taken  ]]/VaBenefits[[#This Row],[Assumed Contract Value ]],0)</f>
        <v>0</v>
      </c>
      <c r="K20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1" s="27" t="b">
        <f ca="1">AND(VaBenefits[[#This Row],[Is Activation]],SUMIFS($E$8:$E201,$C$8:$C201,TRUE)&gt;0)</f>
        <v>0</v>
      </c>
      <c r="M20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1" s="32" t="b">
        <f>IF(VaBenefits[[#This Row],[timeFromValuation]]=0,0, MOD(VaBenefits[[#This Row],[timeFromValuation]],1)=0)</f>
        <v>0</v>
      </c>
      <c r="O201" s="7">
        <f>IF(VaBenefits[[#This Row],[Is Anniversary?]]=TRUE,VaBenefits[[#This Row],[Assumed Contract Value ]],0)</f>
        <v>0</v>
      </c>
      <c r="P20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1" s="7" t="b">
        <f>VaBenefits[[#This Row],[Assumed Contract Value ]]&lt;0.1</f>
        <v>1</v>
      </c>
      <c r="R20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1" s="7">
        <f ca="1">IF(AND(VaBenefits[[#This Row],[Is Activation]]=FALSE,VaBenefits[[#This Row],[Is Anniversary?]]=TRUE),OFFSET( VaBenefits[[#This Row],[Income Credit Base]],-1,0)*ICP,0)</f>
        <v>0</v>
      </c>
      <c r="T201" s="5">
        <f>IF(VaBenefits[[#This Row],[Assumed Contract Value ]]&gt;0,VaBenefits[[#This Row],[Income Base]]*MAWA,0)</f>
        <v>0</v>
      </c>
      <c r="U201" s="95">
        <v>11</v>
      </c>
      <c r="V201" s="92">
        <f>1/(1+InterestRate)^VaBenefits[[#This Row],[timeFromValuation]]</f>
        <v>9.4976534688099315E-2</v>
      </c>
      <c r="W201" s="93">
        <f>VaBenefits[[#This Row],[timeFromValuation]]</f>
        <v>48.25</v>
      </c>
      <c r="X201" s="91">
        <f>IF(($G$8+VaBenefits[[#This Row],[timeFromValuation]])&lt;=120,VLOOKUP(G201,Table2[],Qx!L$6,FALSE),0)</f>
        <v>0.70491400000000004</v>
      </c>
      <c r="Y201" s="91">
        <f>IF(($H$8+VaBenefits[[#This Row],[timeFromValuation]])&lt;=120,VLOOKUP(H201,Table2[],Qx!M$6,FALSE),0)</f>
        <v>0.6</v>
      </c>
      <c r="Z201" s="91">
        <v>0</v>
      </c>
      <c r="AA201" s="91">
        <v>0</v>
      </c>
      <c r="AB201" s="91">
        <v>0</v>
      </c>
      <c r="AC201" s="91">
        <v>0</v>
      </c>
      <c r="AD201" s="100">
        <f>PV(1.03,20,-VaBenefits[[#This Row],[Protected Income Payment]])</f>
        <v>10.679604088519753</v>
      </c>
      <c r="AE201" s="130">
        <f>IF((AND(VaBenefits[[#This Row],[Is Anniversary?]],VaBenefits[[#This Row],[Assumed Contract Value ]]&lt;75000)),-50,0)</f>
        <v>0</v>
      </c>
      <c r="AF201" s="134">
        <f>VaBenefits[[#This Row],[Assumed Contract Value ]]*-1.15%/4</f>
        <v>0</v>
      </c>
      <c r="AG201" s="129">
        <v>0</v>
      </c>
      <c r="AH201" s="6">
        <f>VaBenefits[[#This Row],[Maintenace Fee]]+VaBenefits[[#This Row],[Separate Account Charge]]+VaBenefits[[#This Row],[Rider Fee]]</f>
        <v>0</v>
      </c>
      <c r="AR201" s="23">
        <f t="shared" si="21"/>
        <v>96.5</v>
      </c>
      <c r="AS201" s="24">
        <v>0</v>
      </c>
      <c r="AT201" s="24">
        <v>0</v>
      </c>
      <c r="AU201" s="22">
        <v>0</v>
      </c>
      <c r="AV201" s="16">
        <v>0</v>
      </c>
      <c r="AW201" s="14">
        <v>299982</v>
      </c>
      <c r="AX201" s="15">
        <v>0</v>
      </c>
      <c r="AY201" s="15">
        <v>0</v>
      </c>
      <c r="AZ201" s="14">
        <v>0</v>
      </c>
      <c r="BA201" s="17">
        <v>11999</v>
      </c>
    </row>
    <row r="202" spans="1:53" ht="15" thickBot="1" x14ac:dyDescent="0.35">
      <c r="A202" s="32">
        <f t="shared" ref="A202:A265" si="23">A201+1</f>
        <v>194</v>
      </c>
      <c r="B202" s="29">
        <f t="shared" si="22"/>
        <v>48.5</v>
      </c>
      <c r="C202" s="29" t="b">
        <f>AND(VaBenefits[[#This Row],[timeFromValuation]]&gt;=ACT,VaBenefits[[#This Row],[Assumed Contract Value ]]&gt;0)</f>
        <v>0</v>
      </c>
      <c r="D202" s="20">
        <v>0</v>
      </c>
      <c r="E202" s="20">
        <v>0</v>
      </c>
      <c r="F202" s="20">
        <v>0</v>
      </c>
      <c r="G202" s="96">
        <f>ROUND($G$8+VaBenefits[[#This Row],[timeFromValuation]],0)</f>
        <v>104</v>
      </c>
      <c r="H202" s="20">
        <f>ROUND($H$8+VaBenefits[[#This Row],[timeFromValuation]],0)</f>
        <v>114</v>
      </c>
      <c r="I202" s="27" t="b">
        <f>VaBenefits[[#This Row],[Withdrawal Taken  ]]&gt;0</f>
        <v>0</v>
      </c>
      <c r="J202" s="41">
        <f>IF(AND(NOT(VaBenefits[[#This Row],[Is Activation]]),VaBenefits[[#This Row],[Assumed Contract Value ]]&gt;0),VaBenefits[[#This Row],[Withdrawal Taken  ]]/VaBenefits[[#This Row],[Assumed Contract Value ]],0)</f>
        <v>0</v>
      </c>
      <c r="K20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2" s="27" t="b">
        <f ca="1">AND(VaBenefits[[#This Row],[Is Activation]],SUMIFS($E$8:$E202,$C$8:$C202,TRUE)&gt;0)</f>
        <v>0</v>
      </c>
      <c r="M20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2" s="32" t="b">
        <f>IF(VaBenefits[[#This Row],[timeFromValuation]]=0,0, MOD(VaBenefits[[#This Row],[timeFromValuation]],1)=0)</f>
        <v>0</v>
      </c>
      <c r="O202" s="7">
        <f>IF(VaBenefits[[#This Row],[Is Anniversary?]]=TRUE,VaBenefits[[#This Row],[Assumed Contract Value ]],0)</f>
        <v>0</v>
      </c>
      <c r="P20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2" s="7" t="b">
        <f>VaBenefits[[#This Row],[Assumed Contract Value ]]&lt;0.1</f>
        <v>1</v>
      </c>
      <c r="R20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2" s="7">
        <f ca="1">IF(AND(VaBenefits[[#This Row],[Is Activation]]=FALSE,VaBenefits[[#This Row],[Is Anniversary?]]=TRUE),OFFSET( VaBenefits[[#This Row],[Income Credit Base]],-1,0)*ICP,0)</f>
        <v>0</v>
      </c>
      <c r="T202" s="5">
        <f>IF(VaBenefits[[#This Row],[Assumed Contract Value ]]&gt;0,VaBenefits[[#This Row],[Income Base]]*MAWA,0)</f>
        <v>0</v>
      </c>
      <c r="U202" s="95">
        <v>12</v>
      </c>
      <c r="V202" s="92">
        <f>1/(1+InterestRate)^VaBenefits[[#This Row],[timeFromValuation]]</f>
        <v>9.382509117388739E-2</v>
      </c>
      <c r="W202" s="93">
        <f>VaBenefits[[#This Row],[timeFromValuation]]</f>
        <v>48.5</v>
      </c>
      <c r="X202" s="91">
        <f>IF(($G$8+VaBenefits[[#This Row],[timeFromValuation]])&lt;=120,VLOOKUP(G202,Table2[],Qx!L$6,FALSE),0)</f>
        <v>0.68240900000000004</v>
      </c>
      <c r="Y202" s="91">
        <f>IF(($H$8+VaBenefits[[#This Row],[timeFromValuation]])&lt;=120,VLOOKUP(H202,Table2[],Qx!M$6,FALSE),0)</f>
        <v>0.6</v>
      </c>
      <c r="Z202" s="91">
        <v>0</v>
      </c>
      <c r="AA202" s="91">
        <v>0</v>
      </c>
      <c r="AB202" s="91">
        <v>0</v>
      </c>
      <c r="AC202" s="91">
        <v>0</v>
      </c>
      <c r="AD202" s="100">
        <f>PV(1.03,20,-VaBenefits[[#This Row],[Protected Income Payment]])</f>
        <v>11.650477187476094</v>
      </c>
      <c r="AE202" s="130">
        <f>IF((AND(VaBenefits[[#This Row],[Is Anniversary?]],VaBenefits[[#This Row],[Assumed Contract Value ]]&lt;75000)),-50,0)</f>
        <v>0</v>
      </c>
      <c r="AF202" s="134">
        <f>VaBenefits[[#This Row],[Assumed Contract Value ]]*-1.15%/4</f>
        <v>0</v>
      </c>
      <c r="AG202" s="129">
        <v>0</v>
      </c>
      <c r="AH202" s="6">
        <f>VaBenefits[[#This Row],[Maintenace Fee]]+VaBenefits[[#This Row],[Separate Account Charge]]+VaBenefits[[#This Row],[Rider Fee]]</f>
        <v>0</v>
      </c>
      <c r="AR202" s="23">
        <f t="shared" ref="AR202:AR265" si="24">AR201+0.5</f>
        <v>97</v>
      </c>
      <c r="AS202" s="24">
        <v>0</v>
      </c>
      <c r="AT202" s="24">
        <v>0</v>
      </c>
      <c r="AU202" s="22">
        <v>0</v>
      </c>
      <c r="AV202" s="16">
        <v>0</v>
      </c>
      <c r="AW202" s="14">
        <v>299982</v>
      </c>
      <c r="AX202" s="15">
        <v>0</v>
      </c>
      <c r="AY202" s="15">
        <v>0</v>
      </c>
      <c r="AZ202" s="14">
        <v>0</v>
      </c>
      <c r="BA202" s="17">
        <v>11999</v>
      </c>
    </row>
    <row r="203" spans="1:53" ht="15" thickBot="1" x14ac:dyDescent="0.35">
      <c r="A203" s="32">
        <f t="shared" si="23"/>
        <v>195</v>
      </c>
      <c r="B203" s="29">
        <f t="shared" si="22"/>
        <v>48.75</v>
      </c>
      <c r="C203" s="29" t="b">
        <f>AND(VaBenefits[[#This Row],[timeFromValuation]]&gt;=ACT,VaBenefits[[#This Row],[Assumed Contract Value ]]&gt;0)</f>
        <v>0</v>
      </c>
      <c r="D203" s="20">
        <v>0</v>
      </c>
      <c r="E203" s="20">
        <v>0</v>
      </c>
      <c r="F203" s="20">
        <v>0</v>
      </c>
      <c r="G203" s="96">
        <f>ROUND($G$8+VaBenefits[[#This Row],[timeFromValuation]],0)</f>
        <v>104</v>
      </c>
      <c r="H203" s="20">
        <f>ROUND($H$8+VaBenefits[[#This Row],[timeFromValuation]],0)</f>
        <v>114</v>
      </c>
      <c r="I203" s="27" t="b">
        <f>VaBenefits[[#This Row],[Withdrawal Taken  ]]&gt;0</f>
        <v>0</v>
      </c>
      <c r="J203" s="41">
        <f>IF(AND(NOT(VaBenefits[[#This Row],[Is Activation]]),VaBenefits[[#This Row],[Assumed Contract Value ]]&gt;0),VaBenefits[[#This Row],[Withdrawal Taken  ]]/VaBenefits[[#This Row],[Assumed Contract Value ]],0)</f>
        <v>0</v>
      </c>
      <c r="K20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3" s="27" t="b">
        <f ca="1">AND(VaBenefits[[#This Row],[Is Activation]],SUMIFS($E$8:$E203,$C$8:$C203,TRUE)&gt;0)</f>
        <v>0</v>
      </c>
      <c r="M20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3" s="32" t="b">
        <f>IF(VaBenefits[[#This Row],[timeFromValuation]]=0,0, MOD(VaBenefits[[#This Row],[timeFromValuation]],1)=0)</f>
        <v>0</v>
      </c>
      <c r="O203" s="7">
        <f>IF(VaBenefits[[#This Row],[Is Anniversary?]]=TRUE,VaBenefits[[#This Row],[Assumed Contract Value ]],0)</f>
        <v>0</v>
      </c>
      <c r="P20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3" s="7" t="b">
        <f>VaBenefits[[#This Row],[Assumed Contract Value ]]&lt;0.1</f>
        <v>1</v>
      </c>
      <c r="R20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3" s="7">
        <f ca="1">IF(AND(VaBenefits[[#This Row],[Is Activation]]=FALSE,VaBenefits[[#This Row],[Is Anniversary?]]=TRUE),OFFSET( VaBenefits[[#This Row],[Income Credit Base]],-1,0)*ICP,0)</f>
        <v>0</v>
      </c>
      <c r="T203" s="5">
        <f>IF(VaBenefits[[#This Row],[Assumed Contract Value ]]&gt;0,VaBenefits[[#This Row],[Income Base]]*MAWA,0)</f>
        <v>0</v>
      </c>
      <c r="U203" s="95">
        <v>13</v>
      </c>
      <c r="V203" s="92">
        <f>1/(1+InterestRate)^VaBenefits[[#This Row],[timeFromValuation]]</f>
        <v>9.2687607130515021E-2</v>
      </c>
      <c r="W203" s="93">
        <f>VaBenefits[[#This Row],[timeFromValuation]]</f>
        <v>48.75</v>
      </c>
      <c r="X203" s="91">
        <f>IF(($G$8+VaBenefits[[#This Row],[timeFromValuation]])&lt;=120,VLOOKUP(G203,Table2[],Qx!L$6,FALSE),0)</f>
        <v>0.68240900000000004</v>
      </c>
      <c r="Y203" s="91">
        <f>IF(($H$8+VaBenefits[[#This Row],[timeFromValuation]])&lt;=120,VLOOKUP(H203,Table2[],Qx!M$6,FALSE),0)</f>
        <v>0.6</v>
      </c>
      <c r="Z203" s="91">
        <v>0</v>
      </c>
      <c r="AA203" s="91">
        <v>0</v>
      </c>
      <c r="AB203" s="91">
        <v>0</v>
      </c>
      <c r="AC203" s="91">
        <v>0</v>
      </c>
      <c r="AD203" s="100">
        <f>PV(1.03,20,-VaBenefits[[#This Row],[Protected Income Payment]])</f>
        <v>12.621350286432437</v>
      </c>
      <c r="AE203" s="130">
        <f>IF((AND(VaBenefits[[#This Row],[Is Anniversary?]],VaBenefits[[#This Row],[Assumed Contract Value ]]&lt;75000)),-50,0)</f>
        <v>0</v>
      </c>
      <c r="AF203" s="134">
        <f>VaBenefits[[#This Row],[Assumed Contract Value ]]*-1.15%/4</f>
        <v>0</v>
      </c>
      <c r="AG203" s="129">
        <v>0</v>
      </c>
      <c r="AH203" s="6">
        <f>VaBenefits[[#This Row],[Maintenace Fee]]+VaBenefits[[#This Row],[Separate Account Charge]]+VaBenefits[[#This Row],[Rider Fee]]</f>
        <v>0</v>
      </c>
      <c r="AR203" s="23">
        <f t="shared" si="24"/>
        <v>97.5</v>
      </c>
      <c r="AS203" s="24">
        <v>0</v>
      </c>
      <c r="AT203" s="24">
        <v>0</v>
      </c>
      <c r="AU203" s="22">
        <v>0</v>
      </c>
      <c r="AV203" s="16">
        <v>0</v>
      </c>
      <c r="AW203" s="14">
        <v>299982</v>
      </c>
      <c r="AX203" s="15">
        <v>0</v>
      </c>
      <c r="AY203" s="15">
        <v>0</v>
      </c>
      <c r="AZ203" s="14">
        <v>0</v>
      </c>
      <c r="BA203" s="17">
        <v>11999</v>
      </c>
    </row>
    <row r="204" spans="1:53" ht="15" thickBot="1" x14ac:dyDescent="0.35">
      <c r="A204" s="32">
        <f t="shared" si="23"/>
        <v>196</v>
      </c>
      <c r="B204" s="29">
        <f t="shared" si="22"/>
        <v>49</v>
      </c>
      <c r="C204" s="29" t="b">
        <f>AND(VaBenefits[[#This Row],[timeFromValuation]]&gt;=ACT,VaBenefits[[#This Row],[Assumed Contract Value ]]&gt;0)</f>
        <v>0</v>
      </c>
      <c r="D204" s="20">
        <v>0</v>
      </c>
      <c r="E204" s="20">
        <v>0</v>
      </c>
      <c r="F204" s="20">
        <v>0</v>
      </c>
      <c r="G204" s="96">
        <f>ROUND($G$8+VaBenefits[[#This Row],[timeFromValuation]],0)</f>
        <v>104</v>
      </c>
      <c r="H204" s="20">
        <f>ROUND($H$8+VaBenefits[[#This Row],[timeFromValuation]],0)</f>
        <v>114</v>
      </c>
      <c r="I204" s="27" t="b">
        <f>VaBenefits[[#This Row],[Withdrawal Taken  ]]&gt;0</f>
        <v>0</v>
      </c>
      <c r="J204" s="41">
        <f>IF(AND(NOT(VaBenefits[[#This Row],[Is Activation]]),VaBenefits[[#This Row],[Assumed Contract Value ]]&gt;0),VaBenefits[[#This Row],[Withdrawal Taken  ]]/VaBenefits[[#This Row],[Assumed Contract Value ]],0)</f>
        <v>0</v>
      </c>
      <c r="K20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4" s="27" t="b">
        <f ca="1">AND(VaBenefits[[#This Row],[Is Activation]],SUMIFS($E$8:$E204,$C$8:$C204,TRUE)&gt;0)</f>
        <v>0</v>
      </c>
      <c r="M20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4" s="32" t="b">
        <f>IF(VaBenefits[[#This Row],[timeFromValuation]]=0,0, MOD(VaBenefits[[#This Row],[timeFromValuation]],1)=0)</f>
        <v>1</v>
      </c>
      <c r="O204" s="7">
        <f>IF(VaBenefits[[#This Row],[Is Anniversary?]]=TRUE,VaBenefits[[#This Row],[Assumed Contract Value ]],0)</f>
        <v>0</v>
      </c>
      <c r="P20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4" s="7" t="b">
        <f>VaBenefits[[#This Row],[Assumed Contract Value ]]&lt;0.1</f>
        <v>1</v>
      </c>
      <c r="R20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4" s="7">
        <f ca="1">IF(AND(VaBenefits[[#This Row],[Is Activation]]=FALSE,VaBenefits[[#This Row],[Is Anniversary?]]=TRUE),OFFSET( VaBenefits[[#This Row],[Income Credit Base]],-1,0)*ICP,0)</f>
        <v>0</v>
      </c>
      <c r="T204" s="5">
        <f>IF(VaBenefits[[#This Row],[Assumed Contract Value ]]&gt;0,VaBenefits[[#This Row],[Income Base]]*MAWA,0)</f>
        <v>0</v>
      </c>
      <c r="U204" s="95">
        <v>14</v>
      </c>
      <c r="V204" s="92">
        <f>1/(1+InterestRate)^VaBenefits[[#This Row],[timeFromValuation]]</f>
        <v>9.1563913320999626E-2</v>
      </c>
      <c r="W204" s="93">
        <f>VaBenefits[[#This Row],[timeFromValuation]]</f>
        <v>49</v>
      </c>
      <c r="X204" s="91">
        <f>IF(($G$8+VaBenefits[[#This Row],[timeFromValuation]])&lt;=120,VLOOKUP(G204,Table2[],Qx!L$6,FALSE),0)</f>
        <v>0.68240900000000004</v>
      </c>
      <c r="Y204" s="91">
        <f>IF(($H$8+VaBenefits[[#This Row],[timeFromValuation]])&lt;=120,VLOOKUP(H204,Table2[],Qx!M$6,FALSE),0)</f>
        <v>0.6</v>
      </c>
      <c r="Z204" s="91">
        <v>0</v>
      </c>
      <c r="AA204" s="91">
        <v>0</v>
      </c>
      <c r="AB204" s="91">
        <v>0</v>
      </c>
      <c r="AC204" s="91">
        <v>0</v>
      </c>
      <c r="AD204" s="100">
        <f>PV(1.03,20,-VaBenefits[[#This Row],[Protected Income Payment]])</f>
        <v>13.592223385388778</v>
      </c>
      <c r="AE204" s="130">
        <f>IF((AND(VaBenefits[[#This Row],[Is Anniversary?]],VaBenefits[[#This Row],[Assumed Contract Value ]]&lt;75000)),-50,0)</f>
        <v>-50</v>
      </c>
      <c r="AF204" s="134">
        <f>VaBenefits[[#This Row],[Assumed Contract Value ]]*-1.15%/4</f>
        <v>0</v>
      </c>
      <c r="AG204" s="129">
        <v>0</v>
      </c>
      <c r="AH204" s="6">
        <f>VaBenefits[[#This Row],[Maintenace Fee]]+VaBenefits[[#This Row],[Separate Account Charge]]+VaBenefits[[#This Row],[Rider Fee]]</f>
        <v>-50</v>
      </c>
      <c r="AR204" s="23">
        <f t="shared" si="24"/>
        <v>98</v>
      </c>
      <c r="AS204" s="24">
        <v>0</v>
      </c>
      <c r="AT204" s="24">
        <v>0</v>
      </c>
      <c r="AU204" s="22">
        <v>0</v>
      </c>
      <c r="AV204" s="16">
        <v>0</v>
      </c>
      <c r="AW204" s="14">
        <v>299982</v>
      </c>
      <c r="AX204" s="15">
        <v>0</v>
      </c>
      <c r="AY204" s="15">
        <v>0</v>
      </c>
      <c r="AZ204" s="14">
        <v>0</v>
      </c>
      <c r="BA204" s="17">
        <v>11999</v>
      </c>
    </row>
    <row r="205" spans="1:53" ht="15" thickBot="1" x14ac:dyDescent="0.35">
      <c r="A205" s="32">
        <f t="shared" si="23"/>
        <v>197</v>
      </c>
      <c r="B205" s="29">
        <f t="shared" si="22"/>
        <v>49.25</v>
      </c>
      <c r="C205" s="29" t="b">
        <f>AND(VaBenefits[[#This Row],[timeFromValuation]]&gt;=ACT,VaBenefits[[#This Row],[Assumed Contract Value ]]&gt;0)</f>
        <v>0</v>
      </c>
      <c r="D205" s="20">
        <v>0</v>
      </c>
      <c r="E205" s="20">
        <v>0</v>
      </c>
      <c r="F205" s="20">
        <v>0</v>
      </c>
      <c r="G205" s="96">
        <f>ROUND($G$8+VaBenefits[[#This Row],[timeFromValuation]],0)</f>
        <v>104</v>
      </c>
      <c r="H205" s="20">
        <f>ROUND($H$8+VaBenefits[[#This Row],[timeFromValuation]],0)</f>
        <v>114</v>
      </c>
      <c r="I205" s="27" t="b">
        <f>VaBenefits[[#This Row],[Withdrawal Taken  ]]&gt;0</f>
        <v>0</v>
      </c>
      <c r="J205" s="41">
        <f>IF(AND(NOT(VaBenefits[[#This Row],[Is Activation]]),VaBenefits[[#This Row],[Assumed Contract Value ]]&gt;0),VaBenefits[[#This Row],[Withdrawal Taken  ]]/VaBenefits[[#This Row],[Assumed Contract Value ]],0)</f>
        <v>0</v>
      </c>
      <c r="K20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5" s="27" t="b">
        <f ca="1">AND(VaBenefits[[#This Row],[Is Activation]],SUMIFS($E$8:$E205,$C$8:$C205,TRUE)&gt;0)</f>
        <v>0</v>
      </c>
      <c r="M20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5" s="32" t="b">
        <f>IF(VaBenefits[[#This Row],[timeFromValuation]]=0,0, MOD(VaBenefits[[#This Row],[timeFromValuation]],1)=0)</f>
        <v>0</v>
      </c>
      <c r="O205" s="7">
        <f>IF(VaBenefits[[#This Row],[Is Anniversary?]]=TRUE,VaBenefits[[#This Row],[Assumed Contract Value ]],0)</f>
        <v>0</v>
      </c>
      <c r="P20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5" s="7" t="b">
        <f>VaBenefits[[#This Row],[Assumed Contract Value ]]&lt;0.1</f>
        <v>1</v>
      </c>
      <c r="R20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5" s="7">
        <f ca="1">IF(AND(VaBenefits[[#This Row],[Is Activation]]=FALSE,VaBenefits[[#This Row],[Is Anniversary?]]=TRUE),OFFSET( VaBenefits[[#This Row],[Income Credit Base]],-1,0)*ICP,0)</f>
        <v>0</v>
      </c>
      <c r="T205" s="5">
        <f>IF(VaBenefits[[#This Row],[Assumed Contract Value ]]&gt;0,VaBenefits[[#This Row],[Income Base]]*MAWA,0)</f>
        <v>0</v>
      </c>
      <c r="U205" s="95">
        <v>15</v>
      </c>
      <c r="V205" s="92">
        <f>1/(1+InterestRate)^VaBenefits[[#This Row],[timeFromValuation]]</f>
        <v>9.0453842560094574E-2</v>
      </c>
      <c r="W205" s="93">
        <f>VaBenefits[[#This Row],[timeFromValuation]]</f>
        <v>49.25</v>
      </c>
      <c r="X205" s="91">
        <f>IF(($G$8+VaBenefits[[#This Row],[timeFromValuation]])&lt;=120,VLOOKUP(G205,Table2[],Qx!L$6,FALSE),0)</f>
        <v>0.68240900000000004</v>
      </c>
      <c r="Y205" s="91">
        <f>IF(($H$8+VaBenefits[[#This Row],[timeFromValuation]])&lt;=120,VLOOKUP(H205,Table2[],Qx!M$6,FALSE),0)</f>
        <v>0.6</v>
      </c>
      <c r="Z205" s="91">
        <v>0</v>
      </c>
      <c r="AA205" s="91">
        <v>0</v>
      </c>
      <c r="AB205" s="91">
        <v>0</v>
      </c>
      <c r="AC205" s="91">
        <v>0</v>
      </c>
      <c r="AD205" s="100">
        <f>PV(1.03,20,-VaBenefits[[#This Row],[Protected Income Payment]])</f>
        <v>14.563096484345117</v>
      </c>
      <c r="AE205" s="130">
        <f>IF((AND(VaBenefits[[#This Row],[Is Anniversary?]],VaBenefits[[#This Row],[Assumed Contract Value ]]&lt;75000)),-50,0)</f>
        <v>0</v>
      </c>
      <c r="AF205" s="134">
        <f>VaBenefits[[#This Row],[Assumed Contract Value ]]*-1.15%/4</f>
        <v>0</v>
      </c>
      <c r="AG205" s="129">
        <v>0</v>
      </c>
      <c r="AH205" s="6">
        <f>VaBenefits[[#This Row],[Maintenace Fee]]+VaBenefits[[#This Row],[Separate Account Charge]]+VaBenefits[[#This Row],[Rider Fee]]</f>
        <v>0</v>
      </c>
      <c r="AR205" s="23">
        <f t="shared" si="24"/>
        <v>98.5</v>
      </c>
      <c r="AS205" s="24">
        <v>0</v>
      </c>
      <c r="AT205" s="24">
        <v>0</v>
      </c>
      <c r="AU205" s="22">
        <v>0</v>
      </c>
      <c r="AV205" s="16">
        <v>0</v>
      </c>
      <c r="AW205" s="14">
        <v>299982</v>
      </c>
      <c r="AX205" s="15">
        <v>0</v>
      </c>
      <c r="AY205" s="15">
        <v>0</v>
      </c>
      <c r="AZ205" s="14">
        <v>0</v>
      </c>
      <c r="BA205" s="17">
        <v>11999</v>
      </c>
    </row>
    <row r="206" spans="1:53" ht="15" thickBot="1" x14ac:dyDescent="0.35">
      <c r="A206" s="32">
        <f t="shared" si="23"/>
        <v>198</v>
      </c>
      <c r="B206" s="29">
        <f t="shared" si="22"/>
        <v>49.5</v>
      </c>
      <c r="C206" s="29" t="b">
        <f>AND(VaBenefits[[#This Row],[timeFromValuation]]&gt;=ACT,VaBenefits[[#This Row],[Assumed Contract Value ]]&gt;0)</f>
        <v>0</v>
      </c>
      <c r="D206" s="20">
        <v>0</v>
      </c>
      <c r="E206" s="20">
        <v>0</v>
      </c>
      <c r="F206" s="20">
        <v>0</v>
      </c>
      <c r="G206" s="96">
        <f>ROUND($G$8+VaBenefits[[#This Row],[timeFromValuation]],0)</f>
        <v>105</v>
      </c>
      <c r="H206" s="20">
        <f>ROUND($H$8+VaBenefits[[#This Row],[timeFromValuation]],0)</f>
        <v>115</v>
      </c>
      <c r="I206" s="27" t="b">
        <f>VaBenefits[[#This Row],[Withdrawal Taken  ]]&gt;0</f>
        <v>0</v>
      </c>
      <c r="J206" s="41">
        <f>IF(AND(NOT(VaBenefits[[#This Row],[Is Activation]]),VaBenefits[[#This Row],[Assumed Contract Value ]]&gt;0),VaBenefits[[#This Row],[Withdrawal Taken  ]]/VaBenefits[[#This Row],[Assumed Contract Value ]],0)</f>
        <v>0</v>
      </c>
      <c r="K20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6" s="27" t="b">
        <f ca="1">AND(VaBenefits[[#This Row],[Is Activation]],SUMIFS($E$8:$E206,$C$8:$C206,TRUE)&gt;0)</f>
        <v>0</v>
      </c>
      <c r="M20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6" s="32" t="b">
        <f>IF(VaBenefits[[#This Row],[timeFromValuation]]=0,0, MOD(VaBenefits[[#This Row],[timeFromValuation]],1)=0)</f>
        <v>0</v>
      </c>
      <c r="O206" s="7">
        <f>IF(VaBenefits[[#This Row],[Is Anniversary?]]=TRUE,VaBenefits[[#This Row],[Assumed Contract Value ]],0)</f>
        <v>0</v>
      </c>
      <c r="P20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6" s="7" t="b">
        <f>VaBenefits[[#This Row],[Assumed Contract Value ]]&lt;0.1</f>
        <v>1</v>
      </c>
      <c r="R20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6" s="7">
        <f ca="1">IF(AND(VaBenefits[[#This Row],[Is Activation]]=FALSE,VaBenefits[[#This Row],[Is Anniversary?]]=TRUE),OFFSET( VaBenefits[[#This Row],[Income Credit Base]],-1,0)*ICP,0)</f>
        <v>0</v>
      </c>
      <c r="T206" s="5">
        <f>IF(VaBenefits[[#This Row],[Assumed Contract Value ]]&gt;0,VaBenefits[[#This Row],[Income Base]]*MAWA,0)</f>
        <v>0</v>
      </c>
      <c r="U206" s="95">
        <v>16</v>
      </c>
      <c r="V206" s="92">
        <f>1/(1+InterestRate)^VaBenefits[[#This Row],[timeFromValuation]]</f>
        <v>8.9357229689416548E-2</v>
      </c>
      <c r="W206" s="93">
        <f>VaBenefits[[#This Row],[timeFromValuation]]</f>
        <v>49.5</v>
      </c>
      <c r="X206" s="91">
        <f>IF(($G$8+VaBenefits[[#This Row],[timeFromValuation]])&lt;=120,VLOOKUP(G206,Table2[],Qx!L$6,FALSE),0)</f>
        <v>0.65963799999999995</v>
      </c>
      <c r="Y206" s="91">
        <f>IF(($H$8+VaBenefits[[#This Row],[timeFromValuation]])&lt;=120,VLOOKUP(H206,Table2[],Qx!M$6,FALSE),0)</f>
        <v>0.6</v>
      </c>
      <c r="Z206" s="91">
        <v>0</v>
      </c>
      <c r="AA206" s="91">
        <v>0</v>
      </c>
      <c r="AB206" s="91">
        <v>0</v>
      </c>
      <c r="AC206" s="91">
        <v>0</v>
      </c>
      <c r="AD206" s="100">
        <f>PV(1.03,20,-VaBenefits[[#This Row],[Protected Income Payment]])</f>
        <v>15.533969583301459</v>
      </c>
      <c r="AE206" s="130">
        <f>IF((AND(VaBenefits[[#This Row],[Is Anniversary?]],VaBenefits[[#This Row],[Assumed Contract Value ]]&lt;75000)),-50,0)</f>
        <v>0</v>
      </c>
      <c r="AF206" s="134">
        <f>VaBenefits[[#This Row],[Assumed Contract Value ]]*-1.15%/4</f>
        <v>0</v>
      </c>
      <c r="AG206" s="129">
        <v>0</v>
      </c>
      <c r="AH206" s="6">
        <f>VaBenefits[[#This Row],[Maintenace Fee]]+VaBenefits[[#This Row],[Separate Account Charge]]+VaBenefits[[#This Row],[Rider Fee]]</f>
        <v>0</v>
      </c>
      <c r="AR206" s="23">
        <f t="shared" si="24"/>
        <v>99</v>
      </c>
      <c r="AS206" s="24">
        <v>0</v>
      </c>
      <c r="AT206" s="24">
        <v>0</v>
      </c>
      <c r="AU206" s="22">
        <v>0</v>
      </c>
      <c r="AV206" s="16">
        <v>0</v>
      </c>
      <c r="AW206" s="14">
        <v>299982</v>
      </c>
      <c r="AX206" s="15">
        <v>0</v>
      </c>
      <c r="AY206" s="15">
        <v>0</v>
      </c>
      <c r="AZ206" s="14">
        <v>0</v>
      </c>
      <c r="BA206" s="17">
        <v>11999</v>
      </c>
    </row>
    <row r="207" spans="1:53" ht="15" thickBot="1" x14ac:dyDescent="0.35">
      <c r="A207" s="32">
        <f t="shared" si="23"/>
        <v>199</v>
      </c>
      <c r="B207" s="29">
        <f t="shared" si="22"/>
        <v>49.75</v>
      </c>
      <c r="C207" s="29" t="b">
        <f>AND(VaBenefits[[#This Row],[timeFromValuation]]&gt;=ACT,VaBenefits[[#This Row],[Assumed Contract Value ]]&gt;0)</f>
        <v>0</v>
      </c>
      <c r="D207" s="20">
        <v>0</v>
      </c>
      <c r="E207" s="20">
        <v>0</v>
      </c>
      <c r="F207" s="20">
        <v>0</v>
      </c>
      <c r="G207" s="96">
        <f>ROUND($G$8+VaBenefits[[#This Row],[timeFromValuation]],0)</f>
        <v>105</v>
      </c>
      <c r="H207" s="20">
        <f>ROUND($H$8+VaBenefits[[#This Row],[timeFromValuation]],0)</f>
        <v>115</v>
      </c>
      <c r="I207" s="27" t="b">
        <f>VaBenefits[[#This Row],[Withdrawal Taken  ]]&gt;0</f>
        <v>0</v>
      </c>
      <c r="J207" s="41">
        <f>IF(AND(NOT(VaBenefits[[#This Row],[Is Activation]]),VaBenefits[[#This Row],[Assumed Contract Value ]]&gt;0),VaBenefits[[#This Row],[Withdrawal Taken  ]]/VaBenefits[[#This Row],[Assumed Contract Value ]],0)</f>
        <v>0</v>
      </c>
      <c r="K20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7" s="27" t="b">
        <f ca="1">AND(VaBenefits[[#This Row],[Is Activation]],SUMIFS($E$8:$E207,$C$8:$C207,TRUE)&gt;0)</f>
        <v>0</v>
      </c>
      <c r="M20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7" s="32" t="b">
        <f>IF(VaBenefits[[#This Row],[timeFromValuation]]=0,0, MOD(VaBenefits[[#This Row],[timeFromValuation]],1)=0)</f>
        <v>0</v>
      </c>
      <c r="O207" s="7">
        <f>IF(VaBenefits[[#This Row],[Is Anniversary?]]=TRUE,VaBenefits[[#This Row],[Assumed Contract Value ]],0)</f>
        <v>0</v>
      </c>
      <c r="P20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7" s="7" t="b">
        <f>VaBenefits[[#This Row],[Assumed Contract Value ]]&lt;0.1</f>
        <v>1</v>
      </c>
      <c r="R20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7" s="7">
        <f ca="1">IF(AND(VaBenefits[[#This Row],[Is Activation]]=FALSE,VaBenefits[[#This Row],[Is Anniversary?]]=TRUE),OFFSET( VaBenefits[[#This Row],[Income Credit Base]],-1,0)*ICP,0)</f>
        <v>0</v>
      </c>
      <c r="T207" s="5">
        <f>IF(VaBenefits[[#This Row],[Assumed Contract Value ]]&gt;0,VaBenefits[[#This Row],[Income Base]]*MAWA,0)</f>
        <v>0</v>
      </c>
      <c r="U207" s="95">
        <v>17</v>
      </c>
      <c r="V207" s="92">
        <f>1/(1+InterestRate)^VaBenefits[[#This Row],[timeFromValuation]]</f>
        <v>8.8273911552871426E-2</v>
      </c>
      <c r="W207" s="93">
        <f>VaBenefits[[#This Row],[timeFromValuation]]</f>
        <v>49.75</v>
      </c>
      <c r="X207" s="91">
        <f>IF(($G$8+VaBenefits[[#This Row],[timeFromValuation]])&lt;=120,VLOOKUP(G207,Table2[],Qx!L$6,FALSE),0)</f>
        <v>0.65963799999999995</v>
      </c>
      <c r="Y207" s="91">
        <f>IF(($H$8+VaBenefits[[#This Row],[timeFromValuation]])&lt;=120,VLOOKUP(H207,Table2[],Qx!M$6,FALSE),0)</f>
        <v>0.6</v>
      </c>
      <c r="Z207" s="91">
        <v>0</v>
      </c>
      <c r="AA207" s="91">
        <v>0</v>
      </c>
      <c r="AB207" s="91">
        <v>0</v>
      </c>
      <c r="AC207" s="91">
        <v>0</v>
      </c>
      <c r="AD207" s="100">
        <f>PV(1.03,20,-VaBenefits[[#This Row],[Protected Income Payment]])</f>
        <v>16.504842682257802</v>
      </c>
      <c r="AE207" s="130">
        <f>IF((AND(VaBenefits[[#This Row],[Is Anniversary?]],VaBenefits[[#This Row],[Assumed Contract Value ]]&lt;75000)),-50,0)</f>
        <v>0</v>
      </c>
      <c r="AF207" s="134">
        <f>VaBenefits[[#This Row],[Assumed Contract Value ]]*-1.15%/4</f>
        <v>0</v>
      </c>
      <c r="AG207" s="129">
        <v>0</v>
      </c>
      <c r="AH207" s="6">
        <f>VaBenefits[[#This Row],[Maintenace Fee]]+VaBenefits[[#This Row],[Separate Account Charge]]+VaBenefits[[#This Row],[Rider Fee]]</f>
        <v>0</v>
      </c>
      <c r="AR207" s="23">
        <f t="shared" si="24"/>
        <v>99.5</v>
      </c>
      <c r="AS207" s="24">
        <v>0</v>
      </c>
      <c r="AT207" s="24">
        <v>0</v>
      </c>
      <c r="AU207" s="22">
        <v>0</v>
      </c>
      <c r="AV207" s="16">
        <v>0</v>
      </c>
      <c r="AW207" s="14">
        <v>299982</v>
      </c>
      <c r="AX207" s="15">
        <v>0</v>
      </c>
      <c r="AY207" s="15">
        <v>0</v>
      </c>
      <c r="AZ207" s="14">
        <v>0</v>
      </c>
      <c r="BA207" s="17">
        <v>11999</v>
      </c>
    </row>
    <row r="208" spans="1:53" ht="15" thickBot="1" x14ac:dyDescent="0.35">
      <c r="A208" s="32">
        <f t="shared" si="23"/>
        <v>200</v>
      </c>
      <c r="B208" s="29">
        <f t="shared" si="22"/>
        <v>50</v>
      </c>
      <c r="C208" s="29" t="b">
        <f>AND(VaBenefits[[#This Row],[timeFromValuation]]&gt;=ACT,VaBenefits[[#This Row],[Assumed Contract Value ]]&gt;0)</f>
        <v>0</v>
      </c>
      <c r="D208" s="20">
        <v>0</v>
      </c>
      <c r="E208" s="20">
        <v>0</v>
      </c>
      <c r="F208" s="20">
        <v>0</v>
      </c>
      <c r="G208" s="96">
        <f>ROUND($G$8+VaBenefits[[#This Row],[timeFromValuation]],0)</f>
        <v>105</v>
      </c>
      <c r="H208" s="20">
        <f>ROUND($H$8+VaBenefits[[#This Row],[timeFromValuation]],0)</f>
        <v>115</v>
      </c>
      <c r="I208" s="27" t="b">
        <f>VaBenefits[[#This Row],[Withdrawal Taken  ]]&gt;0</f>
        <v>0</v>
      </c>
      <c r="J208" s="41">
        <f>IF(AND(NOT(VaBenefits[[#This Row],[Is Activation]]),VaBenefits[[#This Row],[Assumed Contract Value ]]&gt;0),VaBenefits[[#This Row],[Withdrawal Taken  ]]/VaBenefits[[#This Row],[Assumed Contract Value ]],0)</f>
        <v>0</v>
      </c>
      <c r="K20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8" s="27" t="b">
        <f ca="1">AND(VaBenefits[[#This Row],[Is Activation]],SUMIFS($E$8:$E208,$C$8:$C208,TRUE)&gt;0)</f>
        <v>0</v>
      </c>
      <c r="M20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8" s="32" t="b">
        <f>IF(VaBenefits[[#This Row],[timeFromValuation]]=0,0, MOD(VaBenefits[[#This Row],[timeFromValuation]],1)=0)</f>
        <v>1</v>
      </c>
      <c r="O208" s="7">
        <f>IF(VaBenefits[[#This Row],[Is Anniversary?]]=TRUE,VaBenefits[[#This Row],[Assumed Contract Value ]],0)</f>
        <v>0</v>
      </c>
      <c r="P20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8" s="7" t="b">
        <f>VaBenefits[[#This Row],[Assumed Contract Value ]]&lt;0.1</f>
        <v>1</v>
      </c>
      <c r="R20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8" s="7">
        <f ca="1">IF(AND(VaBenefits[[#This Row],[Is Activation]]=FALSE,VaBenefits[[#This Row],[Is Anniversary?]]=TRUE),OFFSET( VaBenefits[[#This Row],[Income Credit Base]],-1,0)*ICP,0)</f>
        <v>0</v>
      </c>
      <c r="T208" s="5">
        <f>IF(VaBenefits[[#This Row],[Assumed Contract Value ]]&gt;0,VaBenefits[[#This Row],[Income Base]]*MAWA,0)</f>
        <v>0</v>
      </c>
      <c r="U208" s="95">
        <v>18</v>
      </c>
      <c r="V208" s="92">
        <f>1/(1+InterestRate)^VaBenefits[[#This Row],[timeFromValuation]]</f>
        <v>8.7203726972380588E-2</v>
      </c>
      <c r="W208" s="93">
        <f>VaBenefits[[#This Row],[timeFromValuation]]</f>
        <v>50</v>
      </c>
      <c r="X208" s="91">
        <f>IF(($G$8+VaBenefits[[#This Row],[timeFromValuation]])&lt;=120,VLOOKUP(G208,Table2[],Qx!L$6,FALSE),0)</f>
        <v>0.65963799999999995</v>
      </c>
      <c r="Y208" s="91">
        <f>IF(($H$8+VaBenefits[[#This Row],[timeFromValuation]])&lt;=120,VLOOKUP(H208,Table2[],Qx!M$6,FALSE),0)</f>
        <v>0.6</v>
      </c>
      <c r="Z208" s="91">
        <v>0</v>
      </c>
      <c r="AA208" s="91">
        <v>0</v>
      </c>
      <c r="AB208" s="91">
        <v>0</v>
      </c>
      <c r="AC208" s="91">
        <v>0</v>
      </c>
      <c r="AD208" s="100">
        <f>PV(1.03,20,-VaBenefits[[#This Row],[Protected Income Payment]])</f>
        <v>17.475715781214141</v>
      </c>
      <c r="AE208" s="130">
        <f>IF((AND(VaBenefits[[#This Row],[Is Anniversary?]],VaBenefits[[#This Row],[Assumed Contract Value ]]&lt;75000)),-50,0)</f>
        <v>-50</v>
      </c>
      <c r="AF208" s="134">
        <f>VaBenefits[[#This Row],[Assumed Contract Value ]]*-1.15%/4</f>
        <v>0</v>
      </c>
      <c r="AG208" s="129">
        <v>0</v>
      </c>
      <c r="AH208" s="6">
        <f>VaBenefits[[#This Row],[Maintenace Fee]]+VaBenefits[[#This Row],[Separate Account Charge]]+VaBenefits[[#This Row],[Rider Fee]]</f>
        <v>-50</v>
      </c>
      <c r="AR208" s="23">
        <f t="shared" si="24"/>
        <v>100</v>
      </c>
      <c r="AS208" s="24">
        <v>0</v>
      </c>
      <c r="AT208" s="24">
        <v>0</v>
      </c>
      <c r="AU208" s="22">
        <v>0</v>
      </c>
      <c r="AV208" s="16">
        <v>0</v>
      </c>
      <c r="AW208" s="14">
        <v>299982</v>
      </c>
      <c r="AX208" s="15">
        <v>0</v>
      </c>
      <c r="AY208" s="15">
        <v>0</v>
      </c>
      <c r="AZ208" s="14">
        <v>0</v>
      </c>
      <c r="BA208" s="17">
        <v>11999</v>
      </c>
    </row>
    <row r="209" spans="1:53" ht="15" thickBot="1" x14ac:dyDescent="0.35">
      <c r="A209" s="32">
        <f t="shared" si="23"/>
        <v>201</v>
      </c>
      <c r="B209" s="29">
        <f t="shared" si="22"/>
        <v>50.25</v>
      </c>
      <c r="C209" s="29" t="b">
        <f>AND(VaBenefits[[#This Row],[timeFromValuation]]&gt;=ACT,VaBenefits[[#This Row],[Assumed Contract Value ]]&gt;0)</f>
        <v>0</v>
      </c>
      <c r="D209" s="20">
        <v>0</v>
      </c>
      <c r="E209" s="20">
        <v>0</v>
      </c>
      <c r="F209" s="20">
        <v>0</v>
      </c>
      <c r="G209" s="96">
        <f>ROUND($G$8+VaBenefits[[#This Row],[timeFromValuation]],0)</f>
        <v>105</v>
      </c>
      <c r="H209" s="20">
        <f>ROUND($H$8+VaBenefits[[#This Row],[timeFromValuation]],0)</f>
        <v>115</v>
      </c>
      <c r="I209" s="27" t="b">
        <f>VaBenefits[[#This Row],[Withdrawal Taken  ]]&gt;0</f>
        <v>0</v>
      </c>
      <c r="J209" s="41">
        <f>IF(AND(NOT(VaBenefits[[#This Row],[Is Activation]]),VaBenefits[[#This Row],[Assumed Contract Value ]]&gt;0),VaBenefits[[#This Row],[Withdrawal Taken  ]]/VaBenefits[[#This Row],[Assumed Contract Value ]],0)</f>
        <v>0</v>
      </c>
      <c r="K20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9" s="27" t="b">
        <f ca="1">AND(VaBenefits[[#This Row],[Is Activation]],SUMIFS($E$8:$E209,$C$8:$C209,TRUE)&gt;0)</f>
        <v>0</v>
      </c>
      <c r="M20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9" s="32" t="b">
        <f>IF(VaBenefits[[#This Row],[timeFromValuation]]=0,0, MOD(VaBenefits[[#This Row],[timeFromValuation]],1)=0)</f>
        <v>0</v>
      </c>
      <c r="O209" s="7">
        <f>IF(VaBenefits[[#This Row],[Is Anniversary?]]=TRUE,VaBenefits[[#This Row],[Assumed Contract Value ]],0)</f>
        <v>0</v>
      </c>
      <c r="P20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9" s="7" t="b">
        <f>VaBenefits[[#This Row],[Assumed Contract Value ]]&lt;0.1</f>
        <v>1</v>
      </c>
      <c r="R20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9" s="7">
        <f ca="1">IF(AND(VaBenefits[[#This Row],[Is Activation]]=FALSE,VaBenefits[[#This Row],[Is Anniversary?]]=TRUE),OFFSET( VaBenefits[[#This Row],[Income Credit Base]],-1,0)*ICP,0)</f>
        <v>0</v>
      </c>
      <c r="T209" s="5">
        <f>IF(VaBenefits[[#This Row],[Assumed Contract Value ]]&gt;0,VaBenefits[[#This Row],[Income Base]]*MAWA,0)</f>
        <v>0</v>
      </c>
      <c r="U209" s="95">
        <v>19</v>
      </c>
      <c r="V209" s="92">
        <f>1/(1+InterestRate)^VaBenefits[[#This Row],[timeFromValuation]]</f>
        <v>8.6146516723899627E-2</v>
      </c>
      <c r="W209" s="93">
        <f>VaBenefits[[#This Row],[timeFromValuation]]</f>
        <v>50.25</v>
      </c>
      <c r="X209" s="91">
        <f>IF(($G$8+VaBenefits[[#This Row],[timeFromValuation]])&lt;=120,VLOOKUP(G209,Table2[],Qx!L$6,FALSE),0)</f>
        <v>0.65963799999999995</v>
      </c>
      <c r="Y209" s="91">
        <f>IF(($H$8+VaBenefits[[#This Row],[timeFromValuation]])&lt;=120,VLOOKUP(H209,Table2[],Qx!M$6,FALSE),0)</f>
        <v>0.6</v>
      </c>
      <c r="Z209" s="91">
        <v>0</v>
      </c>
      <c r="AA209" s="91">
        <v>0</v>
      </c>
      <c r="AB209" s="91">
        <v>0</v>
      </c>
      <c r="AC209" s="91">
        <v>0</v>
      </c>
      <c r="AD209" s="100">
        <f>PV(1.03,20,-VaBenefits[[#This Row],[Protected Income Payment]])</f>
        <v>18.446588880170484</v>
      </c>
      <c r="AE209" s="130">
        <f>IF((AND(VaBenefits[[#This Row],[Is Anniversary?]],VaBenefits[[#This Row],[Assumed Contract Value ]]&lt;75000)),-50,0)</f>
        <v>0</v>
      </c>
      <c r="AF209" s="134">
        <f>VaBenefits[[#This Row],[Assumed Contract Value ]]*-1.15%/4</f>
        <v>0</v>
      </c>
      <c r="AG209" s="129">
        <v>0</v>
      </c>
      <c r="AH209" s="6">
        <f>VaBenefits[[#This Row],[Maintenace Fee]]+VaBenefits[[#This Row],[Separate Account Charge]]+VaBenefits[[#This Row],[Rider Fee]]</f>
        <v>0</v>
      </c>
      <c r="AR209" s="23">
        <f t="shared" si="24"/>
        <v>100.5</v>
      </c>
      <c r="AS209" s="24">
        <v>0</v>
      </c>
      <c r="AT209" s="24">
        <v>0</v>
      </c>
      <c r="AU209" s="22">
        <v>0</v>
      </c>
      <c r="AV209" s="16">
        <v>0</v>
      </c>
      <c r="AW209" s="14">
        <v>299982</v>
      </c>
      <c r="AX209" s="15">
        <v>0</v>
      </c>
      <c r="AY209" s="15">
        <v>0</v>
      </c>
      <c r="AZ209" s="14">
        <v>0</v>
      </c>
      <c r="BA209" s="17">
        <v>11999</v>
      </c>
    </row>
    <row r="210" spans="1:53" ht="15" thickBot="1" x14ac:dyDescent="0.35">
      <c r="A210" s="32">
        <f t="shared" si="23"/>
        <v>202</v>
      </c>
      <c r="B210" s="29">
        <f t="shared" si="22"/>
        <v>50.5</v>
      </c>
      <c r="C210" s="29" t="b">
        <f>AND(VaBenefits[[#This Row],[timeFromValuation]]&gt;=ACT,VaBenefits[[#This Row],[Assumed Contract Value ]]&gt;0)</f>
        <v>0</v>
      </c>
      <c r="D210" s="20">
        <v>0</v>
      </c>
      <c r="E210" s="20">
        <v>0</v>
      </c>
      <c r="F210" s="20">
        <v>0</v>
      </c>
      <c r="G210" s="96">
        <f>ROUND($G$8+VaBenefits[[#This Row],[timeFromValuation]],0)</f>
        <v>106</v>
      </c>
      <c r="H210" s="20">
        <f>ROUND($H$8+VaBenefits[[#This Row],[timeFromValuation]],0)</f>
        <v>116</v>
      </c>
      <c r="I210" s="27" t="b">
        <f>VaBenefits[[#This Row],[Withdrawal Taken  ]]&gt;0</f>
        <v>0</v>
      </c>
      <c r="J210" s="41">
        <f>IF(AND(NOT(VaBenefits[[#This Row],[Is Activation]]),VaBenefits[[#This Row],[Assumed Contract Value ]]&gt;0),VaBenefits[[#This Row],[Withdrawal Taken  ]]/VaBenefits[[#This Row],[Assumed Contract Value ]],0)</f>
        <v>0</v>
      </c>
      <c r="K21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0" s="27" t="b">
        <f ca="1">AND(VaBenefits[[#This Row],[Is Activation]],SUMIFS($E$8:$E210,$C$8:$C210,TRUE)&gt;0)</f>
        <v>0</v>
      </c>
      <c r="M21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0" s="32" t="b">
        <f>IF(VaBenefits[[#This Row],[timeFromValuation]]=0,0, MOD(VaBenefits[[#This Row],[timeFromValuation]],1)=0)</f>
        <v>0</v>
      </c>
      <c r="O210" s="7">
        <f>IF(VaBenefits[[#This Row],[Is Anniversary?]]=TRUE,VaBenefits[[#This Row],[Assumed Contract Value ]],0)</f>
        <v>0</v>
      </c>
      <c r="P21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0" s="7" t="b">
        <f>VaBenefits[[#This Row],[Assumed Contract Value ]]&lt;0.1</f>
        <v>1</v>
      </c>
      <c r="R21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0" s="7">
        <f ca="1">IF(AND(VaBenefits[[#This Row],[Is Activation]]=FALSE,VaBenefits[[#This Row],[Is Anniversary?]]=TRUE),OFFSET( VaBenefits[[#This Row],[Income Credit Base]],-1,0)*ICP,0)</f>
        <v>0</v>
      </c>
      <c r="T210" s="5">
        <f>IF(VaBenefits[[#This Row],[Assumed Contract Value ]]&gt;0,VaBenefits[[#This Row],[Income Base]]*MAWA,0)</f>
        <v>0</v>
      </c>
      <c r="U210" s="95">
        <v>20</v>
      </c>
      <c r="V210" s="92">
        <f>1/(1+InterestRate)^VaBenefits[[#This Row],[timeFromValuation]]</f>
        <v>8.5102123513730074E-2</v>
      </c>
      <c r="W210" s="93">
        <f>VaBenefits[[#This Row],[timeFromValuation]]</f>
        <v>50.5</v>
      </c>
      <c r="X210" s="91">
        <f>IF(($G$8+VaBenefits[[#This Row],[timeFromValuation]])&lt;=120,VLOOKUP(G210,Table2[],Qx!L$6,FALSE),0)</f>
        <v>0.637629</v>
      </c>
      <c r="Y210" s="91">
        <f>IF(($H$8+VaBenefits[[#This Row],[timeFromValuation]])&lt;=120,VLOOKUP(H210,Table2[],Qx!M$6,FALSE),0)</f>
        <v>0.6</v>
      </c>
      <c r="Z210" s="91">
        <v>0</v>
      </c>
      <c r="AA210" s="91">
        <v>0</v>
      </c>
      <c r="AB210" s="91">
        <v>0</v>
      </c>
      <c r="AC210" s="91">
        <v>0</v>
      </c>
      <c r="AD210" s="100">
        <f>PV(1.03,20,-VaBenefits[[#This Row],[Protected Income Payment]])</f>
        <v>19.417461979126823</v>
      </c>
      <c r="AE210" s="130">
        <f>IF((AND(VaBenefits[[#This Row],[Is Anniversary?]],VaBenefits[[#This Row],[Assumed Contract Value ]]&lt;75000)),-50,0)</f>
        <v>0</v>
      </c>
      <c r="AF210" s="134">
        <f>VaBenefits[[#This Row],[Assumed Contract Value ]]*-1.15%/4</f>
        <v>0</v>
      </c>
      <c r="AG210" s="129">
        <v>0</v>
      </c>
      <c r="AH210" s="6">
        <f>VaBenefits[[#This Row],[Maintenace Fee]]+VaBenefits[[#This Row],[Separate Account Charge]]+VaBenefits[[#This Row],[Rider Fee]]</f>
        <v>0</v>
      </c>
      <c r="AR210" s="23">
        <f t="shared" si="24"/>
        <v>101</v>
      </c>
      <c r="AS210" s="24">
        <v>0</v>
      </c>
      <c r="AT210" s="24">
        <v>0</v>
      </c>
      <c r="AU210" s="22">
        <v>0</v>
      </c>
      <c r="AV210" s="16">
        <v>0</v>
      </c>
      <c r="AW210" s="14">
        <v>299982</v>
      </c>
      <c r="AX210" s="15">
        <v>0</v>
      </c>
      <c r="AY210" s="15">
        <v>0</v>
      </c>
      <c r="AZ210" s="14">
        <v>0</v>
      </c>
      <c r="BA210" s="17">
        <v>11999</v>
      </c>
    </row>
    <row r="211" spans="1:53" ht="15" thickBot="1" x14ac:dyDescent="0.35">
      <c r="A211" s="32">
        <f t="shared" si="23"/>
        <v>203</v>
      </c>
      <c r="B211" s="29">
        <f t="shared" si="22"/>
        <v>50.75</v>
      </c>
      <c r="C211" s="29" t="b">
        <f>AND(VaBenefits[[#This Row],[timeFromValuation]]&gt;=ACT,VaBenefits[[#This Row],[Assumed Contract Value ]]&gt;0)</f>
        <v>0</v>
      </c>
      <c r="D211" s="20">
        <v>0</v>
      </c>
      <c r="E211" s="20">
        <v>0</v>
      </c>
      <c r="F211" s="20">
        <v>0</v>
      </c>
      <c r="G211" s="96">
        <f>ROUND($G$8+VaBenefits[[#This Row],[timeFromValuation]],0)</f>
        <v>106</v>
      </c>
      <c r="H211" s="20">
        <f>ROUND($H$8+VaBenefits[[#This Row],[timeFromValuation]],0)</f>
        <v>116</v>
      </c>
      <c r="I211" s="27" t="b">
        <f>VaBenefits[[#This Row],[Withdrawal Taken  ]]&gt;0</f>
        <v>0</v>
      </c>
      <c r="J211" s="41">
        <f>IF(AND(NOT(VaBenefits[[#This Row],[Is Activation]]),VaBenefits[[#This Row],[Assumed Contract Value ]]&gt;0),VaBenefits[[#This Row],[Withdrawal Taken  ]]/VaBenefits[[#This Row],[Assumed Contract Value ]],0)</f>
        <v>0</v>
      </c>
      <c r="K21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1" s="27" t="b">
        <f ca="1">AND(VaBenefits[[#This Row],[Is Activation]],SUMIFS($E$8:$E211,$C$8:$C211,TRUE)&gt;0)</f>
        <v>0</v>
      </c>
      <c r="M21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1" s="32" t="b">
        <f>IF(VaBenefits[[#This Row],[timeFromValuation]]=0,0, MOD(VaBenefits[[#This Row],[timeFromValuation]],1)=0)</f>
        <v>0</v>
      </c>
      <c r="O211" s="7">
        <f>IF(VaBenefits[[#This Row],[Is Anniversary?]]=TRUE,VaBenefits[[#This Row],[Assumed Contract Value ]],0)</f>
        <v>0</v>
      </c>
      <c r="P21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1" s="7" t="b">
        <f>VaBenefits[[#This Row],[Assumed Contract Value ]]&lt;0.1</f>
        <v>1</v>
      </c>
      <c r="R21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1" s="7">
        <f ca="1">IF(AND(VaBenefits[[#This Row],[Is Activation]]=FALSE,VaBenefits[[#This Row],[Is Anniversary?]]=TRUE),OFFSET( VaBenefits[[#This Row],[Income Credit Base]],-1,0)*ICP,0)</f>
        <v>0</v>
      </c>
      <c r="T211" s="5">
        <f>IF(VaBenefits[[#This Row],[Assumed Contract Value ]]&gt;0,VaBenefits[[#This Row],[Income Base]]*MAWA,0)</f>
        <v>0</v>
      </c>
      <c r="U211" s="95">
        <v>21</v>
      </c>
      <c r="V211" s="92">
        <f>1/(1+InterestRate)^VaBenefits[[#This Row],[timeFromValuation]]</f>
        <v>8.4070391955115661E-2</v>
      </c>
      <c r="W211" s="93">
        <f>VaBenefits[[#This Row],[timeFromValuation]]</f>
        <v>50.75</v>
      </c>
      <c r="X211" s="91">
        <f>IF(($G$8+VaBenefits[[#This Row],[timeFromValuation]])&lt;=120,VLOOKUP(G211,Table2[],Qx!L$6,FALSE),0)</f>
        <v>0.637629</v>
      </c>
      <c r="Y211" s="91">
        <f>IF(($H$8+VaBenefits[[#This Row],[timeFromValuation]])&lt;=120,VLOOKUP(H211,Table2[],Qx!M$6,FALSE),0)</f>
        <v>0.6</v>
      </c>
      <c r="Z211" s="91">
        <v>0</v>
      </c>
      <c r="AA211" s="91">
        <v>0</v>
      </c>
      <c r="AB211" s="91">
        <v>0</v>
      </c>
      <c r="AC211" s="91">
        <v>0</v>
      </c>
      <c r="AD211" s="100">
        <f>PV(1.03,20,-VaBenefits[[#This Row],[Protected Income Payment]])</f>
        <v>20.388335078083163</v>
      </c>
      <c r="AE211" s="130">
        <f>IF((AND(VaBenefits[[#This Row],[Is Anniversary?]],VaBenefits[[#This Row],[Assumed Contract Value ]]&lt;75000)),-50,0)</f>
        <v>0</v>
      </c>
      <c r="AF211" s="134">
        <f>VaBenefits[[#This Row],[Assumed Contract Value ]]*-1.15%/4</f>
        <v>0</v>
      </c>
      <c r="AG211" s="129">
        <v>0</v>
      </c>
      <c r="AH211" s="6">
        <f>VaBenefits[[#This Row],[Maintenace Fee]]+VaBenefits[[#This Row],[Separate Account Charge]]+VaBenefits[[#This Row],[Rider Fee]]</f>
        <v>0</v>
      </c>
      <c r="AR211" s="23">
        <f t="shared" si="24"/>
        <v>101.5</v>
      </c>
      <c r="AS211" s="24">
        <v>0</v>
      </c>
      <c r="AT211" s="24">
        <v>0</v>
      </c>
      <c r="AU211" s="22">
        <v>0</v>
      </c>
      <c r="AV211" s="16">
        <v>0</v>
      </c>
      <c r="AW211" s="14">
        <v>299982</v>
      </c>
      <c r="AX211" s="15">
        <v>0</v>
      </c>
      <c r="AY211" s="15">
        <v>0</v>
      </c>
      <c r="AZ211" s="14">
        <v>0</v>
      </c>
      <c r="BA211" s="17">
        <v>11999</v>
      </c>
    </row>
    <row r="212" spans="1:53" ht="15" thickBot="1" x14ac:dyDescent="0.35">
      <c r="A212" s="32">
        <f t="shared" si="23"/>
        <v>204</v>
      </c>
      <c r="B212" s="29">
        <f t="shared" si="22"/>
        <v>51</v>
      </c>
      <c r="C212" s="29" t="b">
        <f>AND(VaBenefits[[#This Row],[timeFromValuation]]&gt;=ACT,VaBenefits[[#This Row],[Assumed Contract Value ]]&gt;0)</f>
        <v>0</v>
      </c>
      <c r="D212" s="20">
        <v>0</v>
      </c>
      <c r="E212" s="20">
        <v>0</v>
      </c>
      <c r="F212" s="20">
        <v>0</v>
      </c>
      <c r="G212" s="96">
        <f>ROUND($G$8+VaBenefits[[#This Row],[timeFromValuation]],0)</f>
        <v>106</v>
      </c>
      <c r="H212" s="20">
        <f>ROUND($H$8+VaBenefits[[#This Row],[timeFromValuation]],0)</f>
        <v>116</v>
      </c>
      <c r="I212" s="27" t="b">
        <f>VaBenefits[[#This Row],[Withdrawal Taken  ]]&gt;0</f>
        <v>0</v>
      </c>
      <c r="J212" s="41">
        <f>IF(AND(NOT(VaBenefits[[#This Row],[Is Activation]]),VaBenefits[[#This Row],[Assumed Contract Value ]]&gt;0),VaBenefits[[#This Row],[Withdrawal Taken  ]]/VaBenefits[[#This Row],[Assumed Contract Value ]],0)</f>
        <v>0</v>
      </c>
      <c r="K21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2" s="27" t="b">
        <f ca="1">AND(VaBenefits[[#This Row],[Is Activation]],SUMIFS($E$8:$E212,$C$8:$C212,TRUE)&gt;0)</f>
        <v>0</v>
      </c>
      <c r="M21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2" s="32" t="b">
        <f>IF(VaBenefits[[#This Row],[timeFromValuation]]=0,0, MOD(VaBenefits[[#This Row],[timeFromValuation]],1)=0)</f>
        <v>1</v>
      </c>
      <c r="O212" s="7">
        <f>IF(VaBenefits[[#This Row],[Is Anniversary?]]=TRUE,VaBenefits[[#This Row],[Assumed Contract Value ]],0)</f>
        <v>0</v>
      </c>
      <c r="P21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2" s="7" t="b">
        <f>VaBenefits[[#This Row],[Assumed Contract Value ]]&lt;0.1</f>
        <v>1</v>
      </c>
      <c r="R21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2" s="7">
        <f ca="1">IF(AND(VaBenefits[[#This Row],[Is Activation]]=FALSE,VaBenefits[[#This Row],[Is Anniversary?]]=TRUE),OFFSET( VaBenefits[[#This Row],[Income Credit Base]],-1,0)*ICP,0)</f>
        <v>0</v>
      </c>
      <c r="T212" s="5">
        <f>IF(VaBenefits[[#This Row],[Assumed Contract Value ]]&gt;0,VaBenefits[[#This Row],[Income Base]]*MAWA,0)</f>
        <v>0</v>
      </c>
      <c r="U212" s="95">
        <v>22</v>
      </c>
      <c r="V212" s="92">
        <f>1/(1+InterestRate)^VaBenefits[[#This Row],[timeFromValuation]]</f>
        <v>8.3051168545124371E-2</v>
      </c>
      <c r="W212" s="93">
        <f>VaBenefits[[#This Row],[timeFromValuation]]</f>
        <v>51</v>
      </c>
      <c r="X212" s="91">
        <f>IF(($G$8+VaBenefits[[#This Row],[timeFromValuation]])&lt;=120,VLOOKUP(G212,Table2[],Qx!L$6,FALSE),0)</f>
        <v>0.637629</v>
      </c>
      <c r="Y212" s="91">
        <f>IF(($H$8+VaBenefits[[#This Row],[timeFromValuation]])&lt;=120,VLOOKUP(H212,Table2[],Qx!M$6,FALSE),0)</f>
        <v>0.6</v>
      </c>
      <c r="Z212" s="91">
        <v>0</v>
      </c>
      <c r="AA212" s="91">
        <v>0</v>
      </c>
      <c r="AB212" s="91">
        <v>0</v>
      </c>
      <c r="AC212" s="91">
        <v>0</v>
      </c>
      <c r="AD212" s="100">
        <f>PV(1.03,20,-VaBenefits[[#This Row],[Protected Income Payment]])</f>
        <v>21.359208177039505</v>
      </c>
      <c r="AE212" s="130">
        <f>IF((AND(VaBenefits[[#This Row],[Is Anniversary?]],VaBenefits[[#This Row],[Assumed Contract Value ]]&lt;75000)),-50,0)</f>
        <v>-50</v>
      </c>
      <c r="AF212" s="134">
        <f>VaBenefits[[#This Row],[Assumed Contract Value ]]*-1.15%/4</f>
        <v>0</v>
      </c>
      <c r="AG212" s="129">
        <v>0</v>
      </c>
      <c r="AH212" s="6">
        <f>VaBenefits[[#This Row],[Maintenace Fee]]+VaBenefits[[#This Row],[Separate Account Charge]]+VaBenefits[[#This Row],[Rider Fee]]</f>
        <v>-50</v>
      </c>
      <c r="AR212" s="23">
        <f t="shared" si="24"/>
        <v>102</v>
      </c>
      <c r="AS212" s="24">
        <v>0</v>
      </c>
      <c r="AT212" s="24">
        <v>0</v>
      </c>
      <c r="AU212" s="22">
        <v>0</v>
      </c>
      <c r="AV212" s="16">
        <v>0</v>
      </c>
      <c r="AW212" s="14">
        <v>299982</v>
      </c>
      <c r="AX212" s="15">
        <v>0</v>
      </c>
      <c r="AY212" s="15">
        <v>0</v>
      </c>
      <c r="AZ212" s="14">
        <v>0</v>
      </c>
      <c r="BA212" s="17">
        <v>11999</v>
      </c>
    </row>
    <row r="213" spans="1:53" ht="15" thickBot="1" x14ac:dyDescent="0.35">
      <c r="A213" s="32">
        <f t="shared" si="23"/>
        <v>205</v>
      </c>
      <c r="B213" s="29">
        <f t="shared" si="22"/>
        <v>51.25</v>
      </c>
      <c r="C213" s="29" t="b">
        <f>AND(VaBenefits[[#This Row],[timeFromValuation]]&gt;=ACT,VaBenefits[[#This Row],[Assumed Contract Value ]]&gt;0)</f>
        <v>0</v>
      </c>
      <c r="D213" s="20">
        <v>0</v>
      </c>
      <c r="E213" s="20">
        <v>0</v>
      </c>
      <c r="F213" s="20">
        <v>0</v>
      </c>
      <c r="G213" s="96">
        <f>ROUND($G$8+VaBenefits[[#This Row],[timeFromValuation]],0)</f>
        <v>106</v>
      </c>
      <c r="H213" s="20">
        <f>ROUND($H$8+VaBenefits[[#This Row],[timeFromValuation]],0)</f>
        <v>116</v>
      </c>
      <c r="I213" s="27" t="b">
        <f>VaBenefits[[#This Row],[Withdrawal Taken  ]]&gt;0</f>
        <v>0</v>
      </c>
      <c r="J213" s="41">
        <f>IF(AND(NOT(VaBenefits[[#This Row],[Is Activation]]),VaBenefits[[#This Row],[Assumed Contract Value ]]&gt;0),VaBenefits[[#This Row],[Withdrawal Taken  ]]/VaBenefits[[#This Row],[Assumed Contract Value ]],0)</f>
        <v>0</v>
      </c>
      <c r="K21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3" s="27" t="b">
        <f ca="1">AND(VaBenefits[[#This Row],[Is Activation]],SUMIFS($E$8:$E213,$C$8:$C213,TRUE)&gt;0)</f>
        <v>0</v>
      </c>
      <c r="M21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3" s="32" t="b">
        <f>IF(VaBenefits[[#This Row],[timeFromValuation]]=0,0, MOD(VaBenefits[[#This Row],[timeFromValuation]],1)=0)</f>
        <v>0</v>
      </c>
      <c r="O213" s="7">
        <f>IF(VaBenefits[[#This Row],[Is Anniversary?]]=TRUE,VaBenefits[[#This Row],[Assumed Contract Value ]],0)</f>
        <v>0</v>
      </c>
      <c r="P21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3" s="7" t="b">
        <f>VaBenefits[[#This Row],[Assumed Contract Value ]]&lt;0.1</f>
        <v>1</v>
      </c>
      <c r="R21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3" s="7">
        <f ca="1">IF(AND(VaBenefits[[#This Row],[Is Activation]]=FALSE,VaBenefits[[#This Row],[Is Anniversary?]]=TRUE),OFFSET( VaBenefits[[#This Row],[Income Credit Base]],-1,0)*ICP,0)</f>
        <v>0</v>
      </c>
      <c r="T213" s="5">
        <f>IF(VaBenefits[[#This Row],[Assumed Contract Value ]]&gt;0,VaBenefits[[#This Row],[Income Base]]*MAWA,0)</f>
        <v>0</v>
      </c>
      <c r="U213" s="95">
        <v>23</v>
      </c>
      <c r="V213" s="92">
        <f>1/(1+InterestRate)^VaBenefits[[#This Row],[timeFromValuation]]</f>
        <v>8.2044301641809161E-2</v>
      </c>
      <c r="W213" s="93">
        <f>VaBenefits[[#This Row],[timeFromValuation]]</f>
        <v>51.25</v>
      </c>
      <c r="X213" s="91">
        <f>IF(($G$8+VaBenefits[[#This Row],[timeFromValuation]])&lt;=120,VLOOKUP(G213,Table2[],Qx!L$6,FALSE),0)</f>
        <v>0.637629</v>
      </c>
      <c r="Y213" s="91">
        <f>IF(($H$8+VaBenefits[[#This Row],[timeFromValuation]])&lt;=120,VLOOKUP(H213,Table2[],Qx!M$6,FALSE),0)</f>
        <v>0.6</v>
      </c>
      <c r="Z213" s="91">
        <v>0</v>
      </c>
      <c r="AA213" s="91">
        <v>0</v>
      </c>
      <c r="AB213" s="91">
        <v>0</v>
      </c>
      <c r="AC213" s="91">
        <v>0</v>
      </c>
      <c r="AD213" s="100">
        <f>PV(1.03,20,-VaBenefits[[#This Row],[Protected Income Payment]])</f>
        <v>22.330081275995848</v>
      </c>
      <c r="AE213" s="130">
        <f>IF((AND(VaBenefits[[#This Row],[Is Anniversary?]],VaBenefits[[#This Row],[Assumed Contract Value ]]&lt;75000)),-50,0)</f>
        <v>0</v>
      </c>
      <c r="AF213" s="134">
        <f>VaBenefits[[#This Row],[Assumed Contract Value ]]*-1.15%/4</f>
        <v>0</v>
      </c>
      <c r="AG213" s="129">
        <v>0</v>
      </c>
      <c r="AH213" s="6">
        <f>VaBenefits[[#This Row],[Maintenace Fee]]+VaBenefits[[#This Row],[Separate Account Charge]]+VaBenefits[[#This Row],[Rider Fee]]</f>
        <v>0</v>
      </c>
      <c r="AR213" s="23">
        <f t="shared" si="24"/>
        <v>102.5</v>
      </c>
      <c r="AS213" s="24">
        <v>0</v>
      </c>
      <c r="AT213" s="24">
        <v>0</v>
      </c>
      <c r="AU213" s="22">
        <v>0</v>
      </c>
      <c r="AV213" s="16">
        <v>0</v>
      </c>
      <c r="AW213" s="14">
        <v>299982</v>
      </c>
      <c r="AX213" s="15">
        <v>0</v>
      </c>
      <c r="AY213" s="15">
        <v>0</v>
      </c>
      <c r="AZ213" s="14">
        <v>0</v>
      </c>
      <c r="BA213" s="17">
        <v>11999</v>
      </c>
    </row>
    <row r="214" spans="1:53" ht="15" thickBot="1" x14ac:dyDescent="0.35">
      <c r="A214" s="32">
        <f t="shared" si="23"/>
        <v>206</v>
      </c>
      <c r="B214" s="29">
        <f t="shared" si="22"/>
        <v>51.5</v>
      </c>
      <c r="C214" s="29" t="b">
        <f>AND(VaBenefits[[#This Row],[timeFromValuation]]&gt;=ACT,VaBenefits[[#This Row],[Assumed Contract Value ]]&gt;0)</f>
        <v>0</v>
      </c>
      <c r="D214" s="20">
        <v>0</v>
      </c>
      <c r="E214" s="20">
        <v>0</v>
      </c>
      <c r="F214" s="20">
        <v>0</v>
      </c>
      <c r="G214" s="96">
        <f>ROUND($G$8+VaBenefits[[#This Row],[timeFromValuation]],0)</f>
        <v>107</v>
      </c>
      <c r="H214" s="20">
        <f>ROUND($H$8+VaBenefits[[#This Row],[timeFromValuation]],0)</f>
        <v>117</v>
      </c>
      <c r="I214" s="27" t="b">
        <f>VaBenefits[[#This Row],[Withdrawal Taken  ]]&gt;0</f>
        <v>0</v>
      </c>
      <c r="J214" s="41">
        <f>IF(AND(NOT(VaBenefits[[#This Row],[Is Activation]]),VaBenefits[[#This Row],[Assumed Contract Value ]]&gt;0),VaBenefits[[#This Row],[Withdrawal Taken  ]]/VaBenefits[[#This Row],[Assumed Contract Value ]],0)</f>
        <v>0</v>
      </c>
      <c r="K21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4" s="27" t="b">
        <f ca="1">AND(VaBenefits[[#This Row],[Is Activation]],SUMIFS($E$8:$E214,$C$8:$C214,TRUE)&gt;0)</f>
        <v>0</v>
      </c>
      <c r="M21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4" s="32" t="b">
        <f>IF(VaBenefits[[#This Row],[timeFromValuation]]=0,0, MOD(VaBenefits[[#This Row],[timeFromValuation]],1)=0)</f>
        <v>0</v>
      </c>
      <c r="O214" s="7">
        <f>IF(VaBenefits[[#This Row],[Is Anniversary?]]=TRUE,VaBenefits[[#This Row],[Assumed Contract Value ]],0)</f>
        <v>0</v>
      </c>
      <c r="P21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4" s="7" t="b">
        <f>VaBenefits[[#This Row],[Assumed Contract Value ]]&lt;0.1</f>
        <v>1</v>
      </c>
      <c r="R21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4" s="7">
        <f ca="1">IF(AND(VaBenefits[[#This Row],[Is Activation]]=FALSE,VaBenefits[[#This Row],[Is Anniversary?]]=TRUE),OFFSET( VaBenefits[[#This Row],[Income Credit Base]],-1,0)*ICP,0)</f>
        <v>0</v>
      </c>
      <c r="T214" s="5">
        <f>IF(VaBenefits[[#This Row],[Assumed Contract Value ]]&gt;0,VaBenefits[[#This Row],[Income Base]]*MAWA,0)</f>
        <v>0</v>
      </c>
      <c r="U214" s="95">
        <v>24</v>
      </c>
      <c r="V214" s="92">
        <f>1/(1+InterestRate)^VaBenefits[[#This Row],[timeFromValuation]]</f>
        <v>8.1049641441647682E-2</v>
      </c>
      <c r="W214" s="93">
        <f>VaBenefits[[#This Row],[timeFromValuation]]</f>
        <v>51.5</v>
      </c>
      <c r="X214" s="91">
        <f>IF(($G$8+VaBenefits[[#This Row],[timeFromValuation]])&lt;=120,VLOOKUP(G214,Table2[],Qx!L$6,FALSE),0)</f>
        <v>0.61588700000000007</v>
      </c>
      <c r="Y214" s="91">
        <f>IF(($H$8+VaBenefits[[#This Row],[timeFromValuation]])&lt;=120,VLOOKUP(H214,Table2[],Qx!M$6,FALSE),0)</f>
        <v>0.6</v>
      </c>
      <c r="Z214" s="91">
        <v>0</v>
      </c>
      <c r="AA214" s="91">
        <v>0</v>
      </c>
      <c r="AB214" s="91">
        <v>0</v>
      </c>
      <c r="AC214" s="91">
        <v>0</v>
      </c>
      <c r="AD214" s="100">
        <f>PV(1.03,20,-VaBenefits[[#This Row],[Protected Income Payment]])</f>
        <v>23.300954374952187</v>
      </c>
      <c r="AE214" s="130">
        <f>IF((AND(VaBenefits[[#This Row],[Is Anniversary?]],VaBenefits[[#This Row],[Assumed Contract Value ]]&lt;75000)),-50,0)</f>
        <v>0</v>
      </c>
      <c r="AF214" s="134">
        <f>VaBenefits[[#This Row],[Assumed Contract Value ]]*-1.15%/4</f>
        <v>0</v>
      </c>
      <c r="AG214" s="129">
        <v>0</v>
      </c>
      <c r="AH214" s="6">
        <f>VaBenefits[[#This Row],[Maintenace Fee]]+VaBenefits[[#This Row],[Separate Account Charge]]+VaBenefits[[#This Row],[Rider Fee]]</f>
        <v>0</v>
      </c>
      <c r="AR214" s="23">
        <f t="shared" si="24"/>
        <v>103</v>
      </c>
      <c r="AS214" s="24">
        <v>0</v>
      </c>
      <c r="AT214" s="24">
        <v>0</v>
      </c>
      <c r="AU214" s="22">
        <v>0</v>
      </c>
      <c r="AV214" s="16">
        <v>0</v>
      </c>
      <c r="AW214" s="14">
        <v>299982</v>
      </c>
      <c r="AX214" s="15">
        <v>0</v>
      </c>
      <c r="AY214" s="15">
        <v>0</v>
      </c>
      <c r="AZ214" s="14">
        <v>0</v>
      </c>
      <c r="BA214" s="17">
        <v>11999</v>
      </c>
    </row>
    <row r="215" spans="1:53" ht="15" thickBot="1" x14ac:dyDescent="0.35">
      <c r="A215" s="32">
        <f t="shared" si="23"/>
        <v>207</v>
      </c>
      <c r="B215" s="29">
        <f t="shared" si="22"/>
        <v>51.75</v>
      </c>
      <c r="C215" s="29" t="b">
        <f>AND(VaBenefits[[#This Row],[timeFromValuation]]&gt;=ACT,VaBenefits[[#This Row],[Assumed Contract Value ]]&gt;0)</f>
        <v>0</v>
      </c>
      <c r="D215" s="20">
        <v>0</v>
      </c>
      <c r="E215" s="20">
        <v>0</v>
      </c>
      <c r="F215" s="20">
        <v>0</v>
      </c>
      <c r="G215" s="96">
        <f>ROUND($G$8+VaBenefits[[#This Row],[timeFromValuation]],0)</f>
        <v>107</v>
      </c>
      <c r="H215" s="20">
        <f>ROUND($H$8+VaBenefits[[#This Row],[timeFromValuation]],0)</f>
        <v>117</v>
      </c>
      <c r="I215" s="27" t="b">
        <f>VaBenefits[[#This Row],[Withdrawal Taken  ]]&gt;0</f>
        <v>0</v>
      </c>
      <c r="J215" s="41">
        <f>IF(AND(NOT(VaBenefits[[#This Row],[Is Activation]]),VaBenefits[[#This Row],[Assumed Contract Value ]]&gt;0),VaBenefits[[#This Row],[Withdrawal Taken  ]]/VaBenefits[[#This Row],[Assumed Contract Value ]],0)</f>
        <v>0</v>
      </c>
      <c r="K21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5" s="27" t="b">
        <f ca="1">AND(VaBenefits[[#This Row],[Is Activation]],SUMIFS($E$8:$E215,$C$8:$C215,TRUE)&gt;0)</f>
        <v>0</v>
      </c>
      <c r="M21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5" s="32" t="b">
        <f>IF(VaBenefits[[#This Row],[timeFromValuation]]=0,0, MOD(VaBenefits[[#This Row],[timeFromValuation]],1)=0)</f>
        <v>0</v>
      </c>
      <c r="O215" s="7">
        <f>IF(VaBenefits[[#This Row],[Is Anniversary?]]=TRUE,VaBenefits[[#This Row],[Assumed Contract Value ]],0)</f>
        <v>0</v>
      </c>
      <c r="P21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5" s="7" t="b">
        <f>VaBenefits[[#This Row],[Assumed Contract Value ]]&lt;0.1</f>
        <v>1</v>
      </c>
      <c r="R21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5" s="7">
        <f ca="1">IF(AND(VaBenefits[[#This Row],[Is Activation]]=FALSE,VaBenefits[[#This Row],[Is Anniversary?]]=TRUE),OFFSET( VaBenefits[[#This Row],[Income Credit Base]],-1,0)*ICP,0)</f>
        <v>0</v>
      </c>
      <c r="T215" s="5">
        <f>IF(VaBenefits[[#This Row],[Assumed Contract Value ]]&gt;0,VaBenefits[[#This Row],[Income Base]]*MAWA,0)</f>
        <v>0</v>
      </c>
      <c r="U215" s="95">
        <v>25</v>
      </c>
      <c r="V215" s="92">
        <f>1/(1+InterestRate)^VaBenefits[[#This Row],[timeFromValuation]]</f>
        <v>8.0067039957253006E-2</v>
      </c>
      <c r="W215" s="93">
        <f>VaBenefits[[#This Row],[timeFromValuation]]</f>
        <v>51.75</v>
      </c>
      <c r="X215" s="91">
        <f>IF(($G$8+VaBenefits[[#This Row],[timeFromValuation]])&lt;=120,VLOOKUP(G215,Table2[],Qx!L$6,FALSE),0)</f>
        <v>0.61588700000000007</v>
      </c>
      <c r="Y215" s="91">
        <f>IF(($H$8+VaBenefits[[#This Row],[timeFromValuation]])&lt;=120,VLOOKUP(H215,Table2[],Qx!M$6,FALSE),0)</f>
        <v>0.6</v>
      </c>
      <c r="Z215" s="91">
        <v>0</v>
      </c>
      <c r="AA215" s="91">
        <v>0</v>
      </c>
      <c r="AB215" s="91">
        <v>0</v>
      </c>
      <c r="AC215" s="91">
        <v>0</v>
      </c>
      <c r="AD215" s="100">
        <f>PV(1.03,20,-VaBenefits[[#This Row],[Protected Income Payment]])</f>
        <v>24.27182747390853</v>
      </c>
      <c r="AE215" s="130">
        <f>IF((AND(VaBenefits[[#This Row],[Is Anniversary?]],VaBenefits[[#This Row],[Assumed Contract Value ]]&lt;75000)),-50,0)</f>
        <v>0</v>
      </c>
      <c r="AF215" s="134">
        <f>VaBenefits[[#This Row],[Assumed Contract Value ]]*-1.15%/4</f>
        <v>0</v>
      </c>
      <c r="AG215" s="129">
        <v>0</v>
      </c>
      <c r="AH215" s="6">
        <f>VaBenefits[[#This Row],[Maintenace Fee]]+VaBenefits[[#This Row],[Separate Account Charge]]+VaBenefits[[#This Row],[Rider Fee]]</f>
        <v>0</v>
      </c>
      <c r="AR215" s="23">
        <f t="shared" si="24"/>
        <v>103.5</v>
      </c>
      <c r="AS215" s="24">
        <v>0</v>
      </c>
      <c r="AT215" s="24">
        <v>0</v>
      </c>
      <c r="AU215" s="22">
        <v>0</v>
      </c>
      <c r="AV215" s="16">
        <v>0</v>
      </c>
      <c r="AW215" s="14">
        <v>299982</v>
      </c>
      <c r="AX215" s="15">
        <v>0</v>
      </c>
      <c r="AY215" s="15">
        <v>0</v>
      </c>
      <c r="AZ215" s="14">
        <v>0</v>
      </c>
      <c r="BA215" s="17">
        <v>11999</v>
      </c>
    </row>
    <row r="216" spans="1:53" ht="15" thickBot="1" x14ac:dyDescent="0.35">
      <c r="A216" s="32">
        <f t="shared" si="23"/>
        <v>208</v>
      </c>
      <c r="B216" s="29">
        <f t="shared" si="22"/>
        <v>52</v>
      </c>
      <c r="C216" s="29" t="b">
        <f>AND(VaBenefits[[#This Row],[timeFromValuation]]&gt;=ACT,VaBenefits[[#This Row],[Assumed Contract Value ]]&gt;0)</f>
        <v>0</v>
      </c>
      <c r="D216" s="20">
        <v>0</v>
      </c>
      <c r="E216" s="20">
        <v>0</v>
      </c>
      <c r="F216" s="20">
        <v>0</v>
      </c>
      <c r="G216" s="96">
        <f>ROUND($G$8+VaBenefits[[#This Row],[timeFromValuation]],0)</f>
        <v>107</v>
      </c>
      <c r="H216" s="20">
        <f>ROUND($H$8+VaBenefits[[#This Row],[timeFromValuation]],0)</f>
        <v>117</v>
      </c>
      <c r="I216" s="27" t="b">
        <f>VaBenefits[[#This Row],[Withdrawal Taken  ]]&gt;0</f>
        <v>0</v>
      </c>
      <c r="J216" s="41">
        <f>IF(AND(NOT(VaBenefits[[#This Row],[Is Activation]]),VaBenefits[[#This Row],[Assumed Contract Value ]]&gt;0),VaBenefits[[#This Row],[Withdrawal Taken  ]]/VaBenefits[[#This Row],[Assumed Contract Value ]],0)</f>
        <v>0</v>
      </c>
      <c r="K21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6" s="27" t="b">
        <f ca="1">AND(VaBenefits[[#This Row],[Is Activation]],SUMIFS($E$8:$E216,$C$8:$C216,TRUE)&gt;0)</f>
        <v>0</v>
      </c>
      <c r="M21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6" s="32" t="b">
        <f>IF(VaBenefits[[#This Row],[timeFromValuation]]=0,0, MOD(VaBenefits[[#This Row],[timeFromValuation]],1)=0)</f>
        <v>1</v>
      </c>
      <c r="O216" s="7">
        <f>IF(VaBenefits[[#This Row],[Is Anniversary?]]=TRUE,VaBenefits[[#This Row],[Assumed Contract Value ]],0)</f>
        <v>0</v>
      </c>
      <c r="P21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6" s="7" t="b">
        <f>VaBenefits[[#This Row],[Assumed Contract Value ]]&lt;0.1</f>
        <v>1</v>
      </c>
      <c r="R21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6" s="7">
        <f ca="1">IF(AND(VaBenefits[[#This Row],[Is Activation]]=FALSE,VaBenefits[[#This Row],[Is Anniversary?]]=TRUE),OFFSET( VaBenefits[[#This Row],[Income Credit Base]],-1,0)*ICP,0)</f>
        <v>0</v>
      </c>
      <c r="T216" s="5">
        <f>IF(VaBenefits[[#This Row],[Assumed Contract Value ]]&gt;0,VaBenefits[[#This Row],[Income Base]]*MAWA,0)</f>
        <v>0</v>
      </c>
      <c r="U216" s="95">
        <v>26</v>
      </c>
      <c r="V216" s="92">
        <f>1/(1+InterestRate)^VaBenefits[[#This Row],[timeFromValuation]]</f>
        <v>7.9096350995356543E-2</v>
      </c>
      <c r="W216" s="93">
        <f>VaBenefits[[#This Row],[timeFromValuation]]</f>
        <v>52</v>
      </c>
      <c r="X216" s="91">
        <f>IF(($G$8+VaBenefits[[#This Row],[timeFromValuation]])&lt;=120,VLOOKUP(G216,Table2[],Qx!L$6,FALSE),0)</f>
        <v>0.61588700000000007</v>
      </c>
      <c r="Y216" s="91">
        <f>IF(($H$8+VaBenefits[[#This Row],[timeFromValuation]])&lt;=120,VLOOKUP(H216,Table2[],Qx!M$6,FALSE),0)</f>
        <v>0.6</v>
      </c>
      <c r="Z216" s="91">
        <v>0</v>
      </c>
      <c r="AA216" s="91">
        <v>0</v>
      </c>
      <c r="AB216" s="91">
        <v>0</v>
      </c>
      <c r="AC216" s="91">
        <v>0</v>
      </c>
      <c r="AD216" s="100">
        <f>PV(1.03,20,-VaBenefits[[#This Row],[Protected Income Payment]])</f>
        <v>25.242700572864873</v>
      </c>
      <c r="AE216" s="130">
        <f>IF((AND(VaBenefits[[#This Row],[Is Anniversary?]],VaBenefits[[#This Row],[Assumed Contract Value ]]&lt;75000)),-50,0)</f>
        <v>-50</v>
      </c>
      <c r="AF216" s="134">
        <f>VaBenefits[[#This Row],[Assumed Contract Value ]]*-1.15%/4</f>
        <v>0</v>
      </c>
      <c r="AG216" s="129">
        <v>0</v>
      </c>
      <c r="AH216" s="6">
        <f>VaBenefits[[#This Row],[Maintenace Fee]]+VaBenefits[[#This Row],[Separate Account Charge]]+VaBenefits[[#This Row],[Rider Fee]]</f>
        <v>-50</v>
      </c>
      <c r="AR216" s="23">
        <f t="shared" si="24"/>
        <v>104</v>
      </c>
      <c r="AS216" s="24">
        <v>0</v>
      </c>
      <c r="AT216" s="24">
        <v>0</v>
      </c>
      <c r="AU216" s="22">
        <v>0</v>
      </c>
      <c r="AV216" s="16">
        <v>0</v>
      </c>
      <c r="AW216" s="14">
        <v>299982</v>
      </c>
      <c r="AX216" s="15">
        <v>0</v>
      </c>
      <c r="AY216" s="15">
        <v>0</v>
      </c>
      <c r="AZ216" s="14">
        <v>0</v>
      </c>
      <c r="BA216" s="17">
        <v>11999</v>
      </c>
    </row>
    <row r="217" spans="1:53" ht="15" thickBot="1" x14ac:dyDescent="0.35">
      <c r="A217" s="32">
        <f t="shared" si="23"/>
        <v>209</v>
      </c>
      <c r="B217" s="29">
        <f t="shared" si="22"/>
        <v>52.25</v>
      </c>
      <c r="C217" s="29" t="b">
        <f>AND(VaBenefits[[#This Row],[timeFromValuation]]&gt;=ACT,VaBenefits[[#This Row],[Assumed Contract Value ]]&gt;0)</f>
        <v>0</v>
      </c>
      <c r="D217" s="20">
        <v>0</v>
      </c>
      <c r="E217" s="20">
        <v>0</v>
      </c>
      <c r="F217" s="20">
        <v>0</v>
      </c>
      <c r="G217" s="96">
        <f>ROUND($G$8+VaBenefits[[#This Row],[timeFromValuation]],0)</f>
        <v>107</v>
      </c>
      <c r="H217" s="20">
        <f>ROUND($H$8+VaBenefits[[#This Row],[timeFromValuation]],0)</f>
        <v>117</v>
      </c>
      <c r="I217" s="27" t="b">
        <f>VaBenefits[[#This Row],[Withdrawal Taken  ]]&gt;0</f>
        <v>0</v>
      </c>
      <c r="J217" s="41">
        <f>IF(AND(NOT(VaBenefits[[#This Row],[Is Activation]]),VaBenefits[[#This Row],[Assumed Contract Value ]]&gt;0),VaBenefits[[#This Row],[Withdrawal Taken  ]]/VaBenefits[[#This Row],[Assumed Contract Value ]],0)</f>
        <v>0</v>
      </c>
      <c r="K21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7" s="27" t="b">
        <f ca="1">AND(VaBenefits[[#This Row],[Is Activation]],SUMIFS($E$8:$E217,$C$8:$C217,TRUE)&gt;0)</f>
        <v>0</v>
      </c>
      <c r="M21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7" s="32" t="b">
        <f>IF(VaBenefits[[#This Row],[timeFromValuation]]=0,0, MOD(VaBenefits[[#This Row],[timeFromValuation]],1)=0)</f>
        <v>0</v>
      </c>
      <c r="O217" s="7">
        <f>IF(VaBenefits[[#This Row],[Is Anniversary?]]=TRUE,VaBenefits[[#This Row],[Assumed Contract Value ]],0)</f>
        <v>0</v>
      </c>
      <c r="P21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7" s="7" t="b">
        <f>VaBenefits[[#This Row],[Assumed Contract Value ]]&lt;0.1</f>
        <v>1</v>
      </c>
      <c r="R21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7" s="7">
        <f ca="1">IF(AND(VaBenefits[[#This Row],[Is Activation]]=FALSE,VaBenefits[[#This Row],[Is Anniversary?]]=TRUE),OFFSET( VaBenefits[[#This Row],[Income Credit Base]],-1,0)*ICP,0)</f>
        <v>0</v>
      </c>
      <c r="T217" s="5">
        <f>IF(VaBenefits[[#This Row],[Assumed Contract Value ]]&gt;0,VaBenefits[[#This Row],[Income Base]]*MAWA,0)</f>
        <v>0</v>
      </c>
      <c r="U217" s="95">
        <v>27</v>
      </c>
      <c r="V217" s="92">
        <f>1/(1+InterestRate)^VaBenefits[[#This Row],[timeFromValuation]]</f>
        <v>7.8137430135056335E-2</v>
      </c>
      <c r="W217" s="93">
        <f>VaBenefits[[#This Row],[timeFromValuation]]</f>
        <v>52.25</v>
      </c>
      <c r="X217" s="91">
        <f>IF(($G$8+VaBenefits[[#This Row],[timeFromValuation]])&lt;=120,VLOOKUP(G217,Table2[],Qx!L$6,FALSE),0)</f>
        <v>0.61588700000000007</v>
      </c>
      <c r="Y217" s="91">
        <f>IF(($H$8+VaBenefits[[#This Row],[timeFromValuation]])&lt;=120,VLOOKUP(H217,Table2[],Qx!M$6,FALSE),0)</f>
        <v>0.6</v>
      </c>
      <c r="Z217" s="91">
        <v>0</v>
      </c>
      <c r="AA217" s="91">
        <v>0</v>
      </c>
      <c r="AB217" s="91">
        <v>0</v>
      </c>
      <c r="AC217" s="91">
        <v>0</v>
      </c>
      <c r="AD217" s="100">
        <f>PV(1.03,20,-VaBenefits[[#This Row],[Protected Income Payment]])</f>
        <v>26.213573671821212</v>
      </c>
      <c r="AE217" s="130">
        <f>IF((AND(VaBenefits[[#This Row],[Is Anniversary?]],VaBenefits[[#This Row],[Assumed Contract Value ]]&lt;75000)),-50,0)</f>
        <v>0</v>
      </c>
      <c r="AF217" s="134">
        <f>VaBenefits[[#This Row],[Assumed Contract Value ]]*-1.15%/4</f>
        <v>0</v>
      </c>
      <c r="AG217" s="129">
        <v>0</v>
      </c>
      <c r="AH217" s="6">
        <f>VaBenefits[[#This Row],[Maintenace Fee]]+VaBenefits[[#This Row],[Separate Account Charge]]+VaBenefits[[#This Row],[Rider Fee]]</f>
        <v>0</v>
      </c>
      <c r="AR217" s="23">
        <f t="shared" si="24"/>
        <v>104.5</v>
      </c>
      <c r="AS217" s="24">
        <v>0</v>
      </c>
      <c r="AT217" s="24">
        <v>0</v>
      </c>
      <c r="AU217" s="22">
        <v>0</v>
      </c>
      <c r="AV217" s="16">
        <v>0</v>
      </c>
      <c r="AW217" s="14">
        <v>299982</v>
      </c>
      <c r="AX217" s="15">
        <v>0</v>
      </c>
      <c r="AY217" s="15">
        <v>0</v>
      </c>
      <c r="AZ217" s="14">
        <v>0</v>
      </c>
      <c r="BA217" s="17">
        <v>11999</v>
      </c>
    </row>
    <row r="218" spans="1:53" ht="15" thickBot="1" x14ac:dyDescent="0.35">
      <c r="A218" s="32">
        <f t="shared" si="23"/>
        <v>210</v>
      </c>
      <c r="B218" s="29">
        <f t="shared" si="22"/>
        <v>52.5</v>
      </c>
      <c r="C218" s="29" t="b">
        <f>AND(VaBenefits[[#This Row],[timeFromValuation]]&gt;=ACT,VaBenefits[[#This Row],[Assumed Contract Value ]]&gt;0)</f>
        <v>0</v>
      </c>
      <c r="D218" s="20">
        <v>0</v>
      </c>
      <c r="E218" s="20">
        <v>0</v>
      </c>
      <c r="F218" s="20">
        <v>0</v>
      </c>
      <c r="G218" s="96">
        <f>ROUND($G$8+VaBenefits[[#This Row],[timeFromValuation]],0)</f>
        <v>108</v>
      </c>
      <c r="H218" s="20">
        <f>ROUND($H$8+VaBenefits[[#This Row],[timeFromValuation]],0)</f>
        <v>118</v>
      </c>
      <c r="I218" s="27" t="b">
        <f>VaBenefits[[#This Row],[Withdrawal Taken  ]]&gt;0</f>
        <v>0</v>
      </c>
      <c r="J218" s="41">
        <f>IF(AND(NOT(VaBenefits[[#This Row],[Is Activation]]),VaBenefits[[#This Row],[Assumed Contract Value ]]&gt;0),VaBenefits[[#This Row],[Withdrawal Taken  ]]/VaBenefits[[#This Row],[Assumed Contract Value ]],0)</f>
        <v>0</v>
      </c>
      <c r="K21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8" s="27" t="b">
        <f ca="1">AND(VaBenefits[[#This Row],[Is Activation]],SUMIFS($E$8:$E218,$C$8:$C218,TRUE)&gt;0)</f>
        <v>0</v>
      </c>
      <c r="M21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8" s="32" t="b">
        <f>IF(VaBenefits[[#This Row],[timeFromValuation]]=0,0, MOD(VaBenefits[[#This Row],[timeFromValuation]],1)=0)</f>
        <v>0</v>
      </c>
      <c r="O218" s="7">
        <f>IF(VaBenefits[[#This Row],[Is Anniversary?]]=TRUE,VaBenefits[[#This Row],[Assumed Contract Value ]],0)</f>
        <v>0</v>
      </c>
      <c r="P21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8" s="7" t="b">
        <f>VaBenefits[[#This Row],[Assumed Contract Value ]]&lt;0.1</f>
        <v>1</v>
      </c>
      <c r="R21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8" s="7">
        <f ca="1">IF(AND(VaBenefits[[#This Row],[Is Activation]]=FALSE,VaBenefits[[#This Row],[Is Anniversary?]]=TRUE),OFFSET( VaBenefits[[#This Row],[Income Credit Base]],-1,0)*ICP,0)</f>
        <v>0</v>
      </c>
      <c r="T218" s="5">
        <f>IF(VaBenefits[[#This Row],[Assumed Contract Value ]]&gt;0,VaBenefits[[#This Row],[Income Base]]*MAWA,0)</f>
        <v>0</v>
      </c>
      <c r="U218" s="95">
        <v>28</v>
      </c>
      <c r="V218" s="92">
        <f>1/(1+InterestRate)^VaBenefits[[#This Row],[timeFromValuation]]</f>
        <v>7.7190134706331112E-2</v>
      </c>
      <c r="W218" s="93">
        <f>VaBenefits[[#This Row],[timeFromValuation]]</f>
        <v>52.5</v>
      </c>
      <c r="X218" s="91">
        <f>IF(($G$8+VaBenefits[[#This Row],[timeFromValuation]])&lt;=120,VLOOKUP(G218,Table2[],Qx!L$6,FALSE),0)</f>
        <v>0.6</v>
      </c>
      <c r="Y218" s="91">
        <f>IF(($H$8+VaBenefits[[#This Row],[timeFromValuation]])&lt;=120,VLOOKUP(H218,Table2[],Qx!M$6,FALSE),0)</f>
        <v>0.6</v>
      </c>
      <c r="Z218" s="91">
        <v>0</v>
      </c>
      <c r="AA218" s="91">
        <v>0</v>
      </c>
      <c r="AB218" s="91">
        <v>0</v>
      </c>
      <c r="AC218" s="91">
        <v>0</v>
      </c>
      <c r="AD218" s="100">
        <f>PV(1.03,20,-VaBenefits[[#This Row],[Protected Income Payment]])</f>
        <v>27.184446770777555</v>
      </c>
      <c r="AE218" s="130">
        <f>IF((AND(VaBenefits[[#This Row],[Is Anniversary?]],VaBenefits[[#This Row],[Assumed Contract Value ]]&lt;75000)),-50,0)</f>
        <v>0</v>
      </c>
      <c r="AF218" s="134">
        <f>VaBenefits[[#This Row],[Assumed Contract Value ]]*-1.15%/4</f>
        <v>0</v>
      </c>
      <c r="AG218" s="129">
        <v>0</v>
      </c>
      <c r="AH218" s="6">
        <f>VaBenefits[[#This Row],[Maintenace Fee]]+VaBenefits[[#This Row],[Separate Account Charge]]+VaBenefits[[#This Row],[Rider Fee]]</f>
        <v>0</v>
      </c>
      <c r="AR218" s="23">
        <f t="shared" si="24"/>
        <v>105</v>
      </c>
      <c r="AS218" s="24">
        <v>0</v>
      </c>
      <c r="AT218" s="24">
        <v>0</v>
      </c>
      <c r="AU218" s="22">
        <v>0</v>
      </c>
      <c r="AV218" s="16">
        <v>0</v>
      </c>
      <c r="AW218" s="14">
        <v>299982</v>
      </c>
      <c r="AX218" s="15">
        <v>0</v>
      </c>
      <c r="AY218" s="15">
        <v>0</v>
      </c>
      <c r="AZ218" s="14">
        <v>0</v>
      </c>
      <c r="BA218" s="17">
        <v>11999</v>
      </c>
    </row>
    <row r="219" spans="1:53" ht="15" thickBot="1" x14ac:dyDescent="0.35">
      <c r="A219" s="32">
        <f t="shared" si="23"/>
        <v>211</v>
      </c>
      <c r="B219" s="29">
        <f t="shared" si="22"/>
        <v>52.75</v>
      </c>
      <c r="C219" s="29" t="b">
        <f>AND(VaBenefits[[#This Row],[timeFromValuation]]&gt;=ACT,VaBenefits[[#This Row],[Assumed Contract Value ]]&gt;0)</f>
        <v>0</v>
      </c>
      <c r="D219" s="20">
        <v>0</v>
      </c>
      <c r="E219" s="20">
        <v>0</v>
      </c>
      <c r="F219" s="20">
        <v>0</v>
      </c>
      <c r="G219" s="96">
        <f>ROUND($G$8+VaBenefits[[#This Row],[timeFromValuation]],0)</f>
        <v>108</v>
      </c>
      <c r="H219" s="20">
        <f>ROUND($H$8+VaBenefits[[#This Row],[timeFromValuation]],0)</f>
        <v>118</v>
      </c>
      <c r="I219" s="27" t="b">
        <f>VaBenefits[[#This Row],[Withdrawal Taken  ]]&gt;0</f>
        <v>0</v>
      </c>
      <c r="J219" s="41">
        <f>IF(AND(NOT(VaBenefits[[#This Row],[Is Activation]]),VaBenefits[[#This Row],[Assumed Contract Value ]]&gt;0),VaBenefits[[#This Row],[Withdrawal Taken  ]]/VaBenefits[[#This Row],[Assumed Contract Value ]],0)</f>
        <v>0</v>
      </c>
      <c r="K21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9" s="27" t="b">
        <f ca="1">AND(VaBenefits[[#This Row],[Is Activation]],SUMIFS($E$8:$E219,$C$8:$C219,TRUE)&gt;0)</f>
        <v>0</v>
      </c>
      <c r="M21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9" s="32" t="b">
        <f>IF(VaBenefits[[#This Row],[timeFromValuation]]=0,0, MOD(VaBenefits[[#This Row],[timeFromValuation]],1)=0)</f>
        <v>0</v>
      </c>
      <c r="O219" s="7">
        <f>IF(VaBenefits[[#This Row],[Is Anniversary?]]=TRUE,VaBenefits[[#This Row],[Assumed Contract Value ]],0)</f>
        <v>0</v>
      </c>
      <c r="P21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9" s="7" t="b">
        <f>VaBenefits[[#This Row],[Assumed Contract Value ]]&lt;0.1</f>
        <v>1</v>
      </c>
      <c r="R21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9" s="7">
        <f ca="1">IF(AND(VaBenefits[[#This Row],[Is Activation]]=FALSE,VaBenefits[[#This Row],[Is Anniversary?]]=TRUE),OFFSET( VaBenefits[[#This Row],[Income Credit Base]],-1,0)*ICP,0)</f>
        <v>0</v>
      </c>
      <c r="T219" s="5">
        <f>IF(VaBenefits[[#This Row],[Assumed Contract Value ]]&gt;0,VaBenefits[[#This Row],[Income Base]]*MAWA,0)</f>
        <v>0</v>
      </c>
      <c r="U219" s="95">
        <v>29</v>
      </c>
      <c r="V219" s="92">
        <f>1/(1+InterestRate)^VaBenefits[[#This Row],[timeFromValuation]]</f>
        <v>7.6254323768812374E-2</v>
      </c>
      <c r="W219" s="93">
        <f>VaBenefits[[#This Row],[timeFromValuation]]</f>
        <v>52.75</v>
      </c>
      <c r="X219" s="91">
        <f>IF(($G$8+VaBenefits[[#This Row],[timeFromValuation]])&lt;=120,VLOOKUP(G219,Table2[],Qx!L$6,FALSE),0)</f>
        <v>0.6</v>
      </c>
      <c r="Y219" s="91">
        <f>IF(($H$8+VaBenefits[[#This Row],[timeFromValuation]])&lt;=120,VLOOKUP(H219,Table2[],Qx!M$6,FALSE),0)</f>
        <v>0.6</v>
      </c>
      <c r="Z219" s="91">
        <v>0</v>
      </c>
      <c r="AA219" s="91">
        <v>0</v>
      </c>
      <c r="AB219" s="91">
        <v>0</v>
      </c>
      <c r="AC219" s="91">
        <v>0</v>
      </c>
      <c r="AD219" s="100">
        <f>PV(1.03,20,-VaBenefits[[#This Row],[Protected Income Payment]])</f>
        <v>28.155319869733891</v>
      </c>
      <c r="AE219" s="130">
        <f>IF((AND(VaBenefits[[#This Row],[Is Anniversary?]],VaBenefits[[#This Row],[Assumed Contract Value ]]&lt;75000)),-50,0)</f>
        <v>0</v>
      </c>
      <c r="AF219" s="134">
        <f>VaBenefits[[#This Row],[Assumed Contract Value ]]*-1.15%/4</f>
        <v>0</v>
      </c>
      <c r="AG219" s="129">
        <v>0</v>
      </c>
      <c r="AH219" s="6">
        <f>VaBenefits[[#This Row],[Maintenace Fee]]+VaBenefits[[#This Row],[Separate Account Charge]]+VaBenefits[[#This Row],[Rider Fee]]</f>
        <v>0</v>
      </c>
      <c r="AR219" s="23">
        <f t="shared" si="24"/>
        <v>105.5</v>
      </c>
      <c r="AS219" s="24">
        <v>0</v>
      </c>
      <c r="AT219" s="24">
        <v>0</v>
      </c>
      <c r="AU219" s="22">
        <v>0</v>
      </c>
      <c r="AV219" s="16">
        <v>0</v>
      </c>
      <c r="AW219" s="14">
        <v>299982</v>
      </c>
      <c r="AX219" s="15">
        <v>0</v>
      </c>
      <c r="AY219" s="15">
        <v>0</v>
      </c>
      <c r="AZ219" s="14">
        <v>0</v>
      </c>
      <c r="BA219" s="17">
        <v>11999</v>
      </c>
    </row>
    <row r="220" spans="1:53" ht="15" thickBot="1" x14ac:dyDescent="0.35">
      <c r="A220" s="32">
        <f t="shared" si="23"/>
        <v>212</v>
      </c>
      <c r="B220" s="29">
        <f t="shared" si="22"/>
        <v>53</v>
      </c>
      <c r="C220" s="29" t="b">
        <f>AND(VaBenefits[[#This Row],[timeFromValuation]]&gt;=ACT,VaBenefits[[#This Row],[Assumed Contract Value ]]&gt;0)</f>
        <v>0</v>
      </c>
      <c r="D220" s="20">
        <v>0</v>
      </c>
      <c r="E220" s="20">
        <v>0</v>
      </c>
      <c r="F220" s="20">
        <v>0</v>
      </c>
      <c r="G220" s="96">
        <f>ROUND($G$8+VaBenefits[[#This Row],[timeFromValuation]],0)</f>
        <v>108</v>
      </c>
      <c r="H220" s="20">
        <f>ROUND($H$8+VaBenefits[[#This Row],[timeFromValuation]],0)</f>
        <v>118</v>
      </c>
      <c r="I220" s="27" t="b">
        <f>VaBenefits[[#This Row],[Withdrawal Taken  ]]&gt;0</f>
        <v>0</v>
      </c>
      <c r="J220" s="41">
        <f>IF(AND(NOT(VaBenefits[[#This Row],[Is Activation]]),VaBenefits[[#This Row],[Assumed Contract Value ]]&gt;0),VaBenefits[[#This Row],[Withdrawal Taken  ]]/VaBenefits[[#This Row],[Assumed Contract Value ]],0)</f>
        <v>0</v>
      </c>
      <c r="K22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0" s="27" t="b">
        <f ca="1">AND(VaBenefits[[#This Row],[Is Activation]],SUMIFS($E$8:$E220,$C$8:$C220,TRUE)&gt;0)</f>
        <v>0</v>
      </c>
      <c r="M22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0" s="32" t="b">
        <f>IF(VaBenefits[[#This Row],[timeFromValuation]]=0,0, MOD(VaBenefits[[#This Row],[timeFromValuation]],1)=0)</f>
        <v>1</v>
      </c>
      <c r="O220" s="7">
        <f>IF(VaBenefits[[#This Row],[Is Anniversary?]]=TRUE,VaBenefits[[#This Row],[Assumed Contract Value ]],0)</f>
        <v>0</v>
      </c>
      <c r="P22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0" s="7" t="b">
        <f>VaBenefits[[#This Row],[Assumed Contract Value ]]&lt;0.1</f>
        <v>1</v>
      </c>
      <c r="R22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0" s="7">
        <f ca="1">IF(AND(VaBenefits[[#This Row],[Is Activation]]=FALSE,VaBenefits[[#This Row],[Is Anniversary?]]=TRUE),OFFSET( VaBenefits[[#This Row],[Income Credit Base]],-1,0)*ICP,0)</f>
        <v>0</v>
      </c>
      <c r="T220" s="5">
        <f>IF(VaBenefits[[#This Row],[Assumed Contract Value ]]&gt;0,VaBenefits[[#This Row],[Income Base]]*MAWA,0)</f>
        <v>0</v>
      </c>
      <c r="U220" s="95">
        <v>30</v>
      </c>
      <c r="V220" s="92">
        <f>1/(1+InterestRate)^VaBenefits[[#This Row],[timeFromValuation]]</f>
        <v>7.5329858090815757E-2</v>
      </c>
      <c r="W220" s="93">
        <f>VaBenefits[[#This Row],[timeFromValuation]]</f>
        <v>53</v>
      </c>
      <c r="X220" s="91">
        <f>IF(($G$8+VaBenefits[[#This Row],[timeFromValuation]])&lt;=120,VLOOKUP(G220,Table2[],Qx!L$6,FALSE),0)</f>
        <v>0.6</v>
      </c>
      <c r="Y220" s="91">
        <f>IF(($H$8+VaBenefits[[#This Row],[timeFromValuation]])&lt;=120,VLOOKUP(H220,Table2[],Qx!M$6,FALSE),0)</f>
        <v>0.6</v>
      </c>
      <c r="Z220" s="91">
        <v>0</v>
      </c>
      <c r="AA220" s="91">
        <v>0</v>
      </c>
      <c r="AB220" s="91">
        <v>0</v>
      </c>
      <c r="AC220" s="91">
        <v>0</v>
      </c>
      <c r="AD220" s="100">
        <f>PV(1.03,20,-VaBenefits[[#This Row],[Protected Income Payment]])</f>
        <v>29.126192968690233</v>
      </c>
      <c r="AE220" s="130">
        <f>IF((AND(VaBenefits[[#This Row],[Is Anniversary?]],VaBenefits[[#This Row],[Assumed Contract Value ]]&lt;75000)),-50,0)</f>
        <v>-50</v>
      </c>
      <c r="AF220" s="134">
        <f>VaBenefits[[#This Row],[Assumed Contract Value ]]*-1.15%/4</f>
        <v>0</v>
      </c>
      <c r="AG220" s="129">
        <v>0</v>
      </c>
      <c r="AH220" s="6">
        <f>VaBenefits[[#This Row],[Maintenace Fee]]+VaBenefits[[#This Row],[Separate Account Charge]]+VaBenefits[[#This Row],[Rider Fee]]</f>
        <v>-50</v>
      </c>
      <c r="AR220" s="23">
        <f t="shared" si="24"/>
        <v>106</v>
      </c>
      <c r="AS220" s="24">
        <v>0</v>
      </c>
      <c r="AT220" s="24">
        <v>0</v>
      </c>
      <c r="AU220" s="22">
        <v>0</v>
      </c>
      <c r="AV220" s="16">
        <v>0</v>
      </c>
      <c r="AW220" s="14">
        <v>299982</v>
      </c>
      <c r="AX220" s="15">
        <v>0</v>
      </c>
      <c r="AY220" s="15">
        <v>0</v>
      </c>
      <c r="AZ220" s="14">
        <v>0</v>
      </c>
      <c r="BA220" s="17">
        <v>11999</v>
      </c>
    </row>
    <row r="221" spans="1:53" ht="15" thickBot="1" x14ac:dyDescent="0.35">
      <c r="A221" s="32">
        <f t="shared" si="23"/>
        <v>213</v>
      </c>
      <c r="B221" s="29">
        <f t="shared" si="22"/>
        <v>53.25</v>
      </c>
      <c r="C221" s="29" t="b">
        <f>AND(VaBenefits[[#This Row],[timeFromValuation]]&gt;=ACT,VaBenefits[[#This Row],[Assumed Contract Value ]]&gt;0)</f>
        <v>0</v>
      </c>
      <c r="D221" s="20">
        <v>0</v>
      </c>
      <c r="E221" s="20">
        <v>0</v>
      </c>
      <c r="F221" s="20">
        <v>0</v>
      </c>
      <c r="G221" s="96">
        <f>ROUND($G$8+VaBenefits[[#This Row],[timeFromValuation]],0)</f>
        <v>108</v>
      </c>
      <c r="H221" s="20">
        <f>ROUND($H$8+VaBenefits[[#This Row],[timeFromValuation]],0)</f>
        <v>118</v>
      </c>
      <c r="I221" s="27" t="b">
        <f>VaBenefits[[#This Row],[Withdrawal Taken  ]]&gt;0</f>
        <v>0</v>
      </c>
      <c r="J221" s="41">
        <f>IF(AND(NOT(VaBenefits[[#This Row],[Is Activation]]),VaBenefits[[#This Row],[Assumed Contract Value ]]&gt;0),VaBenefits[[#This Row],[Withdrawal Taken  ]]/VaBenefits[[#This Row],[Assumed Contract Value ]],0)</f>
        <v>0</v>
      </c>
      <c r="K22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1" s="27" t="b">
        <f ca="1">AND(VaBenefits[[#This Row],[Is Activation]],SUMIFS($E$8:$E221,$C$8:$C221,TRUE)&gt;0)</f>
        <v>0</v>
      </c>
      <c r="M22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1" s="32" t="b">
        <f>IF(VaBenefits[[#This Row],[timeFromValuation]]=0,0, MOD(VaBenefits[[#This Row],[timeFromValuation]],1)=0)</f>
        <v>0</v>
      </c>
      <c r="O221" s="7">
        <f>IF(VaBenefits[[#This Row],[Is Anniversary?]]=TRUE,VaBenefits[[#This Row],[Assumed Contract Value ]],0)</f>
        <v>0</v>
      </c>
      <c r="P22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1" s="7" t="b">
        <f>VaBenefits[[#This Row],[Assumed Contract Value ]]&lt;0.1</f>
        <v>1</v>
      </c>
      <c r="R22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1" s="7">
        <f ca="1">IF(AND(VaBenefits[[#This Row],[Is Activation]]=FALSE,VaBenefits[[#This Row],[Is Anniversary?]]=TRUE),OFFSET( VaBenefits[[#This Row],[Income Credit Base]],-1,0)*ICP,0)</f>
        <v>0</v>
      </c>
      <c r="T221" s="5">
        <f>IF(VaBenefits[[#This Row],[Assumed Contract Value ]]&gt;0,VaBenefits[[#This Row],[Income Base]]*MAWA,0)</f>
        <v>0</v>
      </c>
      <c r="U221" s="95">
        <v>31</v>
      </c>
      <c r="V221" s="92">
        <f>1/(1+InterestRate)^VaBenefits[[#This Row],[timeFromValuation]]</f>
        <v>7.4416600128625054E-2</v>
      </c>
      <c r="W221" s="93">
        <f>VaBenefits[[#This Row],[timeFromValuation]]</f>
        <v>53.25</v>
      </c>
      <c r="X221" s="91">
        <f>IF(($G$8+VaBenefits[[#This Row],[timeFromValuation]])&lt;=120,VLOOKUP(G221,Table2[],Qx!L$6,FALSE),0)</f>
        <v>0.6</v>
      </c>
      <c r="Y221" s="91">
        <f>IF(($H$8+VaBenefits[[#This Row],[timeFromValuation]])&lt;=120,VLOOKUP(H221,Table2[],Qx!M$6,FALSE),0)</f>
        <v>0.6</v>
      </c>
      <c r="Z221" s="91">
        <v>0</v>
      </c>
      <c r="AA221" s="91">
        <v>0</v>
      </c>
      <c r="AB221" s="91">
        <v>0</v>
      </c>
      <c r="AC221" s="91">
        <v>0</v>
      </c>
      <c r="AD221" s="100">
        <f>PV(1.03,20,-VaBenefits[[#This Row],[Protected Income Payment]])</f>
        <v>30.097066067646576</v>
      </c>
      <c r="AE221" s="130">
        <f>IF((AND(VaBenefits[[#This Row],[Is Anniversary?]],VaBenefits[[#This Row],[Assumed Contract Value ]]&lt;75000)),-50,0)</f>
        <v>0</v>
      </c>
      <c r="AF221" s="134">
        <f>VaBenefits[[#This Row],[Assumed Contract Value ]]*-1.15%/4</f>
        <v>0</v>
      </c>
      <c r="AG221" s="129">
        <v>0</v>
      </c>
      <c r="AH221" s="6">
        <f>VaBenefits[[#This Row],[Maintenace Fee]]+VaBenefits[[#This Row],[Separate Account Charge]]+VaBenefits[[#This Row],[Rider Fee]]</f>
        <v>0</v>
      </c>
      <c r="AR221" s="23">
        <f t="shared" si="24"/>
        <v>106.5</v>
      </c>
      <c r="AS221" s="24">
        <v>0</v>
      </c>
      <c r="AT221" s="24">
        <v>0</v>
      </c>
      <c r="AU221" s="22">
        <v>0</v>
      </c>
      <c r="AV221" s="16">
        <v>0</v>
      </c>
      <c r="AW221" s="14">
        <v>299982</v>
      </c>
      <c r="AX221" s="15">
        <v>0</v>
      </c>
      <c r="AY221" s="15">
        <v>0</v>
      </c>
      <c r="AZ221" s="14">
        <v>0</v>
      </c>
      <c r="BA221" s="17">
        <v>11999</v>
      </c>
    </row>
    <row r="222" spans="1:53" ht="15" thickBot="1" x14ac:dyDescent="0.35">
      <c r="A222" s="32">
        <f t="shared" si="23"/>
        <v>214</v>
      </c>
      <c r="B222" s="29">
        <f t="shared" si="22"/>
        <v>53.5</v>
      </c>
      <c r="C222" s="29" t="b">
        <f>AND(VaBenefits[[#This Row],[timeFromValuation]]&gt;=ACT,VaBenefits[[#This Row],[Assumed Contract Value ]]&gt;0)</f>
        <v>0</v>
      </c>
      <c r="D222" s="20">
        <v>0</v>
      </c>
      <c r="E222" s="20">
        <v>0</v>
      </c>
      <c r="F222" s="20">
        <v>0</v>
      </c>
      <c r="G222" s="96">
        <f>ROUND($G$8+VaBenefits[[#This Row],[timeFromValuation]],0)</f>
        <v>109</v>
      </c>
      <c r="H222" s="20">
        <f>ROUND($H$8+VaBenefits[[#This Row],[timeFromValuation]],0)</f>
        <v>119</v>
      </c>
      <c r="I222" s="27" t="b">
        <f>VaBenefits[[#This Row],[Withdrawal Taken  ]]&gt;0</f>
        <v>0</v>
      </c>
      <c r="J222" s="41">
        <f>IF(AND(NOT(VaBenefits[[#This Row],[Is Activation]]),VaBenefits[[#This Row],[Assumed Contract Value ]]&gt;0),VaBenefits[[#This Row],[Withdrawal Taken  ]]/VaBenefits[[#This Row],[Assumed Contract Value ]],0)</f>
        <v>0</v>
      </c>
      <c r="K22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2" s="27" t="b">
        <f ca="1">AND(VaBenefits[[#This Row],[Is Activation]],SUMIFS($E$8:$E222,$C$8:$C222,TRUE)&gt;0)</f>
        <v>0</v>
      </c>
      <c r="M22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2" s="32" t="b">
        <f>IF(VaBenefits[[#This Row],[timeFromValuation]]=0,0, MOD(VaBenefits[[#This Row],[timeFromValuation]],1)=0)</f>
        <v>0</v>
      </c>
      <c r="O222" s="7">
        <f>IF(VaBenefits[[#This Row],[Is Anniversary?]]=TRUE,VaBenefits[[#This Row],[Assumed Contract Value ]],0)</f>
        <v>0</v>
      </c>
      <c r="P22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2" s="7" t="b">
        <f>VaBenefits[[#This Row],[Assumed Contract Value ]]&lt;0.1</f>
        <v>1</v>
      </c>
      <c r="R22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2" s="7">
        <f ca="1">IF(AND(VaBenefits[[#This Row],[Is Activation]]=FALSE,VaBenefits[[#This Row],[Is Anniversary?]]=TRUE),OFFSET( VaBenefits[[#This Row],[Income Credit Base]],-1,0)*ICP,0)</f>
        <v>0</v>
      </c>
      <c r="T222" s="5">
        <f>IF(VaBenefits[[#This Row],[Assumed Contract Value ]]&gt;0,VaBenefits[[#This Row],[Income Base]]*MAWA,0)</f>
        <v>0</v>
      </c>
      <c r="U222" s="95">
        <v>32</v>
      </c>
      <c r="V222" s="92">
        <f>1/(1+InterestRate)^VaBenefits[[#This Row],[timeFromValuation]]</f>
        <v>7.3514414006029608E-2</v>
      </c>
      <c r="W222" s="93">
        <f>VaBenefits[[#This Row],[timeFromValuation]]</f>
        <v>53.5</v>
      </c>
      <c r="X222" s="91">
        <f>IF(($G$8+VaBenefits[[#This Row],[timeFromValuation]])&lt;=120,VLOOKUP(G222,Table2[],Qx!L$6,FALSE),0)</f>
        <v>0.6</v>
      </c>
      <c r="Y222" s="91">
        <f>IF(($H$8+VaBenefits[[#This Row],[timeFromValuation]])&lt;=120,VLOOKUP(H222,Table2[],Qx!M$6,FALSE),0)</f>
        <v>0.6</v>
      </c>
      <c r="Z222" s="91">
        <v>0</v>
      </c>
      <c r="AA222" s="91">
        <v>0</v>
      </c>
      <c r="AB222" s="91">
        <v>0</v>
      </c>
      <c r="AC222" s="91">
        <v>0</v>
      </c>
      <c r="AD222" s="100">
        <f>PV(1.03,20,-VaBenefits[[#This Row],[Protected Income Payment]])</f>
        <v>31.067939166602919</v>
      </c>
      <c r="AE222" s="130">
        <f>IF((AND(VaBenefits[[#This Row],[Is Anniversary?]],VaBenefits[[#This Row],[Assumed Contract Value ]]&lt;75000)),-50,0)</f>
        <v>0</v>
      </c>
      <c r="AF222" s="134">
        <f>VaBenefits[[#This Row],[Assumed Contract Value ]]*-1.15%/4</f>
        <v>0</v>
      </c>
      <c r="AG222" s="129">
        <v>0</v>
      </c>
      <c r="AH222" s="6">
        <f>VaBenefits[[#This Row],[Maintenace Fee]]+VaBenefits[[#This Row],[Separate Account Charge]]+VaBenefits[[#This Row],[Rider Fee]]</f>
        <v>0</v>
      </c>
      <c r="AR222" s="23">
        <f t="shared" si="24"/>
        <v>107</v>
      </c>
      <c r="AS222" s="24">
        <v>0</v>
      </c>
      <c r="AT222" s="24">
        <v>0</v>
      </c>
      <c r="AU222" s="22">
        <v>0</v>
      </c>
      <c r="AV222" s="16">
        <v>0</v>
      </c>
      <c r="AW222" s="14">
        <v>299982</v>
      </c>
      <c r="AX222" s="15">
        <v>0</v>
      </c>
      <c r="AY222" s="15">
        <v>0</v>
      </c>
      <c r="AZ222" s="14">
        <v>0</v>
      </c>
      <c r="BA222" s="17">
        <v>11999</v>
      </c>
    </row>
    <row r="223" spans="1:53" ht="15" thickBot="1" x14ac:dyDescent="0.35">
      <c r="A223" s="32">
        <f t="shared" si="23"/>
        <v>215</v>
      </c>
      <c r="B223" s="29">
        <f t="shared" si="22"/>
        <v>53.75</v>
      </c>
      <c r="C223" s="29" t="b">
        <f>AND(VaBenefits[[#This Row],[timeFromValuation]]&gt;=ACT,VaBenefits[[#This Row],[Assumed Contract Value ]]&gt;0)</f>
        <v>0</v>
      </c>
      <c r="D223" s="20">
        <v>0</v>
      </c>
      <c r="E223" s="20">
        <v>0</v>
      </c>
      <c r="F223" s="20">
        <v>0</v>
      </c>
      <c r="G223" s="96">
        <f>ROUND($G$8+VaBenefits[[#This Row],[timeFromValuation]],0)</f>
        <v>109</v>
      </c>
      <c r="H223" s="20">
        <f>ROUND($H$8+VaBenefits[[#This Row],[timeFromValuation]],0)</f>
        <v>119</v>
      </c>
      <c r="I223" s="27" t="b">
        <f>VaBenefits[[#This Row],[Withdrawal Taken  ]]&gt;0</f>
        <v>0</v>
      </c>
      <c r="J223" s="41">
        <f>IF(AND(NOT(VaBenefits[[#This Row],[Is Activation]]),VaBenefits[[#This Row],[Assumed Contract Value ]]&gt;0),VaBenefits[[#This Row],[Withdrawal Taken  ]]/VaBenefits[[#This Row],[Assumed Contract Value ]],0)</f>
        <v>0</v>
      </c>
      <c r="K22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3" s="27" t="b">
        <f ca="1">AND(VaBenefits[[#This Row],[Is Activation]],SUMIFS($E$8:$E223,$C$8:$C223,TRUE)&gt;0)</f>
        <v>0</v>
      </c>
      <c r="M22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3" s="32" t="b">
        <f>IF(VaBenefits[[#This Row],[timeFromValuation]]=0,0, MOD(VaBenefits[[#This Row],[timeFromValuation]],1)=0)</f>
        <v>0</v>
      </c>
      <c r="O223" s="7">
        <f>IF(VaBenefits[[#This Row],[Is Anniversary?]]=TRUE,VaBenefits[[#This Row],[Assumed Contract Value ]],0)</f>
        <v>0</v>
      </c>
      <c r="P22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3" s="7" t="b">
        <f>VaBenefits[[#This Row],[Assumed Contract Value ]]&lt;0.1</f>
        <v>1</v>
      </c>
      <c r="R22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3" s="7">
        <f ca="1">IF(AND(VaBenefits[[#This Row],[Is Activation]]=FALSE,VaBenefits[[#This Row],[Is Anniversary?]]=TRUE),OFFSET( VaBenefits[[#This Row],[Income Credit Base]],-1,0)*ICP,0)</f>
        <v>0</v>
      </c>
      <c r="T223" s="5">
        <f>IF(VaBenefits[[#This Row],[Assumed Contract Value ]]&gt;0,VaBenefits[[#This Row],[Income Base]]*MAWA,0)</f>
        <v>0</v>
      </c>
      <c r="U223" s="95">
        <v>33</v>
      </c>
      <c r="V223" s="92">
        <f>1/(1+InterestRate)^VaBenefits[[#This Row],[timeFromValuation]]</f>
        <v>7.2623165494107009E-2</v>
      </c>
      <c r="W223" s="93">
        <f>VaBenefits[[#This Row],[timeFromValuation]]</f>
        <v>53.75</v>
      </c>
      <c r="X223" s="91">
        <f>IF(($G$8+VaBenefits[[#This Row],[timeFromValuation]])&lt;=120,VLOOKUP(G223,Table2[],Qx!L$6,FALSE),0)</f>
        <v>0.6</v>
      </c>
      <c r="Y223" s="91">
        <f>IF(($H$8+VaBenefits[[#This Row],[timeFromValuation]])&lt;=120,VLOOKUP(H223,Table2[],Qx!M$6,FALSE),0)</f>
        <v>0.6</v>
      </c>
      <c r="Z223" s="91">
        <v>0</v>
      </c>
      <c r="AA223" s="91">
        <v>0</v>
      </c>
      <c r="AB223" s="91">
        <v>0</v>
      </c>
      <c r="AC223" s="91">
        <v>0</v>
      </c>
      <c r="AD223" s="100">
        <f>PV(1.03,20,-VaBenefits[[#This Row],[Protected Income Payment]])</f>
        <v>32.038812265559258</v>
      </c>
      <c r="AE223" s="130">
        <f>IF((AND(VaBenefits[[#This Row],[Is Anniversary?]],VaBenefits[[#This Row],[Assumed Contract Value ]]&lt;75000)),-50,0)</f>
        <v>0</v>
      </c>
      <c r="AF223" s="134">
        <f>VaBenefits[[#This Row],[Assumed Contract Value ]]*-1.15%/4</f>
        <v>0</v>
      </c>
      <c r="AG223" s="129">
        <v>0</v>
      </c>
      <c r="AH223" s="6">
        <f>VaBenefits[[#This Row],[Maintenace Fee]]+VaBenefits[[#This Row],[Separate Account Charge]]+VaBenefits[[#This Row],[Rider Fee]]</f>
        <v>0</v>
      </c>
      <c r="AR223" s="23">
        <f t="shared" si="24"/>
        <v>107.5</v>
      </c>
      <c r="AS223" s="24">
        <v>0</v>
      </c>
      <c r="AT223" s="24">
        <v>0</v>
      </c>
      <c r="AU223" s="22">
        <v>0</v>
      </c>
      <c r="AV223" s="16">
        <v>0</v>
      </c>
      <c r="AW223" s="14">
        <v>299982</v>
      </c>
      <c r="AX223" s="15">
        <v>0</v>
      </c>
      <c r="AY223" s="15">
        <v>0</v>
      </c>
      <c r="AZ223" s="14">
        <v>0</v>
      </c>
      <c r="BA223" s="17">
        <v>11999</v>
      </c>
    </row>
    <row r="224" spans="1:53" ht="15" thickBot="1" x14ac:dyDescent="0.35">
      <c r="A224" s="32">
        <f t="shared" si="23"/>
        <v>216</v>
      </c>
      <c r="B224" s="29">
        <f t="shared" si="22"/>
        <v>54</v>
      </c>
      <c r="C224" s="29" t="b">
        <f>AND(VaBenefits[[#This Row],[timeFromValuation]]&gt;=ACT,VaBenefits[[#This Row],[Assumed Contract Value ]]&gt;0)</f>
        <v>0</v>
      </c>
      <c r="D224" s="20">
        <v>0</v>
      </c>
      <c r="E224" s="20">
        <v>0</v>
      </c>
      <c r="F224" s="20">
        <v>0</v>
      </c>
      <c r="G224" s="96">
        <f>ROUND($G$8+VaBenefits[[#This Row],[timeFromValuation]],0)</f>
        <v>109</v>
      </c>
      <c r="H224" s="20">
        <f>ROUND($H$8+VaBenefits[[#This Row],[timeFromValuation]],0)</f>
        <v>119</v>
      </c>
      <c r="I224" s="27" t="b">
        <f>VaBenefits[[#This Row],[Withdrawal Taken  ]]&gt;0</f>
        <v>0</v>
      </c>
      <c r="J224" s="41">
        <f>IF(AND(NOT(VaBenefits[[#This Row],[Is Activation]]),VaBenefits[[#This Row],[Assumed Contract Value ]]&gt;0),VaBenefits[[#This Row],[Withdrawal Taken  ]]/VaBenefits[[#This Row],[Assumed Contract Value ]],0)</f>
        <v>0</v>
      </c>
      <c r="K22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4" s="27" t="b">
        <f ca="1">AND(VaBenefits[[#This Row],[Is Activation]],SUMIFS($E$8:$E224,$C$8:$C224,TRUE)&gt;0)</f>
        <v>0</v>
      </c>
      <c r="M22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4" s="32" t="b">
        <f>IF(VaBenefits[[#This Row],[timeFromValuation]]=0,0, MOD(VaBenefits[[#This Row],[timeFromValuation]],1)=0)</f>
        <v>1</v>
      </c>
      <c r="O224" s="7">
        <f>IF(VaBenefits[[#This Row],[Is Anniversary?]]=TRUE,VaBenefits[[#This Row],[Assumed Contract Value ]],0)</f>
        <v>0</v>
      </c>
      <c r="P22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4" s="7" t="b">
        <f>VaBenefits[[#This Row],[Assumed Contract Value ]]&lt;0.1</f>
        <v>1</v>
      </c>
      <c r="R22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4" s="7">
        <f ca="1">IF(AND(VaBenefits[[#This Row],[Is Activation]]=FALSE,VaBenefits[[#This Row],[Is Anniversary?]]=TRUE),OFFSET( VaBenefits[[#This Row],[Income Credit Base]],-1,0)*ICP,0)</f>
        <v>0</v>
      </c>
      <c r="T224" s="5">
        <f>IF(VaBenefits[[#This Row],[Assumed Contract Value ]]&gt;0,VaBenefits[[#This Row],[Income Base]]*MAWA,0)</f>
        <v>0</v>
      </c>
      <c r="U224" s="95">
        <v>34</v>
      </c>
      <c r="V224" s="92">
        <f>1/(1+InterestRate)^VaBenefits[[#This Row],[timeFromValuation]]</f>
        <v>7.1742721991253117E-2</v>
      </c>
      <c r="W224" s="93">
        <f>VaBenefits[[#This Row],[timeFromValuation]]</f>
        <v>54</v>
      </c>
      <c r="X224" s="91">
        <f>IF(($G$8+VaBenefits[[#This Row],[timeFromValuation]])&lt;=120,VLOOKUP(G224,Table2[],Qx!L$6,FALSE),0)</f>
        <v>0.6</v>
      </c>
      <c r="Y224" s="91">
        <f>IF(($H$8+VaBenefits[[#This Row],[timeFromValuation]])&lt;=120,VLOOKUP(H224,Table2[],Qx!M$6,FALSE),0)</f>
        <v>0.6</v>
      </c>
      <c r="Z224" s="91">
        <v>0</v>
      </c>
      <c r="AA224" s="91">
        <v>0</v>
      </c>
      <c r="AB224" s="91">
        <v>0</v>
      </c>
      <c r="AC224" s="91">
        <v>0</v>
      </c>
      <c r="AD224" s="100">
        <f>PV(1.03,20,-VaBenefits[[#This Row],[Protected Income Payment]])</f>
        <v>33.009685364515605</v>
      </c>
      <c r="AE224" s="130">
        <f>IF((AND(VaBenefits[[#This Row],[Is Anniversary?]],VaBenefits[[#This Row],[Assumed Contract Value ]]&lt;75000)),-50,0)</f>
        <v>-50</v>
      </c>
      <c r="AF224" s="134">
        <f>VaBenefits[[#This Row],[Assumed Contract Value ]]*-1.15%/4</f>
        <v>0</v>
      </c>
      <c r="AG224" s="129">
        <v>0</v>
      </c>
      <c r="AH224" s="6">
        <f>VaBenefits[[#This Row],[Maintenace Fee]]+VaBenefits[[#This Row],[Separate Account Charge]]+VaBenefits[[#This Row],[Rider Fee]]</f>
        <v>-50</v>
      </c>
      <c r="AR224" s="23">
        <f t="shared" si="24"/>
        <v>108</v>
      </c>
      <c r="AS224" s="24">
        <v>0</v>
      </c>
      <c r="AT224" s="24">
        <v>0</v>
      </c>
      <c r="AU224" s="22">
        <v>0</v>
      </c>
      <c r="AV224" s="16">
        <v>0</v>
      </c>
      <c r="AW224" s="14">
        <v>299982</v>
      </c>
      <c r="AX224" s="15">
        <v>0</v>
      </c>
      <c r="AY224" s="15">
        <v>0</v>
      </c>
      <c r="AZ224" s="14">
        <v>0</v>
      </c>
      <c r="BA224" s="17">
        <v>11999</v>
      </c>
    </row>
    <row r="225" spans="1:53" ht="15" thickBot="1" x14ac:dyDescent="0.35">
      <c r="A225" s="32">
        <f t="shared" si="23"/>
        <v>217</v>
      </c>
      <c r="B225" s="29">
        <f t="shared" si="22"/>
        <v>54.25</v>
      </c>
      <c r="C225" s="29" t="b">
        <f>AND(VaBenefits[[#This Row],[timeFromValuation]]&gt;=ACT,VaBenefits[[#This Row],[Assumed Contract Value ]]&gt;0)</f>
        <v>0</v>
      </c>
      <c r="D225" s="20">
        <v>0</v>
      </c>
      <c r="E225" s="20">
        <v>0</v>
      </c>
      <c r="F225" s="20">
        <v>0</v>
      </c>
      <c r="G225" s="96">
        <f>ROUND($G$8+VaBenefits[[#This Row],[timeFromValuation]],0)</f>
        <v>109</v>
      </c>
      <c r="H225" s="20">
        <f>ROUND($H$8+VaBenefits[[#This Row],[timeFromValuation]],0)</f>
        <v>119</v>
      </c>
      <c r="I225" s="27" t="b">
        <f>VaBenefits[[#This Row],[Withdrawal Taken  ]]&gt;0</f>
        <v>0</v>
      </c>
      <c r="J225" s="41">
        <f>IF(AND(NOT(VaBenefits[[#This Row],[Is Activation]]),VaBenefits[[#This Row],[Assumed Contract Value ]]&gt;0),VaBenefits[[#This Row],[Withdrawal Taken  ]]/VaBenefits[[#This Row],[Assumed Contract Value ]],0)</f>
        <v>0</v>
      </c>
      <c r="K22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5" s="27" t="b">
        <f ca="1">AND(VaBenefits[[#This Row],[Is Activation]],SUMIFS($E$8:$E225,$C$8:$C225,TRUE)&gt;0)</f>
        <v>0</v>
      </c>
      <c r="M22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5" s="32" t="b">
        <f>IF(VaBenefits[[#This Row],[timeFromValuation]]=0,0, MOD(VaBenefits[[#This Row],[timeFromValuation]],1)=0)</f>
        <v>0</v>
      </c>
      <c r="O225" s="7">
        <f>IF(VaBenefits[[#This Row],[Is Anniversary?]]=TRUE,VaBenefits[[#This Row],[Assumed Contract Value ]],0)</f>
        <v>0</v>
      </c>
      <c r="P22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5" s="7" t="b">
        <f>VaBenefits[[#This Row],[Assumed Contract Value ]]&lt;0.1</f>
        <v>1</v>
      </c>
      <c r="R22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5" s="7">
        <f ca="1">IF(AND(VaBenefits[[#This Row],[Is Activation]]=FALSE,VaBenefits[[#This Row],[Is Anniversary?]]=TRUE),OFFSET( VaBenefits[[#This Row],[Income Credit Base]],-1,0)*ICP,0)</f>
        <v>0</v>
      </c>
      <c r="T225" s="5">
        <f>IF(VaBenefits[[#This Row],[Assumed Contract Value ]]&gt;0,VaBenefits[[#This Row],[Income Base]]*MAWA,0)</f>
        <v>0</v>
      </c>
      <c r="U225" s="95">
        <v>35</v>
      </c>
      <c r="V225" s="92">
        <f>1/(1+InterestRate)^VaBenefits[[#This Row],[timeFromValuation]]</f>
        <v>7.0872952503452463E-2</v>
      </c>
      <c r="W225" s="93">
        <f>VaBenefits[[#This Row],[timeFromValuation]]</f>
        <v>54.25</v>
      </c>
      <c r="X225" s="91">
        <f>IF(($G$8+VaBenefits[[#This Row],[timeFromValuation]])&lt;=120,VLOOKUP(G225,Table2[],Qx!L$6,FALSE),0)</f>
        <v>0.6</v>
      </c>
      <c r="Y225" s="91">
        <f>IF(($H$8+VaBenefits[[#This Row],[timeFromValuation]])&lt;=120,VLOOKUP(H225,Table2[],Qx!M$6,FALSE),0)</f>
        <v>0.6</v>
      </c>
      <c r="Z225" s="91">
        <v>0</v>
      </c>
      <c r="AA225" s="91">
        <v>0</v>
      </c>
      <c r="AB225" s="91">
        <v>0</v>
      </c>
      <c r="AC225" s="91">
        <v>0</v>
      </c>
      <c r="AD225" s="100">
        <f>PV(1.03,20,-VaBenefits[[#This Row],[Protected Income Payment]])</f>
        <v>33.980558463471944</v>
      </c>
      <c r="AE225" s="130">
        <f>IF((AND(VaBenefits[[#This Row],[Is Anniversary?]],VaBenefits[[#This Row],[Assumed Contract Value ]]&lt;75000)),-50,0)</f>
        <v>0</v>
      </c>
      <c r="AF225" s="134">
        <f>VaBenefits[[#This Row],[Assumed Contract Value ]]*-1.15%/4</f>
        <v>0</v>
      </c>
      <c r="AG225" s="129">
        <v>0</v>
      </c>
      <c r="AH225" s="6">
        <f>VaBenefits[[#This Row],[Maintenace Fee]]+VaBenefits[[#This Row],[Separate Account Charge]]+VaBenefits[[#This Row],[Rider Fee]]</f>
        <v>0</v>
      </c>
      <c r="AR225" s="23">
        <f t="shared" si="24"/>
        <v>108.5</v>
      </c>
      <c r="AS225" s="24">
        <v>0</v>
      </c>
      <c r="AT225" s="24">
        <v>0</v>
      </c>
      <c r="AU225" s="22">
        <v>0</v>
      </c>
      <c r="AV225" s="16">
        <v>0</v>
      </c>
      <c r="AW225" s="14">
        <v>299982</v>
      </c>
      <c r="AX225" s="15">
        <v>0</v>
      </c>
      <c r="AY225" s="15">
        <v>0</v>
      </c>
      <c r="AZ225" s="14">
        <v>0</v>
      </c>
      <c r="BA225" s="17">
        <v>11999</v>
      </c>
    </row>
    <row r="226" spans="1:53" ht="15" thickBot="1" x14ac:dyDescent="0.35">
      <c r="A226" s="32">
        <f t="shared" si="23"/>
        <v>218</v>
      </c>
      <c r="B226" s="29">
        <f t="shared" si="22"/>
        <v>54.5</v>
      </c>
      <c r="C226" s="29" t="b">
        <f>AND(VaBenefits[[#This Row],[timeFromValuation]]&gt;=ACT,VaBenefits[[#This Row],[Assumed Contract Value ]]&gt;0)</f>
        <v>0</v>
      </c>
      <c r="D226" s="20">
        <v>0</v>
      </c>
      <c r="E226" s="20">
        <v>0</v>
      </c>
      <c r="F226" s="20">
        <v>0</v>
      </c>
      <c r="G226" s="96">
        <f>ROUND($G$8+VaBenefits[[#This Row],[timeFromValuation]],0)</f>
        <v>110</v>
      </c>
      <c r="H226" s="20">
        <f>ROUND($H$8+VaBenefits[[#This Row],[timeFromValuation]],0)</f>
        <v>120</v>
      </c>
      <c r="I226" s="27" t="b">
        <f>VaBenefits[[#This Row],[Withdrawal Taken  ]]&gt;0</f>
        <v>0</v>
      </c>
      <c r="J226" s="41">
        <f>IF(AND(NOT(VaBenefits[[#This Row],[Is Activation]]),VaBenefits[[#This Row],[Assumed Contract Value ]]&gt;0),VaBenefits[[#This Row],[Withdrawal Taken  ]]/VaBenefits[[#This Row],[Assumed Contract Value ]],0)</f>
        <v>0</v>
      </c>
      <c r="K22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6" s="27" t="b">
        <f ca="1">AND(VaBenefits[[#This Row],[Is Activation]],SUMIFS($E$8:$E226,$C$8:$C226,TRUE)&gt;0)</f>
        <v>0</v>
      </c>
      <c r="M22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6" s="32" t="b">
        <f>IF(VaBenefits[[#This Row],[timeFromValuation]]=0,0, MOD(VaBenefits[[#This Row],[timeFromValuation]],1)=0)</f>
        <v>0</v>
      </c>
      <c r="O226" s="7">
        <f>IF(VaBenefits[[#This Row],[Is Anniversary?]]=TRUE,VaBenefits[[#This Row],[Assumed Contract Value ]],0)</f>
        <v>0</v>
      </c>
      <c r="P22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6" s="7" t="b">
        <f>VaBenefits[[#This Row],[Assumed Contract Value ]]&lt;0.1</f>
        <v>1</v>
      </c>
      <c r="R22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6" s="7">
        <f ca="1">IF(AND(VaBenefits[[#This Row],[Is Activation]]=FALSE,VaBenefits[[#This Row],[Is Anniversary?]]=TRUE),OFFSET( VaBenefits[[#This Row],[Income Credit Base]],-1,0)*ICP,0)</f>
        <v>0</v>
      </c>
      <c r="T226" s="5">
        <f>IF(VaBenefits[[#This Row],[Assumed Contract Value ]]&gt;0,VaBenefits[[#This Row],[Income Base]]*MAWA,0)</f>
        <v>0</v>
      </c>
      <c r="U226" s="95">
        <v>36</v>
      </c>
      <c r="V226" s="92">
        <f>1/(1+InterestRate)^VaBenefits[[#This Row],[timeFromValuation]]</f>
        <v>7.001372762479012E-2</v>
      </c>
      <c r="W226" s="93">
        <f>VaBenefits[[#This Row],[timeFromValuation]]</f>
        <v>54.5</v>
      </c>
      <c r="X226" s="91">
        <f>IF(($G$8+VaBenefits[[#This Row],[timeFromValuation]])&lt;=120,VLOOKUP(G226,Table2[],Qx!L$6,FALSE),0)</f>
        <v>0.6</v>
      </c>
      <c r="Y226" s="91">
        <f>IF(($H$8+VaBenefits[[#This Row],[timeFromValuation]])&lt;=120,VLOOKUP(H226,Table2[],Qx!M$6,FALSE),0)</f>
        <v>0</v>
      </c>
      <c r="Z226" s="91">
        <v>0</v>
      </c>
      <c r="AA226" s="91">
        <v>0</v>
      </c>
      <c r="AB226" s="91">
        <v>0</v>
      </c>
      <c r="AC226" s="91">
        <v>0</v>
      </c>
      <c r="AD226" s="100">
        <f>PV(1.03,20,-VaBenefits[[#This Row],[Protected Income Payment]])</f>
        <v>34.951431562428283</v>
      </c>
      <c r="AE226" s="130">
        <f>IF((AND(VaBenefits[[#This Row],[Is Anniversary?]],VaBenefits[[#This Row],[Assumed Contract Value ]]&lt;75000)),-50,0)</f>
        <v>0</v>
      </c>
      <c r="AF226" s="134">
        <f>VaBenefits[[#This Row],[Assumed Contract Value ]]*-1.15%/4</f>
        <v>0</v>
      </c>
      <c r="AG226" s="129">
        <v>0</v>
      </c>
      <c r="AH226" s="6">
        <f>VaBenefits[[#This Row],[Maintenace Fee]]+VaBenefits[[#This Row],[Separate Account Charge]]+VaBenefits[[#This Row],[Rider Fee]]</f>
        <v>0</v>
      </c>
      <c r="AR226" s="23">
        <f t="shared" si="24"/>
        <v>109</v>
      </c>
      <c r="AS226" s="24">
        <v>0</v>
      </c>
      <c r="AT226" s="24">
        <v>0</v>
      </c>
      <c r="AU226" s="22">
        <v>0</v>
      </c>
      <c r="AV226" s="16">
        <v>0</v>
      </c>
      <c r="AW226" s="14">
        <v>299982</v>
      </c>
      <c r="AX226" s="15">
        <v>0</v>
      </c>
      <c r="AY226" s="15">
        <v>0</v>
      </c>
      <c r="AZ226" s="14">
        <v>0</v>
      </c>
      <c r="BA226" s="17">
        <v>11999</v>
      </c>
    </row>
    <row r="227" spans="1:53" ht="15" thickBot="1" x14ac:dyDescent="0.35">
      <c r="A227" s="32">
        <f t="shared" si="23"/>
        <v>219</v>
      </c>
      <c r="B227" s="29">
        <f t="shared" si="22"/>
        <v>54.75</v>
      </c>
      <c r="C227" s="29" t="b">
        <f>AND(VaBenefits[[#This Row],[timeFromValuation]]&gt;=ACT,VaBenefits[[#This Row],[Assumed Contract Value ]]&gt;0)</f>
        <v>0</v>
      </c>
      <c r="D227" s="20">
        <v>0</v>
      </c>
      <c r="E227" s="20">
        <v>0</v>
      </c>
      <c r="F227" s="20">
        <v>0</v>
      </c>
      <c r="G227" s="96">
        <f>ROUND($G$8+VaBenefits[[#This Row],[timeFromValuation]],0)</f>
        <v>110</v>
      </c>
      <c r="H227" s="20">
        <f>ROUND($H$8+VaBenefits[[#This Row],[timeFromValuation]],0)</f>
        <v>120</v>
      </c>
      <c r="I227" s="27" t="b">
        <f>VaBenefits[[#This Row],[Withdrawal Taken  ]]&gt;0</f>
        <v>0</v>
      </c>
      <c r="J227" s="41">
        <f>IF(AND(NOT(VaBenefits[[#This Row],[Is Activation]]),VaBenefits[[#This Row],[Assumed Contract Value ]]&gt;0),VaBenefits[[#This Row],[Withdrawal Taken  ]]/VaBenefits[[#This Row],[Assumed Contract Value ]],0)</f>
        <v>0</v>
      </c>
      <c r="K22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7" s="27" t="b">
        <f ca="1">AND(VaBenefits[[#This Row],[Is Activation]],SUMIFS($E$8:$E227,$C$8:$C227,TRUE)&gt;0)</f>
        <v>0</v>
      </c>
      <c r="M22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7" s="32" t="b">
        <f>IF(VaBenefits[[#This Row],[timeFromValuation]]=0,0, MOD(VaBenefits[[#This Row],[timeFromValuation]],1)=0)</f>
        <v>0</v>
      </c>
      <c r="O227" s="7">
        <f>IF(VaBenefits[[#This Row],[Is Anniversary?]]=TRUE,VaBenefits[[#This Row],[Assumed Contract Value ]],0)</f>
        <v>0</v>
      </c>
      <c r="P22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7" s="7" t="b">
        <f>VaBenefits[[#This Row],[Assumed Contract Value ]]&lt;0.1</f>
        <v>1</v>
      </c>
      <c r="R22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7" s="7">
        <f ca="1">IF(AND(VaBenefits[[#This Row],[Is Activation]]=FALSE,VaBenefits[[#This Row],[Is Anniversary?]]=TRUE),OFFSET( VaBenefits[[#This Row],[Income Credit Base]],-1,0)*ICP,0)</f>
        <v>0</v>
      </c>
      <c r="T227" s="5">
        <f>IF(VaBenefits[[#This Row],[Assumed Contract Value ]]&gt;0,VaBenefits[[#This Row],[Income Base]]*MAWA,0)</f>
        <v>0</v>
      </c>
      <c r="U227" s="95">
        <v>37</v>
      </c>
      <c r="V227" s="92">
        <f>1/(1+InterestRate)^VaBenefits[[#This Row],[timeFromValuation]]</f>
        <v>6.9164919518197171E-2</v>
      </c>
      <c r="W227" s="93">
        <f>VaBenefits[[#This Row],[timeFromValuation]]</f>
        <v>54.75</v>
      </c>
      <c r="X227" s="91">
        <f>IF(($G$8+VaBenefits[[#This Row],[timeFromValuation]])&lt;=120,VLOOKUP(G227,Table2[],Qx!L$6,FALSE),0)</f>
        <v>0.6</v>
      </c>
      <c r="Y227" s="91">
        <f>IF(($H$8+VaBenefits[[#This Row],[timeFromValuation]])&lt;=120,VLOOKUP(H227,Table2[],Qx!M$6,FALSE),0)</f>
        <v>0</v>
      </c>
      <c r="Z227" s="91">
        <v>0</v>
      </c>
      <c r="AA227" s="91">
        <v>0</v>
      </c>
      <c r="AB227" s="91">
        <v>0</v>
      </c>
      <c r="AC227" s="91">
        <v>0</v>
      </c>
      <c r="AD227" s="100">
        <f>PV(1.03,20,-VaBenefits[[#This Row],[Protected Income Payment]])</f>
        <v>35.922304661384622</v>
      </c>
      <c r="AE227" s="130">
        <f>IF((AND(VaBenefits[[#This Row],[Is Anniversary?]],VaBenefits[[#This Row],[Assumed Contract Value ]]&lt;75000)),-50,0)</f>
        <v>0</v>
      </c>
      <c r="AF227" s="134">
        <f>VaBenefits[[#This Row],[Assumed Contract Value ]]*-1.15%/4</f>
        <v>0</v>
      </c>
      <c r="AG227" s="129">
        <v>0</v>
      </c>
      <c r="AH227" s="6">
        <f>VaBenefits[[#This Row],[Maintenace Fee]]+VaBenefits[[#This Row],[Separate Account Charge]]+VaBenefits[[#This Row],[Rider Fee]]</f>
        <v>0</v>
      </c>
      <c r="AR227" s="23">
        <f t="shared" si="24"/>
        <v>109.5</v>
      </c>
      <c r="AS227" s="24">
        <v>0</v>
      </c>
      <c r="AT227" s="24">
        <v>0</v>
      </c>
      <c r="AU227" s="22">
        <v>0</v>
      </c>
      <c r="AV227" s="16">
        <v>0</v>
      </c>
      <c r="AW227" s="14">
        <v>299982</v>
      </c>
      <c r="AX227" s="15">
        <v>0</v>
      </c>
      <c r="AY227" s="15">
        <v>0</v>
      </c>
      <c r="AZ227" s="14">
        <v>0</v>
      </c>
      <c r="BA227" s="17">
        <v>11999</v>
      </c>
    </row>
    <row r="228" spans="1:53" ht="15" thickBot="1" x14ac:dyDescent="0.35">
      <c r="A228" s="32">
        <f t="shared" si="23"/>
        <v>220</v>
      </c>
      <c r="B228" s="29">
        <f t="shared" si="22"/>
        <v>55</v>
      </c>
      <c r="C228" s="29" t="b">
        <f>AND(VaBenefits[[#This Row],[timeFromValuation]]&gt;=ACT,VaBenefits[[#This Row],[Assumed Contract Value ]]&gt;0)</f>
        <v>0</v>
      </c>
      <c r="D228" s="20">
        <v>0</v>
      </c>
      <c r="E228" s="20">
        <v>0</v>
      </c>
      <c r="F228" s="20">
        <v>0</v>
      </c>
      <c r="G228" s="96">
        <f>ROUND($G$8+VaBenefits[[#This Row],[timeFromValuation]],0)</f>
        <v>110</v>
      </c>
      <c r="H228" s="20">
        <f>ROUND($H$8+VaBenefits[[#This Row],[timeFromValuation]],0)</f>
        <v>120</v>
      </c>
      <c r="I228" s="27" t="b">
        <f>VaBenefits[[#This Row],[Withdrawal Taken  ]]&gt;0</f>
        <v>0</v>
      </c>
      <c r="J228" s="41">
        <f>IF(AND(NOT(VaBenefits[[#This Row],[Is Activation]]),VaBenefits[[#This Row],[Assumed Contract Value ]]&gt;0),VaBenefits[[#This Row],[Withdrawal Taken  ]]/VaBenefits[[#This Row],[Assumed Contract Value ]],0)</f>
        <v>0</v>
      </c>
      <c r="K22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8" s="27" t="b">
        <f ca="1">AND(VaBenefits[[#This Row],[Is Activation]],SUMIFS($E$8:$E228,$C$8:$C228,TRUE)&gt;0)</f>
        <v>0</v>
      </c>
      <c r="M22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8" s="32" t="b">
        <f>IF(VaBenefits[[#This Row],[timeFromValuation]]=0,0, MOD(VaBenefits[[#This Row],[timeFromValuation]],1)=0)</f>
        <v>1</v>
      </c>
      <c r="O228" s="7">
        <f>IF(VaBenefits[[#This Row],[Is Anniversary?]]=TRUE,VaBenefits[[#This Row],[Assumed Contract Value ]],0)</f>
        <v>0</v>
      </c>
      <c r="P22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8" s="7" t="b">
        <f>VaBenefits[[#This Row],[Assumed Contract Value ]]&lt;0.1</f>
        <v>1</v>
      </c>
      <c r="R22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8" s="7">
        <f ca="1">IF(AND(VaBenefits[[#This Row],[Is Activation]]=FALSE,VaBenefits[[#This Row],[Is Anniversary?]]=TRUE),OFFSET( VaBenefits[[#This Row],[Income Credit Base]],-1,0)*ICP,0)</f>
        <v>0</v>
      </c>
      <c r="T228" s="5">
        <f>IF(VaBenefits[[#This Row],[Assumed Contract Value ]]&gt;0,VaBenefits[[#This Row],[Income Base]]*MAWA,0)</f>
        <v>0</v>
      </c>
      <c r="U228" s="95">
        <v>38</v>
      </c>
      <c r="V228" s="92">
        <f>1/(1+InterestRate)^VaBenefits[[#This Row],[timeFromValuation]]</f>
        <v>6.8326401896431521E-2</v>
      </c>
      <c r="W228" s="93">
        <f>VaBenefits[[#This Row],[timeFromValuation]]</f>
        <v>55</v>
      </c>
      <c r="X228" s="91">
        <f>IF(($G$8+VaBenefits[[#This Row],[timeFromValuation]])&lt;=120,VLOOKUP(G228,Table2[],Qx!L$6,FALSE),0)</f>
        <v>0.6</v>
      </c>
      <c r="Y228" s="91">
        <f>IF(($H$8+VaBenefits[[#This Row],[timeFromValuation]])&lt;=120,VLOOKUP(H228,Table2[],Qx!M$6,FALSE),0)</f>
        <v>0</v>
      </c>
      <c r="Z228" s="91">
        <v>0</v>
      </c>
      <c r="AA228" s="91">
        <v>0</v>
      </c>
      <c r="AB228" s="91">
        <v>0</v>
      </c>
      <c r="AC228" s="91">
        <v>0</v>
      </c>
      <c r="AD228" s="100">
        <f>PV(1.03,20,-VaBenefits[[#This Row],[Protected Income Payment]])</f>
        <v>36.893177760340969</v>
      </c>
      <c r="AE228" s="130">
        <f>IF((AND(VaBenefits[[#This Row],[Is Anniversary?]],VaBenefits[[#This Row],[Assumed Contract Value ]]&lt;75000)),-50,0)</f>
        <v>-50</v>
      </c>
      <c r="AF228" s="134">
        <f>VaBenefits[[#This Row],[Assumed Contract Value ]]*-1.15%/4</f>
        <v>0</v>
      </c>
      <c r="AG228" s="129">
        <v>0</v>
      </c>
      <c r="AH228" s="6">
        <f>VaBenefits[[#This Row],[Maintenace Fee]]+VaBenefits[[#This Row],[Separate Account Charge]]+VaBenefits[[#This Row],[Rider Fee]]</f>
        <v>-50</v>
      </c>
      <c r="AR228" s="23">
        <f t="shared" si="24"/>
        <v>110</v>
      </c>
      <c r="AS228" s="24">
        <v>0</v>
      </c>
      <c r="AT228" s="24">
        <v>0</v>
      </c>
      <c r="AU228" s="22">
        <v>0</v>
      </c>
      <c r="AV228" s="16">
        <v>0</v>
      </c>
      <c r="AW228" s="14">
        <v>299982</v>
      </c>
      <c r="AX228" s="15">
        <v>0</v>
      </c>
      <c r="AY228" s="15">
        <v>0</v>
      </c>
      <c r="AZ228" s="14">
        <v>0</v>
      </c>
      <c r="BA228" s="17">
        <v>11999</v>
      </c>
    </row>
    <row r="229" spans="1:53" ht="15" thickBot="1" x14ac:dyDescent="0.35">
      <c r="A229" s="32">
        <f t="shared" si="23"/>
        <v>221</v>
      </c>
      <c r="B229" s="29">
        <f t="shared" si="22"/>
        <v>55.25</v>
      </c>
      <c r="C229" s="29" t="b">
        <f>AND(VaBenefits[[#This Row],[timeFromValuation]]&gt;=ACT,VaBenefits[[#This Row],[Assumed Contract Value ]]&gt;0)</f>
        <v>0</v>
      </c>
      <c r="D229" s="20">
        <v>0</v>
      </c>
      <c r="E229" s="20">
        <v>0</v>
      </c>
      <c r="F229" s="20">
        <v>0</v>
      </c>
      <c r="G229" s="96">
        <f>ROUND($G$8+VaBenefits[[#This Row],[timeFromValuation]],0)</f>
        <v>110</v>
      </c>
      <c r="H229" s="20">
        <f>ROUND($H$8+VaBenefits[[#This Row],[timeFromValuation]],0)</f>
        <v>120</v>
      </c>
      <c r="I229" s="27" t="b">
        <f>VaBenefits[[#This Row],[Withdrawal Taken  ]]&gt;0</f>
        <v>0</v>
      </c>
      <c r="J229" s="41">
        <f>IF(AND(NOT(VaBenefits[[#This Row],[Is Activation]]),VaBenefits[[#This Row],[Assumed Contract Value ]]&gt;0),VaBenefits[[#This Row],[Withdrawal Taken  ]]/VaBenefits[[#This Row],[Assumed Contract Value ]],0)</f>
        <v>0</v>
      </c>
      <c r="K22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9" s="27" t="b">
        <f ca="1">AND(VaBenefits[[#This Row],[Is Activation]],SUMIFS($E$8:$E229,$C$8:$C229,TRUE)&gt;0)</f>
        <v>0</v>
      </c>
      <c r="M22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9" s="32" t="b">
        <f>IF(VaBenefits[[#This Row],[timeFromValuation]]=0,0, MOD(VaBenefits[[#This Row],[timeFromValuation]],1)=0)</f>
        <v>0</v>
      </c>
      <c r="O229" s="7">
        <f>IF(VaBenefits[[#This Row],[Is Anniversary?]]=TRUE,VaBenefits[[#This Row],[Assumed Contract Value ]],0)</f>
        <v>0</v>
      </c>
      <c r="P22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9" s="7" t="b">
        <f>VaBenefits[[#This Row],[Assumed Contract Value ]]&lt;0.1</f>
        <v>1</v>
      </c>
      <c r="R22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9" s="7">
        <f ca="1">IF(AND(VaBenefits[[#This Row],[Is Activation]]=FALSE,VaBenefits[[#This Row],[Is Anniversary?]]=TRUE),OFFSET( VaBenefits[[#This Row],[Income Credit Base]],-1,0)*ICP,0)</f>
        <v>0</v>
      </c>
      <c r="T229" s="5">
        <f>IF(VaBenefits[[#This Row],[Assumed Contract Value ]]&gt;0,VaBenefits[[#This Row],[Income Base]]*MAWA,0)</f>
        <v>0</v>
      </c>
      <c r="U229" s="95">
        <v>39</v>
      </c>
      <c r="V229" s="92">
        <f>1/(1+InterestRate)^VaBenefits[[#This Row],[timeFromValuation]]</f>
        <v>6.749805000328804E-2</v>
      </c>
      <c r="W229" s="93">
        <f>VaBenefits[[#This Row],[timeFromValuation]]</f>
        <v>55.25</v>
      </c>
      <c r="X229" s="91">
        <f>IF(($G$8+VaBenefits[[#This Row],[timeFromValuation]])&lt;=120,VLOOKUP(G229,Table2[],Qx!L$6,FALSE),0)</f>
        <v>0.6</v>
      </c>
      <c r="Y229" s="91">
        <f>IF(($H$8+VaBenefits[[#This Row],[timeFromValuation]])&lt;=120,VLOOKUP(H229,Table2[],Qx!M$6,FALSE),0)</f>
        <v>0</v>
      </c>
      <c r="Z229" s="91">
        <v>0</v>
      </c>
      <c r="AA229" s="91">
        <v>0</v>
      </c>
      <c r="AB229" s="91">
        <v>0</v>
      </c>
      <c r="AC229" s="91">
        <v>0</v>
      </c>
      <c r="AD229" s="100">
        <f>PV(1.03,20,-VaBenefits[[#This Row],[Protected Income Payment]])</f>
        <v>37.864050859297308</v>
      </c>
      <c r="AE229" s="130">
        <f>IF((AND(VaBenefits[[#This Row],[Is Anniversary?]],VaBenefits[[#This Row],[Assumed Contract Value ]]&lt;75000)),-50,0)</f>
        <v>0</v>
      </c>
      <c r="AF229" s="134">
        <f>VaBenefits[[#This Row],[Assumed Contract Value ]]*-1.15%/4</f>
        <v>0</v>
      </c>
      <c r="AG229" s="129">
        <v>0</v>
      </c>
      <c r="AH229" s="6">
        <f>VaBenefits[[#This Row],[Maintenace Fee]]+VaBenefits[[#This Row],[Separate Account Charge]]+VaBenefits[[#This Row],[Rider Fee]]</f>
        <v>0</v>
      </c>
      <c r="AR229" s="23">
        <f t="shared" si="24"/>
        <v>110.5</v>
      </c>
      <c r="AS229" s="24">
        <v>0</v>
      </c>
      <c r="AT229" s="24">
        <v>0</v>
      </c>
      <c r="AU229" s="22">
        <v>0</v>
      </c>
      <c r="AV229" s="16">
        <v>0</v>
      </c>
      <c r="AW229" s="14">
        <v>299982</v>
      </c>
      <c r="AX229" s="15">
        <v>0</v>
      </c>
      <c r="AY229" s="15">
        <v>0</v>
      </c>
      <c r="AZ229" s="14">
        <v>0</v>
      </c>
      <c r="BA229" s="17">
        <v>11999</v>
      </c>
    </row>
    <row r="230" spans="1:53" ht="15" thickBot="1" x14ac:dyDescent="0.35">
      <c r="A230" s="32">
        <f t="shared" si="23"/>
        <v>222</v>
      </c>
      <c r="B230" s="29">
        <f t="shared" si="22"/>
        <v>55.5</v>
      </c>
      <c r="C230" s="29" t="b">
        <f>AND(VaBenefits[[#This Row],[timeFromValuation]]&gt;=ACT,VaBenefits[[#This Row],[Assumed Contract Value ]]&gt;0)</f>
        <v>0</v>
      </c>
      <c r="D230" s="20">
        <v>0</v>
      </c>
      <c r="E230" s="20">
        <v>0</v>
      </c>
      <c r="F230" s="20">
        <v>0</v>
      </c>
      <c r="G230" s="96">
        <f>ROUND($G$8+VaBenefits[[#This Row],[timeFromValuation]],0)</f>
        <v>111</v>
      </c>
      <c r="H230" s="20">
        <f>ROUND($H$8+VaBenefits[[#This Row],[timeFromValuation]],0)</f>
        <v>121</v>
      </c>
      <c r="I230" s="27" t="b">
        <f>VaBenefits[[#This Row],[Withdrawal Taken  ]]&gt;0</f>
        <v>0</v>
      </c>
      <c r="J230" s="41">
        <f>IF(AND(NOT(VaBenefits[[#This Row],[Is Activation]]),VaBenefits[[#This Row],[Assumed Contract Value ]]&gt;0),VaBenefits[[#This Row],[Withdrawal Taken  ]]/VaBenefits[[#This Row],[Assumed Contract Value ]],0)</f>
        <v>0</v>
      </c>
      <c r="K23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0" s="27" t="b">
        <f ca="1">AND(VaBenefits[[#This Row],[Is Activation]],SUMIFS($E$8:$E230,$C$8:$C230,TRUE)&gt;0)</f>
        <v>0</v>
      </c>
      <c r="M23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0" s="32" t="b">
        <f>IF(VaBenefits[[#This Row],[timeFromValuation]]=0,0, MOD(VaBenefits[[#This Row],[timeFromValuation]],1)=0)</f>
        <v>0</v>
      </c>
      <c r="O230" s="7">
        <f>IF(VaBenefits[[#This Row],[Is Anniversary?]]=TRUE,VaBenefits[[#This Row],[Assumed Contract Value ]],0)</f>
        <v>0</v>
      </c>
      <c r="P23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0" s="7" t="b">
        <f>VaBenefits[[#This Row],[Assumed Contract Value ]]&lt;0.1</f>
        <v>1</v>
      </c>
      <c r="R23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0" s="7">
        <f ca="1">IF(AND(VaBenefits[[#This Row],[Is Activation]]=FALSE,VaBenefits[[#This Row],[Is Anniversary?]]=TRUE),OFFSET( VaBenefits[[#This Row],[Income Credit Base]],-1,0)*ICP,0)</f>
        <v>0</v>
      </c>
      <c r="T230" s="5">
        <f>IF(VaBenefits[[#This Row],[Assumed Contract Value ]]&gt;0,VaBenefits[[#This Row],[Income Base]]*MAWA,0)</f>
        <v>0</v>
      </c>
      <c r="U230" s="95">
        <v>40</v>
      </c>
      <c r="V230" s="92">
        <f>1/(1+InterestRate)^VaBenefits[[#This Row],[timeFromValuation]]</f>
        <v>6.6679740595038201E-2</v>
      </c>
      <c r="W230" s="93">
        <f>VaBenefits[[#This Row],[timeFromValuation]]</f>
        <v>55.5</v>
      </c>
      <c r="X230" s="91">
        <f>IF(($G$8+VaBenefits[[#This Row],[timeFromValuation]])&lt;=120,VLOOKUP(G230,Table2[],Qx!L$6,FALSE),0)</f>
        <v>0.6</v>
      </c>
      <c r="Y230" s="91">
        <f>IF(($H$8+VaBenefits[[#This Row],[timeFromValuation]])&lt;=120,VLOOKUP(H230,Table2[],Qx!M$6,FALSE),0)</f>
        <v>0</v>
      </c>
      <c r="Z230" s="91">
        <v>0</v>
      </c>
      <c r="AA230" s="91">
        <v>0</v>
      </c>
      <c r="AB230" s="91">
        <v>0</v>
      </c>
      <c r="AC230" s="91">
        <v>0</v>
      </c>
      <c r="AD230" s="100">
        <f>PV(1.03,20,-VaBenefits[[#This Row],[Protected Income Payment]])</f>
        <v>38.834923958253647</v>
      </c>
      <c r="AE230" s="130">
        <f>IF((AND(VaBenefits[[#This Row],[Is Anniversary?]],VaBenefits[[#This Row],[Assumed Contract Value ]]&lt;75000)),-50,0)</f>
        <v>0</v>
      </c>
      <c r="AF230" s="134">
        <f>VaBenefits[[#This Row],[Assumed Contract Value ]]*-1.15%/4</f>
        <v>0</v>
      </c>
      <c r="AG230" s="129">
        <v>0</v>
      </c>
      <c r="AH230" s="6">
        <f>VaBenefits[[#This Row],[Maintenace Fee]]+VaBenefits[[#This Row],[Separate Account Charge]]+VaBenefits[[#This Row],[Rider Fee]]</f>
        <v>0</v>
      </c>
      <c r="AR230" s="23">
        <f t="shared" si="24"/>
        <v>111</v>
      </c>
      <c r="AS230" s="24">
        <v>0</v>
      </c>
      <c r="AT230" s="24">
        <v>0</v>
      </c>
      <c r="AU230" s="22">
        <v>0</v>
      </c>
      <c r="AV230" s="16">
        <v>0</v>
      </c>
      <c r="AW230" s="14">
        <v>299982</v>
      </c>
      <c r="AX230" s="15">
        <v>0</v>
      </c>
      <c r="AY230" s="15">
        <v>0</v>
      </c>
      <c r="AZ230" s="14">
        <v>0</v>
      </c>
      <c r="BA230" s="17">
        <v>11999</v>
      </c>
    </row>
    <row r="231" spans="1:53" ht="15" thickBot="1" x14ac:dyDescent="0.35">
      <c r="A231" s="32">
        <f t="shared" si="23"/>
        <v>223</v>
      </c>
      <c r="B231" s="29">
        <f t="shared" si="22"/>
        <v>55.75</v>
      </c>
      <c r="C231" s="29" t="b">
        <f>AND(VaBenefits[[#This Row],[timeFromValuation]]&gt;=ACT,VaBenefits[[#This Row],[Assumed Contract Value ]]&gt;0)</f>
        <v>0</v>
      </c>
      <c r="D231" s="20">
        <v>0</v>
      </c>
      <c r="E231" s="20">
        <v>0</v>
      </c>
      <c r="F231" s="20">
        <v>0</v>
      </c>
      <c r="G231" s="96">
        <f>ROUND($G$8+VaBenefits[[#This Row],[timeFromValuation]],0)</f>
        <v>111</v>
      </c>
      <c r="H231" s="20">
        <f>ROUND($H$8+VaBenefits[[#This Row],[timeFromValuation]],0)</f>
        <v>121</v>
      </c>
      <c r="I231" s="27" t="b">
        <f>VaBenefits[[#This Row],[Withdrawal Taken  ]]&gt;0</f>
        <v>0</v>
      </c>
      <c r="J231" s="41">
        <f>IF(AND(NOT(VaBenefits[[#This Row],[Is Activation]]),VaBenefits[[#This Row],[Assumed Contract Value ]]&gt;0),VaBenefits[[#This Row],[Withdrawal Taken  ]]/VaBenefits[[#This Row],[Assumed Contract Value ]],0)</f>
        <v>0</v>
      </c>
      <c r="K23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1" s="27" t="b">
        <f ca="1">AND(VaBenefits[[#This Row],[Is Activation]],SUMIFS($E$8:$E231,$C$8:$C231,TRUE)&gt;0)</f>
        <v>0</v>
      </c>
      <c r="M23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1" s="32" t="b">
        <f>IF(VaBenefits[[#This Row],[timeFromValuation]]=0,0, MOD(VaBenefits[[#This Row],[timeFromValuation]],1)=0)</f>
        <v>0</v>
      </c>
      <c r="O231" s="7">
        <f>IF(VaBenefits[[#This Row],[Is Anniversary?]]=TRUE,VaBenefits[[#This Row],[Assumed Contract Value ]],0)</f>
        <v>0</v>
      </c>
      <c r="P23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1" s="7" t="b">
        <f>VaBenefits[[#This Row],[Assumed Contract Value ]]&lt;0.1</f>
        <v>1</v>
      </c>
      <c r="R23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1" s="7">
        <f ca="1">IF(AND(VaBenefits[[#This Row],[Is Activation]]=FALSE,VaBenefits[[#This Row],[Is Anniversary?]]=TRUE),OFFSET( VaBenefits[[#This Row],[Income Credit Base]],-1,0)*ICP,0)</f>
        <v>0</v>
      </c>
      <c r="T231" s="5">
        <f>IF(VaBenefits[[#This Row],[Assumed Contract Value ]]&gt;0,VaBenefits[[#This Row],[Income Base]]*MAWA,0)</f>
        <v>0</v>
      </c>
      <c r="U231" s="95">
        <v>41</v>
      </c>
      <c r="V231" s="92">
        <f>1/(1+InterestRate)^VaBenefits[[#This Row],[timeFromValuation]]</f>
        <v>6.5871351922092536E-2</v>
      </c>
      <c r="W231" s="93">
        <f>VaBenefits[[#This Row],[timeFromValuation]]</f>
        <v>55.75</v>
      </c>
      <c r="X231" s="91">
        <f>IF(($G$8+VaBenefits[[#This Row],[timeFromValuation]])&lt;=120,VLOOKUP(G231,Table2[],Qx!L$6,FALSE),0)</f>
        <v>0.6</v>
      </c>
      <c r="Y231" s="91">
        <f>IF(($H$8+VaBenefits[[#This Row],[timeFromValuation]])&lt;=120,VLOOKUP(H231,Table2[],Qx!M$6,FALSE),0)</f>
        <v>0</v>
      </c>
      <c r="Z231" s="91">
        <v>0</v>
      </c>
      <c r="AA231" s="91">
        <v>0</v>
      </c>
      <c r="AB231" s="91">
        <v>0</v>
      </c>
      <c r="AC231" s="91">
        <v>0</v>
      </c>
      <c r="AD231" s="100">
        <f>PV(1.03,20,-VaBenefits[[#This Row],[Protected Income Payment]])</f>
        <v>39.805797057209993</v>
      </c>
      <c r="AE231" s="130">
        <f>IF((AND(VaBenefits[[#This Row],[Is Anniversary?]],VaBenefits[[#This Row],[Assumed Contract Value ]]&lt;75000)),-50,0)</f>
        <v>0</v>
      </c>
      <c r="AF231" s="134">
        <f>VaBenefits[[#This Row],[Assumed Contract Value ]]*-1.15%/4</f>
        <v>0</v>
      </c>
      <c r="AG231" s="129">
        <v>0</v>
      </c>
      <c r="AH231" s="6">
        <f>VaBenefits[[#This Row],[Maintenace Fee]]+VaBenefits[[#This Row],[Separate Account Charge]]+VaBenefits[[#This Row],[Rider Fee]]</f>
        <v>0</v>
      </c>
      <c r="AR231" s="23">
        <f t="shared" si="24"/>
        <v>111.5</v>
      </c>
      <c r="AS231" s="24">
        <v>0</v>
      </c>
      <c r="AT231" s="24">
        <v>0</v>
      </c>
      <c r="AU231" s="22">
        <v>0</v>
      </c>
      <c r="AV231" s="16">
        <v>0</v>
      </c>
      <c r="AW231" s="14">
        <v>299982</v>
      </c>
      <c r="AX231" s="15">
        <v>0</v>
      </c>
      <c r="AY231" s="15">
        <v>0</v>
      </c>
      <c r="AZ231" s="14">
        <v>0</v>
      </c>
      <c r="BA231" s="17">
        <v>11999</v>
      </c>
    </row>
    <row r="232" spans="1:53" ht="15" thickBot="1" x14ac:dyDescent="0.35">
      <c r="A232" s="32">
        <f t="shared" si="23"/>
        <v>224</v>
      </c>
      <c r="B232" s="29">
        <f t="shared" si="22"/>
        <v>56</v>
      </c>
      <c r="C232" s="29" t="b">
        <f>AND(VaBenefits[[#This Row],[timeFromValuation]]&gt;=ACT,VaBenefits[[#This Row],[Assumed Contract Value ]]&gt;0)</f>
        <v>0</v>
      </c>
      <c r="D232" s="20">
        <v>0</v>
      </c>
      <c r="E232" s="20">
        <v>0</v>
      </c>
      <c r="F232" s="20">
        <v>0</v>
      </c>
      <c r="G232" s="96">
        <f>ROUND($G$8+VaBenefits[[#This Row],[timeFromValuation]],0)</f>
        <v>111</v>
      </c>
      <c r="H232" s="20">
        <f>ROUND($H$8+VaBenefits[[#This Row],[timeFromValuation]],0)</f>
        <v>121</v>
      </c>
      <c r="I232" s="27" t="b">
        <f>VaBenefits[[#This Row],[Withdrawal Taken  ]]&gt;0</f>
        <v>0</v>
      </c>
      <c r="J232" s="41">
        <f>IF(AND(NOT(VaBenefits[[#This Row],[Is Activation]]),VaBenefits[[#This Row],[Assumed Contract Value ]]&gt;0),VaBenefits[[#This Row],[Withdrawal Taken  ]]/VaBenefits[[#This Row],[Assumed Contract Value ]],0)</f>
        <v>0</v>
      </c>
      <c r="K23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2" s="27" t="b">
        <f ca="1">AND(VaBenefits[[#This Row],[Is Activation]],SUMIFS($E$8:$E232,$C$8:$C232,TRUE)&gt;0)</f>
        <v>0</v>
      </c>
      <c r="M23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2" s="32" t="b">
        <f>IF(VaBenefits[[#This Row],[timeFromValuation]]=0,0, MOD(VaBenefits[[#This Row],[timeFromValuation]],1)=0)</f>
        <v>1</v>
      </c>
      <c r="O232" s="7">
        <f>IF(VaBenefits[[#This Row],[Is Anniversary?]]=TRUE,VaBenefits[[#This Row],[Assumed Contract Value ]],0)</f>
        <v>0</v>
      </c>
      <c r="P23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2" s="7" t="b">
        <f>VaBenefits[[#This Row],[Assumed Contract Value ]]&lt;0.1</f>
        <v>1</v>
      </c>
      <c r="R23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2" s="7">
        <f ca="1">IF(AND(VaBenefits[[#This Row],[Is Activation]]=FALSE,VaBenefits[[#This Row],[Is Anniversary?]]=TRUE),OFFSET( VaBenefits[[#This Row],[Income Credit Base]],-1,0)*ICP,0)</f>
        <v>0</v>
      </c>
      <c r="T232" s="5">
        <f>IF(VaBenefits[[#This Row],[Assumed Contract Value ]]&gt;0,VaBenefits[[#This Row],[Income Base]]*MAWA,0)</f>
        <v>0</v>
      </c>
      <c r="U232" s="95">
        <v>42</v>
      </c>
      <c r="V232" s="92">
        <f>1/(1+InterestRate)^VaBenefits[[#This Row],[timeFromValuation]]</f>
        <v>6.5072763710887174E-2</v>
      </c>
      <c r="W232" s="93">
        <f>VaBenefits[[#This Row],[timeFromValuation]]</f>
        <v>56</v>
      </c>
      <c r="X232" s="91">
        <f>IF(($G$8+VaBenefits[[#This Row],[timeFromValuation]])&lt;=120,VLOOKUP(G232,Table2[],Qx!L$6,FALSE),0)</f>
        <v>0.6</v>
      </c>
      <c r="Y232" s="91">
        <f>IF(($H$8+VaBenefits[[#This Row],[timeFromValuation]])&lt;=120,VLOOKUP(H232,Table2[],Qx!M$6,FALSE),0)</f>
        <v>0</v>
      </c>
      <c r="Z232" s="91">
        <v>0</v>
      </c>
      <c r="AA232" s="91">
        <v>0</v>
      </c>
      <c r="AB232" s="91">
        <v>0</v>
      </c>
      <c r="AC232" s="91">
        <v>0</v>
      </c>
      <c r="AD232" s="100">
        <f>PV(1.03,20,-VaBenefits[[#This Row],[Protected Income Payment]])</f>
        <v>40.776670156166325</v>
      </c>
      <c r="AE232" s="130">
        <f>IF((AND(VaBenefits[[#This Row],[Is Anniversary?]],VaBenefits[[#This Row],[Assumed Contract Value ]]&lt;75000)),-50,0)</f>
        <v>-50</v>
      </c>
      <c r="AF232" s="134">
        <f>VaBenefits[[#This Row],[Assumed Contract Value ]]*-1.15%/4</f>
        <v>0</v>
      </c>
      <c r="AG232" s="129">
        <v>0</v>
      </c>
      <c r="AH232" s="6">
        <f>VaBenefits[[#This Row],[Maintenace Fee]]+VaBenefits[[#This Row],[Separate Account Charge]]+VaBenefits[[#This Row],[Rider Fee]]</f>
        <v>-50</v>
      </c>
      <c r="AR232" s="23">
        <f t="shared" si="24"/>
        <v>112</v>
      </c>
      <c r="AS232" s="24">
        <v>0</v>
      </c>
      <c r="AT232" s="24">
        <v>0</v>
      </c>
      <c r="AU232" s="22">
        <v>0</v>
      </c>
      <c r="AV232" s="16">
        <v>0</v>
      </c>
      <c r="AW232" s="14">
        <v>299982</v>
      </c>
      <c r="AX232" s="15">
        <v>0</v>
      </c>
      <c r="AY232" s="15">
        <v>0</v>
      </c>
      <c r="AZ232" s="14">
        <v>0</v>
      </c>
      <c r="BA232" s="17">
        <v>11999</v>
      </c>
    </row>
    <row r="233" spans="1:53" ht="15" thickBot="1" x14ac:dyDescent="0.35">
      <c r="A233" s="32">
        <f t="shared" si="23"/>
        <v>225</v>
      </c>
      <c r="B233" s="29">
        <f t="shared" si="22"/>
        <v>56.25</v>
      </c>
      <c r="C233" s="29" t="b">
        <f>AND(VaBenefits[[#This Row],[timeFromValuation]]&gt;=ACT,VaBenefits[[#This Row],[Assumed Contract Value ]]&gt;0)</f>
        <v>0</v>
      </c>
      <c r="D233" s="20">
        <v>0</v>
      </c>
      <c r="E233" s="20">
        <v>0</v>
      </c>
      <c r="F233" s="20">
        <v>0</v>
      </c>
      <c r="G233" s="96">
        <f>ROUND($G$8+VaBenefits[[#This Row],[timeFromValuation]],0)</f>
        <v>111</v>
      </c>
      <c r="H233" s="20">
        <f>ROUND($H$8+VaBenefits[[#This Row],[timeFromValuation]],0)</f>
        <v>121</v>
      </c>
      <c r="I233" s="27" t="b">
        <f>VaBenefits[[#This Row],[Withdrawal Taken  ]]&gt;0</f>
        <v>0</v>
      </c>
      <c r="J233" s="41">
        <f>IF(AND(NOT(VaBenefits[[#This Row],[Is Activation]]),VaBenefits[[#This Row],[Assumed Contract Value ]]&gt;0),VaBenefits[[#This Row],[Withdrawal Taken  ]]/VaBenefits[[#This Row],[Assumed Contract Value ]],0)</f>
        <v>0</v>
      </c>
      <c r="K23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3" s="27" t="b">
        <f ca="1">AND(VaBenefits[[#This Row],[Is Activation]],SUMIFS($E$8:$E233,$C$8:$C233,TRUE)&gt;0)</f>
        <v>0</v>
      </c>
      <c r="M23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3" s="32" t="b">
        <f>IF(VaBenefits[[#This Row],[timeFromValuation]]=0,0, MOD(VaBenefits[[#This Row],[timeFromValuation]],1)=0)</f>
        <v>0</v>
      </c>
      <c r="O233" s="7">
        <f>IF(VaBenefits[[#This Row],[Is Anniversary?]]=TRUE,VaBenefits[[#This Row],[Assumed Contract Value ]],0)</f>
        <v>0</v>
      </c>
      <c r="P23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3" s="7" t="b">
        <f>VaBenefits[[#This Row],[Assumed Contract Value ]]&lt;0.1</f>
        <v>1</v>
      </c>
      <c r="R23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3" s="7">
        <f ca="1">IF(AND(VaBenefits[[#This Row],[Is Activation]]=FALSE,VaBenefits[[#This Row],[Is Anniversary?]]=TRUE),OFFSET( VaBenefits[[#This Row],[Income Credit Base]],-1,0)*ICP,0)</f>
        <v>0</v>
      </c>
      <c r="T233" s="5">
        <f>IF(VaBenefits[[#This Row],[Assumed Contract Value ]]&gt;0,VaBenefits[[#This Row],[Income Base]]*MAWA,0)</f>
        <v>0</v>
      </c>
      <c r="U233" s="95">
        <v>43</v>
      </c>
      <c r="V233" s="92">
        <f>1/(1+InterestRate)^VaBenefits[[#This Row],[timeFromValuation]]</f>
        <v>6.4283857145988596E-2</v>
      </c>
      <c r="W233" s="93">
        <f>VaBenefits[[#This Row],[timeFromValuation]]</f>
        <v>56.25</v>
      </c>
      <c r="X233" s="91">
        <f>IF(($G$8+VaBenefits[[#This Row],[timeFromValuation]])&lt;=120,VLOOKUP(G233,Table2[],Qx!L$6,FALSE),0)</f>
        <v>0.6</v>
      </c>
      <c r="Y233" s="91">
        <f>IF(($H$8+VaBenefits[[#This Row],[timeFromValuation]])&lt;=120,VLOOKUP(H233,Table2[],Qx!M$6,FALSE),0)</f>
        <v>0</v>
      </c>
      <c r="Z233" s="91">
        <v>0</v>
      </c>
      <c r="AA233" s="91">
        <v>0</v>
      </c>
      <c r="AB233" s="91">
        <v>0</v>
      </c>
      <c r="AC233" s="91">
        <v>0</v>
      </c>
      <c r="AD233" s="100">
        <f>PV(1.03,20,-VaBenefits[[#This Row],[Protected Income Payment]])</f>
        <v>41.747543255122672</v>
      </c>
      <c r="AE233" s="130">
        <f>IF((AND(VaBenefits[[#This Row],[Is Anniversary?]],VaBenefits[[#This Row],[Assumed Contract Value ]]&lt;75000)),-50,0)</f>
        <v>0</v>
      </c>
      <c r="AF233" s="134">
        <f>VaBenefits[[#This Row],[Assumed Contract Value ]]*-1.15%/4</f>
        <v>0</v>
      </c>
      <c r="AG233" s="129">
        <v>0</v>
      </c>
      <c r="AH233" s="6">
        <f>VaBenefits[[#This Row],[Maintenace Fee]]+VaBenefits[[#This Row],[Separate Account Charge]]+VaBenefits[[#This Row],[Rider Fee]]</f>
        <v>0</v>
      </c>
      <c r="AR233" s="23">
        <f t="shared" si="24"/>
        <v>112.5</v>
      </c>
      <c r="AS233" s="24">
        <v>0</v>
      </c>
      <c r="AT233" s="24">
        <v>0</v>
      </c>
      <c r="AU233" s="22">
        <v>0</v>
      </c>
      <c r="AV233" s="16">
        <v>0</v>
      </c>
      <c r="AW233" s="14">
        <v>299982</v>
      </c>
      <c r="AX233" s="15">
        <v>0</v>
      </c>
      <c r="AY233" s="15">
        <v>0</v>
      </c>
      <c r="AZ233" s="14">
        <v>0</v>
      </c>
      <c r="BA233" s="17">
        <v>11999</v>
      </c>
    </row>
    <row r="234" spans="1:53" ht="15" thickBot="1" x14ac:dyDescent="0.35">
      <c r="A234" s="32">
        <f t="shared" si="23"/>
        <v>226</v>
      </c>
      <c r="B234" s="29">
        <f t="shared" si="22"/>
        <v>56.5</v>
      </c>
      <c r="C234" s="29" t="b">
        <f>AND(VaBenefits[[#This Row],[timeFromValuation]]&gt;=ACT,VaBenefits[[#This Row],[Assumed Contract Value ]]&gt;0)</f>
        <v>0</v>
      </c>
      <c r="D234" s="20">
        <v>0</v>
      </c>
      <c r="E234" s="20">
        <v>0</v>
      </c>
      <c r="F234" s="20">
        <v>0</v>
      </c>
      <c r="G234" s="96">
        <f>ROUND($G$8+VaBenefits[[#This Row],[timeFromValuation]],0)</f>
        <v>112</v>
      </c>
      <c r="H234" s="20">
        <f>ROUND($H$8+VaBenefits[[#This Row],[timeFromValuation]],0)</f>
        <v>122</v>
      </c>
      <c r="I234" s="27" t="b">
        <f>VaBenefits[[#This Row],[Withdrawal Taken  ]]&gt;0</f>
        <v>0</v>
      </c>
      <c r="J234" s="41">
        <f>IF(AND(NOT(VaBenefits[[#This Row],[Is Activation]]),VaBenefits[[#This Row],[Assumed Contract Value ]]&gt;0),VaBenefits[[#This Row],[Withdrawal Taken  ]]/VaBenefits[[#This Row],[Assumed Contract Value ]],0)</f>
        <v>0</v>
      </c>
      <c r="K23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4" s="27" t="b">
        <f ca="1">AND(VaBenefits[[#This Row],[Is Activation]],SUMIFS($E$8:$E234,$C$8:$C234,TRUE)&gt;0)</f>
        <v>0</v>
      </c>
      <c r="M23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4" s="32" t="b">
        <f>IF(VaBenefits[[#This Row],[timeFromValuation]]=0,0, MOD(VaBenefits[[#This Row],[timeFromValuation]],1)=0)</f>
        <v>0</v>
      </c>
      <c r="O234" s="7">
        <f>IF(VaBenefits[[#This Row],[Is Anniversary?]]=TRUE,VaBenefits[[#This Row],[Assumed Contract Value ]],0)</f>
        <v>0</v>
      </c>
      <c r="P23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4" s="7" t="b">
        <f>VaBenefits[[#This Row],[Assumed Contract Value ]]&lt;0.1</f>
        <v>1</v>
      </c>
      <c r="R23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4" s="7">
        <f ca="1">IF(AND(VaBenefits[[#This Row],[Is Activation]]=FALSE,VaBenefits[[#This Row],[Is Anniversary?]]=TRUE),OFFSET( VaBenefits[[#This Row],[Income Credit Base]],-1,0)*ICP,0)</f>
        <v>0</v>
      </c>
      <c r="T234" s="5">
        <f>IF(VaBenefits[[#This Row],[Assumed Contract Value ]]&gt;0,VaBenefits[[#This Row],[Income Base]]*MAWA,0)</f>
        <v>0</v>
      </c>
      <c r="U234" s="95">
        <v>44</v>
      </c>
      <c r="V234" s="92">
        <f>1/(1+InterestRate)^VaBenefits[[#This Row],[timeFromValuation]]</f>
        <v>6.3504514852417329E-2</v>
      </c>
      <c r="W234" s="93">
        <f>VaBenefits[[#This Row],[timeFromValuation]]</f>
        <v>56.5</v>
      </c>
      <c r="X234" s="91">
        <f>IF(($G$8+VaBenefits[[#This Row],[timeFromValuation]])&lt;=120,VLOOKUP(G234,Table2[],Qx!L$6,FALSE),0)</f>
        <v>0.6</v>
      </c>
      <c r="Y234" s="91">
        <f>IF(($H$8+VaBenefits[[#This Row],[timeFromValuation]])&lt;=120,VLOOKUP(H234,Table2[],Qx!M$6,FALSE),0)</f>
        <v>0</v>
      </c>
      <c r="Z234" s="91">
        <v>0</v>
      </c>
      <c r="AA234" s="91">
        <v>0</v>
      </c>
      <c r="AB234" s="91">
        <v>0</v>
      </c>
      <c r="AC234" s="91">
        <v>0</v>
      </c>
      <c r="AD234" s="100">
        <f>PV(1.03,20,-VaBenefits[[#This Row],[Protected Income Payment]])</f>
        <v>42.718416354079011</v>
      </c>
      <c r="AE234" s="130">
        <f>IF((AND(VaBenefits[[#This Row],[Is Anniversary?]],VaBenefits[[#This Row],[Assumed Contract Value ]]&lt;75000)),-50,0)</f>
        <v>0</v>
      </c>
      <c r="AF234" s="134">
        <f>VaBenefits[[#This Row],[Assumed Contract Value ]]*-1.15%/4</f>
        <v>0</v>
      </c>
      <c r="AG234" s="129">
        <v>0</v>
      </c>
      <c r="AH234" s="6">
        <f>VaBenefits[[#This Row],[Maintenace Fee]]+VaBenefits[[#This Row],[Separate Account Charge]]+VaBenefits[[#This Row],[Rider Fee]]</f>
        <v>0</v>
      </c>
      <c r="AR234" s="23">
        <f t="shared" si="24"/>
        <v>113</v>
      </c>
      <c r="AS234" s="24">
        <v>0</v>
      </c>
      <c r="AT234" s="24">
        <v>0</v>
      </c>
      <c r="AU234" s="22">
        <v>0</v>
      </c>
      <c r="AV234" s="16">
        <v>0</v>
      </c>
      <c r="AW234" s="14">
        <v>299982</v>
      </c>
      <c r="AX234" s="15">
        <v>0</v>
      </c>
      <c r="AY234" s="15">
        <v>0</v>
      </c>
      <c r="AZ234" s="14">
        <v>0</v>
      </c>
      <c r="BA234" s="17">
        <v>11999</v>
      </c>
    </row>
    <row r="235" spans="1:53" ht="15" thickBot="1" x14ac:dyDescent="0.35">
      <c r="A235" s="32">
        <f t="shared" si="23"/>
        <v>227</v>
      </c>
      <c r="B235" s="29">
        <f t="shared" si="22"/>
        <v>56.75</v>
      </c>
      <c r="C235" s="29" t="b">
        <f>AND(VaBenefits[[#This Row],[timeFromValuation]]&gt;=ACT,VaBenefits[[#This Row],[Assumed Contract Value ]]&gt;0)</f>
        <v>0</v>
      </c>
      <c r="D235" s="20">
        <v>0</v>
      </c>
      <c r="E235" s="20">
        <v>0</v>
      </c>
      <c r="F235" s="20">
        <v>0</v>
      </c>
      <c r="G235" s="96">
        <f>ROUND($G$8+VaBenefits[[#This Row],[timeFromValuation]],0)</f>
        <v>112</v>
      </c>
      <c r="H235" s="20">
        <f>ROUND($H$8+VaBenefits[[#This Row],[timeFromValuation]],0)</f>
        <v>122</v>
      </c>
      <c r="I235" s="27" t="b">
        <f>VaBenefits[[#This Row],[Withdrawal Taken  ]]&gt;0</f>
        <v>0</v>
      </c>
      <c r="J235" s="41">
        <f>IF(AND(NOT(VaBenefits[[#This Row],[Is Activation]]),VaBenefits[[#This Row],[Assumed Contract Value ]]&gt;0),VaBenefits[[#This Row],[Withdrawal Taken  ]]/VaBenefits[[#This Row],[Assumed Contract Value ]],0)</f>
        <v>0</v>
      </c>
      <c r="K23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5" s="27" t="b">
        <f ca="1">AND(VaBenefits[[#This Row],[Is Activation]],SUMIFS($E$8:$E235,$C$8:$C235,TRUE)&gt;0)</f>
        <v>0</v>
      </c>
      <c r="M23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5" s="32" t="b">
        <f>IF(VaBenefits[[#This Row],[timeFromValuation]]=0,0, MOD(VaBenefits[[#This Row],[timeFromValuation]],1)=0)</f>
        <v>0</v>
      </c>
      <c r="O235" s="7">
        <f>IF(VaBenefits[[#This Row],[Is Anniversary?]]=TRUE,VaBenefits[[#This Row],[Assumed Contract Value ]],0)</f>
        <v>0</v>
      </c>
      <c r="P23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5" s="7" t="b">
        <f>VaBenefits[[#This Row],[Assumed Contract Value ]]&lt;0.1</f>
        <v>1</v>
      </c>
      <c r="R23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5" s="7">
        <f ca="1">IF(AND(VaBenefits[[#This Row],[Is Activation]]=FALSE,VaBenefits[[#This Row],[Is Anniversary?]]=TRUE),OFFSET( VaBenefits[[#This Row],[Income Credit Base]],-1,0)*ICP,0)</f>
        <v>0</v>
      </c>
      <c r="T235" s="5">
        <f>IF(VaBenefits[[#This Row],[Assumed Contract Value ]]&gt;0,VaBenefits[[#This Row],[Income Base]]*MAWA,0)</f>
        <v>0</v>
      </c>
      <c r="U235" s="95">
        <v>45</v>
      </c>
      <c r="V235" s="92">
        <f>1/(1+InterestRate)^VaBenefits[[#This Row],[timeFromValuation]]</f>
        <v>6.2734620878183364E-2</v>
      </c>
      <c r="W235" s="93">
        <f>VaBenefits[[#This Row],[timeFromValuation]]</f>
        <v>56.75</v>
      </c>
      <c r="X235" s="91">
        <f>IF(($G$8+VaBenefits[[#This Row],[timeFromValuation]])&lt;=120,VLOOKUP(G235,Table2[],Qx!L$6,FALSE),0)</f>
        <v>0.6</v>
      </c>
      <c r="Y235" s="91">
        <f>IF(($H$8+VaBenefits[[#This Row],[timeFromValuation]])&lt;=120,VLOOKUP(H235,Table2[],Qx!M$6,FALSE),0)</f>
        <v>0</v>
      </c>
      <c r="Z235" s="91">
        <v>0</v>
      </c>
      <c r="AA235" s="91">
        <v>0</v>
      </c>
      <c r="AB235" s="91">
        <v>0</v>
      </c>
      <c r="AC235" s="91">
        <v>0</v>
      </c>
      <c r="AD235" s="100">
        <f>PV(1.03,20,-VaBenefits[[#This Row],[Protected Income Payment]])</f>
        <v>43.689289453035357</v>
      </c>
      <c r="AE235" s="130">
        <f>IF((AND(VaBenefits[[#This Row],[Is Anniversary?]],VaBenefits[[#This Row],[Assumed Contract Value ]]&lt;75000)),-50,0)</f>
        <v>0</v>
      </c>
      <c r="AF235" s="134">
        <f>VaBenefits[[#This Row],[Assumed Contract Value ]]*-1.15%/4</f>
        <v>0</v>
      </c>
      <c r="AG235" s="129">
        <v>0</v>
      </c>
      <c r="AH235" s="6">
        <f>VaBenefits[[#This Row],[Maintenace Fee]]+VaBenefits[[#This Row],[Separate Account Charge]]+VaBenefits[[#This Row],[Rider Fee]]</f>
        <v>0</v>
      </c>
      <c r="AR235" s="23">
        <f t="shared" si="24"/>
        <v>113.5</v>
      </c>
      <c r="AS235" s="24">
        <v>0</v>
      </c>
      <c r="AT235" s="24">
        <v>0</v>
      </c>
      <c r="AU235" s="22">
        <v>0</v>
      </c>
      <c r="AV235" s="16">
        <v>0</v>
      </c>
      <c r="AW235" s="14">
        <v>299982</v>
      </c>
      <c r="AX235" s="15">
        <v>0</v>
      </c>
      <c r="AY235" s="15">
        <v>0</v>
      </c>
      <c r="AZ235" s="14">
        <v>0</v>
      </c>
      <c r="BA235" s="17">
        <v>11999</v>
      </c>
    </row>
    <row r="236" spans="1:53" ht="15" thickBot="1" x14ac:dyDescent="0.35">
      <c r="A236" s="32">
        <f t="shared" si="23"/>
        <v>228</v>
      </c>
      <c r="B236" s="29">
        <f t="shared" si="22"/>
        <v>57</v>
      </c>
      <c r="C236" s="29" t="b">
        <f>AND(VaBenefits[[#This Row],[timeFromValuation]]&gt;=ACT,VaBenefits[[#This Row],[Assumed Contract Value ]]&gt;0)</f>
        <v>0</v>
      </c>
      <c r="D236" s="20">
        <v>0</v>
      </c>
      <c r="E236" s="20">
        <v>0</v>
      </c>
      <c r="F236" s="20">
        <v>0</v>
      </c>
      <c r="G236" s="96">
        <f>ROUND($G$8+VaBenefits[[#This Row],[timeFromValuation]],0)</f>
        <v>112</v>
      </c>
      <c r="H236" s="20">
        <f>ROUND($H$8+VaBenefits[[#This Row],[timeFromValuation]],0)</f>
        <v>122</v>
      </c>
      <c r="I236" s="27" t="b">
        <f>VaBenefits[[#This Row],[Withdrawal Taken  ]]&gt;0</f>
        <v>0</v>
      </c>
      <c r="J236" s="41">
        <f>IF(AND(NOT(VaBenefits[[#This Row],[Is Activation]]),VaBenefits[[#This Row],[Assumed Contract Value ]]&gt;0),VaBenefits[[#This Row],[Withdrawal Taken  ]]/VaBenefits[[#This Row],[Assumed Contract Value ]],0)</f>
        <v>0</v>
      </c>
      <c r="K23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6" s="27" t="b">
        <f ca="1">AND(VaBenefits[[#This Row],[Is Activation]],SUMIFS($E$8:$E236,$C$8:$C236,TRUE)&gt;0)</f>
        <v>0</v>
      </c>
      <c r="M23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6" s="32" t="b">
        <f>IF(VaBenefits[[#This Row],[timeFromValuation]]=0,0, MOD(VaBenefits[[#This Row],[timeFromValuation]],1)=0)</f>
        <v>1</v>
      </c>
      <c r="O236" s="7">
        <f>IF(VaBenefits[[#This Row],[Is Anniversary?]]=TRUE,VaBenefits[[#This Row],[Assumed Contract Value ]],0)</f>
        <v>0</v>
      </c>
      <c r="P23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6" s="7" t="b">
        <f>VaBenefits[[#This Row],[Assumed Contract Value ]]&lt;0.1</f>
        <v>1</v>
      </c>
      <c r="R23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6" s="7">
        <f ca="1">IF(AND(VaBenefits[[#This Row],[Is Activation]]=FALSE,VaBenefits[[#This Row],[Is Anniversary?]]=TRUE),OFFSET( VaBenefits[[#This Row],[Income Credit Base]],-1,0)*ICP,0)</f>
        <v>0</v>
      </c>
      <c r="T236" s="5">
        <f>IF(VaBenefits[[#This Row],[Assumed Contract Value ]]&gt;0,VaBenefits[[#This Row],[Income Base]]*MAWA,0)</f>
        <v>0</v>
      </c>
      <c r="U236" s="95">
        <v>46</v>
      </c>
      <c r="V236" s="92">
        <f>1/(1+InterestRate)^VaBenefits[[#This Row],[timeFromValuation]]</f>
        <v>6.1974060677035397E-2</v>
      </c>
      <c r="W236" s="93">
        <f>VaBenefits[[#This Row],[timeFromValuation]]</f>
        <v>57</v>
      </c>
      <c r="X236" s="91">
        <f>IF(($G$8+VaBenefits[[#This Row],[timeFromValuation]])&lt;=120,VLOOKUP(G236,Table2[],Qx!L$6,FALSE),0)</f>
        <v>0.6</v>
      </c>
      <c r="Y236" s="91">
        <f>IF(($H$8+VaBenefits[[#This Row],[timeFromValuation]])&lt;=120,VLOOKUP(H236,Table2[],Qx!M$6,FALSE),0)</f>
        <v>0</v>
      </c>
      <c r="Z236" s="91">
        <v>0</v>
      </c>
      <c r="AA236" s="91">
        <v>0</v>
      </c>
      <c r="AB236" s="91">
        <v>0</v>
      </c>
      <c r="AC236" s="91">
        <v>0</v>
      </c>
      <c r="AD236" s="100">
        <f>PV(1.03,20,-VaBenefits[[#This Row],[Protected Income Payment]])</f>
        <v>44.660162551991696</v>
      </c>
      <c r="AE236" s="130">
        <f>IF((AND(VaBenefits[[#This Row],[Is Anniversary?]],VaBenefits[[#This Row],[Assumed Contract Value ]]&lt;75000)),-50,0)</f>
        <v>-50</v>
      </c>
      <c r="AF236" s="134">
        <f>VaBenefits[[#This Row],[Assumed Contract Value ]]*-1.15%/4</f>
        <v>0</v>
      </c>
      <c r="AG236" s="129">
        <v>0</v>
      </c>
      <c r="AH236" s="6">
        <f>VaBenefits[[#This Row],[Maintenace Fee]]+VaBenefits[[#This Row],[Separate Account Charge]]+VaBenefits[[#This Row],[Rider Fee]]</f>
        <v>-50</v>
      </c>
      <c r="AR236" s="23">
        <f t="shared" si="24"/>
        <v>114</v>
      </c>
      <c r="AS236" s="24">
        <v>0</v>
      </c>
      <c r="AT236" s="24">
        <v>0</v>
      </c>
      <c r="AU236" s="22">
        <v>0</v>
      </c>
      <c r="AV236" s="16">
        <v>0</v>
      </c>
      <c r="AW236" s="14">
        <v>299982</v>
      </c>
      <c r="AX236" s="15">
        <v>0</v>
      </c>
      <c r="AY236" s="15">
        <v>0</v>
      </c>
      <c r="AZ236" s="14">
        <v>0</v>
      </c>
      <c r="BA236" s="17">
        <v>11999</v>
      </c>
    </row>
    <row r="237" spans="1:53" ht="15" thickBot="1" x14ac:dyDescent="0.35">
      <c r="A237" s="32">
        <f t="shared" si="23"/>
        <v>229</v>
      </c>
      <c r="B237" s="29">
        <f t="shared" si="22"/>
        <v>57.25</v>
      </c>
      <c r="C237" s="29" t="b">
        <f>AND(VaBenefits[[#This Row],[timeFromValuation]]&gt;=ACT,VaBenefits[[#This Row],[Assumed Contract Value ]]&gt;0)</f>
        <v>0</v>
      </c>
      <c r="D237" s="20">
        <v>0</v>
      </c>
      <c r="E237" s="20">
        <v>0</v>
      </c>
      <c r="F237" s="20">
        <v>0</v>
      </c>
      <c r="G237" s="96">
        <f>ROUND($G$8+VaBenefits[[#This Row],[timeFromValuation]],0)</f>
        <v>112</v>
      </c>
      <c r="H237" s="20">
        <f>ROUND($H$8+VaBenefits[[#This Row],[timeFromValuation]],0)</f>
        <v>122</v>
      </c>
      <c r="I237" s="27" t="b">
        <f>VaBenefits[[#This Row],[Withdrawal Taken  ]]&gt;0</f>
        <v>0</v>
      </c>
      <c r="J237" s="41">
        <f>IF(AND(NOT(VaBenefits[[#This Row],[Is Activation]]),VaBenefits[[#This Row],[Assumed Contract Value ]]&gt;0),VaBenefits[[#This Row],[Withdrawal Taken  ]]/VaBenefits[[#This Row],[Assumed Contract Value ]],0)</f>
        <v>0</v>
      </c>
      <c r="K23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7" s="27" t="b">
        <f ca="1">AND(VaBenefits[[#This Row],[Is Activation]],SUMIFS($E$8:$E237,$C$8:$C237,TRUE)&gt;0)</f>
        <v>0</v>
      </c>
      <c r="M23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7" s="32" t="b">
        <f>IF(VaBenefits[[#This Row],[timeFromValuation]]=0,0, MOD(VaBenefits[[#This Row],[timeFromValuation]],1)=0)</f>
        <v>0</v>
      </c>
      <c r="O237" s="7">
        <f>IF(VaBenefits[[#This Row],[Is Anniversary?]]=TRUE,VaBenefits[[#This Row],[Assumed Contract Value ]],0)</f>
        <v>0</v>
      </c>
      <c r="P23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7" s="7" t="b">
        <f>VaBenefits[[#This Row],[Assumed Contract Value ]]&lt;0.1</f>
        <v>1</v>
      </c>
      <c r="R23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7" s="7">
        <f ca="1">IF(AND(VaBenefits[[#This Row],[Is Activation]]=FALSE,VaBenefits[[#This Row],[Is Anniversary?]]=TRUE),OFFSET( VaBenefits[[#This Row],[Income Credit Base]],-1,0)*ICP,0)</f>
        <v>0</v>
      </c>
      <c r="T237" s="5">
        <f>IF(VaBenefits[[#This Row],[Assumed Contract Value ]]&gt;0,VaBenefits[[#This Row],[Income Base]]*MAWA,0)</f>
        <v>0</v>
      </c>
      <c r="U237" s="95">
        <v>47</v>
      </c>
      <c r="V237" s="92">
        <f>1/(1+InterestRate)^VaBenefits[[#This Row],[timeFromValuation]]</f>
        <v>6.1222721091417708E-2</v>
      </c>
      <c r="W237" s="93">
        <f>VaBenefits[[#This Row],[timeFromValuation]]</f>
        <v>57.25</v>
      </c>
      <c r="X237" s="91">
        <f>IF(($G$8+VaBenefits[[#This Row],[timeFromValuation]])&lt;=120,VLOOKUP(G237,Table2[],Qx!L$6,FALSE),0)</f>
        <v>0.6</v>
      </c>
      <c r="Y237" s="91">
        <f>IF(($H$8+VaBenefits[[#This Row],[timeFromValuation]])&lt;=120,VLOOKUP(H237,Table2[],Qx!M$6,FALSE),0)</f>
        <v>0</v>
      </c>
      <c r="Z237" s="91">
        <v>0</v>
      </c>
      <c r="AA237" s="91">
        <v>0</v>
      </c>
      <c r="AB237" s="91">
        <v>0</v>
      </c>
      <c r="AC237" s="91">
        <v>0</v>
      </c>
      <c r="AD237" s="100">
        <f>PV(1.03,20,-VaBenefits[[#This Row],[Protected Income Payment]])</f>
        <v>45.631035650948036</v>
      </c>
      <c r="AE237" s="130">
        <f>IF((AND(VaBenefits[[#This Row],[Is Anniversary?]],VaBenefits[[#This Row],[Assumed Contract Value ]]&lt;75000)),-50,0)</f>
        <v>0</v>
      </c>
      <c r="AF237" s="134">
        <f>VaBenefits[[#This Row],[Assumed Contract Value ]]*-1.15%/4</f>
        <v>0</v>
      </c>
      <c r="AG237" s="129">
        <v>0</v>
      </c>
      <c r="AH237" s="6">
        <f>VaBenefits[[#This Row],[Maintenace Fee]]+VaBenefits[[#This Row],[Separate Account Charge]]+VaBenefits[[#This Row],[Rider Fee]]</f>
        <v>0</v>
      </c>
      <c r="AR237" s="23">
        <f t="shared" si="24"/>
        <v>114.5</v>
      </c>
      <c r="AS237" s="24">
        <v>0</v>
      </c>
      <c r="AT237" s="24">
        <v>0</v>
      </c>
      <c r="AU237" s="22">
        <v>0</v>
      </c>
      <c r="AV237" s="16">
        <v>0</v>
      </c>
      <c r="AW237" s="14">
        <v>299982</v>
      </c>
      <c r="AX237" s="15">
        <v>0</v>
      </c>
      <c r="AY237" s="15">
        <v>0</v>
      </c>
      <c r="AZ237" s="14">
        <v>0</v>
      </c>
      <c r="BA237" s="17">
        <v>11999</v>
      </c>
    </row>
    <row r="238" spans="1:53" ht="15" thickBot="1" x14ac:dyDescent="0.35">
      <c r="A238" s="32">
        <f t="shared" si="23"/>
        <v>230</v>
      </c>
      <c r="B238" s="29">
        <f t="shared" si="22"/>
        <v>57.5</v>
      </c>
      <c r="C238" s="29" t="b">
        <f>AND(VaBenefits[[#This Row],[timeFromValuation]]&gt;=ACT,VaBenefits[[#This Row],[Assumed Contract Value ]]&gt;0)</f>
        <v>0</v>
      </c>
      <c r="D238" s="20">
        <v>0</v>
      </c>
      <c r="E238" s="20">
        <v>0</v>
      </c>
      <c r="F238" s="20">
        <v>0</v>
      </c>
      <c r="G238" s="96">
        <f>ROUND($G$8+VaBenefits[[#This Row],[timeFromValuation]],0)</f>
        <v>113</v>
      </c>
      <c r="H238" s="20">
        <f>ROUND($H$8+VaBenefits[[#This Row],[timeFromValuation]],0)</f>
        <v>123</v>
      </c>
      <c r="I238" s="27" t="b">
        <f>VaBenefits[[#This Row],[Withdrawal Taken  ]]&gt;0</f>
        <v>0</v>
      </c>
      <c r="J238" s="41">
        <f>IF(AND(NOT(VaBenefits[[#This Row],[Is Activation]]),VaBenefits[[#This Row],[Assumed Contract Value ]]&gt;0),VaBenefits[[#This Row],[Withdrawal Taken  ]]/VaBenefits[[#This Row],[Assumed Contract Value ]],0)</f>
        <v>0</v>
      </c>
      <c r="K23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8" s="27" t="b">
        <f ca="1">AND(VaBenefits[[#This Row],[Is Activation]],SUMIFS($E$8:$E238,$C$8:$C238,TRUE)&gt;0)</f>
        <v>0</v>
      </c>
      <c r="M23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8" s="32" t="b">
        <f>IF(VaBenefits[[#This Row],[timeFromValuation]]=0,0, MOD(VaBenefits[[#This Row],[timeFromValuation]],1)=0)</f>
        <v>0</v>
      </c>
      <c r="O238" s="7">
        <f>IF(VaBenefits[[#This Row],[Is Anniversary?]]=TRUE,VaBenefits[[#This Row],[Assumed Contract Value ]],0)</f>
        <v>0</v>
      </c>
      <c r="P23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8" s="7" t="b">
        <f>VaBenefits[[#This Row],[Assumed Contract Value ]]&lt;0.1</f>
        <v>1</v>
      </c>
      <c r="R23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8" s="7">
        <f ca="1">IF(AND(VaBenefits[[#This Row],[Is Activation]]=FALSE,VaBenefits[[#This Row],[Is Anniversary?]]=TRUE),OFFSET( VaBenefits[[#This Row],[Income Credit Base]],-1,0)*ICP,0)</f>
        <v>0</v>
      </c>
      <c r="T238" s="5">
        <f>IF(VaBenefits[[#This Row],[Assumed Contract Value ]]&gt;0,VaBenefits[[#This Row],[Income Base]]*MAWA,0)</f>
        <v>0</v>
      </c>
      <c r="U238" s="95">
        <v>48</v>
      </c>
      <c r="V238" s="92">
        <f>1/(1+InterestRate)^VaBenefits[[#This Row],[timeFromValuation]]</f>
        <v>6.0480490335635545E-2</v>
      </c>
      <c r="W238" s="93">
        <f>VaBenefits[[#This Row],[timeFromValuation]]</f>
        <v>57.5</v>
      </c>
      <c r="X238" s="91">
        <f>IF(($G$8+VaBenefits[[#This Row],[timeFromValuation]])&lt;=120,VLOOKUP(G238,Table2[],Qx!L$6,FALSE),0)</f>
        <v>0.6</v>
      </c>
      <c r="Y238" s="91">
        <f>IF(($H$8+VaBenefits[[#This Row],[timeFromValuation]])&lt;=120,VLOOKUP(H238,Table2[],Qx!M$6,FALSE),0)</f>
        <v>0</v>
      </c>
      <c r="Z238" s="91">
        <v>0</v>
      </c>
      <c r="AA238" s="91">
        <v>0</v>
      </c>
      <c r="AB238" s="91">
        <v>0</v>
      </c>
      <c r="AC238" s="91">
        <v>0</v>
      </c>
      <c r="AD238" s="100">
        <f>PV(1.03,20,-VaBenefits[[#This Row],[Protected Income Payment]])</f>
        <v>46.601908749904375</v>
      </c>
      <c r="AE238" s="130">
        <f>IF((AND(VaBenefits[[#This Row],[Is Anniversary?]],VaBenefits[[#This Row],[Assumed Contract Value ]]&lt;75000)),-50,0)</f>
        <v>0</v>
      </c>
      <c r="AF238" s="134">
        <f>VaBenefits[[#This Row],[Assumed Contract Value ]]*-1.15%/4</f>
        <v>0</v>
      </c>
      <c r="AG238" s="129">
        <v>0</v>
      </c>
      <c r="AH238" s="6">
        <f>VaBenefits[[#This Row],[Maintenace Fee]]+VaBenefits[[#This Row],[Separate Account Charge]]+VaBenefits[[#This Row],[Rider Fee]]</f>
        <v>0</v>
      </c>
      <c r="AR238" s="23">
        <f t="shared" si="24"/>
        <v>115</v>
      </c>
      <c r="AS238" s="24">
        <v>0</v>
      </c>
      <c r="AT238" s="24">
        <v>0</v>
      </c>
      <c r="AU238" s="22">
        <v>0</v>
      </c>
      <c r="AV238" s="16">
        <v>0</v>
      </c>
      <c r="AW238" s="14">
        <v>299982</v>
      </c>
      <c r="AX238" s="15">
        <v>0</v>
      </c>
      <c r="AY238" s="15">
        <v>0</v>
      </c>
      <c r="AZ238" s="14">
        <v>0</v>
      </c>
      <c r="BA238" s="17">
        <v>11999</v>
      </c>
    </row>
    <row r="239" spans="1:53" ht="15" thickBot="1" x14ac:dyDescent="0.35">
      <c r="A239" s="32">
        <f t="shared" si="23"/>
        <v>231</v>
      </c>
      <c r="B239" s="29">
        <f t="shared" si="22"/>
        <v>57.75</v>
      </c>
      <c r="C239" s="29" t="b">
        <f>AND(VaBenefits[[#This Row],[timeFromValuation]]&gt;=ACT,VaBenefits[[#This Row],[Assumed Contract Value ]]&gt;0)</f>
        <v>0</v>
      </c>
      <c r="D239" s="20">
        <v>0</v>
      </c>
      <c r="E239" s="20">
        <v>0</v>
      </c>
      <c r="F239" s="20">
        <v>0</v>
      </c>
      <c r="G239" s="96">
        <f>ROUND($G$8+VaBenefits[[#This Row],[timeFromValuation]],0)</f>
        <v>113</v>
      </c>
      <c r="H239" s="20">
        <f>ROUND($H$8+VaBenefits[[#This Row],[timeFromValuation]],0)</f>
        <v>123</v>
      </c>
      <c r="I239" s="27" t="b">
        <f>VaBenefits[[#This Row],[Withdrawal Taken  ]]&gt;0</f>
        <v>0</v>
      </c>
      <c r="J239" s="41">
        <f>IF(AND(NOT(VaBenefits[[#This Row],[Is Activation]]),VaBenefits[[#This Row],[Assumed Contract Value ]]&gt;0),VaBenefits[[#This Row],[Withdrawal Taken  ]]/VaBenefits[[#This Row],[Assumed Contract Value ]],0)</f>
        <v>0</v>
      </c>
      <c r="K23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9" s="27" t="b">
        <f ca="1">AND(VaBenefits[[#This Row],[Is Activation]],SUMIFS($E$8:$E239,$C$8:$C239,TRUE)&gt;0)</f>
        <v>0</v>
      </c>
      <c r="M23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9" s="32" t="b">
        <f>IF(VaBenefits[[#This Row],[timeFromValuation]]=0,0, MOD(VaBenefits[[#This Row],[timeFromValuation]],1)=0)</f>
        <v>0</v>
      </c>
      <c r="O239" s="7">
        <f>IF(VaBenefits[[#This Row],[Is Anniversary?]]=TRUE,VaBenefits[[#This Row],[Assumed Contract Value ]],0)</f>
        <v>0</v>
      </c>
      <c r="P23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9" s="7" t="b">
        <f>VaBenefits[[#This Row],[Assumed Contract Value ]]&lt;0.1</f>
        <v>1</v>
      </c>
      <c r="R23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9" s="7">
        <f ca="1">IF(AND(VaBenefits[[#This Row],[Is Activation]]=FALSE,VaBenefits[[#This Row],[Is Anniversary?]]=TRUE),OFFSET( VaBenefits[[#This Row],[Income Credit Base]],-1,0)*ICP,0)</f>
        <v>0</v>
      </c>
      <c r="T239" s="5">
        <f>IF(VaBenefits[[#This Row],[Assumed Contract Value ]]&gt;0,VaBenefits[[#This Row],[Income Base]]*MAWA,0)</f>
        <v>0</v>
      </c>
      <c r="U239" s="95">
        <v>49</v>
      </c>
      <c r="V239" s="92">
        <f>1/(1+InterestRate)^VaBenefits[[#This Row],[timeFromValuation]]</f>
        <v>5.9747257979222236E-2</v>
      </c>
      <c r="W239" s="93">
        <f>VaBenefits[[#This Row],[timeFromValuation]]</f>
        <v>57.75</v>
      </c>
      <c r="X239" s="91">
        <f>IF(($G$8+VaBenefits[[#This Row],[timeFromValuation]])&lt;=120,VLOOKUP(G239,Table2[],Qx!L$6,FALSE),0)</f>
        <v>0.6</v>
      </c>
      <c r="Y239" s="91">
        <f>IF(($H$8+VaBenefits[[#This Row],[timeFromValuation]])&lt;=120,VLOOKUP(H239,Table2[],Qx!M$6,FALSE),0)</f>
        <v>0</v>
      </c>
      <c r="Z239" s="91">
        <v>0</v>
      </c>
      <c r="AA239" s="91">
        <v>0</v>
      </c>
      <c r="AB239" s="91">
        <v>0</v>
      </c>
      <c r="AC239" s="91">
        <v>0</v>
      </c>
      <c r="AD239" s="100">
        <f>PV(1.03,20,-VaBenefits[[#This Row],[Protected Income Payment]])</f>
        <v>47.572781848860714</v>
      </c>
      <c r="AE239" s="130">
        <f>IF((AND(VaBenefits[[#This Row],[Is Anniversary?]],VaBenefits[[#This Row],[Assumed Contract Value ]]&lt;75000)),-50,0)</f>
        <v>0</v>
      </c>
      <c r="AF239" s="134">
        <f>VaBenefits[[#This Row],[Assumed Contract Value ]]*-1.15%/4</f>
        <v>0</v>
      </c>
      <c r="AG239" s="129">
        <v>0</v>
      </c>
      <c r="AH239" s="6">
        <f>VaBenefits[[#This Row],[Maintenace Fee]]+VaBenefits[[#This Row],[Separate Account Charge]]+VaBenefits[[#This Row],[Rider Fee]]</f>
        <v>0</v>
      </c>
      <c r="AR239" s="23">
        <f t="shared" si="24"/>
        <v>115.5</v>
      </c>
      <c r="AS239" s="24">
        <v>0</v>
      </c>
      <c r="AT239" s="24">
        <v>0</v>
      </c>
      <c r="AU239" s="22">
        <v>0</v>
      </c>
      <c r="AV239" s="16">
        <v>0</v>
      </c>
      <c r="AW239" s="14">
        <v>299982</v>
      </c>
      <c r="AX239" s="15">
        <v>0</v>
      </c>
      <c r="AY239" s="15">
        <v>0</v>
      </c>
      <c r="AZ239" s="14">
        <v>0</v>
      </c>
      <c r="BA239" s="17">
        <v>11999</v>
      </c>
    </row>
    <row r="240" spans="1:53" ht="15" thickBot="1" x14ac:dyDescent="0.35">
      <c r="A240" s="32">
        <f t="shared" si="23"/>
        <v>232</v>
      </c>
      <c r="B240" s="29">
        <f t="shared" si="22"/>
        <v>58</v>
      </c>
      <c r="C240" s="29" t="b">
        <f>AND(VaBenefits[[#This Row],[timeFromValuation]]&gt;=ACT,VaBenefits[[#This Row],[Assumed Contract Value ]]&gt;0)</f>
        <v>0</v>
      </c>
      <c r="D240" s="20">
        <v>0</v>
      </c>
      <c r="E240" s="20">
        <v>0</v>
      </c>
      <c r="F240" s="20">
        <v>0</v>
      </c>
      <c r="G240" s="96">
        <f>ROUND($G$8+VaBenefits[[#This Row],[timeFromValuation]],0)</f>
        <v>113</v>
      </c>
      <c r="H240" s="20">
        <f>ROUND($H$8+VaBenefits[[#This Row],[timeFromValuation]],0)</f>
        <v>123</v>
      </c>
      <c r="I240" s="27" t="b">
        <f>VaBenefits[[#This Row],[Withdrawal Taken  ]]&gt;0</f>
        <v>0</v>
      </c>
      <c r="J240" s="41">
        <f>IF(AND(NOT(VaBenefits[[#This Row],[Is Activation]]),VaBenefits[[#This Row],[Assumed Contract Value ]]&gt;0),VaBenefits[[#This Row],[Withdrawal Taken  ]]/VaBenefits[[#This Row],[Assumed Contract Value ]],0)</f>
        <v>0</v>
      </c>
      <c r="K24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0" s="27" t="b">
        <f ca="1">AND(VaBenefits[[#This Row],[Is Activation]],SUMIFS($E$8:$E240,$C$8:$C240,TRUE)&gt;0)</f>
        <v>0</v>
      </c>
      <c r="M24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0" s="32" t="b">
        <f>IF(VaBenefits[[#This Row],[timeFromValuation]]=0,0, MOD(VaBenefits[[#This Row],[timeFromValuation]],1)=0)</f>
        <v>1</v>
      </c>
      <c r="O240" s="7">
        <f>IF(VaBenefits[[#This Row],[Is Anniversary?]]=TRUE,VaBenefits[[#This Row],[Assumed Contract Value ]],0)</f>
        <v>0</v>
      </c>
      <c r="P24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0" s="7" t="b">
        <f>VaBenefits[[#This Row],[Assumed Contract Value ]]&lt;0.1</f>
        <v>1</v>
      </c>
      <c r="R24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0" s="7">
        <f ca="1">IF(AND(VaBenefits[[#This Row],[Is Activation]]=FALSE,VaBenefits[[#This Row],[Is Anniversary?]]=TRUE),OFFSET( VaBenefits[[#This Row],[Income Credit Base]],-1,0)*ICP,0)</f>
        <v>0</v>
      </c>
      <c r="T240" s="5">
        <f>IF(VaBenefits[[#This Row],[Assumed Contract Value ]]&gt;0,VaBenefits[[#This Row],[Income Base]]*MAWA,0)</f>
        <v>0</v>
      </c>
      <c r="U240" s="95">
        <v>50</v>
      </c>
      <c r="V240" s="92">
        <f>1/(1+InterestRate)^VaBenefits[[#This Row],[timeFromValuation]]</f>
        <v>5.9022914930509894E-2</v>
      </c>
      <c r="W240" s="93">
        <f>VaBenefits[[#This Row],[timeFromValuation]]</f>
        <v>58</v>
      </c>
      <c r="X240" s="91">
        <f>IF(($G$8+VaBenefits[[#This Row],[timeFromValuation]])&lt;=120,VLOOKUP(G240,Table2[],Qx!L$6,FALSE),0)</f>
        <v>0.6</v>
      </c>
      <c r="Y240" s="91">
        <f>IF(($H$8+VaBenefits[[#This Row],[timeFromValuation]])&lt;=120,VLOOKUP(H240,Table2[],Qx!M$6,FALSE),0)</f>
        <v>0</v>
      </c>
      <c r="Z240" s="91">
        <v>0</v>
      </c>
      <c r="AA240" s="91">
        <v>0</v>
      </c>
      <c r="AB240" s="91">
        <v>0</v>
      </c>
      <c r="AC240" s="91">
        <v>0</v>
      </c>
      <c r="AD240" s="100">
        <f>PV(1.03,20,-VaBenefits[[#This Row],[Protected Income Payment]])</f>
        <v>48.54365494781706</v>
      </c>
      <c r="AE240" s="130">
        <f>IF((AND(VaBenefits[[#This Row],[Is Anniversary?]],VaBenefits[[#This Row],[Assumed Contract Value ]]&lt;75000)),-50,0)</f>
        <v>-50</v>
      </c>
      <c r="AF240" s="134">
        <f>VaBenefits[[#This Row],[Assumed Contract Value ]]*-1.15%/4</f>
        <v>0</v>
      </c>
      <c r="AG240" s="129">
        <v>0</v>
      </c>
      <c r="AH240" s="6">
        <f>VaBenefits[[#This Row],[Maintenace Fee]]+VaBenefits[[#This Row],[Separate Account Charge]]+VaBenefits[[#This Row],[Rider Fee]]</f>
        <v>-50</v>
      </c>
      <c r="AR240" s="23">
        <f t="shared" si="24"/>
        <v>116</v>
      </c>
      <c r="AS240" s="24">
        <v>0</v>
      </c>
      <c r="AT240" s="24">
        <v>0</v>
      </c>
      <c r="AU240" s="22">
        <v>0</v>
      </c>
      <c r="AV240" s="16">
        <v>0</v>
      </c>
      <c r="AW240" s="14">
        <v>299982</v>
      </c>
      <c r="AX240" s="15">
        <v>0</v>
      </c>
      <c r="AY240" s="15">
        <v>0</v>
      </c>
      <c r="AZ240" s="14">
        <v>0</v>
      </c>
      <c r="BA240" s="17">
        <v>11999</v>
      </c>
    </row>
    <row r="241" spans="1:53" ht="15" thickBot="1" x14ac:dyDescent="0.35">
      <c r="A241" s="32">
        <f t="shared" si="23"/>
        <v>233</v>
      </c>
      <c r="B241" s="29">
        <f t="shared" si="22"/>
        <v>58.25</v>
      </c>
      <c r="C241" s="29" t="b">
        <f>AND(VaBenefits[[#This Row],[timeFromValuation]]&gt;=ACT,VaBenefits[[#This Row],[Assumed Contract Value ]]&gt;0)</f>
        <v>0</v>
      </c>
      <c r="D241" s="20">
        <v>0</v>
      </c>
      <c r="E241" s="20">
        <v>0</v>
      </c>
      <c r="F241" s="20">
        <v>0</v>
      </c>
      <c r="G241" s="96">
        <f>ROUND($G$8+VaBenefits[[#This Row],[timeFromValuation]],0)</f>
        <v>113</v>
      </c>
      <c r="H241" s="20">
        <f>ROUND($H$8+VaBenefits[[#This Row],[timeFromValuation]],0)</f>
        <v>123</v>
      </c>
      <c r="I241" s="27" t="b">
        <f>VaBenefits[[#This Row],[Withdrawal Taken  ]]&gt;0</f>
        <v>0</v>
      </c>
      <c r="J241" s="41">
        <f>IF(AND(NOT(VaBenefits[[#This Row],[Is Activation]]),VaBenefits[[#This Row],[Assumed Contract Value ]]&gt;0),VaBenefits[[#This Row],[Withdrawal Taken  ]]/VaBenefits[[#This Row],[Assumed Contract Value ]],0)</f>
        <v>0</v>
      </c>
      <c r="K24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1" s="27" t="b">
        <f ca="1">AND(VaBenefits[[#This Row],[Is Activation]],SUMIFS($E$8:$E241,$C$8:$C241,TRUE)&gt;0)</f>
        <v>0</v>
      </c>
      <c r="M24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1" s="32" t="b">
        <f>IF(VaBenefits[[#This Row],[timeFromValuation]]=0,0, MOD(VaBenefits[[#This Row],[timeFromValuation]],1)=0)</f>
        <v>0</v>
      </c>
      <c r="O241" s="7">
        <f>IF(VaBenefits[[#This Row],[Is Anniversary?]]=TRUE,VaBenefits[[#This Row],[Assumed Contract Value ]],0)</f>
        <v>0</v>
      </c>
      <c r="P24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1" s="7" t="b">
        <f>VaBenefits[[#This Row],[Assumed Contract Value ]]&lt;0.1</f>
        <v>1</v>
      </c>
      <c r="R24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1" s="7">
        <f ca="1">IF(AND(VaBenefits[[#This Row],[Is Activation]]=FALSE,VaBenefits[[#This Row],[Is Anniversary?]]=TRUE),OFFSET( VaBenefits[[#This Row],[Income Credit Base]],-1,0)*ICP,0)</f>
        <v>0</v>
      </c>
      <c r="T241" s="5">
        <f>IF(VaBenefits[[#This Row],[Assumed Contract Value ]]&gt;0,VaBenefits[[#This Row],[Income Base]]*MAWA,0)</f>
        <v>0</v>
      </c>
      <c r="U241" s="95">
        <v>51</v>
      </c>
      <c r="V241" s="92">
        <f>1/(1+InterestRate)^VaBenefits[[#This Row],[timeFromValuation]]</f>
        <v>5.8307353420397834E-2</v>
      </c>
      <c r="W241" s="93">
        <f>VaBenefits[[#This Row],[timeFromValuation]]</f>
        <v>58.25</v>
      </c>
      <c r="X241" s="91">
        <f>IF(($G$8+VaBenefits[[#This Row],[timeFromValuation]])&lt;=120,VLOOKUP(G241,Table2[],Qx!L$6,FALSE),0)</f>
        <v>0.6</v>
      </c>
      <c r="Y241" s="91">
        <f>IF(($H$8+VaBenefits[[#This Row],[timeFromValuation]])&lt;=120,VLOOKUP(H241,Table2[],Qx!M$6,FALSE),0)</f>
        <v>0</v>
      </c>
      <c r="Z241" s="91">
        <v>0</v>
      </c>
      <c r="AA241" s="91">
        <v>0</v>
      </c>
      <c r="AB241" s="91">
        <v>0</v>
      </c>
      <c r="AC241" s="91">
        <v>0</v>
      </c>
      <c r="AD241" s="100">
        <f>PV(1.03,20,-VaBenefits[[#This Row],[Protected Income Payment]])</f>
        <v>49.5145280467734</v>
      </c>
      <c r="AE241" s="130">
        <f>IF((AND(VaBenefits[[#This Row],[Is Anniversary?]],VaBenefits[[#This Row],[Assumed Contract Value ]]&lt;75000)),-50,0)</f>
        <v>0</v>
      </c>
      <c r="AF241" s="134">
        <f>VaBenefits[[#This Row],[Assumed Contract Value ]]*-1.15%/4</f>
        <v>0</v>
      </c>
      <c r="AG241" s="129">
        <v>0</v>
      </c>
      <c r="AH241" s="6">
        <f>VaBenefits[[#This Row],[Maintenace Fee]]+VaBenefits[[#This Row],[Separate Account Charge]]+VaBenefits[[#This Row],[Rider Fee]]</f>
        <v>0</v>
      </c>
      <c r="AR241" s="23">
        <f t="shared" si="24"/>
        <v>116.5</v>
      </c>
      <c r="AS241" s="24">
        <v>0</v>
      </c>
      <c r="AT241" s="24">
        <v>0</v>
      </c>
      <c r="AU241" s="22">
        <v>0</v>
      </c>
      <c r="AV241" s="16">
        <v>0</v>
      </c>
      <c r="AW241" s="14">
        <v>299982</v>
      </c>
      <c r="AX241" s="15">
        <v>0</v>
      </c>
      <c r="AY241" s="15">
        <v>0</v>
      </c>
      <c r="AZ241" s="14">
        <v>0</v>
      </c>
      <c r="BA241" s="17">
        <v>11999</v>
      </c>
    </row>
    <row r="242" spans="1:53" ht="15" thickBot="1" x14ac:dyDescent="0.35">
      <c r="A242" s="32">
        <f t="shared" si="23"/>
        <v>234</v>
      </c>
      <c r="B242" s="29">
        <f t="shared" si="22"/>
        <v>58.5</v>
      </c>
      <c r="C242" s="29" t="b">
        <f>AND(VaBenefits[[#This Row],[timeFromValuation]]&gt;=ACT,VaBenefits[[#This Row],[Assumed Contract Value ]]&gt;0)</f>
        <v>0</v>
      </c>
      <c r="D242" s="20">
        <v>0</v>
      </c>
      <c r="E242" s="20">
        <v>0</v>
      </c>
      <c r="F242" s="20">
        <v>0</v>
      </c>
      <c r="G242" s="96">
        <f>ROUND($G$8+VaBenefits[[#This Row],[timeFromValuation]],0)</f>
        <v>114</v>
      </c>
      <c r="H242" s="20">
        <f>ROUND($H$8+VaBenefits[[#This Row],[timeFromValuation]],0)</f>
        <v>124</v>
      </c>
      <c r="I242" s="27" t="b">
        <f>VaBenefits[[#This Row],[Withdrawal Taken  ]]&gt;0</f>
        <v>0</v>
      </c>
      <c r="J242" s="41">
        <f>IF(AND(NOT(VaBenefits[[#This Row],[Is Activation]]),VaBenefits[[#This Row],[Assumed Contract Value ]]&gt;0),VaBenefits[[#This Row],[Withdrawal Taken  ]]/VaBenefits[[#This Row],[Assumed Contract Value ]],0)</f>
        <v>0</v>
      </c>
      <c r="K24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2" s="27" t="b">
        <f ca="1">AND(VaBenefits[[#This Row],[Is Activation]],SUMIFS($E$8:$E242,$C$8:$C242,TRUE)&gt;0)</f>
        <v>0</v>
      </c>
      <c r="M24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2" s="32" t="b">
        <f>IF(VaBenefits[[#This Row],[timeFromValuation]]=0,0, MOD(VaBenefits[[#This Row],[timeFromValuation]],1)=0)</f>
        <v>0</v>
      </c>
      <c r="O242" s="7">
        <f>IF(VaBenefits[[#This Row],[Is Anniversary?]]=TRUE,VaBenefits[[#This Row],[Assumed Contract Value ]],0)</f>
        <v>0</v>
      </c>
      <c r="P24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2" s="7" t="b">
        <f>VaBenefits[[#This Row],[Assumed Contract Value ]]&lt;0.1</f>
        <v>1</v>
      </c>
      <c r="R24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2" s="7">
        <f ca="1">IF(AND(VaBenefits[[#This Row],[Is Activation]]=FALSE,VaBenefits[[#This Row],[Is Anniversary?]]=TRUE),OFFSET( VaBenefits[[#This Row],[Income Credit Base]],-1,0)*ICP,0)</f>
        <v>0</v>
      </c>
      <c r="T242" s="5">
        <f>IF(VaBenefits[[#This Row],[Assumed Contract Value ]]&gt;0,VaBenefits[[#This Row],[Income Base]]*MAWA,0)</f>
        <v>0</v>
      </c>
      <c r="U242" s="95">
        <v>52</v>
      </c>
      <c r="V242" s="92">
        <f>1/(1+InterestRate)^VaBenefits[[#This Row],[timeFromValuation]]</f>
        <v>5.7600466986319585E-2</v>
      </c>
      <c r="W242" s="93">
        <f>VaBenefits[[#This Row],[timeFromValuation]]</f>
        <v>58.5</v>
      </c>
      <c r="X242" s="91">
        <f>IF(($G$8+VaBenefits[[#This Row],[timeFromValuation]])&lt;=120,VLOOKUP(G242,Table2[],Qx!L$6,FALSE),0)</f>
        <v>0.6</v>
      </c>
      <c r="Y242" s="91">
        <f>IF(($H$8+VaBenefits[[#This Row],[timeFromValuation]])&lt;=120,VLOOKUP(H242,Table2[],Qx!M$6,FALSE),0)</f>
        <v>0</v>
      </c>
      <c r="Z242" s="91">
        <v>0</v>
      </c>
      <c r="AA242" s="91">
        <v>0</v>
      </c>
      <c r="AB242" s="91">
        <v>0</v>
      </c>
      <c r="AC242" s="91">
        <v>0</v>
      </c>
      <c r="AD242" s="100">
        <f>PV(1.03,20,-VaBenefits[[#This Row],[Protected Income Payment]])</f>
        <v>50.485401145729746</v>
      </c>
      <c r="AE242" s="130">
        <f>IF((AND(VaBenefits[[#This Row],[Is Anniversary?]],VaBenefits[[#This Row],[Assumed Contract Value ]]&lt;75000)),-50,0)</f>
        <v>0</v>
      </c>
      <c r="AF242" s="134">
        <f>VaBenefits[[#This Row],[Assumed Contract Value ]]*-1.15%/4</f>
        <v>0</v>
      </c>
      <c r="AG242" s="129">
        <v>0</v>
      </c>
      <c r="AH242" s="6">
        <f>VaBenefits[[#This Row],[Maintenace Fee]]+VaBenefits[[#This Row],[Separate Account Charge]]+VaBenefits[[#This Row],[Rider Fee]]</f>
        <v>0</v>
      </c>
      <c r="AR242" s="23">
        <f t="shared" si="24"/>
        <v>117</v>
      </c>
      <c r="AS242" s="24">
        <v>0</v>
      </c>
      <c r="AT242" s="24">
        <v>0</v>
      </c>
      <c r="AU242" s="22">
        <v>0</v>
      </c>
      <c r="AV242" s="16">
        <v>0</v>
      </c>
      <c r="AW242" s="14">
        <v>299982</v>
      </c>
      <c r="AX242" s="15">
        <v>0</v>
      </c>
      <c r="AY242" s="15">
        <v>0</v>
      </c>
      <c r="AZ242" s="14">
        <v>0</v>
      </c>
      <c r="BA242" s="17">
        <v>11999</v>
      </c>
    </row>
    <row r="243" spans="1:53" ht="15" thickBot="1" x14ac:dyDescent="0.35">
      <c r="A243" s="32">
        <f t="shared" si="23"/>
        <v>235</v>
      </c>
      <c r="B243" s="29">
        <f t="shared" si="22"/>
        <v>58.75</v>
      </c>
      <c r="C243" s="29" t="b">
        <f>AND(VaBenefits[[#This Row],[timeFromValuation]]&gt;=ACT,VaBenefits[[#This Row],[Assumed Contract Value ]]&gt;0)</f>
        <v>0</v>
      </c>
      <c r="D243" s="20">
        <v>0</v>
      </c>
      <c r="E243" s="20">
        <v>0</v>
      </c>
      <c r="F243" s="20">
        <v>0</v>
      </c>
      <c r="G243" s="96">
        <f>ROUND($G$8+VaBenefits[[#This Row],[timeFromValuation]],0)</f>
        <v>114</v>
      </c>
      <c r="H243" s="20">
        <f>ROUND($H$8+VaBenefits[[#This Row],[timeFromValuation]],0)</f>
        <v>124</v>
      </c>
      <c r="I243" s="27" t="b">
        <f>VaBenefits[[#This Row],[Withdrawal Taken  ]]&gt;0</f>
        <v>0</v>
      </c>
      <c r="J243" s="41">
        <f>IF(AND(NOT(VaBenefits[[#This Row],[Is Activation]]),VaBenefits[[#This Row],[Assumed Contract Value ]]&gt;0),VaBenefits[[#This Row],[Withdrawal Taken  ]]/VaBenefits[[#This Row],[Assumed Contract Value ]],0)</f>
        <v>0</v>
      </c>
      <c r="K24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3" s="27" t="b">
        <f ca="1">AND(VaBenefits[[#This Row],[Is Activation]],SUMIFS($E$8:$E243,$C$8:$C243,TRUE)&gt;0)</f>
        <v>0</v>
      </c>
      <c r="M24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3" s="32" t="b">
        <f>IF(VaBenefits[[#This Row],[timeFromValuation]]=0,0, MOD(VaBenefits[[#This Row],[timeFromValuation]],1)=0)</f>
        <v>0</v>
      </c>
      <c r="O243" s="7">
        <f>IF(VaBenefits[[#This Row],[Is Anniversary?]]=TRUE,VaBenefits[[#This Row],[Assumed Contract Value ]],0)</f>
        <v>0</v>
      </c>
      <c r="P24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3" s="7" t="b">
        <f>VaBenefits[[#This Row],[Assumed Contract Value ]]&lt;0.1</f>
        <v>1</v>
      </c>
      <c r="R24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3" s="7">
        <f ca="1">IF(AND(VaBenefits[[#This Row],[Is Activation]]=FALSE,VaBenefits[[#This Row],[Is Anniversary?]]=TRUE),OFFSET( VaBenefits[[#This Row],[Income Credit Base]],-1,0)*ICP,0)</f>
        <v>0</v>
      </c>
      <c r="T243" s="5">
        <f>IF(VaBenefits[[#This Row],[Assumed Contract Value ]]&gt;0,VaBenefits[[#This Row],[Income Base]]*MAWA,0)</f>
        <v>0</v>
      </c>
      <c r="U243" s="95">
        <v>53</v>
      </c>
      <c r="V243" s="92">
        <f>1/(1+InterestRate)^VaBenefits[[#This Row],[timeFromValuation]]</f>
        <v>5.6902150456402144E-2</v>
      </c>
      <c r="W243" s="93">
        <f>VaBenefits[[#This Row],[timeFromValuation]]</f>
        <v>58.75</v>
      </c>
      <c r="X243" s="91">
        <f>IF(($G$8+VaBenefits[[#This Row],[timeFromValuation]])&lt;=120,VLOOKUP(G243,Table2[],Qx!L$6,FALSE),0)</f>
        <v>0.6</v>
      </c>
      <c r="Y243" s="91">
        <f>IF(($H$8+VaBenefits[[#This Row],[timeFromValuation]])&lt;=120,VLOOKUP(H243,Table2[],Qx!M$6,FALSE),0)</f>
        <v>0</v>
      </c>
      <c r="Z243" s="91">
        <v>0</v>
      </c>
      <c r="AA243" s="91">
        <v>0</v>
      </c>
      <c r="AB243" s="91">
        <v>0</v>
      </c>
      <c r="AC243" s="91">
        <v>0</v>
      </c>
      <c r="AD243" s="100">
        <f>PV(1.03,20,-VaBenefits[[#This Row],[Protected Income Payment]])</f>
        <v>51.456274244686085</v>
      </c>
      <c r="AE243" s="130">
        <f>IF((AND(VaBenefits[[#This Row],[Is Anniversary?]],VaBenefits[[#This Row],[Assumed Contract Value ]]&lt;75000)),-50,0)</f>
        <v>0</v>
      </c>
      <c r="AF243" s="134">
        <f>VaBenefits[[#This Row],[Assumed Contract Value ]]*-1.15%/4</f>
        <v>0</v>
      </c>
      <c r="AG243" s="129">
        <v>0</v>
      </c>
      <c r="AH243" s="6">
        <f>VaBenefits[[#This Row],[Maintenace Fee]]+VaBenefits[[#This Row],[Separate Account Charge]]+VaBenefits[[#This Row],[Rider Fee]]</f>
        <v>0</v>
      </c>
      <c r="AR243" s="23">
        <f t="shared" si="24"/>
        <v>117.5</v>
      </c>
      <c r="AS243" s="24">
        <v>0</v>
      </c>
      <c r="AT243" s="24">
        <v>0</v>
      </c>
      <c r="AU243" s="22">
        <v>0</v>
      </c>
      <c r="AV243" s="16">
        <v>0</v>
      </c>
      <c r="AW243" s="14">
        <v>299982</v>
      </c>
      <c r="AX243" s="15">
        <v>0</v>
      </c>
      <c r="AY243" s="15">
        <v>0</v>
      </c>
      <c r="AZ243" s="14">
        <v>0</v>
      </c>
      <c r="BA243" s="17">
        <v>11999</v>
      </c>
    </row>
    <row r="244" spans="1:53" ht="15" thickBot="1" x14ac:dyDescent="0.35">
      <c r="A244" s="32">
        <f t="shared" si="23"/>
        <v>236</v>
      </c>
      <c r="B244" s="29">
        <f t="shared" si="22"/>
        <v>59</v>
      </c>
      <c r="C244" s="29" t="b">
        <f>AND(VaBenefits[[#This Row],[timeFromValuation]]&gt;=ACT,VaBenefits[[#This Row],[Assumed Contract Value ]]&gt;0)</f>
        <v>0</v>
      </c>
      <c r="D244" s="20">
        <v>0</v>
      </c>
      <c r="E244" s="20">
        <v>0</v>
      </c>
      <c r="F244" s="20">
        <v>0</v>
      </c>
      <c r="G244" s="96">
        <f>ROUND($G$8+VaBenefits[[#This Row],[timeFromValuation]],0)</f>
        <v>114</v>
      </c>
      <c r="H244" s="20">
        <f>ROUND($H$8+VaBenefits[[#This Row],[timeFromValuation]],0)</f>
        <v>124</v>
      </c>
      <c r="I244" s="27" t="b">
        <f>VaBenefits[[#This Row],[Withdrawal Taken  ]]&gt;0</f>
        <v>0</v>
      </c>
      <c r="J244" s="41">
        <f>IF(AND(NOT(VaBenefits[[#This Row],[Is Activation]]),VaBenefits[[#This Row],[Assumed Contract Value ]]&gt;0),VaBenefits[[#This Row],[Withdrawal Taken  ]]/VaBenefits[[#This Row],[Assumed Contract Value ]],0)</f>
        <v>0</v>
      </c>
      <c r="K24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4" s="27" t="b">
        <f ca="1">AND(VaBenefits[[#This Row],[Is Activation]],SUMIFS($E$8:$E244,$C$8:$C244,TRUE)&gt;0)</f>
        <v>0</v>
      </c>
      <c r="M24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4" s="32" t="b">
        <f>IF(VaBenefits[[#This Row],[timeFromValuation]]=0,0, MOD(VaBenefits[[#This Row],[timeFromValuation]],1)=0)</f>
        <v>1</v>
      </c>
      <c r="O244" s="7">
        <f>IF(VaBenefits[[#This Row],[Is Anniversary?]]=TRUE,VaBenefits[[#This Row],[Assumed Contract Value ]],0)</f>
        <v>0</v>
      </c>
      <c r="P24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4" s="7" t="b">
        <f>VaBenefits[[#This Row],[Assumed Contract Value ]]&lt;0.1</f>
        <v>1</v>
      </c>
      <c r="R24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4" s="7">
        <f ca="1">IF(AND(VaBenefits[[#This Row],[Is Activation]]=FALSE,VaBenefits[[#This Row],[Is Anniversary?]]=TRUE),OFFSET( VaBenefits[[#This Row],[Income Credit Base]],-1,0)*ICP,0)</f>
        <v>0</v>
      </c>
      <c r="T244" s="5">
        <f>IF(VaBenefits[[#This Row],[Assumed Contract Value ]]&gt;0,VaBenefits[[#This Row],[Income Base]]*MAWA,0)</f>
        <v>0</v>
      </c>
      <c r="U244" s="95">
        <v>54</v>
      </c>
      <c r="V244" s="92">
        <f>1/(1+InterestRate)^VaBenefits[[#This Row],[timeFromValuation]]</f>
        <v>5.6212299933818946E-2</v>
      </c>
      <c r="W244" s="93">
        <f>VaBenefits[[#This Row],[timeFromValuation]]</f>
        <v>59</v>
      </c>
      <c r="X244" s="91">
        <f>IF(($G$8+VaBenefits[[#This Row],[timeFromValuation]])&lt;=120,VLOOKUP(G244,Table2[],Qx!L$6,FALSE),0)</f>
        <v>0.6</v>
      </c>
      <c r="Y244" s="91">
        <f>IF(($H$8+VaBenefits[[#This Row],[timeFromValuation]])&lt;=120,VLOOKUP(H244,Table2[],Qx!M$6,FALSE),0)</f>
        <v>0</v>
      </c>
      <c r="Z244" s="91">
        <v>0</v>
      </c>
      <c r="AA244" s="91">
        <v>0</v>
      </c>
      <c r="AB244" s="91">
        <v>0</v>
      </c>
      <c r="AC244" s="91">
        <v>0</v>
      </c>
      <c r="AD244" s="100">
        <f>PV(1.03,20,-VaBenefits[[#This Row],[Protected Income Payment]])</f>
        <v>52.427147343642424</v>
      </c>
      <c r="AE244" s="130">
        <f>IF((AND(VaBenefits[[#This Row],[Is Anniversary?]],VaBenefits[[#This Row],[Assumed Contract Value ]]&lt;75000)),-50,0)</f>
        <v>-50</v>
      </c>
      <c r="AF244" s="134">
        <f>VaBenefits[[#This Row],[Assumed Contract Value ]]*-1.15%/4</f>
        <v>0</v>
      </c>
      <c r="AG244" s="129">
        <v>0</v>
      </c>
      <c r="AH244" s="6">
        <f>VaBenefits[[#This Row],[Maintenace Fee]]+VaBenefits[[#This Row],[Separate Account Charge]]+VaBenefits[[#This Row],[Rider Fee]]</f>
        <v>-50</v>
      </c>
      <c r="AR244" s="23">
        <f t="shared" si="24"/>
        <v>118</v>
      </c>
      <c r="AS244" s="24">
        <v>0</v>
      </c>
      <c r="AT244" s="24">
        <v>0</v>
      </c>
      <c r="AU244" s="22">
        <v>0</v>
      </c>
      <c r="AV244" s="16">
        <v>0</v>
      </c>
      <c r="AW244" s="14">
        <v>299982</v>
      </c>
      <c r="AX244" s="15">
        <v>0</v>
      </c>
      <c r="AY244" s="15">
        <v>0</v>
      </c>
      <c r="AZ244" s="14">
        <v>0</v>
      </c>
      <c r="BA244" s="17">
        <v>11999</v>
      </c>
    </row>
    <row r="245" spans="1:53" ht="15" thickBot="1" x14ac:dyDescent="0.35">
      <c r="A245" s="32">
        <f t="shared" si="23"/>
        <v>237</v>
      </c>
      <c r="B245" s="29">
        <f t="shared" si="22"/>
        <v>59.25</v>
      </c>
      <c r="C245" s="29" t="b">
        <f>AND(VaBenefits[[#This Row],[timeFromValuation]]&gt;=ACT,VaBenefits[[#This Row],[Assumed Contract Value ]]&gt;0)</f>
        <v>0</v>
      </c>
      <c r="D245" s="20">
        <v>0</v>
      </c>
      <c r="E245" s="20">
        <v>0</v>
      </c>
      <c r="F245" s="20">
        <v>0</v>
      </c>
      <c r="G245" s="96">
        <f>ROUND($G$8+VaBenefits[[#This Row],[timeFromValuation]],0)</f>
        <v>114</v>
      </c>
      <c r="H245" s="20">
        <f>ROUND($H$8+VaBenefits[[#This Row],[timeFromValuation]],0)</f>
        <v>124</v>
      </c>
      <c r="I245" s="27" t="b">
        <f>VaBenefits[[#This Row],[Withdrawal Taken  ]]&gt;0</f>
        <v>0</v>
      </c>
      <c r="J245" s="41">
        <f>IF(AND(NOT(VaBenefits[[#This Row],[Is Activation]]),VaBenefits[[#This Row],[Assumed Contract Value ]]&gt;0),VaBenefits[[#This Row],[Withdrawal Taken  ]]/VaBenefits[[#This Row],[Assumed Contract Value ]],0)</f>
        <v>0</v>
      </c>
      <c r="K24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5" s="27" t="b">
        <f ca="1">AND(VaBenefits[[#This Row],[Is Activation]],SUMIFS($E$8:$E245,$C$8:$C245,TRUE)&gt;0)</f>
        <v>0</v>
      </c>
      <c r="M24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5" s="32" t="b">
        <f>IF(VaBenefits[[#This Row],[timeFromValuation]]=0,0, MOD(VaBenefits[[#This Row],[timeFromValuation]],1)=0)</f>
        <v>0</v>
      </c>
      <c r="O245" s="7">
        <f>IF(VaBenefits[[#This Row],[Is Anniversary?]]=TRUE,VaBenefits[[#This Row],[Assumed Contract Value ]],0)</f>
        <v>0</v>
      </c>
      <c r="P24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5" s="7" t="b">
        <f>VaBenefits[[#This Row],[Assumed Contract Value ]]&lt;0.1</f>
        <v>1</v>
      </c>
      <c r="R24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5" s="7">
        <f ca="1">IF(AND(VaBenefits[[#This Row],[Is Activation]]=FALSE,VaBenefits[[#This Row],[Is Anniversary?]]=TRUE),OFFSET( VaBenefits[[#This Row],[Income Credit Base]],-1,0)*ICP,0)</f>
        <v>0</v>
      </c>
      <c r="T245" s="5">
        <f>IF(VaBenefits[[#This Row],[Assumed Contract Value ]]&gt;0,VaBenefits[[#This Row],[Income Base]]*MAWA,0)</f>
        <v>0</v>
      </c>
      <c r="U245" s="95">
        <v>55</v>
      </c>
      <c r="V245" s="92">
        <f>1/(1+InterestRate)^VaBenefits[[#This Row],[timeFromValuation]]</f>
        <v>5.5530812781331262E-2</v>
      </c>
      <c r="W245" s="93">
        <f>VaBenefits[[#This Row],[timeFromValuation]]</f>
        <v>59.25</v>
      </c>
      <c r="X245" s="91">
        <f>IF(($G$8+VaBenefits[[#This Row],[timeFromValuation]])&lt;=120,VLOOKUP(G245,Table2[],Qx!L$6,FALSE),0)</f>
        <v>0.6</v>
      </c>
      <c r="Y245" s="91">
        <f>IF(($H$8+VaBenefits[[#This Row],[timeFromValuation]])&lt;=120,VLOOKUP(H245,Table2[],Qx!M$6,FALSE),0)</f>
        <v>0</v>
      </c>
      <c r="Z245" s="91">
        <v>0</v>
      </c>
      <c r="AA245" s="91">
        <v>0</v>
      </c>
      <c r="AB245" s="91">
        <v>0</v>
      </c>
      <c r="AC245" s="91">
        <v>0</v>
      </c>
      <c r="AD245" s="100">
        <f>PV(1.03,20,-VaBenefits[[#This Row],[Protected Income Payment]])</f>
        <v>53.398020442598771</v>
      </c>
      <c r="AE245" s="130">
        <f>IF((AND(VaBenefits[[#This Row],[Is Anniversary?]],VaBenefits[[#This Row],[Assumed Contract Value ]]&lt;75000)),-50,0)</f>
        <v>0</v>
      </c>
      <c r="AF245" s="134">
        <f>VaBenefits[[#This Row],[Assumed Contract Value ]]*-1.15%/4</f>
        <v>0</v>
      </c>
      <c r="AG245" s="129">
        <v>0</v>
      </c>
      <c r="AH245" s="6">
        <f>VaBenefits[[#This Row],[Maintenace Fee]]+VaBenefits[[#This Row],[Separate Account Charge]]+VaBenefits[[#This Row],[Rider Fee]]</f>
        <v>0</v>
      </c>
      <c r="AR245" s="23">
        <f t="shared" si="24"/>
        <v>118.5</v>
      </c>
      <c r="AS245" s="24">
        <v>0</v>
      </c>
      <c r="AT245" s="24">
        <v>0</v>
      </c>
      <c r="AU245" s="22">
        <v>0</v>
      </c>
      <c r="AV245" s="16">
        <v>0</v>
      </c>
      <c r="AW245" s="14">
        <v>299982</v>
      </c>
      <c r="AX245" s="15">
        <v>0</v>
      </c>
      <c r="AY245" s="15">
        <v>0</v>
      </c>
      <c r="AZ245" s="14">
        <v>0</v>
      </c>
      <c r="BA245" s="17">
        <v>11999</v>
      </c>
    </row>
    <row r="246" spans="1:53" ht="15" thickBot="1" x14ac:dyDescent="0.35">
      <c r="A246" s="32">
        <f t="shared" si="23"/>
        <v>238</v>
      </c>
      <c r="B246" s="29">
        <f t="shared" si="22"/>
        <v>59.5</v>
      </c>
      <c r="C246" s="29" t="b">
        <f>AND(VaBenefits[[#This Row],[timeFromValuation]]&gt;=ACT,VaBenefits[[#This Row],[Assumed Contract Value ]]&gt;0)</f>
        <v>0</v>
      </c>
      <c r="D246" s="20">
        <v>0</v>
      </c>
      <c r="E246" s="20">
        <v>0</v>
      </c>
      <c r="F246" s="20">
        <v>0</v>
      </c>
      <c r="G246" s="96">
        <f>ROUND($G$8+VaBenefits[[#This Row],[timeFromValuation]],0)</f>
        <v>115</v>
      </c>
      <c r="H246" s="20">
        <f>ROUND($H$8+VaBenefits[[#This Row],[timeFromValuation]],0)</f>
        <v>125</v>
      </c>
      <c r="I246" s="27" t="b">
        <f>VaBenefits[[#This Row],[Withdrawal Taken  ]]&gt;0</f>
        <v>0</v>
      </c>
      <c r="J246" s="41">
        <f>IF(AND(NOT(VaBenefits[[#This Row],[Is Activation]]),VaBenefits[[#This Row],[Assumed Contract Value ]]&gt;0),VaBenefits[[#This Row],[Withdrawal Taken  ]]/VaBenefits[[#This Row],[Assumed Contract Value ]],0)</f>
        <v>0</v>
      </c>
      <c r="K24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6" s="27" t="b">
        <f ca="1">AND(VaBenefits[[#This Row],[Is Activation]],SUMIFS($E$8:$E246,$C$8:$C246,TRUE)&gt;0)</f>
        <v>0</v>
      </c>
      <c r="M24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6" s="32" t="b">
        <f>IF(VaBenefits[[#This Row],[timeFromValuation]]=0,0, MOD(VaBenefits[[#This Row],[timeFromValuation]],1)=0)</f>
        <v>0</v>
      </c>
      <c r="O246" s="7">
        <f>IF(VaBenefits[[#This Row],[Is Anniversary?]]=TRUE,VaBenefits[[#This Row],[Assumed Contract Value ]],0)</f>
        <v>0</v>
      </c>
      <c r="P24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6" s="7" t="b">
        <f>VaBenefits[[#This Row],[Assumed Contract Value ]]&lt;0.1</f>
        <v>1</v>
      </c>
      <c r="R24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6" s="7">
        <f ca="1">IF(AND(VaBenefits[[#This Row],[Is Activation]]=FALSE,VaBenefits[[#This Row],[Is Anniversary?]]=TRUE),OFFSET( VaBenefits[[#This Row],[Income Credit Base]],-1,0)*ICP,0)</f>
        <v>0</v>
      </c>
      <c r="T246" s="5">
        <f>IF(VaBenefits[[#This Row],[Assumed Contract Value ]]&gt;0,VaBenefits[[#This Row],[Income Base]]*MAWA,0)</f>
        <v>0</v>
      </c>
      <c r="U246" s="95">
        <v>56</v>
      </c>
      <c r="V246" s="92">
        <f>1/(1+InterestRate)^VaBenefits[[#This Row],[timeFromValuation]]</f>
        <v>5.4857587606018644E-2</v>
      </c>
      <c r="W246" s="93">
        <f>VaBenefits[[#This Row],[timeFromValuation]]</f>
        <v>59.5</v>
      </c>
      <c r="X246" s="91">
        <f>IF(($G$8+VaBenefits[[#This Row],[timeFromValuation]])&lt;=120,VLOOKUP(G246,Table2[],Qx!L$6,FALSE),0)</f>
        <v>0.6</v>
      </c>
      <c r="Y246" s="91">
        <f>IF(($H$8+VaBenefits[[#This Row],[timeFromValuation]])&lt;=120,VLOOKUP(H246,Table2[],Qx!M$6,FALSE),0)</f>
        <v>0</v>
      </c>
      <c r="Z246" s="91">
        <v>0</v>
      </c>
      <c r="AA246" s="91">
        <v>0</v>
      </c>
      <c r="AB246" s="91">
        <v>0</v>
      </c>
      <c r="AC246" s="91">
        <v>0</v>
      </c>
      <c r="AD246" s="100">
        <f>PV(1.03,20,-VaBenefits[[#This Row],[Protected Income Payment]])</f>
        <v>54.36889354155511</v>
      </c>
      <c r="AE246" s="130">
        <f>IF((AND(VaBenefits[[#This Row],[Is Anniversary?]],VaBenefits[[#This Row],[Assumed Contract Value ]]&lt;75000)),-50,0)</f>
        <v>0</v>
      </c>
      <c r="AF246" s="134">
        <f>VaBenefits[[#This Row],[Assumed Contract Value ]]*-1.15%/4</f>
        <v>0</v>
      </c>
      <c r="AG246" s="129">
        <v>0</v>
      </c>
      <c r="AH246" s="6">
        <f>VaBenefits[[#This Row],[Maintenace Fee]]+VaBenefits[[#This Row],[Separate Account Charge]]+VaBenefits[[#This Row],[Rider Fee]]</f>
        <v>0</v>
      </c>
      <c r="AR246" s="23">
        <f t="shared" si="24"/>
        <v>119</v>
      </c>
      <c r="AS246" s="24">
        <v>0</v>
      </c>
      <c r="AT246" s="24">
        <v>0</v>
      </c>
      <c r="AU246" s="22">
        <v>0</v>
      </c>
      <c r="AV246" s="16">
        <v>0</v>
      </c>
      <c r="AW246" s="14">
        <v>299982</v>
      </c>
      <c r="AX246" s="15">
        <v>0</v>
      </c>
      <c r="AY246" s="15">
        <v>0</v>
      </c>
      <c r="AZ246" s="14">
        <v>0</v>
      </c>
      <c r="BA246" s="17">
        <v>11999</v>
      </c>
    </row>
    <row r="247" spans="1:53" ht="15" thickBot="1" x14ac:dyDescent="0.35">
      <c r="A247" s="32">
        <f t="shared" si="23"/>
        <v>239</v>
      </c>
      <c r="B247" s="29">
        <f t="shared" si="22"/>
        <v>59.75</v>
      </c>
      <c r="C247" s="29" t="b">
        <f>AND(VaBenefits[[#This Row],[timeFromValuation]]&gt;=ACT,VaBenefits[[#This Row],[Assumed Contract Value ]]&gt;0)</f>
        <v>0</v>
      </c>
      <c r="D247" s="20">
        <v>0</v>
      </c>
      <c r="E247" s="20">
        <v>0</v>
      </c>
      <c r="F247" s="20">
        <v>0</v>
      </c>
      <c r="G247" s="96">
        <f>ROUND($G$8+VaBenefits[[#This Row],[timeFromValuation]],0)</f>
        <v>115</v>
      </c>
      <c r="H247" s="20">
        <f>ROUND($H$8+VaBenefits[[#This Row],[timeFromValuation]],0)</f>
        <v>125</v>
      </c>
      <c r="I247" s="27" t="b">
        <f>VaBenefits[[#This Row],[Withdrawal Taken  ]]&gt;0</f>
        <v>0</v>
      </c>
      <c r="J247" s="41">
        <f>IF(AND(NOT(VaBenefits[[#This Row],[Is Activation]]),VaBenefits[[#This Row],[Assumed Contract Value ]]&gt;0),VaBenefits[[#This Row],[Withdrawal Taken  ]]/VaBenefits[[#This Row],[Assumed Contract Value ]],0)</f>
        <v>0</v>
      </c>
      <c r="K24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7" s="27" t="b">
        <f ca="1">AND(VaBenefits[[#This Row],[Is Activation]],SUMIFS($E$8:$E247,$C$8:$C247,TRUE)&gt;0)</f>
        <v>0</v>
      </c>
      <c r="M24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7" s="32" t="b">
        <f>IF(VaBenefits[[#This Row],[timeFromValuation]]=0,0, MOD(VaBenefits[[#This Row],[timeFromValuation]],1)=0)</f>
        <v>0</v>
      </c>
      <c r="O247" s="7">
        <f>IF(VaBenefits[[#This Row],[Is Anniversary?]]=TRUE,VaBenefits[[#This Row],[Assumed Contract Value ]],0)</f>
        <v>0</v>
      </c>
      <c r="P24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7" s="7" t="b">
        <f>VaBenefits[[#This Row],[Assumed Contract Value ]]&lt;0.1</f>
        <v>1</v>
      </c>
      <c r="R24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7" s="7">
        <f ca="1">IF(AND(VaBenefits[[#This Row],[Is Activation]]=FALSE,VaBenefits[[#This Row],[Is Anniversary?]]=TRUE),OFFSET( VaBenefits[[#This Row],[Income Credit Base]],-1,0)*ICP,0)</f>
        <v>0</v>
      </c>
      <c r="T247" s="5">
        <f>IF(VaBenefits[[#This Row],[Assumed Contract Value ]]&gt;0,VaBenefits[[#This Row],[Income Base]]*MAWA,0)</f>
        <v>0</v>
      </c>
      <c r="U247" s="95">
        <v>57</v>
      </c>
      <c r="V247" s="92">
        <f>1/(1+InterestRate)^VaBenefits[[#This Row],[timeFromValuation]]</f>
        <v>5.4192524244192505E-2</v>
      </c>
      <c r="W247" s="93">
        <f>VaBenefits[[#This Row],[timeFromValuation]]</f>
        <v>59.75</v>
      </c>
      <c r="X247" s="91">
        <f>IF(($G$8+VaBenefits[[#This Row],[timeFromValuation]])&lt;=120,VLOOKUP(G247,Table2[],Qx!L$6,FALSE),0)</f>
        <v>0.6</v>
      </c>
      <c r="Y247" s="91">
        <f>IF(($H$8+VaBenefits[[#This Row],[timeFromValuation]])&lt;=120,VLOOKUP(H247,Table2[],Qx!M$6,FALSE),0)</f>
        <v>0</v>
      </c>
      <c r="Z247" s="91">
        <v>0</v>
      </c>
      <c r="AA247" s="91">
        <v>0</v>
      </c>
      <c r="AB247" s="91">
        <v>0</v>
      </c>
      <c r="AC247" s="91">
        <v>0</v>
      </c>
      <c r="AD247" s="100">
        <f>PV(1.03,20,-VaBenefits[[#This Row],[Protected Income Payment]])</f>
        <v>55.339766640511456</v>
      </c>
      <c r="AE247" s="130">
        <f>IF((AND(VaBenefits[[#This Row],[Is Anniversary?]],VaBenefits[[#This Row],[Assumed Contract Value ]]&lt;75000)),-50,0)</f>
        <v>0</v>
      </c>
      <c r="AF247" s="134">
        <f>VaBenefits[[#This Row],[Assumed Contract Value ]]*-1.15%/4</f>
        <v>0</v>
      </c>
      <c r="AG247" s="129">
        <v>0</v>
      </c>
      <c r="AH247" s="6">
        <f>VaBenefits[[#This Row],[Maintenace Fee]]+VaBenefits[[#This Row],[Separate Account Charge]]+VaBenefits[[#This Row],[Rider Fee]]</f>
        <v>0</v>
      </c>
      <c r="AR247" s="23">
        <f t="shared" si="24"/>
        <v>119.5</v>
      </c>
      <c r="AS247" s="24">
        <v>0</v>
      </c>
      <c r="AT247" s="24">
        <v>0</v>
      </c>
      <c r="AU247" s="22">
        <v>0</v>
      </c>
      <c r="AV247" s="16">
        <v>0</v>
      </c>
      <c r="AW247" s="14">
        <v>299982</v>
      </c>
      <c r="AX247" s="15">
        <v>0</v>
      </c>
      <c r="AY247" s="15">
        <v>0</v>
      </c>
      <c r="AZ247" s="14">
        <v>0</v>
      </c>
      <c r="BA247" s="17">
        <v>11999</v>
      </c>
    </row>
    <row r="248" spans="1:53" ht="15" thickBot="1" x14ac:dyDescent="0.35">
      <c r="A248" s="32">
        <f t="shared" si="23"/>
        <v>240</v>
      </c>
      <c r="B248" s="29">
        <f t="shared" si="22"/>
        <v>60</v>
      </c>
      <c r="C248" s="29" t="b">
        <f>AND(VaBenefits[[#This Row],[timeFromValuation]]&gt;=ACT,VaBenefits[[#This Row],[Assumed Contract Value ]]&gt;0)</f>
        <v>0</v>
      </c>
      <c r="D248" s="20">
        <v>0</v>
      </c>
      <c r="E248" s="20">
        <v>0</v>
      </c>
      <c r="F248" s="20">
        <v>0</v>
      </c>
      <c r="G248" s="96">
        <f>ROUND($G$8+VaBenefits[[#This Row],[timeFromValuation]],0)</f>
        <v>115</v>
      </c>
      <c r="H248" s="20">
        <f>ROUND($H$8+VaBenefits[[#This Row],[timeFromValuation]],0)</f>
        <v>125</v>
      </c>
      <c r="I248" s="27" t="b">
        <f>VaBenefits[[#This Row],[Withdrawal Taken  ]]&gt;0</f>
        <v>0</v>
      </c>
      <c r="J248" s="41">
        <f>IF(AND(NOT(VaBenefits[[#This Row],[Is Activation]]),VaBenefits[[#This Row],[Assumed Contract Value ]]&gt;0),VaBenefits[[#This Row],[Withdrawal Taken  ]]/VaBenefits[[#This Row],[Assumed Contract Value ]],0)</f>
        <v>0</v>
      </c>
      <c r="K24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8" s="27" t="b">
        <f ca="1">AND(VaBenefits[[#This Row],[Is Activation]],SUMIFS($E$8:$E248,$C$8:$C248,TRUE)&gt;0)</f>
        <v>0</v>
      </c>
      <c r="M24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8" s="32" t="b">
        <f>IF(VaBenefits[[#This Row],[timeFromValuation]]=0,0, MOD(VaBenefits[[#This Row],[timeFromValuation]],1)=0)</f>
        <v>1</v>
      </c>
      <c r="O248" s="7">
        <f>IF(VaBenefits[[#This Row],[Is Anniversary?]]=TRUE,VaBenefits[[#This Row],[Assumed Contract Value ]],0)</f>
        <v>0</v>
      </c>
      <c r="P24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8" s="7" t="b">
        <f>VaBenefits[[#This Row],[Assumed Contract Value ]]&lt;0.1</f>
        <v>1</v>
      </c>
      <c r="R24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8" s="7">
        <f ca="1">IF(AND(VaBenefits[[#This Row],[Is Activation]]=FALSE,VaBenefits[[#This Row],[Is Anniversary?]]=TRUE),OFFSET( VaBenefits[[#This Row],[Income Credit Base]],-1,0)*ICP,0)</f>
        <v>0</v>
      </c>
      <c r="T248" s="5">
        <f>IF(VaBenefits[[#This Row],[Assumed Contract Value ]]&gt;0,VaBenefits[[#This Row],[Income Base]]*MAWA,0)</f>
        <v>0</v>
      </c>
      <c r="U248" s="95">
        <v>58</v>
      </c>
      <c r="V248" s="92">
        <f>1/(1+InterestRate)^VaBenefits[[#This Row],[timeFromValuation]]</f>
        <v>5.3535523746494243E-2</v>
      </c>
      <c r="W248" s="93">
        <f>VaBenefits[[#This Row],[timeFromValuation]]</f>
        <v>60</v>
      </c>
      <c r="X248" s="91">
        <f>IF(($G$8+VaBenefits[[#This Row],[timeFromValuation]])&lt;=120,VLOOKUP(G248,Table2[],Qx!L$6,FALSE),0)</f>
        <v>0.6</v>
      </c>
      <c r="Y248" s="91">
        <f>IF(($H$8+VaBenefits[[#This Row],[timeFromValuation]])&lt;=120,VLOOKUP(H248,Table2[],Qx!M$6,FALSE),0)</f>
        <v>0</v>
      </c>
      <c r="Z248" s="91">
        <v>0</v>
      </c>
      <c r="AA248" s="91">
        <v>0</v>
      </c>
      <c r="AB248" s="91">
        <v>0</v>
      </c>
      <c r="AC248" s="91">
        <v>0</v>
      </c>
      <c r="AD248" s="100">
        <f>PV(1.03,20,-VaBenefits[[#This Row],[Protected Income Payment]])</f>
        <v>56.310639739467781</v>
      </c>
      <c r="AE248" s="130">
        <f>IF((AND(VaBenefits[[#This Row],[Is Anniversary?]],VaBenefits[[#This Row],[Assumed Contract Value ]]&lt;75000)),-50,0)</f>
        <v>-50</v>
      </c>
      <c r="AF248" s="134">
        <f>VaBenefits[[#This Row],[Assumed Contract Value ]]*-1.15%/4</f>
        <v>0</v>
      </c>
      <c r="AG248" s="129">
        <v>0</v>
      </c>
      <c r="AH248" s="6">
        <f>VaBenefits[[#This Row],[Maintenace Fee]]+VaBenefits[[#This Row],[Separate Account Charge]]+VaBenefits[[#This Row],[Rider Fee]]</f>
        <v>-50</v>
      </c>
      <c r="AR248" s="23">
        <f t="shared" si="24"/>
        <v>120</v>
      </c>
      <c r="AS248" s="24">
        <v>0</v>
      </c>
      <c r="AT248" s="24">
        <v>0</v>
      </c>
      <c r="AU248" s="22">
        <v>0</v>
      </c>
      <c r="AV248" s="16">
        <v>0</v>
      </c>
      <c r="AW248" s="14">
        <v>299982</v>
      </c>
      <c r="AX248" s="15">
        <v>0</v>
      </c>
      <c r="AY248" s="15">
        <v>0</v>
      </c>
      <c r="AZ248" s="14">
        <v>0</v>
      </c>
      <c r="BA248" s="17">
        <v>11999</v>
      </c>
    </row>
    <row r="249" spans="1:53" ht="15" thickBot="1" x14ac:dyDescent="0.35">
      <c r="A249" s="32">
        <f t="shared" si="23"/>
        <v>241</v>
      </c>
      <c r="B249" s="29">
        <f t="shared" si="22"/>
        <v>60.25</v>
      </c>
      <c r="C249" s="29" t="b">
        <f>AND(VaBenefits[[#This Row],[timeFromValuation]]&gt;=ACT,VaBenefits[[#This Row],[Assumed Contract Value ]]&gt;0)</f>
        <v>0</v>
      </c>
      <c r="D249" s="20">
        <v>0</v>
      </c>
      <c r="E249" s="20">
        <v>0</v>
      </c>
      <c r="F249" s="20">
        <v>0</v>
      </c>
      <c r="G249" s="96">
        <f>ROUND($G$8+VaBenefits[[#This Row],[timeFromValuation]],0)</f>
        <v>115</v>
      </c>
      <c r="H249" s="20">
        <f>ROUND($H$8+VaBenefits[[#This Row],[timeFromValuation]],0)</f>
        <v>125</v>
      </c>
      <c r="I249" s="27" t="b">
        <f>VaBenefits[[#This Row],[Withdrawal Taken  ]]&gt;0</f>
        <v>0</v>
      </c>
      <c r="J249" s="41">
        <f>IF(AND(NOT(VaBenefits[[#This Row],[Is Activation]]),VaBenefits[[#This Row],[Assumed Contract Value ]]&gt;0),VaBenefits[[#This Row],[Withdrawal Taken  ]]/VaBenefits[[#This Row],[Assumed Contract Value ]],0)</f>
        <v>0</v>
      </c>
      <c r="K24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9" s="27" t="b">
        <f ca="1">AND(VaBenefits[[#This Row],[Is Activation]],SUMIFS($E$8:$E249,$C$8:$C249,TRUE)&gt;0)</f>
        <v>0</v>
      </c>
      <c r="M24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9" s="32" t="b">
        <f>IF(VaBenefits[[#This Row],[timeFromValuation]]=0,0, MOD(VaBenefits[[#This Row],[timeFromValuation]],1)=0)</f>
        <v>0</v>
      </c>
      <c r="O249" s="7">
        <f>IF(VaBenefits[[#This Row],[Is Anniversary?]]=TRUE,VaBenefits[[#This Row],[Assumed Contract Value ]],0)</f>
        <v>0</v>
      </c>
      <c r="P24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9" s="7" t="b">
        <f>VaBenefits[[#This Row],[Assumed Contract Value ]]&lt;0.1</f>
        <v>1</v>
      </c>
      <c r="R24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9" s="7">
        <f ca="1">IF(AND(VaBenefits[[#This Row],[Is Activation]]=FALSE,VaBenefits[[#This Row],[Is Anniversary?]]=TRUE),OFFSET( VaBenefits[[#This Row],[Income Credit Base]],-1,0)*ICP,0)</f>
        <v>0</v>
      </c>
      <c r="T249" s="5">
        <f>IF(VaBenefits[[#This Row],[Assumed Contract Value ]]&gt;0,VaBenefits[[#This Row],[Income Base]]*MAWA,0)</f>
        <v>0</v>
      </c>
      <c r="U249" s="95">
        <v>59</v>
      </c>
      <c r="V249" s="92">
        <f>1/(1+InterestRate)^VaBenefits[[#This Row],[timeFromValuation]]</f>
        <v>5.2886488363172626E-2</v>
      </c>
      <c r="W249" s="93">
        <f>VaBenefits[[#This Row],[timeFromValuation]]</f>
        <v>60.25</v>
      </c>
      <c r="X249" s="91">
        <f>IF(($G$8+VaBenefits[[#This Row],[timeFromValuation]])&lt;=120,VLOOKUP(G249,Table2[],Qx!L$6,FALSE),0)</f>
        <v>0.6</v>
      </c>
      <c r="Y249" s="91">
        <f>IF(($H$8+VaBenefits[[#This Row],[timeFromValuation]])&lt;=120,VLOOKUP(H249,Table2[],Qx!M$6,FALSE),0)</f>
        <v>0</v>
      </c>
      <c r="Z249" s="91">
        <v>0</v>
      </c>
      <c r="AA249" s="91">
        <v>0</v>
      </c>
      <c r="AB249" s="91">
        <v>0</v>
      </c>
      <c r="AC249" s="91">
        <v>0</v>
      </c>
      <c r="AD249" s="100">
        <f>PV(1.03,20,-VaBenefits[[#This Row],[Protected Income Payment]])</f>
        <v>57.281512838424128</v>
      </c>
      <c r="AE249" s="130">
        <f>IF((AND(VaBenefits[[#This Row],[Is Anniversary?]],VaBenefits[[#This Row],[Assumed Contract Value ]]&lt;75000)),-50,0)</f>
        <v>0</v>
      </c>
      <c r="AF249" s="134">
        <f>VaBenefits[[#This Row],[Assumed Contract Value ]]*-1.15%/4</f>
        <v>0</v>
      </c>
      <c r="AG249" s="129">
        <v>0</v>
      </c>
      <c r="AH249" s="6">
        <f>VaBenefits[[#This Row],[Maintenace Fee]]+VaBenefits[[#This Row],[Separate Account Charge]]+VaBenefits[[#This Row],[Rider Fee]]</f>
        <v>0</v>
      </c>
      <c r="AR249" s="23">
        <f t="shared" si="24"/>
        <v>120.5</v>
      </c>
      <c r="AS249" s="24">
        <v>0</v>
      </c>
      <c r="AT249" s="24">
        <v>0</v>
      </c>
      <c r="AU249" s="22">
        <v>0</v>
      </c>
      <c r="AV249" s="16">
        <v>0</v>
      </c>
      <c r="AW249" s="14">
        <v>299982</v>
      </c>
      <c r="AX249" s="15">
        <v>0</v>
      </c>
      <c r="AY249" s="15">
        <v>0</v>
      </c>
      <c r="AZ249" s="14">
        <v>0</v>
      </c>
      <c r="BA249" s="17">
        <v>11999</v>
      </c>
    </row>
    <row r="250" spans="1:53" ht="15" thickBot="1" x14ac:dyDescent="0.35">
      <c r="A250" s="32">
        <f t="shared" si="23"/>
        <v>242</v>
      </c>
      <c r="B250" s="29">
        <f t="shared" si="22"/>
        <v>60.5</v>
      </c>
      <c r="C250" s="29" t="b">
        <f>AND(VaBenefits[[#This Row],[timeFromValuation]]&gt;=ACT,VaBenefits[[#This Row],[Assumed Contract Value ]]&gt;0)</f>
        <v>0</v>
      </c>
      <c r="D250" s="20">
        <v>0</v>
      </c>
      <c r="E250" s="20">
        <v>0</v>
      </c>
      <c r="F250" s="20">
        <v>0</v>
      </c>
      <c r="G250" s="96">
        <f>ROUND($G$8+VaBenefits[[#This Row],[timeFromValuation]],0)</f>
        <v>116</v>
      </c>
      <c r="H250" s="20">
        <f>ROUND($H$8+VaBenefits[[#This Row],[timeFromValuation]],0)</f>
        <v>126</v>
      </c>
      <c r="I250" s="27" t="b">
        <f>VaBenefits[[#This Row],[Withdrawal Taken  ]]&gt;0</f>
        <v>0</v>
      </c>
      <c r="J250" s="41">
        <f>IF(AND(NOT(VaBenefits[[#This Row],[Is Activation]]),VaBenefits[[#This Row],[Assumed Contract Value ]]&gt;0),VaBenefits[[#This Row],[Withdrawal Taken  ]]/VaBenefits[[#This Row],[Assumed Contract Value ]],0)</f>
        <v>0</v>
      </c>
      <c r="K25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0" s="27" t="b">
        <f ca="1">AND(VaBenefits[[#This Row],[Is Activation]],SUMIFS($E$8:$E250,$C$8:$C250,TRUE)&gt;0)</f>
        <v>0</v>
      </c>
      <c r="M25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0" s="32" t="b">
        <f>IF(VaBenefits[[#This Row],[timeFromValuation]]=0,0, MOD(VaBenefits[[#This Row],[timeFromValuation]],1)=0)</f>
        <v>0</v>
      </c>
      <c r="O250" s="7">
        <f>IF(VaBenefits[[#This Row],[Is Anniversary?]]=TRUE,VaBenefits[[#This Row],[Assumed Contract Value ]],0)</f>
        <v>0</v>
      </c>
      <c r="P25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0" s="7" t="b">
        <f>VaBenefits[[#This Row],[Assumed Contract Value ]]&lt;0.1</f>
        <v>1</v>
      </c>
      <c r="R25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0" s="7">
        <f ca="1">IF(AND(VaBenefits[[#This Row],[Is Activation]]=FALSE,VaBenefits[[#This Row],[Is Anniversary?]]=TRUE),OFFSET( VaBenefits[[#This Row],[Income Credit Base]],-1,0)*ICP,0)</f>
        <v>0</v>
      </c>
      <c r="T250" s="5">
        <f>IF(VaBenefits[[#This Row],[Assumed Contract Value ]]&gt;0,VaBenefits[[#This Row],[Income Base]]*MAWA,0)</f>
        <v>0</v>
      </c>
      <c r="U250" s="95">
        <v>60</v>
      </c>
      <c r="V250" s="92">
        <f>1/(1+InterestRate)^VaBenefits[[#This Row],[timeFromValuation]]</f>
        <v>5.2245321529541554E-2</v>
      </c>
      <c r="W250" s="93">
        <f>VaBenefits[[#This Row],[timeFromValuation]]</f>
        <v>60.5</v>
      </c>
      <c r="X250" s="91">
        <f>IF(($G$8+VaBenefits[[#This Row],[timeFromValuation]])&lt;=120,VLOOKUP(G250,Table2[],Qx!L$6,FALSE),0)</f>
        <v>0.6</v>
      </c>
      <c r="Y250" s="91">
        <f>IF(($H$8+VaBenefits[[#This Row],[timeFromValuation]])&lt;=120,VLOOKUP(H250,Table2[],Qx!M$6,FALSE),0)</f>
        <v>0</v>
      </c>
      <c r="Z250" s="91">
        <v>0</v>
      </c>
      <c r="AA250" s="91">
        <v>0</v>
      </c>
      <c r="AB250" s="91">
        <v>0</v>
      </c>
      <c r="AC250" s="91">
        <v>0</v>
      </c>
      <c r="AD250" s="100">
        <f>PV(1.03,20,-VaBenefits[[#This Row],[Protected Income Payment]])</f>
        <v>58.252385937380467</v>
      </c>
      <c r="AE250" s="130">
        <f>IF((AND(VaBenefits[[#This Row],[Is Anniversary?]],VaBenefits[[#This Row],[Assumed Contract Value ]]&lt;75000)),-50,0)</f>
        <v>0</v>
      </c>
      <c r="AF250" s="134">
        <f>VaBenefits[[#This Row],[Assumed Contract Value ]]*-1.15%/4</f>
        <v>0</v>
      </c>
      <c r="AG250" s="129">
        <v>0</v>
      </c>
      <c r="AH250" s="6">
        <f>VaBenefits[[#This Row],[Maintenace Fee]]+VaBenefits[[#This Row],[Separate Account Charge]]+VaBenefits[[#This Row],[Rider Fee]]</f>
        <v>0</v>
      </c>
      <c r="AR250" s="23">
        <f t="shared" si="24"/>
        <v>121</v>
      </c>
      <c r="AS250" s="24">
        <v>0</v>
      </c>
      <c r="AT250" s="24">
        <v>0</v>
      </c>
      <c r="AU250" s="22">
        <v>0</v>
      </c>
      <c r="AV250" s="16">
        <v>0</v>
      </c>
      <c r="AW250" s="14">
        <v>299982</v>
      </c>
      <c r="AX250" s="15">
        <v>0</v>
      </c>
      <c r="AY250" s="15">
        <v>0</v>
      </c>
      <c r="AZ250" s="14">
        <v>0</v>
      </c>
      <c r="BA250" s="17">
        <v>11999</v>
      </c>
    </row>
    <row r="251" spans="1:53" ht="15" thickBot="1" x14ac:dyDescent="0.35">
      <c r="A251" s="32">
        <f t="shared" si="23"/>
        <v>243</v>
      </c>
      <c r="B251" s="29">
        <f t="shared" si="22"/>
        <v>60.75</v>
      </c>
      <c r="C251" s="29" t="b">
        <f>AND(VaBenefits[[#This Row],[timeFromValuation]]&gt;=ACT,VaBenefits[[#This Row],[Assumed Contract Value ]]&gt;0)</f>
        <v>0</v>
      </c>
      <c r="D251" s="20">
        <v>0</v>
      </c>
      <c r="E251" s="20">
        <v>0</v>
      </c>
      <c r="F251" s="20">
        <v>0</v>
      </c>
      <c r="G251" s="96">
        <f>ROUND($G$8+VaBenefits[[#This Row],[timeFromValuation]],0)</f>
        <v>116</v>
      </c>
      <c r="H251" s="20">
        <f>ROUND($H$8+VaBenefits[[#This Row],[timeFromValuation]],0)</f>
        <v>126</v>
      </c>
      <c r="I251" s="27" t="b">
        <f>VaBenefits[[#This Row],[Withdrawal Taken  ]]&gt;0</f>
        <v>0</v>
      </c>
      <c r="J251" s="41">
        <f>IF(AND(NOT(VaBenefits[[#This Row],[Is Activation]]),VaBenefits[[#This Row],[Assumed Contract Value ]]&gt;0),VaBenefits[[#This Row],[Withdrawal Taken  ]]/VaBenefits[[#This Row],[Assumed Contract Value ]],0)</f>
        <v>0</v>
      </c>
      <c r="K25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1" s="27" t="b">
        <f ca="1">AND(VaBenefits[[#This Row],[Is Activation]],SUMIFS($E$8:$E251,$C$8:$C251,TRUE)&gt;0)</f>
        <v>0</v>
      </c>
      <c r="M25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1" s="32" t="b">
        <f>IF(VaBenefits[[#This Row],[timeFromValuation]]=0,0, MOD(VaBenefits[[#This Row],[timeFromValuation]],1)=0)</f>
        <v>0</v>
      </c>
      <c r="O251" s="7">
        <f>IF(VaBenefits[[#This Row],[Is Anniversary?]]=TRUE,VaBenefits[[#This Row],[Assumed Contract Value ]],0)</f>
        <v>0</v>
      </c>
      <c r="P25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1" s="7" t="b">
        <f>VaBenefits[[#This Row],[Assumed Contract Value ]]&lt;0.1</f>
        <v>1</v>
      </c>
      <c r="R25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1" s="7">
        <f ca="1">IF(AND(VaBenefits[[#This Row],[Is Activation]]=FALSE,VaBenefits[[#This Row],[Is Anniversary?]]=TRUE),OFFSET( VaBenefits[[#This Row],[Income Credit Base]],-1,0)*ICP,0)</f>
        <v>0</v>
      </c>
      <c r="T251" s="5">
        <f>IF(VaBenefits[[#This Row],[Assumed Contract Value ]]&gt;0,VaBenefits[[#This Row],[Income Base]]*MAWA,0)</f>
        <v>0</v>
      </c>
      <c r="U251" s="95">
        <v>61</v>
      </c>
      <c r="V251" s="92">
        <f>1/(1+InterestRate)^VaBenefits[[#This Row],[timeFromValuation]]</f>
        <v>5.1611927851611908E-2</v>
      </c>
      <c r="W251" s="93">
        <f>VaBenefits[[#This Row],[timeFromValuation]]</f>
        <v>60.75</v>
      </c>
      <c r="X251" s="91">
        <f>IF(($G$8+VaBenefits[[#This Row],[timeFromValuation]])&lt;=120,VLOOKUP(G251,Table2[],Qx!L$6,FALSE),0)</f>
        <v>0.6</v>
      </c>
      <c r="Y251" s="91">
        <f>IF(($H$8+VaBenefits[[#This Row],[timeFromValuation]])&lt;=120,VLOOKUP(H251,Table2[],Qx!M$6,FALSE),0)</f>
        <v>0</v>
      </c>
      <c r="Z251" s="91">
        <v>0</v>
      </c>
      <c r="AA251" s="91">
        <v>0</v>
      </c>
      <c r="AB251" s="91">
        <v>0</v>
      </c>
      <c r="AC251" s="91">
        <v>0</v>
      </c>
      <c r="AD251" s="100">
        <f>PV(1.03,20,-VaBenefits[[#This Row],[Protected Income Payment]])</f>
        <v>59.223259036336813</v>
      </c>
      <c r="AE251" s="130">
        <f>IF((AND(VaBenefits[[#This Row],[Is Anniversary?]],VaBenefits[[#This Row],[Assumed Contract Value ]]&lt;75000)),-50,0)</f>
        <v>0</v>
      </c>
      <c r="AF251" s="134">
        <f>VaBenefits[[#This Row],[Assumed Contract Value ]]*-1.15%/4</f>
        <v>0</v>
      </c>
      <c r="AG251" s="129">
        <v>0</v>
      </c>
      <c r="AH251" s="6">
        <f>VaBenefits[[#This Row],[Maintenace Fee]]+VaBenefits[[#This Row],[Separate Account Charge]]+VaBenefits[[#This Row],[Rider Fee]]</f>
        <v>0</v>
      </c>
      <c r="AR251" s="23">
        <f t="shared" si="24"/>
        <v>121.5</v>
      </c>
      <c r="AS251" s="24">
        <v>0</v>
      </c>
      <c r="AT251" s="24">
        <v>0</v>
      </c>
      <c r="AU251" s="22">
        <v>0</v>
      </c>
      <c r="AV251" s="16">
        <v>0</v>
      </c>
      <c r="AW251" s="14">
        <v>299982</v>
      </c>
      <c r="AX251" s="15">
        <v>0</v>
      </c>
      <c r="AY251" s="15">
        <v>0</v>
      </c>
      <c r="AZ251" s="14">
        <v>0</v>
      </c>
      <c r="BA251" s="17">
        <v>11999</v>
      </c>
    </row>
    <row r="252" spans="1:53" ht="15" thickBot="1" x14ac:dyDescent="0.35">
      <c r="A252" s="32">
        <f t="shared" si="23"/>
        <v>244</v>
      </c>
      <c r="B252" s="29">
        <f t="shared" si="22"/>
        <v>61</v>
      </c>
      <c r="C252" s="29" t="b">
        <f>AND(VaBenefits[[#This Row],[timeFromValuation]]&gt;=ACT,VaBenefits[[#This Row],[Assumed Contract Value ]]&gt;0)</f>
        <v>0</v>
      </c>
      <c r="D252" s="20">
        <v>0</v>
      </c>
      <c r="E252" s="20">
        <v>0</v>
      </c>
      <c r="F252" s="20">
        <v>0</v>
      </c>
      <c r="G252" s="96">
        <f>ROUND($G$8+VaBenefits[[#This Row],[timeFromValuation]],0)</f>
        <v>116</v>
      </c>
      <c r="H252" s="20">
        <f>ROUND($H$8+VaBenefits[[#This Row],[timeFromValuation]],0)</f>
        <v>126</v>
      </c>
      <c r="I252" s="27" t="b">
        <f>VaBenefits[[#This Row],[Withdrawal Taken  ]]&gt;0</f>
        <v>0</v>
      </c>
      <c r="J252" s="41">
        <f>IF(AND(NOT(VaBenefits[[#This Row],[Is Activation]]),VaBenefits[[#This Row],[Assumed Contract Value ]]&gt;0),VaBenefits[[#This Row],[Withdrawal Taken  ]]/VaBenefits[[#This Row],[Assumed Contract Value ]],0)</f>
        <v>0</v>
      </c>
      <c r="K25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2" s="27" t="b">
        <f ca="1">AND(VaBenefits[[#This Row],[Is Activation]],SUMIFS($E$8:$E252,$C$8:$C252,TRUE)&gt;0)</f>
        <v>0</v>
      </c>
      <c r="M25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2" s="32" t="b">
        <f>IF(VaBenefits[[#This Row],[timeFromValuation]]=0,0, MOD(VaBenefits[[#This Row],[timeFromValuation]],1)=0)</f>
        <v>1</v>
      </c>
      <c r="O252" s="7">
        <f>IF(VaBenefits[[#This Row],[Is Anniversary?]]=TRUE,VaBenefits[[#This Row],[Assumed Contract Value ]],0)</f>
        <v>0</v>
      </c>
      <c r="P25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2" s="7" t="b">
        <f>VaBenefits[[#This Row],[Assumed Contract Value ]]&lt;0.1</f>
        <v>1</v>
      </c>
      <c r="R25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2" s="7">
        <f ca="1">IF(AND(VaBenefits[[#This Row],[Is Activation]]=FALSE,VaBenefits[[#This Row],[Is Anniversary?]]=TRUE),OFFSET( VaBenefits[[#This Row],[Income Credit Base]],-1,0)*ICP,0)</f>
        <v>0</v>
      </c>
      <c r="T252" s="5">
        <f>IF(VaBenefits[[#This Row],[Assumed Contract Value ]]&gt;0,VaBenefits[[#This Row],[Income Base]]*MAWA,0)</f>
        <v>0</v>
      </c>
      <c r="U252" s="95">
        <v>62</v>
      </c>
      <c r="V252" s="92">
        <f>1/(1+InterestRate)^VaBenefits[[#This Row],[timeFromValuation]]</f>
        <v>5.0986213091899268E-2</v>
      </c>
      <c r="W252" s="93">
        <f>VaBenefits[[#This Row],[timeFromValuation]]</f>
        <v>61</v>
      </c>
      <c r="X252" s="91">
        <f>IF(($G$8+VaBenefits[[#This Row],[timeFromValuation]])&lt;=120,VLOOKUP(G252,Table2[],Qx!L$6,FALSE),0)</f>
        <v>0.6</v>
      </c>
      <c r="Y252" s="91">
        <f>IF(($H$8+VaBenefits[[#This Row],[timeFromValuation]])&lt;=120,VLOOKUP(H252,Table2[],Qx!M$6,FALSE),0)</f>
        <v>0</v>
      </c>
      <c r="Z252" s="91">
        <v>0</v>
      </c>
      <c r="AA252" s="91">
        <v>0</v>
      </c>
      <c r="AB252" s="91">
        <v>0</v>
      </c>
      <c r="AC252" s="91">
        <v>0</v>
      </c>
      <c r="AD252" s="100">
        <f>PV(1.03,20,-VaBenefits[[#This Row],[Protected Income Payment]])</f>
        <v>60.194132135293152</v>
      </c>
      <c r="AE252" s="130">
        <f>IF((AND(VaBenefits[[#This Row],[Is Anniversary?]],VaBenefits[[#This Row],[Assumed Contract Value ]]&lt;75000)),-50,0)</f>
        <v>-50</v>
      </c>
      <c r="AF252" s="134">
        <f>VaBenefits[[#This Row],[Assumed Contract Value ]]*-1.15%/4</f>
        <v>0</v>
      </c>
      <c r="AG252" s="129">
        <v>0</v>
      </c>
      <c r="AH252" s="6">
        <f>VaBenefits[[#This Row],[Maintenace Fee]]+VaBenefits[[#This Row],[Separate Account Charge]]+VaBenefits[[#This Row],[Rider Fee]]</f>
        <v>-50</v>
      </c>
      <c r="AR252" s="23">
        <f t="shared" si="24"/>
        <v>122</v>
      </c>
      <c r="AS252" s="24">
        <v>0</v>
      </c>
      <c r="AT252" s="24">
        <v>0</v>
      </c>
      <c r="AU252" s="22">
        <v>0</v>
      </c>
      <c r="AV252" s="16">
        <v>0</v>
      </c>
      <c r="AW252" s="14">
        <v>299982</v>
      </c>
      <c r="AX252" s="15">
        <v>0</v>
      </c>
      <c r="AY252" s="15">
        <v>0</v>
      </c>
      <c r="AZ252" s="14">
        <v>0</v>
      </c>
      <c r="BA252" s="17">
        <v>11999</v>
      </c>
    </row>
    <row r="253" spans="1:53" ht="15" thickBot="1" x14ac:dyDescent="0.35">
      <c r="A253" s="32">
        <f t="shared" si="23"/>
        <v>245</v>
      </c>
      <c r="B253" s="29">
        <f t="shared" si="22"/>
        <v>61.25</v>
      </c>
      <c r="C253" s="29" t="b">
        <f>AND(VaBenefits[[#This Row],[timeFromValuation]]&gt;=ACT,VaBenefits[[#This Row],[Assumed Contract Value ]]&gt;0)</f>
        <v>0</v>
      </c>
      <c r="D253" s="20">
        <v>0</v>
      </c>
      <c r="E253" s="20">
        <v>0</v>
      </c>
      <c r="F253" s="20">
        <v>0</v>
      </c>
      <c r="G253" s="96">
        <f>ROUND($G$8+VaBenefits[[#This Row],[timeFromValuation]],0)</f>
        <v>116</v>
      </c>
      <c r="H253" s="20">
        <f>ROUND($H$8+VaBenefits[[#This Row],[timeFromValuation]],0)</f>
        <v>126</v>
      </c>
      <c r="I253" s="27" t="b">
        <f>VaBenefits[[#This Row],[Withdrawal Taken  ]]&gt;0</f>
        <v>0</v>
      </c>
      <c r="J253" s="41">
        <f>IF(AND(NOT(VaBenefits[[#This Row],[Is Activation]]),VaBenefits[[#This Row],[Assumed Contract Value ]]&gt;0),VaBenefits[[#This Row],[Withdrawal Taken  ]]/VaBenefits[[#This Row],[Assumed Contract Value ]],0)</f>
        <v>0</v>
      </c>
      <c r="K25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3" s="27" t="b">
        <f ca="1">AND(VaBenefits[[#This Row],[Is Activation]],SUMIFS($E$8:$E253,$C$8:$C253,TRUE)&gt;0)</f>
        <v>0</v>
      </c>
      <c r="M25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3" s="32" t="b">
        <f>IF(VaBenefits[[#This Row],[timeFromValuation]]=0,0, MOD(VaBenefits[[#This Row],[timeFromValuation]],1)=0)</f>
        <v>0</v>
      </c>
      <c r="O253" s="7">
        <f>IF(VaBenefits[[#This Row],[Is Anniversary?]]=TRUE,VaBenefits[[#This Row],[Assumed Contract Value ]],0)</f>
        <v>0</v>
      </c>
      <c r="P25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3" s="7" t="b">
        <f>VaBenefits[[#This Row],[Assumed Contract Value ]]&lt;0.1</f>
        <v>1</v>
      </c>
      <c r="R25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3" s="7">
        <f ca="1">IF(AND(VaBenefits[[#This Row],[Is Activation]]=FALSE,VaBenefits[[#This Row],[Is Anniversary?]]=TRUE),OFFSET( VaBenefits[[#This Row],[Income Credit Base]],-1,0)*ICP,0)</f>
        <v>0</v>
      </c>
      <c r="T253" s="5">
        <f>IF(VaBenefits[[#This Row],[Assumed Contract Value ]]&gt;0,VaBenefits[[#This Row],[Income Base]]*MAWA,0)</f>
        <v>0</v>
      </c>
      <c r="U253" s="95">
        <v>63</v>
      </c>
      <c r="V253" s="92">
        <f>1/(1+InterestRate)^VaBenefits[[#This Row],[timeFromValuation]]</f>
        <v>5.0368084155402483E-2</v>
      </c>
      <c r="W253" s="93">
        <f>VaBenefits[[#This Row],[timeFromValuation]]</f>
        <v>61.25</v>
      </c>
      <c r="X253" s="91">
        <f>IF(($G$8+VaBenefits[[#This Row],[timeFromValuation]])&lt;=120,VLOOKUP(G253,Table2[],Qx!L$6,FALSE),0)</f>
        <v>0.6</v>
      </c>
      <c r="Y253" s="91">
        <f>IF(($H$8+VaBenefits[[#This Row],[timeFromValuation]])&lt;=120,VLOOKUP(H253,Table2[],Qx!M$6,FALSE),0)</f>
        <v>0</v>
      </c>
      <c r="Z253" s="91">
        <v>0</v>
      </c>
      <c r="AA253" s="91">
        <v>0</v>
      </c>
      <c r="AB253" s="91">
        <v>0</v>
      </c>
      <c r="AC253" s="91">
        <v>0</v>
      </c>
      <c r="AD253" s="100">
        <f>PV(1.03,20,-VaBenefits[[#This Row],[Protected Income Payment]])</f>
        <v>61.165005234249492</v>
      </c>
      <c r="AE253" s="130">
        <f>IF((AND(VaBenefits[[#This Row],[Is Anniversary?]],VaBenefits[[#This Row],[Assumed Contract Value ]]&lt;75000)),-50,0)</f>
        <v>0</v>
      </c>
      <c r="AF253" s="134">
        <f>VaBenefits[[#This Row],[Assumed Contract Value ]]*-1.15%/4</f>
        <v>0</v>
      </c>
      <c r="AG253" s="129">
        <v>0</v>
      </c>
      <c r="AH253" s="6">
        <f>VaBenefits[[#This Row],[Maintenace Fee]]+VaBenefits[[#This Row],[Separate Account Charge]]+VaBenefits[[#This Row],[Rider Fee]]</f>
        <v>0</v>
      </c>
      <c r="AR253" s="23">
        <f t="shared" si="24"/>
        <v>122.5</v>
      </c>
      <c r="AS253" s="24">
        <v>0</v>
      </c>
      <c r="AT253" s="24">
        <v>0</v>
      </c>
      <c r="AU253" s="22">
        <v>0</v>
      </c>
      <c r="AV253" s="16">
        <v>0</v>
      </c>
      <c r="AW253" s="14">
        <v>299982</v>
      </c>
      <c r="AX253" s="15">
        <v>0</v>
      </c>
      <c r="AY253" s="15">
        <v>0</v>
      </c>
      <c r="AZ253" s="14">
        <v>0</v>
      </c>
      <c r="BA253" s="17">
        <v>11999</v>
      </c>
    </row>
    <row r="254" spans="1:53" ht="15" thickBot="1" x14ac:dyDescent="0.35">
      <c r="A254" s="32">
        <f t="shared" si="23"/>
        <v>246</v>
      </c>
      <c r="B254" s="29">
        <f t="shared" si="22"/>
        <v>61.5</v>
      </c>
      <c r="C254" s="29" t="b">
        <f>AND(VaBenefits[[#This Row],[timeFromValuation]]&gt;=ACT,VaBenefits[[#This Row],[Assumed Contract Value ]]&gt;0)</f>
        <v>0</v>
      </c>
      <c r="D254" s="20">
        <v>0</v>
      </c>
      <c r="E254" s="20">
        <v>0</v>
      </c>
      <c r="F254" s="20">
        <v>0</v>
      </c>
      <c r="G254" s="96">
        <f>ROUND($G$8+VaBenefits[[#This Row],[timeFromValuation]],0)</f>
        <v>117</v>
      </c>
      <c r="H254" s="20">
        <f>ROUND($H$8+VaBenefits[[#This Row],[timeFromValuation]],0)</f>
        <v>127</v>
      </c>
      <c r="I254" s="27" t="b">
        <f>VaBenefits[[#This Row],[Withdrawal Taken  ]]&gt;0</f>
        <v>0</v>
      </c>
      <c r="J254" s="41">
        <f>IF(AND(NOT(VaBenefits[[#This Row],[Is Activation]]),VaBenefits[[#This Row],[Assumed Contract Value ]]&gt;0),VaBenefits[[#This Row],[Withdrawal Taken  ]]/VaBenefits[[#This Row],[Assumed Contract Value ]],0)</f>
        <v>0</v>
      </c>
      <c r="K25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4" s="27" t="b">
        <f ca="1">AND(VaBenefits[[#This Row],[Is Activation]],SUMIFS($E$8:$E254,$C$8:$C254,TRUE)&gt;0)</f>
        <v>0</v>
      </c>
      <c r="M25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4" s="32" t="b">
        <f>IF(VaBenefits[[#This Row],[timeFromValuation]]=0,0, MOD(VaBenefits[[#This Row],[timeFromValuation]],1)=0)</f>
        <v>0</v>
      </c>
      <c r="O254" s="7">
        <f>IF(VaBenefits[[#This Row],[Is Anniversary?]]=TRUE,VaBenefits[[#This Row],[Assumed Contract Value ]],0)</f>
        <v>0</v>
      </c>
      <c r="P25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4" s="7" t="b">
        <f>VaBenefits[[#This Row],[Assumed Contract Value ]]&lt;0.1</f>
        <v>1</v>
      </c>
      <c r="R25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4" s="7">
        <f ca="1">IF(AND(VaBenefits[[#This Row],[Is Activation]]=FALSE,VaBenefits[[#This Row],[Is Anniversary?]]=TRUE),OFFSET( VaBenefits[[#This Row],[Income Credit Base]],-1,0)*ICP,0)</f>
        <v>0</v>
      </c>
      <c r="T254" s="5">
        <f>IF(VaBenefits[[#This Row],[Assumed Contract Value ]]&gt;0,VaBenefits[[#This Row],[Income Base]]*MAWA,0)</f>
        <v>0</v>
      </c>
      <c r="U254" s="95">
        <v>64</v>
      </c>
      <c r="V254" s="92">
        <f>1/(1+InterestRate)^VaBenefits[[#This Row],[timeFromValuation]]</f>
        <v>4.9757449075753857E-2</v>
      </c>
      <c r="W254" s="93">
        <f>VaBenefits[[#This Row],[timeFromValuation]]</f>
        <v>61.5</v>
      </c>
      <c r="X254" s="91">
        <f>IF(($G$8+VaBenefits[[#This Row],[timeFromValuation]])&lt;=120,VLOOKUP(G254,Table2[],Qx!L$6,FALSE),0)</f>
        <v>0.6</v>
      </c>
      <c r="Y254" s="91">
        <f>IF(($H$8+VaBenefits[[#This Row],[timeFromValuation]])&lt;=120,VLOOKUP(H254,Table2[],Qx!M$6,FALSE),0)</f>
        <v>0</v>
      </c>
      <c r="Z254" s="91">
        <v>0</v>
      </c>
      <c r="AA254" s="91">
        <v>0</v>
      </c>
      <c r="AB254" s="91">
        <v>0</v>
      </c>
      <c r="AC254" s="91">
        <v>0</v>
      </c>
      <c r="AD254" s="100">
        <f>PV(1.03,20,-VaBenefits[[#This Row],[Protected Income Payment]])</f>
        <v>62.135878333205838</v>
      </c>
      <c r="AE254" s="130">
        <f>IF((AND(VaBenefits[[#This Row],[Is Anniversary?]],VaBenefits[[#This Row],[Assumed Contract Value ]]&lt;75000)),-50,0)</f>
        <v>0</v>
      </c>
      <c r="AF254" s="134">
        <f>VaBenefits[[#This Row],[Assumed Contract Value ]]*-1.15%/4</f>
        <v>0</v>
      </c>
      <c r="AG254" s="129">
        <v>0</v>
      </c>
      <c r="AH254" s="6">
        <f>VaBenefits[[#This Row],[Maintenace Fee]]+VaBenefits[[#This Row],[Separate Account Charge]]+VaBenefits[[#This Row],[Rider Fee]]</f>
        <v>0</v>
      </c>
      <c r="AR254" s="23">
        <f t="shared" si="24"/>
        <v>123</v>
      </c>
      <c r="AS254" s="24">
        <v>0</v>
      </c>
      <c r="AT254" s="24">
        <v>0</v>
      </c>
      <c r="AU254" s="22">
        <v>0</v>
      </c>
      <c r="AV254" s="16">
        <v>0</v>
      </c>
      <c r="AW254" s="14">
        <v>299982</v>
      </c>
      <c r="AX254" s="15">
        <v>0</v>
      </c>
      <c r="AY254" s="15">
        <v>0</v>
      </c>
      <c r="AZ254" s="14">
        <v>0</v>
      </c>
      <c r="BA254" s="17">
        <v>11999</v>
      </c>
    </row>
    <row r="255" spans="1:53" ht="15" thickBot="1" x14ac:dyDescent="0.35">
      <c r="A255" s="32">
        <f t="shared" si="23"/>
        <v>247</v>
      </c>
      <c r="B255" s="29">
        <f t="shared" ref="B255:B310" si="25">B254+0.25</f>
        <v>61.75</v>
      </c>
      <c r="C255" s="29" t="b">
        <f>AND(VaBenefits[[#This Row],[timeFromValuation]]&gt;=ACT,VaBenefits[[#This Row],[Assumed Contract Value ]]&gt;0)</f>
        <v>0</v>
      </c>
      <c r="D255" s="20">
        <v>0</v>
      </c>
      <c r="E255" s="20">
        <v>0</v>
      </c>
      <c r="F255" s="20">
        <v>0</v>
      </c>
      <c r="G255" s="96">
        <f>ROUND($G$8+VaBenefits[[#This Row],[timeFromValuation]],0)</f>
        <v>117</v>
      </c>
      <c r="H255" s="20">
        <f>ROUND($H$8+VaBenefits[[#This Row],[timeFromValuation]],0)</f>
        <v>127</v>
      </c>
      <c r="I255" s="27" t="b">
        <f>VaBenefits[[#This Row],[Withdrawal Taken  ]]&gt;0</f>
        <v>0</v>
      </c>
      <c r="J255" s="41">
        <f>IF(AND(NOT(VaBenefits[[#This Row],[Is Activation]]),VaBenefits[[#This Row],[Assumed Contract Value ]]&gt;0),VaBenefits[[#This Row],[Withdrawal Taken  ]]/VaBenefits[[#This Row],[Assumed Contract Value ]],0)</f>
        <v>0</v>
      </c>
      <c r="K25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5" s="27" t="b">
        <f ca="1">AND(VaBenefits[[#This Row],[Is Activation]],SUMIFS($E$8:$E255,$C$8:$C255,TRUE)&gt;0)</f>
        <v>0</v>
      </c>
      <c r="M25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5" s="32" t="b">
        <f>IF(VaBenefits[[#This Row],[timeFromValuation]]=0,0, MOD(VaBenefits[[#This Row],[timeFromValuation]],1)=0)</f>
        <v>0</v>
      </c>
      <c r="O255" s="7">
        <f>IF(VaBenefits[[#This Row],[Is Anniversary?]]=TRUE,VaBenefits[[#This Row],[Assumed Contract Value ]],0)</f>
        <v>0</v>
      </c>
      <c r="P25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5" s="7" t="b">
        <f>VaBenefits[[#This Row],[Assumed Contract Value ]]&lt;0.1</f>
        <v>1</v>
      </c>
      <c r="R25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5" s="7">
        <f ca="1">IF(AND(VaBenefits[[#This Row],[Is Activation]]=FALSE,VaBenefits[[#This Row],[Is Anniversary?]]=TRUE),OFFSET( VaBenefits[[#This Row],[Income Credit Base]],-1,0)*ICP,0)</f>
        <v>0</v>
      </c>
      <c r="T255" s="5">
        <f>IF(VaBenefits[[#This Row],[Assumed Contract Value ]]&gt;0,VaBenefits[[#This Row],[Income Base]]*MAWA,0)</f>
        <v>0</v>
      </c>
      <c r="U255" s="95">
        <v>65</v>
      </c>
      <c r="V255" s="92">
        <f>1/(1+InterestRate)^VaBenefits[[#This Row],[timeFromValuation]]</f>
        <v>4.915421700153514E-2</v>
      </c>
      <c r="W255" s="93">
        <f>VaBenefits[[#This Row],[timeFromValuation]]</f>
        <v>61.75</v>
      </c>
      <c r="X255" s="91">
        <f>IF(($G$8+VaBenefits[[#This Row],[timeFromValuation]])&lt;=120,VLOOKUP(G255,Table2[],Qx!L$6,FALSE),0)</f>
        <v>0.6</v>
      </c>
      <c r="Y255" s="91">
        <f>IF(($H$8+VaBenefits[[#This Row],[timeFromValuation]])&lt;=120,VLOOKUP(H255,Table2[],Qx!M$6,FALSE),0)</f>
        <v>0</v>
      </c>
      <c r="Z255" s="91">
        <v>0</v>
      </c>
      <c r="AA255" s="91">
        <v>0</v>
      </c>
      <c r="AB255" s="91">
        <v>0</v>
      </c>
      <c r="AC255" s="91">
        <v>0</v>
      </c>
      <c r="AD255" s="100">
        <f>PV(1.03,20,-VaBenefits[[#This Row],[Protected Income Payment]])</f>
        <v>63.106751432162177</v>
      </c>
      <c r="AE255" s="130">
        <f>IF((AND(VaBenefits[[#This Row],[Is Anniversary?]],VaBenefits[[#This Row],[Assumed Contract Value ]]&lt;75000)),-50,0)</f>
        <v>0</v>
      </c>
      <c r="AF255" s="134">
        <f>VaBenefits[[#This Row],[Assumed Contract Value ]]*-1.15%/4</f>
        <v>0</v>
      </c>
      <c r="AG255" s="129">
        <v>0</v>
      </c>
      <c r="AH255" s="6">
        <f>VaBenefits[[#This Row],[Maintenace Fee]]+VaBenefits[[#This Row],[Separate Account Charge]]+VaBenefits[[#This Row],[Rider Fee]]</f>
        <v>0</v>
      </c>
      <c r="AR255" s="23">
        <f t="shared" si="24"/>
        <v>123.5</v>
      </c>
      <c r="AS255" s="24">
        <v>0</v>
      </c>
      <c r="AT255" s="24">
        <v>0</v>
      </c>
      <c r="AU255" s="22">
        <v>0</v>
      </c>
      <c r="AV255" s="16">
        <v>0</v>
      </c>
      <c r="AW255" s="14">
        <v>299982</v>
      </c>
      <c r="AX255" s="15">
        <v>0</v>
      </c>
      <c r="AY255" s="15">
        <v>0</v>
      </c>
      <c r="AZ255" s="14">
        <v>0</v>
      </c>
      <c r="BA255" s="17">
        <v>11999</v>
      </c>
    </row>
    <row r="256" spans="1:53" ht="15" thickBot="1" x14ac:dyDescent="0.35">
      <c r="A256" s="32">
        <f t="shared" si="23"/>
        <v>248</v>
      </c>
      <c r="B256" s="29">
        <f t="shared" si="25"/>
        <v>62</v>
      </c>
      <c r="C256" s="29" t="b">
        <f>AND(VaBenefits[[#This Row],[timeFromValuation]]&gt;=ACT,VaBenefits[[#This Row],[Assumed Contract Value ]]&gt;0)</f>
        <v>0</v>
      </c>
      <c r="D256" s="20">
        <v>0</v>
      </c>
      <c r="E256" s="20">
        <v>0</v>
      </c>
      <c r="F256" s="20">
        <v>0</v>
      </c>
      <c r="G256" s="96">
        <f>ROUND($G$8+VaBenefits[[#This Row],[timeFromValuation]],0)</f>
        <v>117</v>
      </c>
      <c r="H256" s="20">
        <f>ROUND($H$8+VaBenefits[[#This Row],[timeFromValuation]],0)</f>
        <v>127</v>
      </c>
      <c r="I256" s="27" t="b">
        <f>VaBenefits[[#This Row],[Withdrawal Taken  ]]&gt;0</f>
        <v>0</v>
      </c>
      <c r="J256" s="41">
        <f>IF(AND(NOT(VaBenefits[[#This Row],[Is Activation]]),VaBenefits[[#This Row],[Assumed Contract Value ]]&gt;0),VaBenefits[[#This Row],[Withdrawal Taken  ]]/VaBenefits[[#This Row],[Assumed Contract Value ]],0)</f>
        <v>0</v>
      </c>
      <c r="K25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6" s="27" t="b">
        <f ca="1">AND(VaBenefits[[#This Row],[Is Activation]],SUMIFS($E$8:$E256,$C$8:$C256,TRUE)&gt;0)</f>
        <v>0</v>
      </c>
      <c r="M25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6" s="32" t="b">
        <f>IF(VaBenefits[[#This Row],[timeFromValuation]]=0,0, MOD(VaBenefits[[#This Row],[timeFromValuation]],1)=0)</f>
        <v>1</v>
      </c>
      <c r="O256" s="7">
        <f>IF(VaBenefits[[#This Row],[Is Anniversary?]]=TRUE,VaBenefits[[#This Row],[Assumed Contract Value ]],0)</f>
        <v>0</v>
      </c>
      <c r="P25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6" s="7" t="b">
        <f>VaBenefits[[#This Row],[Assumed Contract Value ]]&lt;0.1</f>
        <v>1</v>
      </c>
      <c r="R25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6" s="7">
        <f ca="1">IF(AND(VaBenefits[[#This Row],[Is Activation]]=FALSE,VaBenefits[[#This Row],[Is Anniversary?]]=TRUE),OFFSET( VaBenefits[[#This Row],[Income Credit Base]],-1,0)*ICP,0)</f>
        <v>0</v>
      </c>
      <c r="T256" s="5">
        <f>IF(VaBenefits[[#This Row],[Assumed Contract Value ]]&gt;0,VaBenefits[[#This Row],[Income Base]]*MAWA,0)</f>
        <v>0</v>
      </c>
      <c r="U256" s="95">
        <v>66</v>
      </c>
      <c r="V256" s="92">
        <f>1/(1+InterestRate)^VaBenefits[[#This Row],[timeFromValuation]]</f>
        <v>4.855829818276123E-2</v>
      </c>
      <c r="W256" s="93">
        <f>VaBenefits[[#This Row],[timeFromValuation]]</f>
        <v>62</v>
      </c>
      <c r="X256" s="91">
        <f>IF(($G$8+VaBenefits[[#This Row],[timeFromValuation]])&lt;=120,VLOOKUP(G256,Table2[],Qx!L$6,FALSE),0)</f>
        <v>0.6</v>
      </c>
      <c r="Y256" s="91">
        <f>IF(($H$8+VaBenefits[[#This Row],[timeFromValuation]])&lt;=120,VLOOKUP(H256,Table2[],Qx!M$6,FALSE),0)</f>
        <v>0</v>
      </c>
      <c r="Z256" s="91">
        <v>0</v>
      </c>
      <c r="AA256" s="91">
        <v>0</v>
      </c>
      <c r="AB256" s="91">
        <v>0</v>
      </c>
      <c r="AC256" s="91">
        <v>0</v>
      </c>
      <c r="AD256" s="100">
        <f>PV(1.03,20,-VaBenefits[[#This Row],[Protected Income Payment]])</f>
        <v>64.077624531118516</v>
      </c>
      <c r="AE256" s="130">
        <f>IF((AND(VaBenefits[[#This Row],[Is Anniversary?]],VaBenefits[[#This Row],[Assumed Contract Value ]]&lt;75000)),-50,0)</f>
        <v>-50</v>
      </c>
      <c r="AF256" s="134">
        <f>VaBenefits[[#This Row],[Assumed Contract Value ]]*-1.15%/4</f>
        <v>0</v>
      </c>
      <c r="AG256" s="129">
        <v>0</v>
      </c>
      <c r="AH256" s="6">
        <f>VaBenefits[[#This Row],[Maintenace Fee]]+VaBenefits[[#This Row],[Separate Account Charge]]+VaBenefits[[#This Row],[Rider Fee]]</f>
        <v>-50</v>
      </c>
      <c r="AR256" s="23">
        <f t="shared" si="24"/>
        <v>124</v>
      </c>
      <c r="AS256" s="24">
        <v>0</v>
      </c>
      <c r="AT256" s="24">
        <v>0</v>
      </c>
      <c r="AU256" s="22">
        <v>0</v>
      </c>
      <c r="AV256" s="16">
        <v>0</v>
      </c>
      <c r="AW256" s="14">
        <v>299982</v>
      </c>
      <c r="AX256" s="15">
        <v>0</v>
      </c>
      <c r="AY256" s="15">
        <v>0</v>
      </c>
      <c r="AZ256" s="14">
        <v>0</v>
      </c>
      <c r="BA256" s="17">
        <v>11999</v>
      </c>
    </row>
    <row r="257" spans="1:53" ht="15" thickBot="1" x14ac:dyDescent="0.35">
      <c r="A257" s="32">
        <f t="shared" si="23"/>
        <v>249</v>
      </c>
      <c r="B257" s="29">
        <f t="shared" si="25"/>
        <v>62.25</v>
      </c>
      <c r="C257" s="29" t="b">
        <f>AND(VaBenefits[[#This Row],[timeFromValuation]]&gt;=ACT,VaBenefits[[#This Row],[Assumed Contract Value ]]&gt;0)</f>
        <v>0</v>
      </c>
      <c r="D257" s="20">
        <v>0</v>
      </c>
      <c r="E257" s="20">
        <v>0</v>
      </c>
      <c r="F257" s="20">
        <v>0</v>
      </c>
      <c r="G257" s="96">
        <f>ROUND($G$8+VaBenefits[[#This Row],[timeFromValuation]],0)</f>
        <v>117</v>
      </c>
      <c r="H257" s="20">
        <f>ROUND($H$8+VaBenefits[[#This Row],[timeFromValuation]],0)</f>
        <v>127</v>
      </c>
      <c r="I257" s="27" t="b">
        <f>VaBenefits[[#This Row],[Withdrawal Taken  ]]&gt;0</f>
        <v>0</v>
      </c>
      <c r="J257" s="41">
        <f>IF(AND(NOT(VaBenefits[[#This Row],[Is Activation]]),VaBenefits[[#This Row],[Assumed Contract Value ]]&gt;0),VaBenefits[[#This Row],[Withdrawal Taken  ]]/VaBenefits[[#This Row],[Assumed Contract Value ]],0)</f>
        <v>0</v>
      </c>
      <c r="K25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7" s="27" t="b">
        <f ca="1">AND(VaBenefits[[#This Row],[Is Activation]],SUMIFS($E$8:$E257,$C$8:$C257,TRUE)&gt;0)</f>
        <v>0</v>
      </c>
      <c r="M25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7" s="32" t="b">
        <f>IF(VaBenefits[[#This Row],[timeFromValuation]]=0,0, MOD(VaBenefits[[#This Row],[timeFromValuation]],1)=0)</f>
        <v>0</v>
      </c>
      <c r="O257" s="7">
        <f>IF(VaBenefits[[#This Row],[Is Anniversary?]]=TRUE,VaBenefits[[#This Row],[Assumed Contract Value ]],0)</f>
        <v>0</v>
      </c>
      <c r="P25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7" s="7" t="b">
        <f>VaBenefits[[#This Row],[Assumed Contract Value ]]&lt;0.1</f>
        <v>1</v>
      </c>
      <c r="R25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7" s="7">
        <f ca="1">IF(AND(VaBenefits[[#This Row],[Is Activation]]=FALSE,VaBenefits[[#This Row],[Is Anniversary?]]=TRUE),OFFSET( VaBenefits[[#This Row],[Income Credit Base]],-1,0)*ICP,0)</f>
        <v>0</v>
      </c>
      <c r="T257" s="5">
        <f>IF(VaBenefits[[#This Row],[Assumed Contract Value ]]&gt;0,VaBenefits[[#This Row],[Income Base]]*MAWA,0)</f>
        <v>0</v>
      </c>
      <c r="U257" s="95">
        <v>67</v>
      </c>
      <c r="V257" s="92">
        <f>1/(1+InterestRate)^VaBenefits[[#This Row],[timeFromValuation]]</f>
        <v>4.7969603957526197E-2</v>
      </c>
      <c r="W257" s="93">
        <f>VaBenefits[[#This Row],[timeFromValuation]]</f>
        <v>62.25</v>
      </c>
      <c r="X257" s="91">
        <f>IF(($G$8+VaBenefits[[#This Row],[timeFromValuation]])&lt;=120,VLOOKUP(G257,Table2[],Qx!L$6,FALSE),0)</f>
        <v>0.6</v>
      </c>
      <c r="Y257" s="91">
        <f>IF(($H$8+VaBenefits[[#This Row],[timeFromValuation]])&lt;=120,VLOOKUP(H257,Table2[],Qx!M$6,FALSE),0)</f>
        <v>0</v>
      </c>
      <c r="Z257" s="91">
        <v>0</v>
      </c>
      <c r="AA257" s="91">
        <v>0</v>
      </c>
      <c r="AB257" s="91">
        <v>0</v>
      </c>
      <c r="AC257" s="91">
        <v>0</v>
      </c>
      <c r="AD257" s="100">
        <f>PV(1.03,20,-VaBenefits[[#This Row],[Protected Income Payment]])</f>
        <v>65.048497630074863</v>
      </c>
      <c r="AE257" s="130">
        <f>IF((AND(VaBenefits[[#This Row],[Is Anniversary?]],VaBenefits[[#This Row],[Assumed Contract Value ]]&lt;75000)),-50,0)</f>
        <v>0</v>
      </c>
      <c r="AF257" s="134">
        <f>VaBenefits[[#This Row],[Assumed Contract Value ]]*-1.15%/4</f>
        <v>0</v>
      </c>
      <c r="AG257" s="129">
        <v>0</v>
      </c>
      <c r="AH257" s="6">
        <f>VaBenefits[[#This Row],[Maintenace Fee]]+VaBenefits[[#This Row],[Separate Account Charge]]+VaBenefits[[#This Row],[Rider Fee]]</f>
        <v>0</v>
      </c>
      <c r="AR257" s="23">
        <f t="shared" si="24"/>
        <v>124.5</v>
      </c>
      <c r="AS257" s="24">
        <v>0</v>
      </c>
      <c r="AT257" s="24">
        <v>0</v>
      </c>
      <c r="AU257" s="22">
        <v>0</v>
      </c>
      <c r="AV257" s="16">
        <v>0</v>
      </c>
      <c r="AW257" s="14">
        <v>299982</v>
      </c>
      <c r="AX257" s="15">
        <v>0</v>
      </c>
      <c r="AY257" s="15">
        <v>0</v>
      </c>
      <c r="AZ257" s="14">
        <v>0</v>
      </c>
      <c r="BA257" s="17">
        <v>11999</v>
      </c>
    </row>
    <row r="258" spans="1:53" ht="15" thickBot="1" x14ac:dyDescent="0.35">
      <c r="A258" s="32">
        <f t="shared" si="23"/>
        <v>250</v>
      </c>
      <c r="B258" s="29">
        <f t="shared" si="25"/>
        <v>62.5</v>
      </c>
      <c r="C258" s="29" t="b">
        <f>AND(VaBenefits[[#This Row],[timeFromValuation]]&gt;=ACT,VaBenefits[[#This Row],[Assumed Contract Value ]]&gt;0)</f>
        <v>0</v>
      </c>
      <c r="D258" s="20">
        <v>0</v>
      </c>
      <c r="E258" s="20">
        <v>0</v>
      </c>
      <c r="F258" s="20">
        <v>0</v>
      </c>
      <c r="G258" s="96">
        <f>ROUND($G$8+VaBenefits[[#This Row],[timeFromValuation]],0)</f>
        <v>118</v>
      </c>
      <c r="H258" s="20">
        <f>ROUND($H$8+VaBenefits[[#This Row],[timeFromValuation]],0)</f>
        <v>128</v>
      </c>
      <c r="I258" s="27" t="b">
        <f>VaBenefits[[#This Row],[Withdrawal Taken  ]]&gt;0</f>
        <v>0</v>
      </c>
      <c r="J258" s="41">
        <f>IF(AND(NOT(VaBenefits[[#This Row],[Is Activation]]),VaBenefits[[#This Row],[Assumed Contract Value ]]&gt;0),VaBenefits[[#This Row],[Withdrawal Taken  ]]/VaBenefits[[#This Row],[Assumed Contract Value ]],0)</f>
        <v>0</v>
      </c>
      <c r="K25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8" s="27" t="b">
        <f ca="1">AND(VaBenefits[[#This Row],[Is Activation]],SUMIFS($E$8:$E258,$C$8:$C258,TRUE)&gt;0)</f>
        <v>0</v>
      </c>
      <c r="M25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8" s="32" t="b">
        <f>IF(VaBenefits[[#This Row],[timeFromValuation]]=0,0, MOD(VaBenefits[[#This Row],[timeFromValuation]],1)=0)</f>
        <v>0</v>
      </c>
      <c r="O258" s="7">
        <f>IF(VaBenefits[[#This Row],[Is Anniversary?]]=TRUE,VaBenefits[[#This Row],[Assumed Contract Value ]],0)</f>
        <v>0</v>
      </c>
      <c r="P25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8" s="7" t="b">
        <f>VaBenefits[[#This Row],[Assumed Contract Value ]]&lt;0.1</f>
        <v>1</v>
      </c>
      <c r="R25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8" s="7">
        <f ca="1">IF(AND(VaBenefits[[#This Row],[Is Activation]]=FALSE,VaBenefits[[#This Row],[Is Anniversary?]]=TRUE),OFFSET( VaBenefits[[#This Row],[Income Credit Base]],-1,0)*ICP,0)</f>
        <v>0</v>
      </c>
      <c r="T258" s="5">
        <f>IF(VaBenefits[[#This Row],[Assumed Contract Value ]]&gt;0,VaBenefits[[#This Row],[Income Base]]*MAWA,0)</f>
        <v>0</v>
      </c>
      <c r="U258" s="95">
        <v>68</v>
      </c>
      <c r="V258" s="92">
        <f>1/(1+InterestRate)^VaBenefits[[#This Row],[timeFromValuation]]</f>
        <v>4.7388046738813201E-2</v>
      </c>
      <c r="W258" s="93">
        <f>VaBenefits[[#This Row],[timeFromValuation]]</f>
        <v>62.5</v>
      </c>
      <c r="X258" s="91">
        <f>IF(($G$8+VaBenefits[[#This Row],[timeFromValuation]])&lt;=120,VLOOKUP(G258,Table2[],Qx!L$6,FALSE),0)</f>
        <v>0.6</v>
      </c>
      <c r="Y258" s="91">
        <f>IF(($H$8+VaBenefits[[#This Row],[timeFromValuation]])&lt;=120,VLOOKUP(H258,Table2[],Qx!M$6,FALSE),0)</f>
        <v>0</v>
      </c>
      <c r="Z258" s="91">
        <v>0</v>
      </c>
      <c r="AA258" s="91">
        <v>0</v>
      </c>
      <c r="AB258" s="91">
        <v>0</v>
      </c>
      <c r="AC258" s="91">
        <v>0</v>
      </c>
      <c r="AD258" s="100">
        <f>PV(1.03,20,-VaBenefits[[#This Row],[Protected Income Payment]])</f>
        <v>66.019370729031209</v>
      </c>
      <c r="AE258" s="130">
        <f>IF((AND(VaBenefits[[#This Row],[Is Anniversary?]],VaBenefits[[#This Row],[Assumed Contract Value ]]&lt;75000)),-50,0)</f>
        <v>0</v>
      </c>
      <c r="AF258" s="134">
        <f>VaBenefits[[#This Row],[Assumed Contract Value ]]*-1.15%/4</f>
        <v>0</v>
      </c>
      <c r="AG258" s="129">
        <v>0</v>
      </c>
      <c r="AH258" s="6">
        <f>VaBenefits[[#This Row],[Maintenace Fee]]+VaBenefits[[#This Row],[Separate Account Charge]]+VaBenefits[[#This Row],[Rider Fee]]</f>
        <v>0</v>
      </c>
      <c r="AR258" s="23">
        <f t="shared" si="24"/>
        <v>125</v>
      </c>
      <c r="AS258" s="24">
        <v>0</v>
      </c>
      <c r="AT258" s="24">
        <v>0</v>
      </c>
      <c r="AU258" s="22">
        <v>0</v>
      </c>
      <c r="AV258" s="16">
        <v>0</v>
      </c>
      <c r="AW258" s="14">
        <v>299982</v>
      </c>
      <c r="AX258" s="15">
        <v>0</v>
      </c>
      <c r="AY258" s="15">
        <v>0</v>
      </c>
      <c r="AZ258" s="14">
        <v>0</v>
      </c>
      <c r="BA258" s="17">
        <v>11999</v>
      </c>
    </row>
    <row r="259" spans="1:53" ht="15" thickBot="1" x14ac:dyDescent="0.35">
      <c r="A259" s="32">
        <f t="shared" si="23"/>
        <v>251</v>
      </c>
      <c r="B259" s="29">
        <f t="shared" si="25"/>
        <v>62.75</v>
      </c>
      <c r="C259" s="29" t="b">
        <f>AND(VaBenefits[[#This Row],[timeFromValuation]]&gt;=ACT,VaBenefits[[#This Row],[Assumed Contract Value ]]&gt;0)</f>
        <v>0</v>
      </c>
      <c r="D259" s="20">
        <v>0</v>
      </c>
      <c r="E259" s="20">
        <v>0</v>
      </c>
      <c r="F259" s="20">
        <v>0</v>
      </c>
      <c r="G259" s="96">
        <f>ROUND($G$8+VaBenefits[[#This Row],[timeFromValuation]],0)</f>
        <v>118</v>
      </c>
      <c r="H259" s="20">
        <f>ROUND($H$8+VaBenefits[[#This Row],[timeFromValuation]],0)</f>
        <v>128</v>
      </c>
      <c r="I259" s="27" t="b">
        <f>VaBenefits[[#This Row],[Withdrawal Taken  ]]&gt;0</f>
        <v>0</v>
      </c>
      <c r="J259" s="41">
        <f>IF(AND(NOT(VaBenefits[[#This Row],[Is Activation]]),VaBenefits[[#This Row],[Assumed Contract Value ]]&gt;0),VaBenefits[[#This Row],[Withdrawal Taken  ]]/VaBenefits[[#This Row],[Assumed Contract Value ]],0)</f>
        <v>0</v>
      </c>
      <c r="K25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9" s="27" t="b">
        <f ca="1">AND(VaBenefits[[#This Row],[Is Activation]],SUMIFS($E$8:$E259,$C$8:$C259,TRUE)&gt;0)</f>
        <v>0</v>
      </c>
      <c r="M25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9" s="32" t="b">
        <f>IF(VaBenefits[[#This Row],[timeFromValuation]]=0,0, MOD(VaBenefits[[#This Row],[timeFromValuation]],1)=0)</f>
        <v>0</v>
      </c>
      <c r="O259" s="7">
        <f>IF(VaBenefits[[#This Row],[Is Anniversary?]]=TRUE,VaBenefits[[#This Row],[Assumed Contract Value ]],0)</f>
        <v>0</v>
      </c>
      <c r="P25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9" s="7" t="b">
        <f>VaBenefits[[#This Row],[Assumed Contract Value ]]&lt;0.1</f>
        <v>1</v>
      </c>
      <c r="R25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9" s="7">
        <f ca="1">IF(AND(VaBenefits[[#This Row],[Is Activation]]=FALSE,VaBenefits[[#This Row],[Is Anniversary?]]=TRUE),OFFSET( VaBenefits[[#This Row],[Income Credit Base]],-1,0)*ICP,0)</f>
        <v>0</v>
      </c>
      <c r="T259" s="5">
        <f>IF(VaBenefits[[#This Row],[Assumed Contract Value ]]&gt;0,VaBenefits[[#This Row],[Income Base]]*MAWA,0)</f>
        <v>0</v>
      </c>
      <c r="U259" s="95">
        <v>69</v>
      </c>
      <c r="V259" s="92">
        <f>1/(1+InterestRate)^VaBenefits[[#This Row],[timeFromValuation]]</f>
        <v>4.6813540001462053E-2</v>
      </c>
      <c r="W259" s="93">
        <f>VaBenefits[[#This Row],[timeFromValuation]]</f>
        <v>62.75</v>
      </c>
      <c r="X259" s="91">
        <f>IF(($G$8+VaBenefits[[#This Row],[timeFromValuation]])&lt;=120,VLOOKUP(G259,Table2[],Qx!L$6,FALSE),0)</f>
        <v>0.6</v>
      </c>
      <c r="Y259" s="91">
        <f>IF(($H$8+VaBenefits[[#This Row],[timeFromValuation]])&lt;=120,VLOOKUP(H259,Table2[],Qx!M$6,FALSE),0)</f>
        <v>0</v>
      </c>
      <c r="Z259" s="91">
        <v>0</v>
      </c>
      <c r="AA259" s="91">
        <v>0</v>
      </c>
      <c r="AB259" s="91">
        <v>0</v>
      </c>
      <c r="AC259" s="91">
        <v>0</v>
      </c>
      <c r="AD259" s="100">
        <f>PV(1.03,20,-VaBenefits[[#This Row],[Protected Income Payment]])</f>
        <v>66.990243827987541</v>
      </c>
      <c r="AE259" s="130">
        <f>IF((AND(VaBenefits[[#This Row],[Is Anniversary?]],VaBenefits[[#This Row],[Assumed Contract Value ]]&lt;75000)),-50,0)</f>
        <v>0</v>
      </c>
      <c r="AF259" s="134">
        <f>VaBenefits[[#This Row],[Assumed Contract Value ]]*-1.15%/4</f>
        <v>0</v>
      </c>
      <c r="AG259" s="129">
        <v>0</v>
      </c>
      <c r="AH259" s="6">
        <f>VaBenefits[[#This Row],[Maintenace Fee]]+VaBenefits[[#This Row],[Separate Account Charge]]+VaBenefits[[#This Row],[Rider Fee]]</f>
        <v>0</v>
      </c>
      <c r="AR259" s="23">
        <f t="shared" si="24"/>
        <v>125.5</v>
      </c>
      <c r="AS259" s="24">
        <v>0</v>
      </c>
      <c r="AT259" s="24">
        <v>0</v>
      </c>
      <c r="AU259" s="22">
        <v>0</v>
      </c>
      <c r="AV259" s="16">
        <v>0</v>
      </c>
      <c r="AW259" s="14">
        <v>299982</v>
      </c>
      <c r="AX259" s="15">
        <v>0</v>
      </c>
      <c r="AY259" s="15">
        <v>0</v>
      </c>
      <c r="AZ259" s="14">
        <v>0</v>
      </c>
      <c r="BA259" s="17">
        <v>11999</v>
      </c>
    </row>
    <row r="260" spans="1:53" ht="15" thickBot="1" x14ac:dyDescent="0.35">
      <c r="A260" s="32">
        <f t="shared" si="23"/>
        <v>252</v>
      </c>
      <c r="B260" s="29">
        <f t="shared" si="25"/>
        <v>63</v>
      </c>
      <c r="C260" s="29" t="b">
        <f>AND(VaBenefits[[#This Row],[timeFromValuation]]&gt;=ACT,VaBenefits[[#This Row],[Assumed Contract Value ]]&gt;0)</f>
        <v>0</v>
      </c>
      <c r="D260" s="20">
        <v>0</v>
      </c>
      <c r="E260" s="20">
        <v>0</v>
      </c>
      <c r="F260" s="20">
        <v>0</v>
      </c>
      <c r="G260" s="96">
        <f>ROUND($G$8+VaBenefits[[#This Row],[timeFromValuation]],0)</f>
        <v>118</v>
      </c>
      <c r="H260" s="20">
        <f>ROUND($H$8+VaBenefits[[#This Row],[timeFromValuation]],0)</f>
        <v>128</v>
      </c>
      <c r="I260" s="27" t="b">
        <f>VaBenefits[[#This Row],[Withdrawal Taken  ]]&gt;0</f>
        <v>0</v>
      </c>
      <c r="J260" s="41">
        <f>IF(AND(NOT(VaBenefits[[#This Row],[Is Activation]]),VaBenefits[[#This Row],[Assumed Contract Value ]]&gt;0),VaBenefits[[#This Row],[Withdrawal Taken  ]]/VaBenefits[[#This Row],[Assumed Contract Value ]],0)</f>
        <v>0</v>
      </c>
      <c r="K26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0" s="27" t="b">
        <f ca="1">AND(VaBenefits[[#This Row],[Is Activation]],SUMIFS($E$8:$E260,$C$8:$C260,TRUE)&gt;0)</f>
        <v>0</v>
      </c>
      <c r="M26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0" s="32" t="b">
        <f>IF(VaBenefits[[#This Row],[timeFromValuation]]=0,0, MOD(VaBenefits[[#This Row],[timeFromValuation]],1)=0)</f>
        <v>1</v>
      </c>
      <c r="O260" s="7">
        <f>IF(VaBenefits[[#This Row],[Is Anniversary?]]=TRUE,VaBenefits[[#This Row],[Assumed Contract Value ]],0)</f>
        <v>0</v>
      </c>
      <c r="P26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0" s="7" t="b">
        <f>VaBenefits[[#This Row],[Assumed Contract Value ]]&lt;0.1</f>
        <v>1</v>
      </c>
      <c r="R26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0" s="7">
        <f ca="1">IF(AND(VaBenefits[[#This Row],[Is Activation]]=FALSE,VaBenefits[[#This Row],[Is Anniversary?]]=TRUE),OFFSET( VaBenefits[[#This Row],[Income Credit Base]],-1,0)*ICP,0)</f>
        <v>0</v>
      </c>
      <c r="T260" s="5">
        <f>IF(VaBenefits[[#This Row],[Assumed Contract Value ]]&gt;0,VaBenefits[[#This Row],[Income Base]]*MAWA,0)</f>
        <v>0</v>
      </c>
      <c r="U260" s="95">
        <v>70</v>
      </c>
      <c r="V260" s="92">
        <f>1/(1+InterestRate)^VaBenefits[[#This Row],[timeFromValuation]]</f>
        <v>4.6245998269296387E-2</v>
      </c>
      <c r="W260" s="93">
        <f>VaBenefits[[#This Row],[timeFromValuation]]</f>
        <v>63</v>
      </c>
      <c r="X260" s="91">
        <f>IF(($G$8+VaBenefits[[#This Row],[timeFromValuation]])&lt;=120,VLOOKUP(G260,Table2[],Qx!L$6,FALSE),0)</f>
        <v>0.6</v>
      </c>
      <c r="Y260" s="91">
        <f>IF(($H$8+VaBenefits[[#This Row],[timeFromValuation]])&lt;=120,VLOOKUP(H260,Table2[],Qx!M$6,FALSE),0)</f>
        <v>0</v>
      </c>
      <c r="Z260" s="91">
        <v>0</v>
      </c>
      <c r="AA260" s="91">
        <v>0</v>
      </c>
      <c r="AB260" s="91">
        <v>0</v>
      </c>
      <c r="AC260" s="91">
        <v>0</v>
      </c>
      <c r="AD260" s="100">
        <f>PV(1.03,20,-VaBenefits[[#This Row],[Protected Income Payment]])</f>
        <v>67.961116926943888</v>
      </c>
      <c r="AE260" s="130">
        <f>IF((AND(VaBenefits[[#This Row],[Is Anniversary?]],VaBenefits[[#This Row],[Assumed Contract Value ]]&lt;75000)),-50,0)</f>
        <v>-50</v>
      </c>
      <c r="AF260" s="134">
        <f>VaBenefits[[#This Row],[Assumed Contract Value ]]*-1.15%/4</f>
        <v>0</v>
      </c>
      <c r="AG260" s="129">
        <v>0</v>
      </c>
      <c r="AH260" s="6">
        <f>VaBenefits[[#This Row],[Maintenace Fee]]+VaBenefits[[#This Row],[Separate Account Charge]]+VaBenefits[[#This Row],[Rider Fee]]</f>
        <v>-50</v>
      </c>
      <c r="AR260" s="23">
        <f t="shared" si="24"/>
        <v>126</v>
      </c>
      <c r="AS260" s="24">
        <v>0</v>
      </c>
      <c r="AT260" s="24">
        <v>0</v>
      </c>
      <c r="AU260" s="22">
        <v>0</v>
      </c>
      <c r="AV260" s="16">
        <v>0</v>
      </c>
      <c r="AW260" s="14">
        <v>299982</v>
      </c>
      <c r="AX260" s="15">
        <v>0</v>
      </c>
      <c r="AY260" s="15">
        <v>0</v>
      </c>
      <c r="AZ260" s="14">
        <v>0</v>
      </c>
      <c r="BA260" s="17">
        <v>11999</v>
      </c>
    </row>
    <row r="261" spans="1:53" ht="15" thickBot="1" x14ac:dyDescent="0.35">
      <c r="A261" s="32">
        <f t="shared" si="23"/>
        <v>253</v>
      </c>
      <c r="B261" s="29">
        <f t="shared" si="25"/>
        <v>63.25</v>
      </c>
      <c r="C261" s="29" t="b">
        <f>AND(VaBenefits[[#This Row],[timeFromValuation]]&gt;=ACT,VaBenefits[[#This Row],[Assumed Contract Value ]]&gt;0)</f>
        <v>0</v>
      </c>
      <c r="D261" s="20">
        <v>0</v>
      </c>
      <c r="E261" s="20">
        <v>0</v>
      </c>
      <c r="F261" s="20">
        <v>0</v>
      </c>
      <c r="G261" s="96">
        <f>ROUND($G$8+VaBenefits[[#This Row],[timeFromValuation]],0)</f>
        <v>118</v>
      </c>
      <c r="H261" s="20">
        <f>ROUND($H$8+VaBenefits[[#This Row],[timeFromValuation]],0)</f>
        <v>128</v>
      </c>
      <c r="I261" s="27" t="b">
        <f>VaBenefits[[#This Row],[Withdrawal Taken  ]]&gt;0</f>
        <v>0</v>
      </c>
      <c r="J261" s="41">
        <f>IF(AND(NOT(VaBenefits[[#This Row],[Is Activation]]),VaBenefits[[#This Row],[Assumed Contract Value ]]&gt;0),VaBenefits[[#This Row],[Withdrawal Taken  ]]/VaBenefits[[#This Row],[Assumed Contract Value ]],0)</f>
        <v>0</v>
      </c>
      <c r="K26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1" s="27" t="b">
        <f ca="1">AND(VaBenefits[[#This Row],[Is Activation]],SUMIFS($E$8:$E261,$C$8:$C261,TRUE)&gt;0)</f>
        <v>0</v>
      </c>
      <c r="M26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1" s="32" t="b">
        <f>IF(VaBenefits[[#This Row],[timeFromValuation]]=0,0, MOD(VaBenefits[[#This Row],[timeFromValuation]],1)=0)</f>
        <v>0</v>
      </c>
      <c r="O261" s="7">
        <f>IF(VaBenefits[[#This Row],[Is Anniversary?]]=TRUE,VaBenefits[[#This Row],[Assumed Contract Value ]],0)</f>
        <v>0</v>
      </c>
      <c r="P26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1" s="7" t="b">
        <f>VaBenefits[[#This Row],[Assumed Contract Value ]]&lt;0.1</f>
        <v>1</v>
      </c>
      <c r="R26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1" s="7">
        <f ca="1">IF(AND(VaBenefits[[#This Row],[Is Activation]]=FALSE,VaBenefits[[#This Row],[Is Anniversary?]]=TRUE),OFFSET( VaBenefits[[#This Row],[Income Credit Base]],-1,0)*ICP,0)</f>
        <v>0</v>
      </c>
      <c r="T261" s="5">
        <f>IF(VaBenefits[[#This Row],[Assumed Contract Value ]]&gt;0,VaBenefits[[#This Row],[Income Base]]*MAWA,0)</f>
        <v>0</v>
      </c>
      <c r="U261" s="95">
        <v>71</v>
      </c>
      <c r="V261" s="92">
        <f>1/(1+InterestRate)^VaBenefits[[#This Row],[timeFromValuation]]</f>
        <v>4.5685337102405896E-2</v>
      </c>
      <c r="W261" s="93">
        <f>VaBenefits[[#This Row],[timeFromValuation]]</f>
        <v>63.25</v>
      </c>
      <c r="X261" s="91">
        <f>IF(($G$8+VaBenefits[[#This Row],[timeFromValuation]])&lt;=120,VLOOKUP(G261,Table2[],Qx!L$6,FALSE),0)</f>
        <v>0.6</v>
      </c>
      <c r="Y261" s="91">
        <f>IF(($H$8+VaBenefits[[#This Row],[timeFromValuation]])&lt;=120,VLOOKUP(H261,Table2[],Qx!M$6,FALSE),0)</f>
        <v>0</v>
      </c>
      <c r="Z261" s="91">
        <v>0</v>
      </c>
      <c r="AA261" s="91">
        <v>0</v>
      </c>
      <c r="AB261" s="91">
        <v>0</v>
      </c>
      <c r="AC261" s="91">
        <v>0</v>
      </c>
      <c r="AD261" s="100">
        <f>PV(1.03,20,-VaBenefits[[#This Row],[Protected Income Payment]])</f>
        <v>68.93199002590022</v>
      </c>
      <c r="AE261" s="130">
        <f>IF((AND(VaBenefits[[#This Row],[Is Anniversary?]],VaBenefits[[#This Row],[Assumed Contract Value ]]&lt;75000)),-50,0)</f>
        <v>0</v>
      </c>
      <c r="AF261" s="134">
        <f>VaBenefits[[#This Row],[Assumed Contract Value ]]*-1.15%/4</f>
        <v>0</v>
      </c>
      <c r="AG261" s="129">
        <v>0</v>
      </c>
      <c r="AH261" s="6">
        <f>VaBenefits[[#This Row],[Maintenace Fee]]+VaBenefits[[#This Row],[Separate Account Charge]]+VaBenefits[[#This Row],[Rider Fee]]</f>
        <v>0</v>
      </c>
      <c r="AR261" s="23">
        <f t="shared" si="24"/>
        <v>126.5</v>
      </c>
      <c r="AS261" s="24">
        <v>0</v>
      </c>
      <c r="AT261" s="24">
        <v>0</v>
      </c>
      <c r="AU261" s="22">
        <v>0</v>
      </c>
      <c r="AV261" s="16">
        <v>0</v>
      </c>
      <c r="AW261" s="14">
        <v>299982</v>
      </c>
      <c r="AX261" s="15">
        <v>0</v>
      </c>
      <c r="AY261" s="15">
        <v>0</v>
      </c>
      <c r="AZ261" s="14">
        <v>0</v>
      </c>
      <c r="BA261" s="17">
        <v>11999</v>
      </c>
    </row>
    <row r="262" spans="1:53" ht="15" thickBot="1" x14ac:dyDescent="0.35">
      <c r="A262" s="32">
        <f t="shared" si="23"/>
        <v>254</v>
      </c>
      <c r="B262" s="29">
        <f t="shared" si="25"/>
        <v>63.5</v>
      </c>
      <c r="C262" s="29" t="b">
        <f>AND(VaBenefits[[#This Row],[timeFromValuation]]&gt;=ACT,VaBenefits[[#This Row],[Assumed Contract Value ]]&gt;0)</f>
        <v>0</v>
      </c>
      <c r="D262" s="20">
        <v>0</v>
      </c>
      <c r="E262" s="20">
        <v>0</v>
      </c>
      <c r="F262" s="20">
        <v>0</v>
      </c>
      <c r="G262" s="96">
        <f>ROUND($G$8+VaBenefits[[#This Row],[timeFromValuation]],0)</f>
        <v>119</v>
      </c>
      <c r="H262" s="20">
        <f>ROUND($H$8+VaBenefits[[#This Row],[timeFromValuation]],0)</f>
        <v>129</v>
      </c>
      <c r="I262" s="27" t="b">
        <f>VaBenefits[[#This Row],[Withdrawal Taken  ]]&gt;0</f>
        <v>0</v>
      </c>
      <c r="J262" s="41">
        <f>IF(AND(NOT(VaBenefits[[#This Row],[Is Activation]]),VaBenefits[[#This Row],[Assumed Contract Value ]]&gt;0),VaBenefits[[#This Row],[Withdrawal Taken  ]]/VaBenefits[[#This Row],[Assumed Contract Value ]],0)</f>
        <v>0</v>
      </c>
      <c r="K26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2" s="27" t="b">
        <f ca="1">AND(VaBenefits[[#This Row],[Is Activation]],SUMIFS($E$8:$E262,$C$8:$C262,TRUE)&gt;0)</f>
        <v>0</v>
      </c>
      <c r="M26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2" s="32" t="b">
        <f>IF(VaBenefits[[#This Row],[timeFromValuation]]=0,0, MOD(VaBenefits[[#This Row],[timeFromValuation]],1)=0)</f>
        <v>0</v>
      </c>
      <c r="O262" s="7">
        <f>IF(VaBenefits[[#This Row],[Is Anniversary?]]=TRUE,VaBenefits[[#This Row],[Assumed Contract Value ]],0)</f>
        <v>0</v>
      </c>
      <c r="P26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2" s="7" t="b">
        <f>VaBenefits[[#This Row],[Assumed Contract Value ]]&lt;0.1</f>
        <v>1</v>
      </c>
      <c r="R26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2" s="7">
        <f ca="1">IF(AND(VaBenefits[[#This Row],[Is Activation]]=FALSE,VaBenefits[[#This Row],[Is Anniversary?]]=TRUE),OFFSET( VaBenefits[[#This Row],[Income Credit Base]],-1,0)*ICP,0)</f>
        <v>0</v>
      </c>
      <c r="T262" s="5">
        <f>IF(VaBenefits[[#This Row],[Assumed Contract Value ]]&gt;0,VaBenefits[[#This Row],[Income Base]]*MAWA,0)</f>
        <v>0</v>
      </c>
      <c r="U262" s="95">
        <v>72</v>
      </c>
      <c r="V262" s="92">
        <f>1/(1+InterestRate)^VaBenefits[[#This Row],[timeFromValuation]]</f>
        <v>4.5131473084583998E-2</v>
      </c>
      <c r="W262" s="93">
        <f>VaBenefits[[#This Row],[timeFromValuation]]</f>
        <v>63.5</v>
      </c>
      <c r="X262" s="91">
        <f>IF(($G$8+VaBenefits[[#This Row],[timeFromValuation]])&lt;=120,VLOOKUP(G262,Table2[],Qx!L$6,FALSE),0)</f>
        <v>0.6</v>
      </c>
      <c r="Y262" s="91">
        <f>IF(($H$8+VaBenefits[[#This Row],[timeFromValuation]])&lt;=120,VLOOKUP(H262,Table2[],Qx!M$6,FALSE),0)</f>
        <v>0</v>
      </c>
      <c r="Z262" s="91">
        <v>0</v>
      </c>
      <c r="AA262" s="91">
        <v>0</v>
      </c>
      <c r="AB262" s="91">
        <v>0</v>
      </c>
      <c r="AC262" s="91">
        <v>0</v>
      </c>
      <c r="AD262" s="100">
        <f>PV(1.03,20,-VaBenefits[[#This Row],[Protected Income Payment]])</f>
        <v>69.902863124856566</v>
      </c>
      <c r="AE262" s="130">
        <f>IF((AND(VaBenefits[[#This Row],[Is Anniversary?]],VaBenefits[[#This Row],[Assumed Contract Value ]]&lt;75000)),-50,0)</f>
        <v>0</v>
      </c>
      <c r="AF262" s="134">
        <f>VaBenefits[[#This Row],[Assumed Contract Value ]]*-1.15%/4</f>
        <v>0</v>
      </c>
      <c r="AG262" s="129">
        <v>0</v>
      </c>
      <c r="AH262" s="6">
        <f>VaBenefits[[#This Row],[Maintenace Fee]]+VaBenefits[[#This Row],[Separate Account Charge]]+VaBenefits[[#This Row],[Rider Fee]]</f>
        <v>0</v>
      </c>
      <c r="AR262" s="23">
        <f t="shared" si="24"/>
        <v>127</v>
      </c>
      <c r="AS262" s="24">
        <v>0</v>
      </c>
      <c r="AT262" s="24">
        <v>0</v>
      </c>
      <c r="AU262" s="22">
        <v>0</v>
      </c>
      <c r="AV262" s="16">
        <v>0</v>
      </c>
      <c r="AW262" s="14">
        <v>299982</v>
      </c>
      <c r="AX262" s="15">
        <v>0</v>
      </c>
      <c r="AY262" s="15">
        <v>0</v>
      </c>
      <c r="AZ262" s="14">
        <v>0</v>
      </c>
      <c r="BA262" s="17">
        <v>11999</v>
      </c>
    </row>
    <row r="263" spans="1:53" ht="15" thickBot="1" x14ac:dyDescent="0.35">
      <c r="A263" s="32">
        <f t="shared" si="23"/>
        <v>255</v>
      </c>
      <c r="B263" s="29">
        <f t="shared" si="25"/>
        <v>63.75</v>
      </c>
      <c r="C263" s="29" t="b">
        <f>AND(VaBenefits[[#This Row],[timeFromValuation]]&gt;=ACT,VaBenefits[[#This Row],[Assumed Contract Value ]]&gt;0)</f>
        <v>0</v>
      </c>
      <c r="D263" s="20">
        <v>0</v>
      </c>
      <c r="E263" s="20">
        <v>0</v>
      </c>
      <c r="F263" s="20">
        <v>0</v>
      </c>
      <c r="G263" s="96">
        <f>ROUND($G$8+VaBenefits[[#This Row],[timeFromValuation]],0)</f>
        <v>119</v>
      </c>
      <c r="H263" s="20">
        <f>ROUND($H$8+VaBenefits[[#This Row],[timeFromValuation]],0)</f>
        <v>129</v>
      </c>
      <c r="I263" s="27" t="b">
        <f>VaBenefits[[#This Row],[Withdrawal Taken  ]]&gt;0</f>
        <v>0</v>
      </c>
      <c r="J263" s="41">
        <f>IF(AND(NOT(VaBenefits[[#This Row],[Is Activation]]),VaBenefits[[#This Row],[Assumed Contract Value ]]&gt;0),VaBenefits[[#This Row],[Withdrawal Taken  ]]/VaBenefits[[#This Row],[Assumed Contract Value ]],0)</f>
        <v>0</v>
      </c>
      <c r="K26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3" s="27" t="b">
        <f ca="1">AND(VaBenefits[[#This Row],[Is Activation]],SUMIFS($E$8:$E263,$C$8:$C263,TRUE)&gt;0)</f>
        <v>0</v>
      </c>
      <c r="M26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3" s="32" t="b">
        <f>IF(VaBenefits[[#This Row],[timeFromValuation]]=0,0, MOD(VaBenefits[[#This Row],[timeFromValuation]],1)=0)</f>
        <v>0</v>
      </c>
      <c r="O263" s="7">
        <f>IF(VaBenefits[[#This Row],[Is Anniversary?]]=TRUE,VaBenefits[[#This Row],[Assumed Contract Value ]],0)</f>
        <v>0</v>
      </c>
      <c r="P26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3" s="7" t="b">
        <f>VaBenefits[[#This Row],[Assumed Contract Value ]]&lt;0.1</f>
        <v>1</v>
      </c>
      <c r="R26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3" s="7">
        <f ca="1">IF(AND(VaBenefits[[#This Row],[Is Activation]]=FALSE,VaBenefits[[#This Row],[Is Anniversary?]]=TRUE),OFFSET( VaBenefits[[#This Row],[Income Credit Base]],-1,0)*ICP,0)</f>
        <v>0</v>
      </c>
      <c r="T263" s="5">
        <f>IF(VaBenefits[[#This Row],[Assumed Contract Value ]]&gt;0,VaBenefits[[#This Row],[Income Base]]*MAWA,0)</f>
        <v>0</v>
      </c>
      <c r="U263" s="95">
        <v>73</v>
      </c>
      <c r="V263" s="92">
        <f>1/(1+InterestRate)^VaBenefits[[#This Row],[timeFromValuation]]</f>
        <v>4.4584323810916239E-2</v>
      </c>
      <c r="W263" s="93">
        <f>VaBenefits[[#This Row],[timeFromValuation]]</f>
        <v>63.75</v>
      </c>
      <c r="X263" s="91">
        <f>IF(($G$8+VaBenefits[[#This Row],[timeFromValuation]])&lt;=120,VLOOKUP(G263,Table2[],Qx!L$6,FALSE),0)</f>
        <v>0.6</v>
      </c>
      <c r="Y263" s="91">
        <f>IF(($H$8+VaBenefits[[#This Row],[timeFromValuation]])&lt;=120,VLOOKUP(H263,Table2[],Qx!M$6,FALSE),0)</f>
        <v>0</v>
      </c>
      <c r="Z263" s="91">
        <v>0</v>
      </c>
      <c r="AA263" s="91">
        <v>0</v>
      </c>
      <c r="AB263" s="91">
        <v>0</v>
      </c>
      <c r="AC263" s="91">
        <v>0</v>
      </c>
      <c r="AD263" s="100">
        <f>PV(1.03,20,-VaBenefits[[#This Row],[Protected Income Payment]])</f>
        <v>70.873736223812898</v>
      </c>
      <c r="AE263" s="130">
        <f>IF((AND(VaBenefits[[#This Row],[Is Anniversary?]],VaBenefits[[#This Row],[Assumed Contract Value ]]&lt;75000)),-50,0)</f>
        <v>0</v>
      </c>
      <c r="AF263" s="134">
        <f>VaBenefits[[#This Row],[Assumed Contract Value ]]*-1.15%/4</f>
        <v>0</v>
      </c>
      <c r="AG263" s="129">
        <v>0</v>
      </c>
      <c r="AH263" s="6">
        <f>VaBenefits[[#This Row],[Maintenace Fee]]+VaBenefits[[#This Row],[Separate Account Charge]]+VaBenefits[[#This Row],[Rider Fee]]</f>
        <v>0</v>
      </c>
      <c r="AR263" s="23">
        <f t="shared" si="24"/>
        <v>127.5</v>
      </c>
      <c r="AS263" s="24">
        <v>0</v>
      </c>
      <c r="AT263" s="24">
        <v>0</v>
      </c>
      <c r="AU263" s="22">
        <v>0</v>
      </c>
      <c r="AV263" s="16">
        <v>0</v>
      </c>
      <c r="AW263" s="14">
        <v>299982</v>
      </c>
      <c r="AX263" s="15">
        <v>0</v>
      </c>
      <c r="AY263" s="15">
        <v>0</v>
      </c>
      <c r="AZ263" s="14">
        <v>0</v>
      </c>
      <c r="BA263" s="17">
        <v>11999</v>
      </c>
    </row>
    <row r="264" spans="1:53" ht="15" thickBot="1" x14ac:dyDescent="0.35">
      <c r="A264" s="32">
        <f t="shared" si="23"/>
        <v>256</v>
      </c>
      <c r="B264" s="29">
        <f t="shared" si="25"/>
        <v>64</v>
      </c>
      <c r="C264" s="29" t="b">
        <f>AND(VaBenefits[[#This Row],[timeFromValuation]]&gt;=ACT,VaBenefits[[#This Row],[Assumed Contract Value ]]&gt;0)</f>
        <v>0</v>
      </c>
      <c r="D264" s="20">
        <v>0</v>
      </c>
      <c r="E264" s="20">
        <v>0</v>
      </c>
      <c r="F264" s="20">
        <v>0</v>
      </c>
      <c r="G264" s="96">
        <f>ROUND($G$8+VaBenefits[[#This Row],[timeFromValuation]],0)</f>
        <v>119</v>
      </c>
      <c r="H264" s="20">
        <f>ROUND($H$8+VaBenefits[[#This Row],[timeFromValuation]],0)</f>
        <v>129</v>
      </c>
      <c r="I264" s="27" t="b">
        <f>VaBenefits[[#This Row],[Withdrawal Taken  ]]&gt;0</f>
        <v>0</v>
      </c>
      <c r="J264" s="41">
        <f>IF(AND(NOT(VaBenefits[[#This Row],[Is Activation]]),VaBenefits[[#This Row],[Assumed Contract Value ]]&gt;0),VaBenefits[[#This Row],[Withdrawal Taken  ]]/VaBenefits[[#This Row],[Assumed Contract Value ]],0)</f>
        <v>0</v>
      </c>
      <c r="K26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4" s="27" t="b">
        <f ca="1">AND(VaBenefits[[#This Row],[Is Activation]],SUMIFS($E$8:$E264,$C$8:$C264,TRUE)&gt;0)</f>
        <v>0</v>
      </c>
      <c r="M26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4" s="32" t="b">
        <f>IF(VaBenefits[[#This Row],[timeFromValuation]]=0,0, MOD(VaBenefits[[#This Row],[timeFromValuation]],1)=0)</f>
        <v>1</v>
      </c>
      <c r="O264" s="7">
        <f>IF(VaBenefits[[#This Row],[Is Anniversary?]]=TRUE,VaBenefits[[#This Row],[Assumed Contract Value ]],0)</f>
        <v>0</v>
      </c>
      <c r="P26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4" s="7" t="b">
        <f>VaBenefits[[#This Row],[Assumed Contract Value ]]&lt;0.1</f>
        <v>1</v>
      </c>
      <c r="R26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4" s="7">
        <f ca="1">IF(AND(VaBenefits[[#This Row],[Is Activation]]=FALSE,VaBenefits[[#This Row],[Is Anniversary?]]=TRUE),OFFSET( VaBenefits[[#This Row],[Income Credit Base]],-1,0)*ICP,0)</f>
        <v>0</v>
      </c>
      <c r="T264" s="5">
        <f>IF(VaBenefits[[#This Row],[Assumed Contract Value ]]&gt;0,VaBenefits[[#This Row],[Income Base]]*MAWA,0)</f>
        <v>0</v>
      </c>
      <c r="U264" s="95">
        <v>74</v>
      </c>
      <c r="V264" s="92">
        <f>1/(1+InterestRate)^VaBenefits[[#This Row],[timeFromValuation]]</f>
        <v>4.4043807875520369E-2</v>
      </c>
      <c r="W264" s="93">
        <f>VaBenefits[[#This Row],[timeFromValuation]]</f>
        <v>64</v>
      </c>
      <c r="X264" s="91">
        <f>IF(($G$8+VaBenefits[[#This Row],[timeFromValuation]])&lt;=120,VLOOKUP(G264,Table2[],Qx!L$6,FALSE),0)</f>
        <v>0.6</v>
      </c>
      <c r="Y264" s="91">
        <f>IF(($H$8+VaBenefits[[#This Row],[timeFromValuation]])&lt;=120,VLOOKUP(H264,Table2[],Qx!M$6,FALSE),0)</f>
        <v>0</v>
      </c>
      <c r="Z264" s="91">
        <v>0</v>
      </c>
      <c r="AA264" s="91">
        <v>0</v>
      </c>
      <c r="AB264" s="91">
        <v>0</v>
      </c>
      <c r="AC264" s="91">
        <v>0</v>
      </c>
      <c r="AD264" s="100">
        <f>PV(1.03,20,-VaBenefits[[#This Row],[Protected Income Payment]])</f>
        <v>71.844609322769244</v>
      </c>
      <c r="AE264" s="130">
        <f>IF((AND(VaBenefits[[#This Row],[Is Anniversary?]],VaBenefits[[#This Row],[Assumed Contract Value ]]&lt;75000)),-50,0)</f>
        <v>-50</v>
      </c>
      <c r="AF264" s="134">
        <f>VaBenefits[[#This Row],[Assumed Contract Value ]]*-1.15%/4</f>
        <v>0</v>
      </c>
      <c r="AG264" s="129">
        <v>0</v>
      </c>
      <c r="AH264" s="6">
        <f>VaBenefits[[#This Row],[Maintenace Fee]]+VaBenefits[[#This Row],[Separate Account Charge]]+VaBenefits[[#This Row],[Rider Fee]]</f>
        <v>-50</v>
      </c>
      <c r="AR264" s="23">
        <f t="shared" si="24"/>
        <v>128</v>
      </c>
      <c r="AS264" s="24">
        <v>0</v>
      </c>
      <c r="AT264" s="24">
        <v>0</v>
      </c>
      <c r="AU264" s="22">
        <v>0</v>
      </c>
      <c r="AV264" s="16">
        <v>0</v>
      </c>
      <c r="AW264" s="14">
        <v>299982</v>
      </c>
      <c r="AX264" s="15">
        <v>0</v>
      </c>
      <c r="AY264" s="15">
        <v>0</v>
      </c>
      <c r="AZ264" s="14">
        <v>0</v>
      </c>
      <c r="BA264" s="17">
        <v>11999</v>
      </c>
    </row>
    <row r="265" spans="1:53" ht="15" thickBot="1" x14ac:dyDescent="0.35">
      <c r="A265" s="32">
        <f t="shared" si="23"/>
        <v>257</v>
      </c>
      <c r="B265" s="29">
        <f t="shared" si="25"/>
        <v>64.25</v>
      </c>
      <c r="C265" s="29" t="b">
        <f>AND(VaBenefits[[#This Row],[timeFromValuation]]&gt;=ACT,VaBenefits[[#This Row],[Assumed Contract Value ]]&gt;0)</f>
        <v>0</v>
      </c>
      <c r="D265" s="20">
        <v>0</v>
      </c>
      <c r="E265" s="20">
        <v>0</v>
      </c>
      <c r="F265" s="20">
        <v>0</v>
      </c>
      <c r="G265" s="96">
        <f>ROUND($G$8+VaBenefits[[#This Row],[timeFromValuation]],0)</f>
        <v>119</v>
      </c>
      <c r="H265" s="20">
        <f>ROUND($H$8+VaBenefits[[#This Row],[timeFromValuation]],0)</f>
        <v>129</v>
      </c>
      <c r="I265" s="27" t="b">
        <f>VaBenefits[[#This Row],[Withdrawal Taken  ]]&gt;0</f>
        <v>0</v>
      </c>
      <c r="J265" s="41">
        <f>IF(AND(NOT(VaBenefits[[#This Row],[Is Activation]]),VaBenefits[[#This Row],[Assumed Contract Value ]]&gt;0),VaBenefits[[#This Row],[Withdrawal Taken  ]]/VaBenefits[[#This Row],[Assumed Contract Value ]],0)</f>
        <v>0</v>
      </c>
      <c r="K26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5" s="27" t="b">
        <f ca="1">AND(VaBenefits[[#This Row],[Is Activation]],SUMIFS($E$8:$E265,$C$8:$C265,TRUE)&gt;0)</f>
        <v>0</v>
      </c>
      <c r="M26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5" s="32" t="b">
        <f>IF(VaBenefits[[#This Row],[timeFromValuation]]=0,0, MOD(VaBenefits[[#This Row],[timeFromValuation]],1)=0)</f>
        <v>0</v>
      </c>
      <c r="O265" s="7">
        <f>IF(VaBenefits[[#This Row],[Is Anniversary?]]=TRUE,VaBenefits[[#This Row],[Assumed Contract Value ]],0)</f>
        <v>0</v>
      </c>
      <c r="P26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5" s="7" t="b">
        <f>VaBenefits[[#This Row],[Assumed Contract Value ]]&lt;0.1</f>
        <v>1</v>
      </c>
      <c r="R26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5" s="7">
        <f ca="1">IF(AND(VaBenefits[[#This Row],[Is Activation]]=FALSE,VaBenefits[[#This Row],[Is Anniversary?]]=TRUE),OFFSET( VaBenefits[[#This Row],[Income Credit Base]],-1,0)*ICP,0)</f>
        <v>0</v>
      </c>
      <c r="T265" s="5">
        <f>IF(VaBenefits[[#This Row],[Assumed Contract Value ]]&gt;0,VaBenefits[[#This Row],[Income Base]]*MAWA,0)</f>
        <v>0</v>
      </c>
      <c r="U265" s="95">
        <v>75</v>
      </c>
      <c r="V265" s="92">
        <f>1/(1+InterestRate)^VaBenefits[[#This Row],[timeFromValuation]]</f>
        <v>4.3509844859434176E-2</v>
      </c>
      <c r="W265" s="93">
        <f>VaBenefits[[#This Row],[timeFromValuation]]</f>
        <v>64.25</v>
      </c>
      <c r="X265" s="91">
        <f>IF(($G$8+VaBenefits[[#This Row],[timeFromValuation]])&lt;=120,VLOOKUP(G265,Table2[],Qx!L$6,FALSE),0)</f>
        <v>0.6</v>
      </c>
      <c r="Y265" s="91">
        <f>IF(($H$8+VaBenefits[[#This Row],[timeFromValuation]])&lt;=120,VLOOKUP(H265,Table2[],Qx!M$6,FALSE),0)</f>
        <v>0</v>
      </c>
      <c r="Z265" s="91">
        <v>0</v>
      </c>
      <c r="AA265" s="91">
        <v>0</v>
      </c>
      <c r="AB265" s="91">
        <v>0</v>
      </c>
      <c r="AC265" s="91">
        <v>0</v>
      </c>
      <c r="AD265" s="100">
        <f>PV(1.03,20,-VaBenefits[[#This Row],[Protected Income Payment]])</f>
        <v>72.815482421725591</v>
      </c>
      <c r="AE265" s="130">
        <f>IF((AND(VaBenefits[[#This Row],[Is Anniversary?]],VaBenefits[[#This Row],[Assumed Contract Value ]]&lt;75000)),-50,0)</f>
        <v>0</v>
      </c>
      <c r="AF265" s="134">
        <f>VaBenefits[[#This Row],[Assumed Contract Value ]]*-1.15%/4</f>
        <v>0</v>
      </c>
      <c r="AG265" s="129">
        <v>0</v>
      </c>
      <c r="AH265" s="6">
        <f>VaBenefits[[#This Row],[Maintenace Fee]]+VaBenefits[[#This Row],[Separate Account Charge]]+VaBenefits[[#This Row],[Rider Fee]]</f>
        <v>0</v>
      </c>
      <c r="AR265" s="23">
        <f t="shared" si="24"/>
        <v>128.5</v>
      </c>
      <c r="AS265" s="24">
        <v>0</v>
      </c>
      <c r="AT265" s="24">
        <v>0</v>
      </c>
      <c r="AU265" s="22">
        <v>0</v>
      </c>
      <c r="AV265" s="16">
        <v>0</v>
      </c>
      <c r="AW265" s="14">
        <v>299982</v>
      </c>
      <c r="AX265" s="15">
        <v>0</v>
      </c>
      <c r="AY265" s="15">
        <v>0</v>
      </c>
      <c r="AZ265" s="14">
        <v>0</v>
      </c>
      <c r="BA265" s="17">
        <v>11999</v>
      </c>
    </row>
    <row r="266" spans="1:53" ht="15" thickBot="1" x14ac:dyDescent="0.35">
      <c r="A266" s="32">
        <f t="shared" ref="A266:A310" si="26">A265+1</f>
        <v>258</v>
      </c>
      <c r="B266" s="29">
        <f t="shared" si="25"/>
        <v>64.5</v>
      </c>
      <c r="C266" s="29" t="b">
        <f>AND(VaBenefits[[#This Row],[timeFromValuation]]&gt;=ACT,VaBenefits[[#This Row],[Assumed Contract Value ]]&gt;0)</f>
        <v>0</v>
      </c>
      <c r="D266" s="20">
        <v>0</v>
      </c>
      <c r="E266" s="20">
        <v>0</v>
      </c>
      <c r="F266" s="20">
        <v>0</v>
      </c>
      <c r="G266" s="96">
        <f>ROUND($G$8+VaBenefits[[#This Row],[timeFromValuation]],0)</f>
        <v>120</v>
      </c>
      <c r="H266" s="20">
        <f>ROUND($H$8+VaBenefits[[#This Row],[timeFromValuation]],0)</f>
        <v>130</v>
      </c>
      <c r="I266" s="27" t="b">
        <f>VaBenefits[[#This Row],[Withdrawal Taken  ]]&gt;0</f>
        <v>0</v>
      </c>
      <c r="J266" s="41">
        <f>IF(AND(NOT(VaBenefits[[#This Row],[Is Activation]]),VaBenefits[[#This Row],[Assumed Contract Value ]]&gt;0),VaBenefits[[#This Row],[Withdrawal Taken  ]]/VaBenefits[[#This Row],[Assumed Contract Value ]],0)</f>
        <v>0</v>
      </c>
      <c r="K26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6" s="27" t="b">
        <f ca="1">AND(VaBenefits[[#This Row],[Is Activation]],SUMIFS($E$8:$E266,$C$8:$C266,TRUE)&gt;0)</f>
        <v>0</v>
      </c>
      <c r="M26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6" s="32" t="b">
        <f>IF(VaBenefits[[#This Row],[timeFromValuation]]=0,0, MOD(VaBenefits[[#This Row],[timeFromValuation]],1)=0)</f>
        <v>0</v>
      </c>
      <c r="O266" s="7">
        <f>IF(VaBenefits[[#This Row],[Is Anniversary?]]=TRUE,VaBenefits[[#This Row],[Assumed Contract Value ]],0)</f>
        <v>0</v>
      </c>
      <c r="P26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6" s="7" t="b">
        <f>VaBenefits[[#This Row],[Assumed Contract Value ]]&lt;0.1</f>
        <v>1</v>
      </c>
      <c r="R26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6" s="7">
        <f ca="1">IF(AND(VaBenefits[[#This Row],[Is Activation]]=FALSE,VaBenefits[[#This Row],[Is Anniversary?]]=TRUE),OFFSET( VaBenefits[[#This Row],[Income Credit Base]],-1,0)*ICP,0)</f>
        <v>0</v>
      </c>
      <c r="T266" s="5">
        <f>IF(VaBenefits[[#This Row],[Assumed Contract Value ]]&gt;0,VaBenefits[[#This Row],[Income Base]]*MAWA,0)</f>
        <v>0</v>
      </c>
      <c r="U266" s="95">
        <v>76</v>
      </c>
      <c r="V266" s="92">
        <f>1/(1+InterestRate)^VaBenefits[[#This Row],[timeFromValuation]]</f>
        <v>4.2982355318651418E-2</v>
      </c>
      <c r="W266" s="93">
        <f>VaBenefits[[#This Row],[timeFromValuation]]</f>
        <v>64.5</v>
      </c>
      <c r="X266" s="91">
        <f>IF(($G$8+VaBenefits[[#This Row],[timeFromValuation]])&lt;=120,VLOOKUP(G266,Table2[],Qx!L$6,FALSE),0)</f>
        <v>0</v>
      </c>
      <c r="Y266" s="91">
        <f>IF(($H$8+VaBenefits[[#This Row],[timeFromValuation]])&lt;=120,VLOOKUP(H266,Table2[],Qx!M$6,FALSE),0)</f>
        <v>0</v>
      </c>
      <c r="Z266" s="91">
        <v>0</v>
      </c>
      <c r="AA266" s="91">
        <v>0</v>
      </c>
      <c r="AB266" s="91">
        <v>0</v>
      </c>
      <c r="AC266" s="91">
        <v>0</v>
      </c>
      <c r="AD266" s="100">
        <f>PV(1.03,20,-VaBenefits[[#This Row],[Protected Income Payment]])</f>
        <v>73.786355520681937</v>
      </c>
      <c r="AE266" s="130">
        <f>IF((AND(VaBenefits[[#This Row],[Is Anniversary?]],VaBenefits[[#This Row],[Assumed Contract Value ]]&lt;75000)),-50,0)</f>
        <v>0</v>
      </c>
      <c r="AF266" s="134">
        <f>VaBenefits[[#This Row],[Assumed Contract Value ]]*-1.15%/4</f>
        <v>0</v>
      </c>
      <c r="AG266" s="129">
        <v>0</v>
      </c>
      <c r="AH266" s="6">
        <f>VaBenefits[[#This Row],[Maintenace Fee]]+VaBenefits[[#This Row],[Separate Account Charge]]+VaBenefits[[#This Row],[Rider Fee]]</f>
        <v>0</v>
      </c>
      <c r="AR266" s="23">
        <f t="shared" ref="AR266:AR329" si="27">AR265+0.5</f>
        <v>129</v>
      </c>
      <c r="AS266" s="24">
        <v>0</v>
      </c>
      <c r="AT266" s="24">
        <v>0</v>
      </c>
      <c r="AU266" s="22">
        <v>0</v>
      </c>
      <c r="AV266" s="16">
        <v>0</v>
      </c>
      <c r="AW266" s="14">
        <v>299982</v>
      </c>
      <c r="AX266" s="15">
        <v>0</v>
      </c>
      <c r="AY266" s="15">
        <v>0</v>
      </c>
      <c r="AZ266" s="14">
        <v>0</v>
      </c>
      <c r="BA266" s="17">
        <v>11999</v>
      </c>
    </row>
    <row r="267" spans="1:53" ht="15" thickBot="1" x14ac:dyDescent="0.35">
      <c r="A267" s="32">
        <f t="shared" si="26"/>
        <v>259</v>
      </c>
      <c r="B267" s="29">
        <f t="shared" si="25"/>
        <v>64.75</v>
      </c>
      <c r="C267" s="29" t="b">
        <f>AND(VaBenefits[[#This Row],[timeFromValuation]]&gt;=ACT,VaBenefits[[#This Row],[Assumed Contract Value ]]&gt;0)</f>
        <v>0</v>
      </c>
      <c r="D267" s="20">
        <v>0</v>
      </c>
      <c r="E267" s="20">
        <v>0</v>
      </c>
      <c r="F267" s="20">
        <v>0</v>
      </c>
      <c r="G267" s="96">
        <f>ROUND($G$8+VaBenefits[[#This Row],[timeFromValuation]],0)</f>
        <v>120</v>
      </c>
      <c r="H267" s="20">
        <f>ROUND($H$8+VaBenefits[[#This Row],[timeFromValuation]],0)</f>
        <v>130</v>
      </c>
      <c r="I267" s="27" t="b">
        <f>VaBenefits[[#This Row],[Withdrawal Taken  ]]&gt;0</f>
        <v>0</v>
      </c>
      <c r="J267" s="41">
        <f>IF(AND(NOT(VaBenefits[[#This Row],[Is Activation]]),VaBenefits[[#This Row],[Assumed Contract Value ]]&gt;0),VaBenefits[[#This Row],[Withdrawal Taken  ]]/VaBenefits[[#This Row],[Assumed Contract Value ]],0)</f>
        <v>0</v>
      </c>
      <c r="K26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7" s="27" t="b">
        <f ca="1">AND(VaBenefits[[#This Row],[Is Activation]],SUMIFS($E$8:$E267,$C$8:$C267,TRUE)&gt;0)</f>
        <v>0</v>
      </c>
      <c r="M26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7" s="32" t="b">
        <f>IF(VaBenefits[[#This Row],[timeFromValuation]]=0,0, MOD(VaBenefits[[#This Row],[timeFromValuation]],1)=0)</f>
        <v>0</v>
      </c>
      <c r="O267" s="7">
        <f>IF(VaBenefits[[#This Row],[Is Anniversary?]]=TRUE,VaBenefits[[#This Row],[Assumed Contract Value ]],0)</f>
        <v>0</v>
      </c>
      <c r="P26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7" s="7" t="b">
        <f>VaBenefits[[#This Row],[Assumed Contract Value ]]&lt;0.1</f>
        <v>1</v>
      </c>
      <c r="R26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7" s="7">
        <f ca="1">IF(AND(VaBenefits[[#This Row],[Is Activation]]=FALSE,VaBenefits[[#This Row],[Is Anniversary?]]=TRUE),OFFSET( VaBenefits[[#This Row],[Income Credit Base]],-1,0)*ICP,0)</f>
        <v>0</v>
      </c>
      <c r="T267" s="5">
        <f>IF(VaBenefits[[#This Row],[Assumed Contract Value ]]&gt;0,VaBenefits[[#This Row],[Income Base]]*MAWA,0)</f>
        <v>0</v>
      </c>
      <c r="U267" s="95">
        <v>77</v>
      </c>
      <c r="V267" s="92">
        <f>1/(1+InterestRate)^VaBenefits[[#This Row],[timeFromValuation]]</f>
        <v>4.2461260772301175E-2</v>
      </c>
      <c r="W267" s="93">
        <f>VaBenefits[[#This Row],[timeFromValuation]]</f>
        <v>64.75</v>
      </c>
      <c r="X267" s="91">
        <f>IF(($G$8+VaBenefits[[#This Row],[timeFromValuation]])&lt;=120,VLOOKUP(G267,Table2[],Qx!L$6,FALSE),0)</f>
        <v>0</v>
      </c>
      <c r="Y267" s="91">
        <f>IF(($H$8+VaBenefits[[#This Row],[timeFromValuation]])&lt;=120,VLOOKUP(H267,Table2[],Qx!M$6,FALSE),0)</f>
        <v>0</v>
      </c>
      <c r="Z267" s="91">
        <v>0</v>
      </c>
      <c r="AA267" s="91">
        <v>0</v>
      </c>
      <c r="AB267" s="91">
        <v>0</v>
      </c>
      <c r="AC267" s="91">
        <v>0</v>
      </c>
      <c r="AD267" s="100">
        <f>PV(1.03,20,-VaBenefits[[#This Row],[Protected Income Payment]])</f>
        <v>74.757228619638269</v>
      </c>
      <c r="AE267" s="130">
        <f>IF((AND(VaBenefits[[#This Row],[Is Anniversary?]],VaBenefits[[#This Row],[Assumed Contract Value ]]&lt;75000)),-50,0)</f>
        <v>0</v>
      </c>
      <c r="AF267" s="134">
        <f>VaBenefits[[#This Row],[Assumed Contract Value ]]*-1.15%/4</f>
        <v>0</v>
      </c>
      <c r="AG267" s="129">
        <v>0</v>
      </c>
      <c r="AH267" s="6">
        <f>VaBenefits[[#This Row],[Maintenace Fee]]+VaBenefits[[#This Row],[Separate Account Charge]]+VaBenefits[[#This Row],[Rider Fee]]</f>
        <v>0</v>
      </c>
      <c r="AR267" s="23">
        <f t="shared" si="27"/>
        <v>129.5</v>
      </c>
      <c r="AS267" s="24">
        <v>0</v>
      </c>
      <c r="AT267" s="24">
        <v>0</v>
      </c>
      <c r="AU267" s="22">
        <v>0</v>
      </c>
      <c r="AV267" s="16">
        <v>0</v>
      </c>
      <c r="AW267" s="14">
        <v>299982</v>
      </c>
      <c r="AX267" s="15">
        <v>0</v>
      </c>
      <c r="AY267" s="15">
        <v>0</v>
      </c>
      <c r="AZ267" s="14">
        <v>0</v>
      </c>
      <c r="BA267" s="17">
        <v>11999</v>
      </c>
    </row>
    <row r="268" spans="1:53" ht="15" thickBot="1" x14ac:dyDescent="0.35">
      <c r="A268" s="32">
        <f t="shared" si="26"/>
        <v>260</v>
      </c>
      <c r="B268" s="29">
        <f t="shared" si="25"/>
        <v>65</v>
      </c>
      <c r="C268" s="29" t="b">
        <f>AND(VaBenefits[[#This Row],[timeFromValuation]]&gt;=ACT,VaBenefits[[#This Row],[Assumed Contract Value ]]&gt;0)</f>
        <v>0</v>
      </c>
      <c r="D268" s="20">
        <v>0</v>
      </c>
      <c r="E268" s="20">
        <v>0</v>
      </c>
      <c r="F268" s="20">
        <v>0</v>
      </c>
      <c r="G268" s="96">
        <f>ROUND($G$8+VaBenefits[[#This Row],[timeFromValuation]],0)</f>
        <v>120</v>
      </c>
      <c r="H268" s="20">
        <f>ROUND($H$8+VaBenefits[[#This Row],[timeFromValuation]],0)</f>
        <v>130</v>
      </c>
      <c r="I268" s="27" t="b">
        <f>VaBenefits[[#This Row],[Withdrawal Taken  ]]&gt;0</f>
        <v>0</v>
      </c>
      <c r="J268" s="41">
        <f>IF(AND(NOT(VaBenefits[[#This Row],[Is Activation]]),VaBenefits[[#This Row],[Assumed Contract Value ]]&gt;0),VaBenefits[[#This Row],[Withdrawal Taken  ]]/VaBenefits[[#This Row],[Assumed Contract Value ]],0)</f>
        <v>0</v>
      </c>
      <c r="K26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8" s="27" t="b">
        <f ca="1">AND(VaBenefits[[#This Row],[Is Activation]],SUMIFS($E$8:$E268,$C$8:$C268,TRUE)&gt;0)</f>
        <v>0</v>
      </c>
      <c r="M26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8" s="32" t="b">
        <f>IF(VaBenefits[[#This Row],[timeFromValuation]]=0,0, MOD(VaBenefits[[#This Row],[timeFromValuation]],1)=0)</f>
        <v>1</v>
      </c>
      <c r="O268" s="7">
        <f>IF(VaBenefits[[#This Row],[Is Anniversary?]]=TRUE,VaBenefits[[#This Row],[Assumed Contract Value ]],0)</f>
        <v>0</v>
      </c>
      <c r="P26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8" s="7" t="b">
        <f>VaBenefits[[#This Row],[Assumed Contract Value ]]&lt;0.1</f>
        <v>1</v>
      </c>
      <c r="R26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8" s="7">
        <f ca="1">IF(AND(VaBenefits[[#This Row],[Is Activation]]=FALSE,VaBenefits[[#This Row],[Is Anniversary?]]=TRUE),OFFSET( VaBenefits[[#This Row],[Income Credit Base]],-1,0)*ICP,0)</f>
        <v>0</v>
      </c>
      <c r="T268" s="5">
        <f>IF(VaBenefits[[#This Row],[Assumed Contract Value ]]&gt;0,VaBenefits[[#This Row],[Income Base]]*MAWA,0)</f>
        <v>0</v>
      </c>
      <c r="U268" s="95">
        <v>78</v>
      </c>
      <c r="V268" s="92">
        <f>1/(1+InterestRate)^VaBenefits[[#This Row],[timeFromValuation]]</f>
        <v>4.1946483690971779E-2</v>
      </c>
      <c r="W268" s="93">
        <f>VaBenefits[[#This Row],[timeFromValuation]]</f>
        <v>65</v>
      </c>
      <c r="X268" s="91">
        <f>IF(($G$8+VaBenefits[[#This Row],[timeFromValuation]])&lt;=120,VLOOKUP(G268,Table2[],Qx!L$6,FALSE),0)</f>
        <v>0</v>
      </c>
      <c r="Y268" s="91">
        <f>IF(($H$8+VaBenefits[[#This Row],[timeFromValuation]])&lt;=120,VLOOKUP(H268,Table2[],Qx!M$6,FALSE),0)</f>
        <v>0</v>
      </c>
      <c r="Z268" s="91">
        <v>0</v>
      </c>
      <c r="AA268" s="91">
        <v>0</v>
      </c>
      <c r="AB268" s="91">
        <v>0</v>
      </c>
      <c r="AC268" s="91">
        <v>0</v>
      </c>
      <c r="AD268" s="100">
        <f>PV(1.03,20,-VaBenefits[[#This Row],[Protected Income Payment]])</f>
        <v>75.728101718594615</v>
      </c>
      <c r="AE268" s="130">
        <f>IF((AND(VaBenefits[[#This Row],[Is Anniversary?]],VaBenefits[[#This Row],[Assumed Contract Value ]]&lt;75000)),-50,0)</f>
        <v>-50</v>
      </c>
      <c r="AF268" s="134">
        <f>VaBenefits[[#This Row],[Assumed Contract Value ]]*-1.15%/4</f>
        <v>0</v>
      </c>
      <c r="AG268" s="129">
        <v>0</v>
      </c>
      <c r="AH268" s="6">
        <f>VaBenefits[[#This Row],[Maintenace Fee]]+VaBenefits[[#This Row],[Separate Account Charge]]+VaBenefits[[#This Row],[Rider Fee]]</f>
        <v>-50</v>
      </c>
      <c r="AR268" s="23">
        <f t="shared" si="27"/>
        <v>130</v>
      </c>
      <c r="AS268" s="24">
        <v>0</v>
      </c>
      <c r="AT268" s="24">
        <v>0</v>
      </c>
      <c r="AU268" s="22">
        <v>0</v>
      </c>
      <c r="AV268" s="16">
        <v>0</v>
      </c>
      <c r="AW268" s="14">
        <v>299982</v>
      </c>
      <c r="AX268" s="15">
        <v>0</v>
      </c>
      <c r="AY268" s="15">
        <v>0</v>
      </c>
      <c r="AZ268" s="14">
        <v>0</v>
      </c>
      <c r="BA268" s="17">
        <v>11999</v>
      </c>
    </row>
    <row r="269" spans="1:53" ht="15" thickBot="1" x14ac:dyDescent="0.35">
      <c r="A269" s="32">
        <f t="shared" si="26"/>
        <v>261</v>
      </c>
      <c r="B269" s="29">
        <f t="shared" si="25"/>
        <v>65.25</v>
      </c>
      <c r="C269" s="29" t="b">
        <f>AND(VaBenefits[[#This Row],[timeFromValuation]]&gt;=ACT,VaBenefits[[#This Row],[Assumed Contract Value ]]&gt;0)</f>
        <v>0</v>
      </c>
      <c r="D269" s="20">
        <v>0</v>
      </c>
      <c r="E269" s="20">
        <v>0</v>
      </c>
      <c r="F269" s="20">
        <v>0</v>
      </c>
      <c r="G269" s="96">
        <f>ROUND($G$8+VaBenefits[[#This Row],[timeFromValuation]],0)</f>
        <v>120</v>
      </c>
      <c r="H269" s="20">
        <f>ROUND($H$8+VaBenefits[[#This Row],[timeFromValuation]],0)</f>
        <v>130</v>
      </c>
      <c r="I269" s="27" t="b">
        <f>VaBenefits[[#This Row],[Withdrawal Taken  ]]&gt;0</f>
        <v>0</v>
      </c>
      <c r="J269" s="41">
        <f>IF(AND(NOT(VaBenefits[[#This Row],[Is Activation]]),VaBenefits[[#This Row],[Assumed Contract Value ]]&gt;0),VaBenefits[[#This Row],[Withdrawal Taken  ]]/VaBenefits[[#This Row],[Assumed Contract Value ]],0)</f>
        <v>0</v>
      </c>
      <c r="K26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9" s="27" t="b">
        <f ca="1">AND(VaBenefits[[#This Row],[Is Activation]],SUMIFS($E$8:$E269,$C$8:$C269,TRUE)&gt;0)</f>
        <v>0</v>
      </c>
      <c r="M26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9" s="32" t="b">
        <f>IF(VaBenefits[[#This Row],[timeFromValuation]]=0,0, MOD(VaBenefits[[#This Row],[timeFromValuation]],1)=0)</f>
        <v>0</v>
      </c>
      <c r="O269" s="7">
        <f>IF(VaBenefits[[#This Row],[Is Anniversary?]]=TRUE,VaBenefits[[#This Row],[Assumed Contract Value ]],0)</f>
        <v>0</v>
      </c>
      <c r="P26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9" s="7" t="b">
        <f>VaBenefits[[#This Row],[Assumed Contract Value ]]&lt;0.1</f>
        <v>1</v>
      </c>
      <c r="R26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9" s="7">
        <f ca="1">IF(AND(VaBenefits[[#This Row],[Is Activation]]=FALSE,VaBenefits[[#This Row],[Is Anniversary?]]=TRUE),OFFSET( VaBenefits[[#This Row],[Income Credit Base]],-1,0)*ICP,0)</f>
        <v>0</v>
      </c>
      <c r="T269" s="5">
        <f>IF(VaBenefits[[#This Row],[Assumed Contract Value ]]&gt;0,VaBenefits[[#This Row],[Income Base]]*MAWA,0)</f>
        <v>0</v>
      </c>
      <c r="U269" s="95">
        <v>79</v>
      </c>
      <c r="V269" s="92">
        <f>1/(1+InterestRate)^VaBenefits[[#This Row],[timeFromValuation]]</f>
        <v>4.1437947485175396E-2</v>
      </c>
      <c r="W269" s="93">
        <f>VaBenefits[[#This Row],[timeFromValuation]]</f>
        <v>65.25</v>
      </c>
      <c r="X269" s="91">
        <f>IF(($G$8+VaBenefits[[#This Row],[timeFromValuation]])&lt;=120,VLOOKUP(G269,Table2[],Qx!L$6,FALSE),0)</f>
        <v>0</v>
      </c>
      <c r="Y269" s="91">
        <f>IF(($H$8+VaBenefits[[#This Row],[timeFromValuation]])&lt;=120,VLOOKUP(H269,Table2[],Qx!M$6,FALSE),0)</f>
        <v>0</v>
      </c>
      <c r="Z269" s="91">
        <v>0</v>
      </c>
      <c r="AA269" s="91">
        <v>0</v>
      </c>
      <c r="AB269" s="91">
        <v>0</v>
      </c>
      <c r="AC269" s="91">
        <v>0</v>
      </c>
      <c r="AD269" s="100">
        <f>PV(1.03,20,-VaBenefits[[#This Row],[Protected Income Payment]])</f>
        <v>76.698974817550962</v>
      </c>
      <c r="AE269" s="130">
        <f>IF((AND(VaBenefits[[#This Row],[Is Anniversary?]],VaBenefits[[#This Row],[Assumed Contract Value ]]&lt;75000)),-50,0)</f>
        <v>0</v>
      </c>
      <c r="AF269" s="134">
        <f>VaBenefits[[#This Row],[Assumed Contract Value ]]*-1.15%/4</f>
        <v>0</v>
      </c>
      <c r="AG269" s="129">
        <v>0</v>
      </c>
      <c r="AH269" s="6">
        <f>VaBenefits[[#This Row],[Maintenace Fee]]+VaBenefits[[#This Row],[Separate Account Charge]]+VaBenefits[[#This Row],[Rider Fee]]</f>
        <v>0</v>
      </c>
      <c r="AR269" s="23">
        <f t="shared" si="27"/>
        <v>130.5</v>
      </c>
      <c r="AS269" s="24">
        <v>0</v>
      </c>
      <c r="AT269" s="24">
        <v>0</v>
      </c>
      <c r="AU269" s="22">
        <v>0</v>
      </c>
      <c r="AV269" s="16">
        <v>0</v>
      </c>
      <c r="AW269" s="14">
        <v>299982</v>
      </c>
      <c r="AX269" s="15">
        <v>0</v>
      </c>
      <c r="AY269" s="15">
        <v>0</v>
      </c>
      <c r="AZ269" s="14">
        <v>0</v>
      </c>
      <c r="BA269" s="17">
        <v>11999</v>
      </c>
    </row>
    <row r="270" spans="1:53" ht="15" thickBot="1" x14ac:dyDescent="0.35">
      <c r="A270" s="32">
        <f t="shared" si="26"/>
        <v>262</v>
      </c>
      <c r="B270" s="29">
        <f t="shared" si="25"/>
        <v>65.5</v>
      </c>
      <c r="C270" s="29" t="b">
        <f>AND(VaBenefits[[#This Row],[timeFromValuation]]&gt;=ACT,VaBenefits[[#This Row],[Assumed Contract Value ]]&gt;0)</f>
        <v>0</v>
      </c>
      <c r="D270" s="20">
        <v>0</v>
      </c>
      <c r="E270" s="20">
        <v>0</v>
      </c>
      <c r="F270" s="20">
        <v>0</v>
      </c>
      <c r="G270" s="96">
        <f>ROUND($G$8+VaBenefits[[#This Row],[timeFromValuation]],0)</f>
        <v>121</v>
      </c>
      <c r="H270" s="20">
        <f>ROUND($H$8+VaBenefits[[#This Row],[timeFromValuation]],0)</f>
        <v>131</v>
      </c>
      <c r="I270" s="27" t="b">
        <f>VaBenefits[[#This Row],[Withdrawal Taken  ]]&gt;0</f>
        <v>0</v>
      </c>
      <c r="J270" s="41">
        <f>IF(AND(NOT(VaBenefits[[#This Row],[Is Activation]]),VaBenefits[[#This Row],[Assumed Contract Value ]]&gt;0),VaBenefits[[#This Row],[Withdrawal Taken  ]]/VaBenefits[[#This Row],[Assumed Contract Value ]],0)</f>
        <v>0</v>
      </c>
      <c r="K27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0" s="27" t="b">
        <f ca="1">AND(VaBenefits[[#This Row],[Is Activation]],SUMIFS($E$8:$E270,$C$8:$C270,TRUE)&gt;0)</f>
        <v>0</v>
      </c>
      <c r="M27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0" s="32" t="b">
        <f>IF(VaBenefits[[#This Row],[timeFromValuation]]=0,0, MOD(VaBenefits[[#This Row],[timeFromValuation]],1)=0)</f>
        <v>0</v>
      </c>
      <c r="O270" s="7">
        <f>IF(VaBenefits[[#This Row],[Is Anniversary?]]=TRUE,VaBenefits[[#This Row],[Assumed Contract Value ]],0)</f>
        <v>0</v>
      </c>
      <c r="P27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0" s="7" t="b">
        <f>VaBenefits[[#This Row],[Assumed Contract Value ]]&lt;0.1</f>
        <v>1</v>
      </c>
      <c r="R27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0" s="7">
        <f ca="1">IF(AND(VaBenefits[[#This Row],[Is Activation]]=FALSE,VaBenefits[[#This Row],[Is Anniversary?]]=TRUE),OFFSET( VaBenefits[[#This Row],[Income Credit Base]],-1,0)*ICP,0)</f>
        <v>0</v>
      </c>
      <c r="T270" s="5">
        <f>IF(VaBenefits[[#This Row],[Assumed Contract Value ]]&gt;0,VaBenefits[[#This Row],[Income Base]]*MAWA,0)</f>
        <v>0</v>
      </c>
      <c r="U270" s="95">
        <v>80</v>
      </c>
      <c r="V270" s="92">
        <f>1/(1+InterestRate)^VaBenefits[[#This Row],[timeFromValuation]]</f>
        <v>4.0935576493953726E-2</v>
      </c>
      <c r="W270" s="93">
        <f>VaBenefits[[#This Row],[timeFromValuation]]</f>
        <v>65.5</v>
      </c>
      <c r="X270" s="91">
        <f>IF(($G$8+VaBenefits[[#This Row],[timeFromValuation]])&lt;=120,VLOOKUP(G270,Table2[],Qx!L$6,FALSE),0)</f>
        <v>0</v>
      </c>
      <c r="Y270" s="91">
        <f>IF(($H$8+VaBenefits[[#This Row],[timeFromValuation]])&lt;=120,VLOOKUP(H270,Table2[],Qx!M$6,FALSE),0)</f>
        <v>0</v>
      </c>
      <c r="Z270" s="91">
        <v>0</v>
      </c>
      <c r="AA270" s="91">
        <v>0</v>
      </c>
      <c r="AB270" s="91">
        <v>0</v>
      </c>
      <c r="AC270" s="91">
        <v>0</v>
      </c>
      <c r="AD270" s="100">
        <f>PV(1.03,20,-VaBenefits[[#This Row],[Protected Income Payment]])</f>
        <v>77.669847916507294</v>
      </c>
      <c r="AE270" s="130">
        <f>IF((AND(VaBenefits[[#This Row],[Is Anniversary?]],VaBenefits[[#This Row],[Assumed Contract Value ]]&lt;75000)),-50,0)</f>
        <v>0</v>
      </c>
      <c r="AF270" s="134">
        <f>VaBenefits[[#This Row],[Assumed Contract Value ]]*-1.15%/4</f>
        <v>0</v>
      </c>
      <c r="AG270" s="129">
        <v>0</v>
      </c>
      <c r="AH270" s="6">
        <f>VaBenefits[[#This Row],[Maintenace Fee]]+VaBenefits[[#This Row],[Separate Account Charge]]+VaBenefits[[#This Row],[Rider Fee]]</f>
        <v>0</v>
      </c>
      <c r="AR270" s="23">
        <f t="shared" si="27"/>
        <v>131</v>
      </c>
      <c r="AS270" s="24">
        <v>0</v>
      </c>
      <c r="AT270" s="24">
        <v>0</v>
      </c>
      <c r="AU270" s="22">
        <v>0</v>
      </c>
      <c r="AV270" s="16">
        <v>0</v>
      </c>
      <c r="AW270" s="14">
        <v>299982</v>
      </c>
      <c r="AX270" s="15">
        <v>0</v>
      </c>
      <c r="AY270" s="15">
        <v>0</v>
      </c>
      <c r="AZ270" s="14">
        <v>0</v>
      </c>
      <c r="BA270" s="17">
        <v>11999</v>
      </c>
    </row>
    <row r="271" spans="1:53" ht="15" thickBot="1" x14ac:dyDescent="0.35">
      <c r="A271" s="32">
        <f t="shared" si="26"/>
        <v>263</v>
      </c>
      <c r="B271" s="29">
        <f t="shared" si="25"/>
        <v>65.75</v>
      </c>
      <c r="C271" s="29" t="b">
        <f>AND(VaBenefits[[#This Row],[timeFromValuation]]&gt;=ACT,VaBenefits[[#This Row],[Assumed Contract Value ]]&gt;0)</f>
        <v>0</v>
      </c>
      <c r="D271" s="20">
        <v>0</v>
      </c>
      <c r="E271" s="20">
        <v>0</v>
      </c>
      <c r="F271" s="20">
        <v>0</v>
      </c>
      <c r="G271" s="96">
        <f>ROUND($G$8+VaBenefits[[#This Row],[timeFromValuation]],0)</f>
        <v>121</v>
      </c>
      <c r="H271" s="20">
        <f>ROUND($H$8+VaBenefits[[#This Row],[timeFromValuation]],0)</f>
        <v>131</v>
      </c>
      <c r="I271" s="27" t="b">
        <f>VaBenefits[[#This Row],[Withdrawal Taken  ]]&gt;0</f>
        <v>0</v>
      </c>
      <c r="J271" s="41">
        <f>IF(AND(NOT(VaBenefits[[#This Row],[Is Activation]]),VaBenefits[[#This Row],[Assumed Contract Value ]]&gt;0),VaBenefits[[#This Row],[Withdrawal Taken  ]]/VaBenefits[[#This Row],[Assumed Contract Value ]],0)</f>
        <v>0</v>
      </c>
      <c r="K27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1" s="27" t="b">
        <f ca="1">AND(VaBenefits[[#This Row],[Is Activation]],SUMIFS($E$8:$E271,$C$8:$C271,TRUE)&gt;0)</f>
        <v>0</v>
      </c>
      <c r="M27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1" s="32" t="b">
        <f>IF(VaBenefits[[#This Row],[timeFromValuation]]=0,0, MOD(VaBenefits[[#This Row],[timeFromValuation]],1)=0)</f>
        <v>0</v>
      </c>
      <c r="O271" s="7">
        <f>IF(VaBenefits[[#This Row],[Is Anniversary?]]=TRUE,VaBenefits[[#This Row],[Assumed Contract Value ]],0)</f>
        <v>0</v>
      </c>
      <c r="P27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1" s="7" t="b">
        <f>VaBenefits[[#This Row],[Assumed Contract Value ]]&lt;0.1</f>
        <v>1</v>
      </c>
      <c r="R27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1" s="7">
        <f ca="1">IF(AND(VaBenefits[[#This Row],[Is Activation]]=FALSE,VaBenefits[[#This Row],[Is Anniversary?]]=TRUE),OFFSET( VaBenefits[[#This Row],[Income Credit Base]],-1,0)*ICP,0)</f>
        <v>0</v>
      </c>
      <c r="T271" s="5">
        <f>IF(VaBenefits[[#This Row],[Assumed Contract Value ]]&gt;0,VaBenefits[[#This Row],[Income Base]]*MAWA,0)</f>
        <v>0</v>
      </c>
      <c r="U271" s="95">
        <v>81</v>
      </c>
      <c r="V271" s="92">
        <f>1/(1+InterestRate)^VaBenefits[[#This Row],[timeFromValuation]]</f>
        <v>4.0439295973620157E-2</v>
      </c>
      <c r="W271" s="93">
        <f>VaBenefits[[#This Row],[timeFromValuation]]</f>
        <v>65.75</v>
      </c>
      <c r="X271" s="91">
        <f>IF(($G$8+VaBenefits[[#This Row],[timeFromValuation]])&lt;=120,VLOOKUP(G271,Table2[],Qx!L$6,FALSE),0)</f>
        <v>0</v>
      </c>
      <c r="Y271" s="91">
        <f>IF(($H$8+VaBenefits[[#This Row],[timeFromValuation]])&lt;=120,VLOOKUP(H271,Table2[],Qx!M$6,FALSE),0)</f>
        <v>0</v>
      </c>
      <c r="Z271" s="91">
        <v>0</v>
      </c>
      <c r="AA271" s="91">
        <v>0</v>
      </c>
      <c r="AB271" s="91">
        <v>0</v>
      </c>
      <c r="AC271" s="91">
        <v>0</v>
      </c>
      <c r="AD271" s="100">
        <f>PV(1.03,20,-VaBenefits[[#This Row],[Protected Income Payment]])</f>
        <v>78.64072101546364</v>
      </c>
      <c r="AE271" s="130">
        <f>IF((AND(VaBenefits[[#This Row],[Is Anniversary?]],VaBenefits[[#This Row],[Assumed Contract Value ]]&lt;75000)),-50,0)</f>
        <v>0</v>
      </c>
      <c r="AF271" s="134">
        <f>VaBenefits[[#This Row],[Assumed Contract Value ]]*-1.15%/4</f>
        <v>0</v>
      </c>
      <c r="AG271" s="129">
        <v>0</v>
      </c>
      <c r="AH271" s="6">
        <f>VaBenefits[[#This Row],[Maintenace Fee]]+VaBenefits[[#This Row],[Separate Account Charge]]+VaBenefits[[#This Row],[Rider Fee]]</f>
        <v>0</v>
      </c>
      <c r="AR271" s="23">
        <f t="shared" si="27"/>
        <v>131.5</v>
      </c>
      <c r="AS271" s="24">
        <v>0</v>
      </c>
      <c r="AT271" s="24">
        <v>0</v>
      </c>
      <c r="AU271" s="22">
        <v>0</v>
      </c>
      <c r="AV271" s="16">
        <v>0</v>
      </c>
      <c r="AW271" s="14">
        <v>299982</v>
      </c>
      <c r="AX271" s="15">
        <v>0</v>
      </c>
      <c r="AY271" s="15">
        <v>0</v>
      </c>
      <c r="AZ271" s="14">
        <v>0</v>
      </c>
      <c r="BA271" s="17">
        <v>11999</v>
      </c>
    </row>
    <row r="272" spans="1:53" ht="15" thickBot="1" x14ac:dyDescent="0.35">
      <c r="A272" s="32">
        <f t="shared" si="26"/>
        <v>264</v>
      </c>
      <c r="B272" s="29">
        <f t="shared" si="25"/>
        <v>66</v>
      </c>
      <c r="C272" s="29" t="b">
        <f>AND(VaBenefits[[#This Row],[timeFromValuation]]&gt;=ACT,VaBenefits[[#This Row],[Assumed Contract Value ]]&gt;0)</f>
        <v>0</v>
      </c>
      <c r="D272" s="20">
        <v>0</v>
      </c>
      <c r="E272" s="20">
        <v>0</v>
      </c>
      <c r="F272" s="20">
        <v>0</v>
      </c>
      <c r="G272" s="96">
        <f>ROUND($G$8+VaBenefits[[#This Row],[timeFromValuation]],0)</f>
        <v>121</v>
      </c>
      <c r="H272" s="20">
        <f>ROUND($H$8+VaBenefits[[#This Row],[timeFromValuation]],0)</f>
        <v>131</v>
      </c>
      <c r="I272" s="27" t="b">
        <f>VaBenefits[[#This Row],[Withdrawal Taken  ]]&gt;0</f>
        <v>0</v>
      </c>
      <c r="J272" s="41">
        <f>IF(AND(NOT(VaBenefits[[#This Row],[Is Activation]]),VaBenefits[[#This Row],[Assumed Contract Value ]]&gt;0),VaBenefits[[#This Row],[Withdrawal Taken  ]]/VaBenefits[[#This Row],[Assumed Contract Value ]],0)</f>
        <v>0</v>
      </c>
      <c r="K27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2" s="27" t="b">
        <f ca="1">AND(VaBenefits[[#This Row],[Is Activation]],SUMIFS($E$8:$E272,$C$8:$C272,TRUE)&gt;0)</f>
        <v>0</v>
      </c>
      <c r="M27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2" s="32" t="b">
        <f>IF(VaBenefits[[#This Row],[timeFromValuation]]=0,0, MOD(VaBenefits[[#This Row],[timeFromValuation]],1)=0)</f>
        <v>1</v>
      </c>
      <c r="O272" s="7">
        <f>IF(VaBenefits[[#This Row],[Is Anniversary?]]=TRUE,VaBenefits[[#This Row],[Assumed Contract Value ]],0)</f>
        <v>0</v>
      </c>
      <c r="P27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2" s="7" t="b">
        <f>VaBenefits[[#This Row],[Assumed Contract Value ]]&lt;0.1</f>
        <v>1</v>
      </c>
      <c r="R27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2" s="7">
        <f ca="1">IF(AND(VaBenefits[[#This Row],[Is Activation]]=FALSE,VaBenefits[[#This Row],[Is Anniversary?]]=TRUE),OFFSET( VaBenefits[[#This Row],[Income Credit Base]],-1,0)*ICP,0)</f>
        <v>0</v>
      </c>
      <c r="T272" s="5">
        <f>IF(VaBenefits[[#This Row],[Assumed Contract Value ]]&gt;0,VaBenefits[[#This Row],[Income Base]]*MAWA,0)</f>
        <v>0</v>
      </c>
      <c r="U272" s="95">
        <v>82</v>
      </c>
      <c r="V272" s="92">
        <f>1/(1+InterestRate)^VaBenefits[[#This Row],[timeFromValuation]]</f>
        <v>3.9949032086639788E-2</v>
      </c>
      <c r="W272" s="93">
        <f>VaBenefits[[#This Row],[timeFromValuation]]</f>
        <v>66</v>
      </c>
      <c r="X272" s="91">
        <f>IF(($G$8+VaBenefits[[#This Row],[timeFromValuation]])&lt;=120,VLOOKUP(G272,Table2[],Qx!L$6,FALSE),0)</f>
        <v>0</v>
      </c>
      <c r="Y272" s="91">
        <f>IF(($H$8+VaBenefits[[#This Row],[timeFromValuation]])&lt;=120,VLOOKUP(H272,Table2[],Qx!M$6,FALSE),0)</f>
        <v>0</v>
      </c>
      <c r="Z272" s="91">
        <v>0</v>
      </c>
      <c r="AA272" s="91">
        <v>0</v>
      </c>
      <c r="AB272" s="91">
        <v>0</v>
      </c>
      <c r="AC272" s="91">
        <v>0</v>
      </c>
      <c r="AD272" s="100">
        <f>PV(1.03,20,-VaBenefits[[#This Row],[Protected Income Payment]])</f>
        <v>79.611594114419987</v>
      </c>
      <c r="AE272" s="130">
        <f>IF((AND(VaBenefits[[#This Row],[Is Anniversary?]],VaBenefits[[#This Row],[Assumed Contract Value ]]&lt;75000)),-50,0)</f>
        <v>-50</v>
      </c>
      <c r="AF272" s="134">
        <f>VaBenefits[[#This Row],[Assumed Contract Value ]]*-1.15%/4</f>
        <v>0</v>
      </c>
      <c r="AG272" s="129">
        <v>0</v>
      </c>
      <c r="AH272" s="6">
        <f>VaBenefits[[#This Row],[Maintenace Fee]]+VaBenefits[[#This Row],[Separate Account Charge]]+VaBenefits[[#This Row],[Rider Fee]]</f>
        <v>-50</v>
      </c>
      <c r="AR272" s="23">
        <f t="shared" si="27"/>
        <v>132</v>
      </c>
      <c r="AS272" s="24">
        <v>0</v>
      </c>
      <c r="AT272" s="24">
        <v>0</v>
      </c>
      <c r="AU272" s="22">
        <v>0</v>
      </c>
      <c r="AV272" s="16">
        <v>0</v>
      </c>
      <c r="AW272" s="14">
        <v>299982</v>
      </c>
      <c r="AX272" s="15">
        <v>0</v>
      </c>
      <c r="AY272" s="15">
        <v>0</v>
      </c>
      <c r="AZ272" s="14">
        <v>0</v>
      </c>
      <c r="BA272" s="17">
        <v>11999</v>
      </c>
    </row>
    <row r="273" spans="1:53" ht="15" thickBot="1" x14ac:dyDescent="0.35">
      <c r="A273" s="32">
        <f t="shared" si="26"/>
        <v>265</v>
      </c>
      <c r="B273" s="29">
        <f t="shared" si="25"/>
        <v>66.25</v>
      </c>
      <c r="C273" s="29" t="b">
        <f>AND(VaBenefits[[#This Row],[timeFromValuation]]&gt;=ACT,VaBenefits[[#This Row],[Assumed Contract Value ]]&gt;0)</f>
        <v>0</v>
      </c>
      <c r="D273" s="20">
        <v>0</v>
      </c>
      <c r="E273" s="20">
        <v>0</v>
      </c>
      <c r="F273" s="20">
        <v>0</v>
      </c>
      <c r="G273" s="96">
        <f>ROUND($G$8+VaBenefits[[#This Row],[timeFromValuation]],0)</f>
        <v>121</v>
      </c>
      <c r="H273" s="20">
        <f>ROUND($H$8+VaBenefits[[#This Row],[timeFromValuation]],0)</f>
        <v>131</v>
      </c>
      <c r="I273" s="27" t="b">
        <f>VaBenefits[[#This Row],[Withdrawal Taken  ]]&gt;0</f>
        <v>0</v>
      </c>
      <c r="J273" s="41">
        <f>IF(AND(NOT(VaBenefits[[#This Row],[Is Activation]]),VaBenefits[[#This Row],[Assumed Contract Value ]]&gt;0),VaBenefits[[#This Row],[Withdrawal Taken  ]]/VaBenefits[[#This Row],[Assumed Contract Value ]],0)</f>
        <v>0</v>
      </c>
      <c r="K27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3" s="27" t="b">
        <f ca="1">AND(VaBenefits[[#This Row],[Is Activation]],SUMIFS($E$8:$E273,$C$8:$C273,TRUE)&gt;0)</f>
        <v>0</v>
      </c>
      <c r="M27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3" s="32" t="b">
        <f>IF(VaBenefits[[#This Row],[timeFromValuation]]=0,0, MOD(VaBenefits[[#This Row],[timeFromValuation]],1)=0)</f>
        <v>0</v>
      </c>
      <c r="O273" s="7">
        <f>IF(VaBenefits[[#This Row],[Is Anniversary?]]=TRUE,VaBenefits[[#This Row],[Assumed Contract Value ]],0)</f>
        <v>0</v>
      </c>
      <c r="P27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3" s="7" t="b">
        <f>VaBenefits[[#This Row],[Assumed Contract Value ]]&lt;0.1</f>
        <v>1</v>
      </c>
      <c r="R27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3" s="7">
        <f ca="1">IF(AND(VaBenefits[[#This Row],[Is Activation]]=FALSE,VaBenefits[[#This Row],[Is Anniversary?]]=TRUE),OFFSET( VaBenefits[[#This Row],[Income Credit Base]],-1,0)*ICP,0)</f>
        <v>0</v>
      </c>
      <c r="T273" s="5">
        <f>IF(VaBenefits[[#This Row],[Assumed Contract Value ]]&gt;0,VaBenefits[[#This Row],[Income Base]]*MAWA,0)</f>
        <v>0</v>
      </c>
      <c r="U273" s="95">
        <v>83</v>
      </c>
      <c r="V273" s="92">
        <f>1/(1+InterestRate)^VaBenefits[[#This Row],[timeFromValuation]]</f>
        <v>3.9464711890643246E-2</v>
      </c>
      <c r="W273" s="93">
        <f>VaBenefits[[#This Row],[timeFromValuation]]</f>
        <v>66.25</v>
      </c>
      <c r="X273" s="91">
        <f>IF(($G$8+VaBenefits[[#This Row],[timeFromValuation]])&lt;=120,VLOOKUP(G273,Table2[],Qx!L$6,FALSE),0)</f>
        <v>0</v>
      </c>
      <c r="Y273" s="91">
        <f>IF(($H$8+VaBenefits[[#This Row],[timeFromValuation]])&lt;=120,VLOOKUP(H273,Table2[],Qx!M$6,FALSE),0)</f>
        <v>0</v>
      </c>
      <c r="Z273" s="91">
        <v>0</v>
      </c>
      <c r="AA273" s="91">
        <v>0</v>
      </c>
      <c r="AB273" s="91">
        <v>0</v>
      </c>
      <c r="AC273" s="91">
        <v>0</v>
      </c>
      <c r="AD273" s="100">
        <f>PV(1.03,20,-VaBenefits[[#This Row],[Protected Income Payment]])</f>
        <v>80.582467213376319</v>
      </c>
      <c r="AE273" s="130">
        <f>IF((AND(VaBenefits[[#This Row],[Is Anniversary?]],VaBenefits[[#This Row],[Assumed Contract Value ]]&lt;75000)),-50,0)</f>
        <v>0</v>
      </c>
      <c r="AF273" s="134">
        <f>VaBenefits[[#This Row],[Assumed Contract Value ]]*-1.15%/4</f>
        <v>0</v>
      </c>
      <c r="AG273" s="129">
        <v>0</v>
      </c>
      <c r="AH273" s="6">
        <f>VaBenefits[[#This Row],[Maintenace Fee]]+VaBenefits[[#This Row],[Separate Account Charge]]+VaBenefits[[#This Row],[Rider Fee]]</f>
        <v>0</v>
      </c>
      <c r="AR273" s="23">
        <f t="shared" si="27"/>
        <v>132.5</v>
      </c>
      <c r="AS273" s="24">
        <v>0</v>
      </c>
      <c r="AT273" s="24">
        <v>0</v>
      </c>
      <c r="AU273" s="22">
        <v>0</v>
      </c>
      <c r="AV273" s="16">
        <v>0</v>
      </c>
      <c r="AW273" s="14">
        <v>299982</v>
      </c>
      <c r="AX273" s="15">
        <v>0</v>
      </c>
      <c r="AY273" s="15">
        <v>0</v>
      </c>
      <c r="AZ273" s="14">
        <v>0</v>
      </c>
      <c r="BA273" s="17">
        <v>11999</v>
      </c>
    </row>
    <row r="274" spans="1:53" ht="15" thickBot="1" x14ac:dyDescent="0.35">
      <c r="A274" s="32">
        <f t="shared" si="26"/>
        <v>266</v>
      </c>
      <c r="B274" s="29">
        <f t="shared" si="25"/>
        <v>66.5</v>
      </c>
      <c r="C274" s="29" t="b">
        <f>AND(VaBenefits[[#This Row],[timeFromValuation]]&gt;=ACT,VaBenefits[[#This Row],[Assumed Contract Value ]]&gt;0)</f>
        <v>0</v>
      </c>
      <c r="D274" s="20">
        <v>0</v>
      </c>
      <c r="E274" s="20">
        <v>0</v>
      </c>
      <c r="F274" s="20">
        <v>0</v>
      </c>
      <c r="G274" s="96">
        <f>ROUND($G$8+VaBenefits[[#This Row],[timeFromValuation]],0)</f>
        <v>122</v>
      </c>
      <c r="H274" s="20">
        <f>ROUND($H$8+VaBenefits[[#This Row],[timeFromValuation]],0)</f>
        <v>132</v>
      </c>
      <c r="I274" s="27" t="b">
        <f>VaBenefits[[#This Row],[Withdrawal Taken  ]]&gt;0</f>
        <v>0</v>
      </c>
      <c r="J274" s="41">
        <f>IF(AND(NOT(VaBenefits[[#This Row],[Is Activation]]),VaBenefits[[#This Row],[Assumed Contract Value ]]&gt;0),VaBenefits[[#This Row],[Withdrawal Taken  ]]/VaBenefits[[#This Row],[Assumed Contract Value ]],0)</f>
        <v>0</v>
      </c>
      <c r="K27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4" s="27" t="b">
        <f ca="1">AND(VaBenefits[[#This Row],[Is Activation]],SUMIFS($E$8:$E274,$C$8:$C274,TRUE)&gt;0)</f>
        <v>0</v>
      </c>
      <c r="M27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4" s="32" t="b">
        <f>IF(VaBenefits[[#This Row],[timeFromValuation]]=0,0, MOD(VaBenefits[[#This Row],[timeFromValuation]],1)=0)</f>
        <v>0</v>
      </c>
      <c r="O274" s="7">
        <f>IF(VaBenefits[[#This Row],[Is Anniversary?]]=TRUE,VaBenefits[[#This Row],[Assumed Contract Value ]],0)</f>
        <v>0</v>
      </c>
      <c r="P27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4" s="7" t="b">
        <f>VaBenefits[[#This Row],[Assumed Contract Value ]]&lt;0.1</f>
        <v>1</v>
      </c>
      <c r="R27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4" s="7">
        <f ca="1">IF(AND(VaBenefits[[#This Row],[Is Activation]]=FALSE,VaBenefits[[#This Row],[Is Anniversary?]]=TRUE),OFFSET( VaBenefits[[#This Row],[Income Credit Base]],-1,0)*ICP,0)</f>
        <v>0</v>
      </c>
      <c r="T274" s="5">
        <f>IF(VaBenefits[[#This Row],[Assumed Contract Value ]]&gt;0,VaBenefits[[#This Row],[Income Base]]*MAWA,0)</f>
        <v>0</v>
      </c>
      <c r="U274" s="95">
        <v>84</v>
      </c>
      <c r="V274" s="92">
        <f>1/(1+InterestRate)^VaBenefits[[#This Row],[timeFromValuation]]</f>
        <v>3.8986263327574988E-2</v>
      </c>
      <c r="W274" s="93">
        <f>VaBenefits[[#This Row],[timeFromValuation]]</f>
        <v>66.5</v>
      </c>
      <c r="X274" s="91">
        <f>IF(($G$8+VaBenefits[[#This Row],[timeFromValuation]])&lt;=120,VLOOKUP(G274,Table2[],Qx!L$6,FALSE),0)</f>
        <v>0</v>
      </c>
      <c r="Y274" s="91">
        <f>IF(($H$8+VaBenefits[[#This Row],[timeFromValuation]])&lt;=120,VLOOKUP(H274,Table2[],Qx!M$6,FALSE),0)</f>
        <v>0</v>
      </c>
      <c r="Z274" s="91">
        <v>0</v>
      </c>
      <c r="AA274" s="91">
        <v>0</v>
      </c>
      <c r="AB274" s="91">
        <v>0</v>
      </c>
      <c r="AC274" s="91">
        <v>0</v>
      </c>
      <c r="AD274" s="100">
        <f>PV(1.03,20,-VaBenefits[[#This Row],[Protected Income Payment]])</f>
        <v>81.553340312332651</v>
      </c>
      <c r="AE274" s="130">
        <f>IF((AND(VaBenefits[[#This Row],[Is Anniversary?]],VaBenefits[[#This Row],[Assumed Contract Value ]]&lt;75000)),-50,0)</f>
        <v>0</v>
      </c>
      <c r="AF274" s="134">
        <f>VaBenefits[[#This Row],[Assumed Contract Value ]]*-1.15%/4</f>
        <v>0</v>
      </c>
      <c r="AG274" s="129">
        <v>0</v>
      </c>
      <c r="AH274" s="6">
        <f>VaBenefits[[#This Row],[Maintenace Fee]]+VaBenefits[[#This Row],[Separate Account Charge]]+VaBenefits[[#This Row],[Rider Fee]]</f>
        <v>0</v>
      </c>
      <c r="AR274" s="23">
        <f t="shared" si="27"/>
        <v>133</v>
      </c>
      <c r="AS274" s="24">
        <v>0</v>
      </c>
      <c r="AT274" s="24">
        <v>0</v>
      </c>
      <c r="AU274" s="22">
        <v>0</v>
      </c>
      <c r="AV274" s="16">
        <v>0</v>
      </c>
      <c r="AW274" s="14">
        <v>299982</v>
      </c>
      <c r="AX274" s="15">
        <v>0</v>
      </c>
      <c r="AY274" s="15">
        <v>0</v>
      </c>
      <c r="AZ274" s="14">
        <v>0</v>
      </c>
      <c r="BA274" s="17">
        <v>11999</v>
      </c>
    </row>
    <row r="275" spans="1:53" ht="15" thickBot="1" x14ac:dyDescent="0.35">
      <c r="A275" s="32">
        <f t="shared" si="26"/>
        <v>267</v>
      </c>
      <c r="B275" s="29">
        <f t="shared" si="25"/>
        <v>66.75</v>
      </c>
      <c r="C275" s="29" t="b">
        <f>AND(VaBenefits[[#This Row],[timeFromValuation]]&gt;=ACT,VaBenefits[[#This Row],[Assumed Contract Value ]]&gt;0)</f>
        <v>0</v>
      </c>
      <c r="D275" s="20">
        <v>0</v>
      </c>
      <c r="E275" s="20">
        <v>0</v>
      </c>
      <c r="F275" s="20">
        <v>0</v>
      </c>
      <c r="G275" s="96">
        <f>ROUND($G$8+VaBenefits[[#This Row],[timeFromValuation]],0)</f>
        <v>122</v>
      </c>
      <c r="H275" s="20">
        <f>ROUND($H$8+VaBenefits[[#This Row],[timeFromValuation]],0)</f>
        <v>132</v>
      </c>
      <c r="I275" s="27" t="b">
        <f>VaBenefits[[#This Row],[Withdrawal Taken  ]]&gt;0</f>
        <v>0</v>
      </c>
      <c r="J275" s="41">
        <f>IF(AND(NOT(VaBenefits[[#This Row],[Is Activation]]),VaBenefits[[#This Row],[Assumed Contract Value ]]&gt;0),VaBenefits[[#This Row],[Withdrawal Taken  ]]/VaBenefits[[#This Row],[Assumed Contract Value ]],0)</f>
        <v>0</v>
      </c>
      <c r="K27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5" s="27" t="b">
        <f ca="1">AND(VaBenefits[[#This Row],[Is Activation]],SUMIFS($E$8:$E275,$C$8:$C275,TRUE)&gt;0)</f>
        <v>0</v>
      </c>
      <c r="M27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5" s="32" t="b">
        <f>IF(VaBenefits[[#This Row],[timeFromValuation]]=0,0, MOD(VaBenefits[[#This Row],[timeFromValuation]],1)=0)</f>
        <v>0</v>
      </c>
      <c r="O275" s="7">
        <f>IF(VaBenefits[[#This Row],[Is Anniversary?]]=TRUE,VaBenefits[[#This Row],[Assumed Contract Value ]],0)</f>
        <v>0</v>
      </c>
      <c r="P27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5" s="7" t="b">
        <f>VaBenefits[[#This Row],[Assumed Contract Value ]]&lt;0.1</f>
        <v>1</v>
      </c>
      <c r="R27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5" s="7">
        <f ca="1">IF(AND(VaBenefits[[#This Row],[Is Activation]]=FALSE,VaBenefits[[#This Row],[Is Anniversary?]]=TRUE),OFFSET( VaBenefits[[#This Row],[Income Credit Base]],-1,0)*ICP,0)</f>
        <v>0</v>
      </c>
      <c r="T275" s="5">
        <f>IF(VaBenefits[[#This Row],[Assumed Contract Value ]]&gt;0,VaBenefits[[#This Row],[Income Base]]*MAWA,0)</f>
        <v>0</v>
      </c>
      <c r="U275" s="95">
        <v>85</v>
      </c>
      <c r="V275" s="92">
        <f>1/(1+InterestRate)^VaBenefits[[#This Row],[timeFromValuation]]</f>
        <v>3.8513615212971593E-2</v>
      </c>
      <c r="W275" s="93">
        <f>VaBenefits[[#This Row],[timeFromValuation]]</f>
        <v>66.75</v>
      </c>
      <c r="X275" s="91">
        <f>IF(($G$8+VaBenefits[[#This Row],[timeFromValuation]])&lt;=120,VLOOKUP(G275,Table2[],Qx!L$6,FALSE),0)</f>
        <v>0</v>
      </c>
      <c r="Y275" s="91">
        <f>IF(($H$8+VaBenefits[[#This Row],[timeFromValuation]])&lt;=120,VLOOKUP(H275,Table2[],Qx!M$6,FALSE),0)</f>
        <v>0</v>
      </c>
      <c r="Z275" s="91">
        <v>0</v>
      </c>
      <c r="AA275" s="91">
        <v>0</v>
      </c>
      <c r="AB275" s="91">
        <v>0</v>
      </c>
      <c r="AC275" s="91">
        <v>0</v>
      </c>
      <c r="AD275" s="100">
        <f>PV(1.03,20,-VaBenefits[[#This Row],[Protected Income Payment]])</f>
        <v>82.524213411288997</v>
      </c>
      <c r="AE275" s="130">
        <f>IF((AND(VaBenefits[[#This Row],[Is Anniversary?]],VaBenefits[[#This Row],[Assumed Contract Value ]]&lt;75000)),-50,0)</f>
        <v>0</v>
      </c>
      <c r="AF275" s="134">
        <f>VaBenefits[[#This Row],[Assumed Contract Value ]]*-1.15%/4</f>
        <v>0</v>
      </c>
      <c r="AG275" s="129">
        <v>0</v>
      </c>
      <c r="AH275" s="6">
        <f>VaBenefits[[#This Row],[Maintenace Fee]]+VaBenefits[[#This Row],[Separate Account Charge]]+VaBenefits[[#This Row],[Rider Fee]]</f>
        <v>0</v>
      </c>
      <c r="AR275" s="23">
        <f t="shared" si="27"/>
        <v>133.5</v>
      </c>
      <c r="AS275" s="24">
        <v>0</v>
      </c>
      <c r="AT275" s="24">
        <v>0</v>
      </c>
      <c r="AU275" s="22">
        <v>0</v>
      </c>
      <c r="AV275" s="16">
        <v>0</v>
      </c>
      <c r="AW275" s="14">
        <v>299982</v>
      </c>
      <c r="AX275" s="15">
        <v>0</v>
      </c>
      <c r="AY275" s="15">
        <v>0</v>
      </c>
      <c r="AZ275" s="14">
        <v>0</v>
      </c>
      <c r="BA275" s="17">
        <v>11999</v>
      </c>
    </row>
    <row r="276" spans="1:53" ht="15" thickBot="1" x14ac:dyDescent="0.35">
      <c r="A276" s="32">
        <f t="shared" si="26"/>
        <v>268</v>
      </c>
      <c r="B276" s="29">
        <f t="shared" si="25"/>
        <v>67</v>
      </c>
      <c r="C276" s="29" t="b">
        <f>AND(VaBenefits[[#This Row],[timeFromValuation]]&gt;=ACT,VaBenefits[[#This Row],[Assumed Contract Value ]]&gt;0)</f>
        <v>0</v>
      </c>
      <c r="D276" s="20">
        <v>0</v>
      </c>
      <c r="E276" s="20">
        <v>0</v>
      </c>
      <c r="F276" s="20">
        <v>0</v>
      </c>
      <c r="G276" s="96">
        <f>ROUND($G$8+VaBenefits[[#This Row],[timeFromValuation]],0)</f>
        <v>122</v>
      </c>
      <c r="H276" s="20">
        <f>ROUND($H$8+VaBenefits[[#This Row],[timeFromValuation]],0)</f>
        <v>132</v>
      </c>
      <c r="I276" s="27" t="b">
        <f>VaBenefits[[#This Row],[Withdrawal Taken  ]]&gt;0</f>
        <v>0</v>
      </c>
      <c r="J276" s="41">
        <f>IF(AND(NOT(VaBenefits[[#This Row],[Is Activation]]),VaBenefits[[#This Row],[Assumed Contract Value ]]&gt;0),VaBenefits[[#This Row],[Withdrawal Taken  ]]/VaBenefits[[#This Row],[Assumed Contract Value ]],0)</f>
        <v>0</v>
      </c>
      <c r="K27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6" s="27" t="b">
        <f ca="1">AND(VaBenefits[[#This Row],[Is Activation]],SUMIFS($E$8:$E276,$C$8:$C276,TRUE)&gt;0)</f>
        <v>0</v>
      </c>
      <c r="M27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6" s="32" t="b">
        <f>IF(VaBenefits[[#This Row],[timeFromValuation]]=0,0, MOD(VaBenefits[[#This Row],[timeFromValuation]],1)=0)</f>
        <v>1</v>
      </c>
      <c r="O276" s="7">
        <f>IF(VaBenefits[[#This Row],[Is Anniversary?]]=TRUE,VaBenefits[[#This Row],[Assumed Contract Value ]],0)</f>
        <v>0</v>
      </c>
      <c r="P27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6" s="7" t="b">
        <f>VaBenefits[[#This Row],[Assumed Contract Value ]]&lt;0.1</f>
        <v>1</v>
      </c>
      <c r="R27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6" s="7">
        <f ca="1">IF(AND(VaBenefits[[#This Row],[Is Activation]]=FALSE,VaBenefits[[#This Row],[Is Anniversary?]]=TRUE),OFFSET( VaBenefits[[#This Row],[Income Credit Base]],-1,0)*ICP,0)</f>
        <v>0</v>
      </c>
      <c r="T276" s="5">
        <f>IF(VaBenefits[[#This Row],[Assumed Contract Value ]]&gt;0,VaBenefits[[#This Row],[Income Base]]*MAWA,0)</f>
        <v>0</v>
      </c>
      <c r="U276" s="95">
        <v>86</v>
      </c>
      <c r="V276" s="92">
        <f>1/(1+InterestRate)^VaBenefits[[#This Row],[timeFromValuation]]</f>
        <v>3.8046697225371226E-2</v>
      </c>
      <c r="W276" s="93">
        <f>VaBenefits[[#This Row],[timeFromValuation]]</f>
        <v>67</v>
      </c>
      <c r="X276" s="91">
        <f>IF(($G$8+VaBenefits[[#This Row],[timeFromValuation]])&lt;=120,VLOOKUP(G276,Table2[],Qx!L$6,FALSE),0)</f>
        <v>0</v>
      </c>
      <c r="Y276" s="91">
        <f>IF(($H$8+VaBenefits[[#This Row],[timeFromValuation]])&lt;=120,VLOOKUP(H276,Table2[],Qx!M$6,FALSE),0)</f>
        <v>0</v>
      </c>
      <c r="Z276" s="91">
        <v>0</v>
      </c>
      <c r="AA276" s="91">
        <v>0</v>
      </c>
      <c r="AB276" s="91">
        <v>0</v>
      </c>
      <c r="AC276" s="91">
        <v>0</v>
      </c>
      <c r="AD276" s="100">
        <f>PV(1.03,20,-VaBenefits[[#This Row],[Protected Income Payment]])</f>
        <v>83.495086510245343</v>
      </c>
      <c r="AE276" s="130">
        <f>IF((AND(VaBenefits[[#This Row],[Is Anniversary?]],VaBenefits[[#This Row],[Assumed Contract Value ]]&lt;75000)),-50,0)</f>
        <v>-50</v>
      </c>
      <c r="AF276" s="134">
        <f>VaBenefits[[#This Row],[Assumed Contract Value ]]*-1.15%/4</f>
        <v>0</v>
      </c>
      <c r="AG276" s="129">
        <v>0</v>
      </c>
      <c r="AH276" s="6">
        <f>VaBenefits[[#This Row],[Maintenace Fee]]+VaBenefits[[#This Row],[Separate Account Charge]]+VaBenefits[[#This Row],[Rider Fee]]</f>
        <v>-50</v>
      </c>
      <c r="AR276" s="23">
        <f t="shared" si="27"/>
        <v>134</v>
      </c>
      <c r="AS276" s="24">
        <v>0</v>
      </c>
      <c r="AT276" s="24">
        <v>0</v>
      </c>
      <c r="AU276" s="22">
        <v>0</v>
      </c>
      <c r="AV276" s="16">
        <v>0</v>
      </c>
      <c r="AW276" s="14">
        <v>299982</v>
      </c>
      <c r="AX276" s="15">
        <v>0</v>
      </c>
      <c r="AY276" s="15">
        <v>0</v>
      </c>
      <c r="AZ276" s="14">
        <v>0</v>
      </c>
      <c r="BA276" s="17">
        <v>11999</v>
      </c>
    </row>
    <row r="277" spans="1:53" ht="15" thickBot="1" x14ac:dyDescent="0.35">
      <c r="A277" s="32">
        <f t="shared" si="26"/>
        <v>269</v>
      </c>
      <c r="B277" s="29">
        <f t="shared" si="25"/>
        <v>67.25</v>
      </c>
      <c r="C277" s="29" t="b">
        <f>AND(VaBenefits[[#This Row],[timeFromValuation]]&gt;=ACT,VaBenefits[[#This Row],[Assumed Contract Value ]]&gt;0)</f>
        <v>0</v>
      </c>
      <c r="D277" s="20">
        <v>0</v>
      </c>
      <c r="E277" s="20">
        <v>0</v>
      </c>
      <c r="F277" s="20">
        <v>0</v>
      </c>
      <c r="G277" s="96">
        <f>ROUND($G$8+VaBenefits[[#This Row],[timeFromValuation]],0)</f>
        <v>122</v>
      </c>
      <c r="H277" s="20">
        <f>ROUND($H$8+VaBenefits[[#This Row],[timeFromValuation]],0)</f>
        <v>132</v>
      </c>
      <c r="I277" s="27" t="b">
        <f>VaBenefits[[#This Row],[Withdrawal Taken  ]]&gt;0</f>
        <v>0</v>
      </c>
      <c r="J277" s="41">
        <f>IF(AND(NOT(VaBenefits[[#This Row],[Is Activation]]),VaBenefits[[#This Row],[Assumed Contract Value ]]&gt;0),VaBenefits[[#This Row],[Withdrawal Taken  ]]/VaBenefits[[#This Row],[Assumed Contract Value ]],0)</f>
        <v>0</v>
      </c>
      <c r="K27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7" s="27" t="b">
        <f ca="1">AND(VaBenefits[[#This Row],[Is Activation]],SUMIFS($E$8:$E277,$C$8:$C277,TRUE)&gt;0)</f>
        <v>0</v>
      </c>
      <c r="M27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7" s="32" t="b">
        <f>IF(VaBenefits[[#This Row],[timeFromValuation]]=0,0, MOD(VaBenefits[[#This Row],[timeFromValuation]],1)=0)</f>
        <v>0</v>
      </c>
      <c r="O277" s="7">
        <f>IF(VaBenefits[[#This Row],[Is Anniversary?]]=TRUE,VaBenefits[[#This Row],[Assumed Contract Value ]],0)</f>
        <v>0</v>
      </c>
      <c r="P27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7" s="7" t="b">
        <f>VaBenefits[[#This Row],[Assumed Contract Value ]]&lt;0.1</f>
        <v>1</v>
      </c>
      <c r="R27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7" s="7">
        <f ca="1">IF(AND(VaBenefits[[#This Row],[Is Activation]]=FALSE,VaBenefits[[#This Row],[Is Anniversary?]]=TRUE),OFFSET( VaBenefits[[#This Row],[Income Credit Base]],-1,0)*ICP,0)</f>
        <v>0</v>
      </c>
      <c r="T277" s="5">
        <f>IF(VaBenefits[[#This Row],[Assumed Contract Value ]]&gt;0,VaBenefits[[#This Row],[Income Base]]*MAWA,0)</f>
        <v>0</v>
      </c>
      <c r="U277" s="95">
        <v>87</v>
      </c>
      <c r="V277" s="92">
        <f>1/(1+InterestRate)^VaBenefits[[#This Row],[timeFromValuation]]</f>
        <v>3.7585439895850711E-2</v>
      </c>
      <c r="W277" s="93">
        <f>VaBenefits[[#This Row],[timeFromValuation]]</f>
        <v>67.25</v>
      </c>
      <c r="X277" s="91">
        <f>IF(($G$8+VaBenefits[[#This Row],[timeFromValuation]])&lt;=120,VLOOKUP(G277,Table2[],Qx!L$6,FALSE),0)</f>
        <v>0</v>
      </c>
      <c r="Y277" s="91">
        <f>IF(($H$8+VaBenefits[[#This Row],[timeFromValuation]])&lt;=120,VLOOKUP(H277,Table2[],Qx!M$6,FALSE),0)</f>
        <v>0</v>
      </c>
      <c r="Z277" s="91">
        <v>0</v>
      </c>
      <c r="AA277" s="91">
        <v>0</v>
      </c>
      <c r="AB277" s="91">
        <v>0</v>
      </c>
      <c r="AC277" s="91">
        <v>0</v>
      </c>
      <c r="AD277" s="100">
        <f>PV(1.03,20,-VaBenefits[[#This Row],[Protected Income Payment]])</f>
        <v>84.465959609201676</v>
      </c>
      <c r="AE277" s="130">
        <f>IF((AND(VaBenefits[[#This Row],[Is Anniversary?]],VaBenefits[[#This Row],[Assumed Contract Value ]]&lt;75000)),-50,0)</f>
        <v>0</v>
      </c>
      <c r="AF277" s="134">
        <f>VaBenefits[[#This Row],[Assumed Contract Value ]]*-1.15%/4</f>
        <v>0</v>
      </c>
      <c r="AG277" s="129">
        <v>0</v>
      </c>
      <c r="AH277" s="6">
        <f>VaBenefits[[#This Row],[Maintenace Fee]]+VaBenefits[[#This Row],[Separate Account Charge]]+VaBenefits[[#This Row],[Rider Fee]]</f>
        <v>0</v>
      </c>
      <c r="AR277" s="23">
        <f t="shared" si="27"/>
        <v>134.5</v>
      </c>
      <c r="AS277" s="24">
        <v>0</v>
      </c>
      <c r="AT277" s="24">
        <v>0</v>
      </c>
      <c r="AU277" s="22">
        <v>0</v>
      </c>
      <c r="AV277" s="16">
        <v>0</v>
      </c>
      <c r="AW277" s="14">
        <v>299982</v>
      </c>
      <c r="AX277" s="15">
        <v>0</v>
      </c>
      <c r="AY277" s="15">
        <v>0</v>
      </c>
      <c r="AZ277" s="14">
        <v>0</v>
      </c>
      <c r="BA277" s="17">
        <v>11999</v>
      </c>
    </row>
    <row r="278" spans="1:53" ht="15" thickBot="1" x14ac:dyDescent="0.35">
      <c r="A278" s="32">
        <f t="shared" si="26"/>
        <v>270</v>
      </c>
      <c r="B278" s="29">
        <f t="shared" si="25"/>
        <v>67.5</v>
      </c>
      <c r="C278" s="29" t="b">
        <f>AND(VaBenefits[[#This Row],[timeFromValuation]]&gt;=ACT,VaBenefits[[#This Row],[Assumed Contract Value ]]&gt;0)</f>
        <v>0</v>
      </c>
      <c r="D278" s="20">
        <v>0</v>
      </c>
      <c r="E278" s="20">
        <v>0</v>
      </c>
      <c r="F278" s="20">
        <v>0</v>
      </c>
      <c r="G278" s="96">
        <f>ROUND($G$8+VaBenefits[[#This Row],[timeFromValuation]],0)</f>
        <v>123</v>
      </c>
      <c r="H278" s="20">
        <f>ROUND($H$8+VaBenefits[[#This Row],[timeFromValuation]],0)</f>
        <v>133</v>
      </c>
      <c r="I278" s="27" t="b">
        <f>VaBenefits[[#This Row],[Withdrawal Taken  ]]&gt;0</f>
        <v>0</v>
      </c>
      <c r="J278" s="41">
        <f>IF(AND(NOT(VaBenefits[[#This Row],[Is Activation]]),VaBenefits[[#This Row],[Assumed Contract Value ]]&gt;0),VaBenefits[[#This Row],[Withdrawal Taken  ]]/VaBenefits[[#This Row],[Assumed Contract Value ]],0)</f>
        <v>0</v>
      </c>
      <c r="K27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8" s="27" t="b">
        <f ca="1">AND(VaBenefits[[#This Row],[Is Activation]],SUMIFS($E$8:$E278,$C$8:$C278,TRUE)&gt;0)</f>
        <v>0</v>
      </c>
      <c r="M27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8" s="32" t="b">
        <f>IF(VaBenefits[[#This Row],[timeFromValuation]]=0,0, MOD(VaBenefits[[#This Row],[timeFromValuation]],1)=0)</f>
        <v>0</v>
      </c>
      <c r="O278" s="7">
        <f>IF(VaBenefits[[#This Row],[Is Anniversary?]]=TRUE,VaBenefits[[#This Row],[Assumed Contract Value ]],0)</f>
        <v>0</v>
      </c>
      <c r="P27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8" s="7" t="b">
        <f>VaBenefits[[#This Row],[Assumed Contract Value ]]&lt;0.1</f>
        <v>1</v>
      </c>
      <c r="R27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8" s="7">
        <f ca="1">IF(AND(VaBenefits[[#This Row],[Is Activation]]=FALSE,VaBenefits[[#This Row],[Is Anniversary?]]=TRUE),OFFSET( VaBenefits[[#This Row],[Income Credit Base]],-1,0)*ICP,0)</f>
        <v>0</v>
      </c>
      <c r="T278" s="5">
        <f>IF(VaBenefits[[#This Row],[Assumed Contract Value ]]&gt;0,VaBenefits[[#This Row],[Income Base]]*MAWA,0)</f>
        <v>0</v>
      </c>
      <c r="U278" s="95">
        <v>88</v>
      </c>
      <c r="V278" s="92">
        <f>1/(1+InterestRate)^VaBenefits[[#This Row],[timeFromValuation]]</f>
        <v>3.7129774597690457E-2</v>
      </c>
      <c r="W278" s="93">
        <f>VaBenefits[[#This Row],[timeFromValuation]]</f>
        <v>67.5</v>
      </c>
      <c r="X278" s="91">
        <f>IF(($G$8+VaBenefits[[#This Row],[timeFromValuation]])&lt;=120,VLOOKUP(G278,Table2[],Qx!L$6,FALSE),0)</f>
        <v>0</v>
      </c>
      <c r="Y278" s="91">
        <f>IF(($H$8+VaBenefits[[#This Row],[timeFromValuation]])&lt;=120,VLOOKUP(H278,Table2[],Qx!M$6,FALSE),0)</f>
        <v>0</v>
      </c>
      <c r="Z278" s="91">
        <v>0</v>
      </c>
      <c r="AA278" s="91">
        <v>0</v>
      </c>
      <c r="AB278" s="91">
        <v>0</v>
      </c>
      <c r="AC278" s="91">
        <v>0</v>
      </c>
      <c r="AD278" s="100">
        <f>PV(1.03,20,-VaBenefits[[#This Row],[Protected Income Payment]])</f>
        <v>85.436832708158022</v>
      </c>
      <c r="AE278" s="130">
        <f>IF((AND(VaBenefits[[#This Row],[Is Anniversary?]],VaBenefits[[#This Row],[Assumed Contract Value ]]&lt;75000)),-50,0)</f>
        <v>0</v>
      </c>
      <c r="AF278" s="134">
        <f>VaBenefits[[#This Row],[Assumed Contract Value ]]*-1.15%/4</f>
        <v>0</v>
      </c>
      <c r="AG278" s="129">
        <v>0</v>
      </c>
      <c r="AH278" s="6">
        <f>VaBenefits[[#This Row],[Maintenace Fee]]+VaBenefits[[#This Row],[Separate Account Charge]]+VaBenefits[[#This Row],[Rider Fee]]</f>
        <v>0</v>
      </c>
      <c r="AR278" s="23">
        <f t="shared" si="27"/>
        <v>135</v>
      </c>
      <c r="AS278" s="24">
        <v>0</v>
      </c>
      <c r="AT278" s="24">
        <v>0</v>
      </c>
      <c r="AU278" s="22">
        <v>0</v>
      </c>
      <c r="AV278" s="16">
        <v>0</v>
      </c>
      <c r="AW278" s="14">
        <v>299982</v>
      </c>
      <c r="AX278" s="15">
        <v>0</v>
      </c>
      <c r="AY278" s="15">
        <v>0</v>
      </c>
      <c r="AZ278" s="14">
        <v>0</v>
      </c>
      <c r="BA278" s="17">
        <v>11999</v>
      </c>
    </row>
    <row r="279" spans="1:53" ht="15" thickBot="1" x14ac:dyDescent="0.35">
      <c r="A279" s="32">
        <f t="shared" si="26"/>
        <v>271</v>
      </c>
      <c r="B279" s="29">
        <f t="shared" si="25"/>
        <v>67.75</v>
      </c>
      <c r="C279" s="29" t="b">
        <f>AND(VaBenefits[[#This Row],[timeFromValuation]]&gt;=ACT,VaBenefits[[#This Row],[Assumed Contract Value ]]&gt;0)</f>
        <v>0</v>
      </c>
      <c r="D279" s="20">
        <v>0</v>
      </c>
      <c r="E279" s="20">
        <v>0</v>
      </c>
      <c r="F279" s="20">
        <v>0</v>
      </c>
      <c r="G279" s="96">
        <f>ROUND($G$8+VaBenefits[[#This Row],[timeFromValuation]],0)</f>
        <v>123</v>
      </c>
      <c r="H279" s="20">
        <f>ROUND($H$8+VaBenefits[[#This Row],[timeFromValuation]],0)</f>
        <v>133</v>
      </c>
      <c r="I279" s="27" t="b">
        <f>VaBenefits[[#This Row],[Withdrawal Taken  ]]&gt;0</f>
        <v>0</v>
      </c>
      <c r="J279" s="41">
        <f>IF(AND(NOT(VaBenefits[[#This Row],[Is Activation]]),VaBenefits[[#This Row],[Assumed Contract Value ]]&gt;0),VaBenefits[[#This Row],[Withdrawal Taken  ]]/VaBenefits[[#This Row],[Assumed Contract Value ]],0)</f>
        <v>0</v>
      </c>
      <c r="K27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9" s="27" t="b">
        <f ca="1">AND(VaBenefits[[#This Row],[Is Activation]],SUMIFS($E$8:$E279,$C$8:$C279,TRUE)&gt;0)</f>
        <v>0</v>
      </c>
      <c r="M27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9" s="32" t="b">
        <f>IF(VaBenefits[[#This Row],[timeFromValuation]]=0,0, MOD(VaBenefits[[#This Row],[timeFromValuation]],1)=0)</f>
        <v>0</v>
      </c>
      <c r="O279" s="7">
        <f>IF(VaBenefits[[#This Row],[Is Anniversary?]]=TRUE,VaBenefits[[#This Row],[Assumed Contract Value ]],0)</f>
        <v>0</v>
      </c>
      <c r="P27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9" s="7" t="b">
        <f>VaBenefits[[#This Row],[Assumed Contract Value ]]&lt;0.1</f>
        <v>1</v>
      </c>
      <c r="R27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9" s="7">
        <f ca="1">IF(AND(VaBenefits[[#This Row],[Is Activation]]=FALSE,VaBenefits[[#This Row],[Is Anniversary?]]=TRUE),OFFSET( VaBenefits[[#This Row],[Income Credit Base]],-1,0)*ICP,0)</f>
        <v>0</v>
      </c>
      <c r="T279" s="5">
        <f>IF(VaBenefits[[#This Row],[Assumed Contract Value ]]&gt;0,VaBenefits[[#This Row],[Income Base]]*MAWA,0)</f>
        <v>0</v>
      </c>
      <c r="U279" s="95">
        <v>89</v>
      </c>
      <c r="V279" s="92">
        <f>1/(1+InterestRate)^VaBenefits[[#This Row],[timeFromValuation]]</f>
        <v>3.6679633536163408E-2</v>
      </c>
      <c r="W279" s="93">
        <f>VaBenefits[[#This Row],[timeFromValuation]]</f>
        <v>67.75</v>
      </c>
      <c r="X279" s="91">
        <f>IF(($G$8+VaBenefits[[#This Row],[timeFromValuation]])&lt;=120,VLOOKUP(G279,Table2[],Qx!L$6,FALSE),0)</f>
        <v>0</v>
      </c>
      <c r="Y279" s="91">
        <f>IF(($H$8+VaBenefits[[#This Row],[timeFromValuation]])&lt;=120,VLOOKUP(H279,Table2[],Qx!M$6,FALSE),0)</f>
        <v>0</v>
      </c>
      <c r="Z279" s="91">
        <v>0</v>
      </c>
      <c r="AA279" s="91">
        <v>0</v>
      </c>
      <c r="AB279" s="91">
        <v>0</v>
      </c>
      <c r="AC279" s="91">
        <v>0</v>
      </c>
      <c r="AD279" s="100">
        <f>PV(1.03,20,-VaBenefits[[#This Row],[Protected Income Payment]])</f>
        <v>86.407705807114368</v>
      </c>
      <c r="AE279" s="130">
        <f>IF((AND(VaBenefits[[#This Row],[Is Anniversary?]],VaBenefits[[#This Row],[Assumed Contract Value ]]&lt;75000)),-50,0)</f>
        <v>0</v>
      </c>
      <c r="AF279" s="134">
        <f>VaBenefits[[#This Row],[Assumed Contract Value ]]*-1.15%/4</f>
        <v>0</v>
      </c>
      <c r="AG279" s="129">
        <v>0</v>
      </c>
      <c r="AH279" s="6">
        <f>VaBenefits[[#This Row],[Maintenace Fee]]+VaBenefits[[#This Row],[Separate Account Charge]]+VaBenefits[[#This Row],[Rider Fee]]</f>
        <v>0</v>
      </c>
      <c r="AR279" s="23">
        <f t="shared" si="27"/>
        <v>135.5</v>
      </c>
      <c r="AS279" s="24">
        <v>0</v>
      </c>
      <c r="AT279" s="24">
        <v>0</v>
      </c>
      <c r="AU279" s="22">
        <v>0</v>
      </c>
      <c r="AV279" s="16">
        <v>0</v>
      </c>
      <c r="AW279" s="14">
        <v>299982</v>
      </c>
      <c r="AX279" s="15">
        <v>0</v>
      </c>
      <c r="AY279" s="15">
        <v>0</v>
      </c>
      <c r="AZ279" s="14">
        <v>0</v>
      </c>
      <c r="BA279" s="17">
        <v>11999</v>
      </c>
    </row>
    <row r="280" spans="1:53" ht="15" thickBot="1" x14ac:dyDescent="0.35">
      <c r="A280" s="32">
        <f t="shared" si="26"/>
        <v>272</v>
      </c>
      <c r="B280" s="29">
        <f t="shared" si="25"/>
        <v>68</v>
      </c>
      <c r="C280" s="29" t="b">
        <f>AND(VaBenefits[[#This Row],[timeFromValuation]]&gt;=ACT,VaBenefits[[#This Row],[Assumed Contract Value ]]&gt;0)</f>
        <v>0</v>
      </c>
      <c r="D280" s="20">
        <v>0</v>
      </c>
      <c r="E280" s="20">
        <v>0</v>
      </c>
      <c r="F280" s="20">
        <v>0</v>
      </c>
      <c r="G280" s="96">
        <f>ROUND($G$8+VaBenefits[[#This Row],[timeFromValuation]],0)</f>
        <v>123</v>
      </c>
      <c r="H280" s="20">
        <f>ROUND($H$8+VaBenefits[[#This Row],[timeFromValuation]],0)</f>
        <v>133</v>
      </c>
      <c r="I280" s="27" t="b">
        <f>VaBenefits[[#This Row],[Withdrawal Taken  ]]&gt;0</f>
        <v>0</v>
      </c>
      <c r="J280" s="41">
        <f>IF(AND(NOT(VaBenefits[[#This Row],[Is Activation]]),VaBenefits[[#This Row],[Assumed Contract Value ]]&gt;0),VaBenefits[[#This Row],[Withdrawal Taken  ]]/VaBenefits[[#This Row],[Assumed Contract Value ]],0)</f>
        <v>0</v>
      </c>
      <c r="K28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0" s="27" t="b">
        <f ca="1">AND(VaBenefits[[#This Row],[Is Activation]],SUMIFS($E$8:$E280,$C$8:$C280,TRUE)&gt;0)</f>
        <v>0</v>
      </c>
      <c r="M28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0" s="32" t="b">
        <f>IF(VaBenefits[[#This Row],[timeFromValuation]]=0,0, MOD(VaBenefits[[#This Row],[timeFromValuation]],1)=0)</f>
        <v>1</v>
      </c>
      <c r="O280" s="7">
        <f>IF(VaBenefits[[#This Row],[Is Anniversary?]]=TRUE,VaBenefits[[#This Row],[Assumed Contract Value ]],0)</f>
        <v>0</v>
      </c>
      <c r="P28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0" s="7" t="b">
        <f>VaBenefits[[#This Row],[Assumed Contract Value ]]&lt;0.1</f>
        <v>1</v>
      </c>
      <c r="R28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0" s="7">
        <f ca="1">IF(AND(VaBenefits[[#This Row],[Is Activation]]=FALSE,VaBenefits[[#This Row],[Is Anniversary?]]=TRUE),OFFSET( VaBenefits[[#This Row],[Income Credit Base]],-1,0)*ICP,0)</f>
        <v>0</v>
      </c>
      <c r="T280" s="5">
        <f>IF(VaBenefits[[#This Row],[Assumed Contract Value ]]&gt;0,VaBenefits[[#This Row],[Income Base]]*MAWA,0)</f>
        <v>0</v>
      </c>
      <c r="U280" s="95">
        <v>90</v>
      </c>
      <c r="V280" s="92">
        <f>1/(1+InterestRate)^VaBenefits[[#This Row],[timeFromValuation]]</f>
        <v>3.6234949738448791E-2</v>
      </c>
      <c r="W280" s="93">
        <f>VaBenefits[[#This Row],[timeFromValuation]]</f>
        <v>68</v>
      </c>
      <c r="X280" s="91">
        <f>IF(($G$8+VaBenefits[[#This Row],[timeFromValuation]])&lt;=120,VLOOKUP(G280,Table2[],Qx!L$6,FALSE),0)</f>
        <v>0</v>
      </c>
      <c r="Y280" s="91">
        <f>IF(($H$8+VaBenefits[[#This Row],[timeFromValuation]])&lt;=120,VLOOKUP(H280,Table2[],Qx!M$6,FALSE),0)</f>
        <v>0</v>
      </c>
      <c r="Z280" s="91">
        <v>0</v>
      </c>
      <c r="AA280" s="91">
        <v>0</v>
      </c>
      <c r="AB280" s="91">
        <v>0</v>
      </c>
      <c r="AC280" s="91">
        <v>0</v>
      </c>
      <c r="AD280" s="100">
        <f>PV(1.03,20,-VaBenefits[[#This Row],[Protected Income Payment]])</f>
        <v>87.378578906070715</v>
      </c>
      <c r="AE280" s="130">
        <f>IF((AND(VaBenefits[[#This Row],[Is Anniversary?]],VaBenefits[[#This Row],[Assumed Contract Value ]]&lt;75000)),-50,0)</f>
        <v>-50</v>
      </c>
      <c r="AF280" s="134">
        <f>VaBenefits[[#This Row],[Assumed Contract Value ]]*-1.15%/4</f>
        <v>0</v>
      </c>
      <c r="AG280" s="129">
        <v>0</v>
      </c>
      <c r="AH280" s="6">
        <f>VaBenefits[[#This Row],[Maintenace Fee]]+VaBenefits[[#This Row],[Separate Account Charge]]+VaBenefits[[#This Row],[Rider Fee]]</f>
        <v>-50</v>
      </c>
      <c r="AR280" s="23">
        <f t="shared" si="27"/>
        <v>136</v>
      </c>
      <c r="AS280" s="24">
        <v>0</v>
      </c>
      <c r="AT280" s="24">
        <v>0</v>
      </c>
      <c r="AU280" s="22">
        <v>0</v>
      </c>
      <c r="AV280" s="16">
        <v>0</v>
      </c>
      <c r="AW280" s="14">
        <v>299982</v>
      </c>
      <c r="AX280" s="15">
        <v>0</v>
      </c>
      <c r="AY280" s="15">
        <v>0</v>
      </c>
      <c r="AZ280" s="14">
        <v>0</v>
      </c>
      <c r="BA280" s="17">
        <v>11999</v>
      </c>
    </row>
    <row r="281" spans="1:53" ht="15" thickBot="1" x14ac:dyDescent="0.35">
      <c r="A281" s="32">
        <f t="shared" si="26"/>
        <v>273</v>
      </c>
      <c r="B281" s="29">
        <f t="shared" si="25"/>
        <v>68.25</v>
      </c>
      <c r="C281" s="29" t="b">
        <f>AND(VaBenefits[[#This Row],[timeFromValuation]]&gt;=ACT,VaBenefits[[#This Row],[Assumed Contract Value ]]&gt;0)</f>
        <v>0</v>
      </c>
      <c r="D281" s="20">
        <v>0</v>
      </c>
      <c r="E281" s="20">
        <v>0</v>
      </c>
      <c r="F281" s="20">
        <v>0</v>
      </c>
      <c r="G281" s="96">
        <f>ROUND($G$8+VaBenefits[[#This Row],[timeFromValuation]],0)</f>
        <v>123</v>
      </c>
      <c r="H281" s="20">
        <f>ROUND($H$8+VaBenefits[[#This Row],[timeFromValuation]],0)</f>
        <v>133</v>
      </c>
      <c r="I281" s="27" t="b">
        <f>VaBenefits[[#This Row],[Withdrawal Taken  ]]&gt;0</f>
        <v>0</v>
      </c>
      <c r="J281" s="41">
        <f>IF(AND(NOT(VaBenefits[[#This Row],[Is Activation]]),VaBenefits[[#This Row],[Assumed Contract Value ]]&gt;0),VaBenefits[[#This Row],[Withdrawal Taken  ]]/VaBenefits[[#This Row],[Assumed Contract Value ]],0)</f>
        <v>0</v>
      </c>
      <c r="K28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1" s="27" t="b">
        <f ca="1">AND(VaBenefits[[#This Row],[Is Activation]],SUMIFS($E$8:$E281,$C$8:$C281,TRUE)&gt;0)</f>
        <v>0</v>
      </c>
      <c r="M28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1" s="32" t="b">
        <f>IF(VaBenefits[[#This Row],[timeFromValuation]]=0,0, MOD(VaBenefits[[#This Row],[timeFromValuation]],1)=0)</f>
        <v>0</v>
      </c>
      <c r="O281" s="7">
        <f>IF(VaBenefits[[#This Row],[Is Anniversary?]]=TRUE,VaBenefits[[#This Row],[Assumed Contract Value ]],0)</f>
        <v>0</v>
      </c>
      <c r="P28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1" s="7" t="b">
        <f>VaBenefits[[#This Row],[Assumed Contract Value ]]&lt;0.1</f>
        <v>1</v>
      </c>
      <c r="R28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1" s="7">
        <f ca="1">IF(AND(VaBenefits[[#This Row],[Is Activation]]=FALSE,VaBenefits[[#This Row],[Is Anniversary?]]=TRUE),OFFSET( VaBenefits[[#This Row],[Income Credit Base]],-1,0)*ICP,0)</f>
        <v>0</v>
      </c>
      <c r="T281" s="5">
        <f>IF(VaBenefits[[#This Row],[Assumed Contract Value ]]&gt;0,VaBenefits[[#This Row],[Income Base]]*MAWA,0)</f>
        <v>0</v>
      </c>
      <c r="U281" s="95">
        <v>91</v>
      </c>
      <c r="V281" s="92">
        <f>1/(1+InterestRate)^VaBenefits[[#This Row],[timeFromValuation]]</f>
        <v>3.5795657043667335E-2</v>
      </c>
      <c r="W281" s="93">
        <f>VaBenefits[[#This Row],[timeFromValuation]]</f>
        <v>68.25</v>
      </c>
      <c r="X281" s="91">
        <f>IF(($G$8+VaBenefits[[#This Row],[timeFromValuation]])&lt;=120,VLOOKUP(G281,Table2[],Qx!L$6,FALSE),0)</f>
        <v>0</v>
      </c>
      <c r="Y281" s="91">
        <f>IF(($H$8+VaBenefits[[#This Row],[timeFromValuation]])&lt;=120,VLOOKUP(H281,Table2[],Qx!M$6,FALSE),0)</f>
        <v>0</v>
      </c>
      <c r="Z281" s="91">
        <v>0</v>
      </c>
      <c r="AA281" s="91">
        <v>0</v>
      </c>
      <c r="AB281" s="91">
        <v>0</v>
      </c>
      <c r="AC281" s="91">
        <v>0</v>
      </c>
      <c r="AD281" s="100">
        <f>PV(1.03,20,-VaBenefits[[#This Row],[Protected Income Payment]])</f>
        <v>88.349452005027047</v>
      </c>
      <c r="AE281" s="130">
        <f>IF((AND(VaBenefits[[#This Row],[Is Anniversary?]],VaBenefits[[#This Row],[Assumed Contract Value ]]&lt;75000)),-50,0)</f>
        <v>0</v>
      </c>
      <c r="AF281" s="134">
        <f>VaBenefits[[#This Row],[Assumed Contract Value ]]*-1.15%/4</f>
        <v>0</v>
      </c>
      <c r="AG281" s="129">
        <v>0</v>
      </c>
      <c r="AH281" s="6">
        <f>VaBenefits[[#This Row],[Maintenace Fee]]+VaBenefits[[#This Row],[Separate Account Charge]]+VaBenefits[[#This Row],[Rider Fee]]</f>
        <v>0</v>
      </c>
      <c r="AR281" s="23">
        <f t="shared" si="27"/>
        <v>136.5</v>
      </c>
      <c r="AS281" s="24">
        <v>0</v>
      </c>
      <c r="AT281" s="24">
        <v>0</v>
      </c>
      <c r="AU281" s="22">
        <v>0</v>
      </c>
      <c r="AV281" s="16">
        <v>0</v>
      </c>
      <c r="AW281" s="14">
        <v>299982</v>
      </c>
      <c r="AX281" s="15">
        <v>0</v>
      </c>
      <c r="AY281" s="15">
        <v>0</v>
      </c>
      <c r="AZ281" s="14">
        <v>0</v>
      </c>
      <c r="BA281" s="17">
        <v>11999</v>
      </c>
    </row>
    <row r="282" spans="1:53" ht="15" thickBot="1" x14ac:dyDescent="0.35">
      <c r="A282" s="32">
        <f t="shared" si="26"/>
        <v>274</v>
      </c>
      <c r="B282" s="29">
        <f t="shared" si="25"/>
        <v>68.5</v>
      </c>
      <c r="C282" s="29" t="b">
        <f>AND(VaBenefits[[#This Row],[timeFromValuation]]&gt;=ACT,VaBenefits[[#This Row],[Assumed Contract Value ]]&gt;0)</f>
        <v>0</v>
      </c>
      <c r="D282" s="20">
        <v>0</v>
      </c>
      <c r="E282" s="20">
        <v>0</v>
      </c>
      <c r="F282" s="20">
        <v>0</v>
      </c>
      <c r="G282" s="96">
        <f>ROUND($G$8+VaBenefits[[#This Row],[timeFromValuation]],0)</f>
        <v>124</v>
      </c>
      <c r="H282" s="20">
        <f>ROUND($H$8+VaBenefits[[#This Row],[timeFromValuation]],0)</f>
        <v>134</v>
      </c>
      <c r="I282" s="27" t="b">
        <f>VaBenefits[[#This Row],[Withdrawal Taken  ]]&gt;0</f>
        <v>0</v>
      </c>
      <c r="J282" s="41">
        <f>IF(AND(NOT(VaBenefits[[#This Row],[Is Activation]]),VaBenefits[[#This Row],[Assumed Contract Value ]]&gt;0),VaBenefits[[#This Row],[Withdrawal Taken  ]]/VaBenefits[[#This Row],[Assumed Contract Value ]],0)</f>
        <v>0</v>
      </c>
      <c r="K28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2" s="27" t="b">
        <f ca="1">AND(VaBenefits[[#This Row],[Is Activation]],SUMIFS($E$8:$E282,$C$8:$C282,TRUE)&gt;0)</f>
        <v>0</v>
      </c>
      <c r="M28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2" s="32" t="b">
        <f>IF(VaBenefits[[#This Row],[timeFromValuation]]=0,0, MOD(VaBenefits[[#This Row],[timeFromValuation]],1)=0)</f>
        <v>0</v>
      </c>
      <c r="O282" s="7">
        <f>IF(VaBenefits[[#This Row],[Is Anniversary?]]=TRUE,VaBenefits[[#This Row],[Assumed Contract Value ]],0)</f>
        <v>0</v>
      </c>
      <c r="P28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2" s="7" t="b">
        <f>VaBenefits[[#This Row],[Assumed Contract Value ]]&lt;0.1</f>
        <v>1</v>
      </c>
      <c r="R28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2" s="7">
        <f ca="1">IF(AND(VaBenefits[[#This Row],[Is Activation]]=FALSE,VaBenefits[[#This Row],[Is Anniversary?]]=TRUE),OFFSET( VaBenefits[[#This Row],[Income Credit Base]],-1,0)*ICP,0)</f>
        <v>0</v>
      </c>
      <c r="T282" s="5">
        <f>IF(VaBenefits[[#This Row],[Assumed Contract Value ]]&gt;0,VaBenefits[[#This Row],[Income Base]]*MAWA,0)</f>
        <v>0</v>
      </c>
      <c r="U282" s="95">
        <v>92</v>
      </c>
      <c r="V282" s="92">
        <f>1/(1+InterestRate)^VaBenefits[[#This Row],[timeFromValuation]]</f>
        <v>3.5361690093038529E-2</v>
      </c>
      <c r="W282" s="93">
        <f>VaBenefits[[#This Row],[timeFromValuation]]</f>
        <v>68.5</v>
      </c>
      <c r="X282" s="91">
        <f>IF(($G$8+VaBenefits[[#This Row],[timeFromValuation]])&lt;=120,VLOOKUP(G282,Table2[],Qx!L$6,FALSE),0)</f>
        <v>0</v>
      </c>
      <c r="Y282" s="91">
        <f>IF(($H$8+VaBenefits[[#This Row],[timeFromValuation]])&lt;=120,VLOOKUP(H282,Table2[],Qx!M$6,FALSE),0)</f>
        <v>0</v>
      </c>
      <c r="Z282" s="91">
        <v>0</v>
      </c>
      <c r="AA282" s="91">
        <v>0</v>
      </c>
      <c r="AB282" s="91">
        <v>0</v>
      </c>
      <c r="AC282" s="91">
        <v>0</v>
      </c>
      <c r="AD282" s="100">
        <f>PV(1.03,20,-VaBenefits[[#This Row],[Protected Income Payment]])</f>
        <v>89.320325103983393</v>
      </c>
      <c r="AE282" s="130">
        <f>IF((AND(VaBenefits[[#This Row],[Is Anniversary?]],VaBenefits[[#This Row],[Assumed Contract Value ]]&lt;75000)),-50,0)</f>
        <v>0</v>
      </c>
      <c r="AF282" s="134">
        <f>VaBenefits[[#This Row],[Assumed Contract Value ]]*-1.15%/4</f>
        <v>0</v>
      </c>
      <c r="AG282" s="129">
        <v>0</v>
      </c>
      <c r="AH282" s="6">
        <f>VaBenefits[[#This Row],[Maintenace Fee]]+VaBenefits[[#This Row],[Separate Account Charge]]+VaBenefits[[#This Row],[Rider Fee]]</f>
        <v>0</v>
      </c>
      <c r="AR282" s="23">
        <f t="shared" si="27"/>
        <v>137</v>
      </c>
      <c r="AS282" s="24">
        <v>0</v>
      </c>
      <c r="AT282" s="24">
        <v>0</v>
      </c>
      <c r="AU282" s="22">
        <v>0</v>
      </c>
      <c r="AV282" s="16">
        <v>0</v>
      </c>
      <c r="AW282" s="14">
        <v>299982</v>
      </c>
      <c r="AX282" s="15">
        <v>0</v>
      </c>
      <c r="AY282" s="15">
        <v>0</v>
      </c>
      <c r="AZ282" s="14">
        <v>0</v>
      </c>
      <c r="BA282" s="17">
        <v>11999</v>
      </c>
    </row>
    <row r="283" spans="1:53" ht="15" thickBot="1" x14ac:dyDescent="0.35">
      <c r="A283" s="32">
        <f t="shared" si="26"/>
        <v>275</v>
      </c>
      <c r="B283" s="29">
        <f t="shared" si="25"/>
        <v>68.75</v>
      </c>
      <c r="C283" s="29" t="b">
        <f>AND(VaBenefits[[#This Row],[timeFromValuation]]&gt;=ACT,VaBenefits[[#This Row],[Assumed Contract Value ]]&gt;0)</f>
        <v>0</v>
      </c>
      <c r="D283" s="20">
        <v>0</v>
      </c>
      <c r="E283" s="20">
        <v>0</v>
      </c>
      <c r="F283" s="20">
        <v>0</v>
      </c>
      <c r="G283" s="96">
        <f>ROUND($G$8+VaBenefits[[#This Row],[timeFromValuation]],0)</f>
        <v>124</v>
      </c>
      <c r="H283" s="20">
        <f>ROUND($H$8+VaBenefits[[#This Row],[timeFromValuation]],0)</f>
        <v>134</v>
      </c>
      <c r="I283" s="27" t="b">
        <f>VaBenefits[[#This Row],[Withdrawal Taken  ]]&gt;0</f>
        <v>0</v>
      </c>
      <c r="J283" s="41">
        <f>IF(AND(NOT(VaBenefits[[#This Row],[Is Activation]]),VaBenefits[[#This Row],[Assumed Contract Value ]]&gt;0),VaBenefits[[#This Row],[Withdrawal Taken  ]]/VaBenefits[[#This Row],[Assumed Contract Value ]],0)</f>
        <v>0</v>
      </c>
      <c r="K28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3" s="27" t="b">
        <f ca="1">AND(VaBenefits[[#This Row],[Is Activation]],SUMIFS($E$8:$E283,$C$8:$C283,TRUE)&gt;0)</f>
        <v>0</v>
      </c>
      <c r="M28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3" s="32" t="b">
        <f>IF(VaBenefits[[#This Row],[timeFromValuation]]=0,0, MOD(VaBenefits[[#This Row],[timeFromValuation]],1)=0)</f>
        <v>0</v>
      </c>
      <c r="O283" s="7">
        <f>IF(VaBenefits[[#This Row],[Is Anniversary?]]=TRUE,VaBenefits[[#This Row],[Assumed Contract Value ]],0)</f>
        <v>0</v>
      </c>
      <c r="P28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3" s="7" t="b">
        <f>VaBenefits[[#This Row],[Assumed Contract Value ]]&lt;0.1</f>
        <v>1</v>
      </c>
      <c r="R28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3" s="7">
        <f ca="1">IF(AND(VaBenefits[[#This Row],[Is Activation]]=FALSE,VaBenefits[[#This Row],[Is Anniversary?]]=TRUE),OFFSET( VaBenefits[[#This Row],[Income Credit Base]],-1,0)*ICP,0)</f>
        <v>0</v>
      </c>
      <c r="T283" s="5">
        <f>IF(VaBenefits[[#This Row],[Assumed Contract Value ]]&gt;0,VaBenefits[[#This Row],[Income Base]]*MAWA,0)</f>
        <v>0</v>
      </c>
      <c r="U283" s="95">
        <v>93</v>
      </c>
      <c r="V283" s="92">
        <f>1/(1+InterestRate)^VaBenefits[[#This Row],[timeFromValuation]]</f>
        <v>3.4932984320155624E-2</v>
      </c>
      <c r="W283" s="93">
        <f>VaBenefits[[#This Row],[timeFromValuation]]</f>
        <v>68.75</v>
      </c>
      <c r="X283" s="91">
        <f>IF(($G$8+VaBenefits[[#This Row],[timeFromValuation]])&lt;=120,VLOOKUP(G283,Table2[],Qx!L$6,FALSE),0)</f>
        <v>0</v>
      </c>
      <c r="Y283" s="91">
        <f>IF(($H$8+VaBenefits[[#This Row],[timeFromValuation]])&lt;=120,VLOOKUP(H283,Table2[],Qx!M$6,FALSE),0)</f>
        <v>0</v>
      </c>
      <c r="Z283" s="91">
        <v>0</v>
      </c>
      <c r="AA283" s="91">
        <v>0</v>
      </c>
      <c r="AB283" s="91">
        <v>0</v>
      </c>
      <c r="AC283" s="91">
        <v>0</v>
      </c>
      <c r="AD283" s="100">
        <f>PV(1.03,20,-VaBenefits[[#This Row],[Protected Income Payment]])</f>
        <v>90.291198202939739</v>
      </c>
      <c r="AE283" s="130">
        <f>IF((AND(VaBenefits[[#This Row],[Is Anniversary?]],VaBenefits[[#This Row],[Assumed Contract Value ]]&lt;75000)),-50,0)</f>
        <v>0</v>
      </c>
      <c r="AF283" s="134">
        <f>VaBenefits[[#This Row],[Assumed Contract Value ]]*-1.15%/4</f>
        <v>0</v>
      </c>
      <c r="AG283" s="129">
        <v>0</v>
      </c>
      <c r="AH283" s="6">
        <f>VaBenefits[[#This Row],[Maintenace Fee]]+VaBenefits[[#This Row],[Separate Account Charge]]+VaBenefits[[#This Row],[Rider Fee]]</f>
        <v>0</v>
      </c>
      <c r="AR283" s="23">
        <f t="shared" si="27"/>
        <v>137.5</v>
      </c>
      <c r="AS283" s="24">
        <v>0</v>
      </c>
      <c r="AT283" s="24">
        <v>0</v>
      </c>
      <c r="AU283" s="22">
        <v>0</v>
      </c>
      <c r="AV283" s="16">
        <v>0</v>
      </c>
      <c r="AW283" s="14">
        <v>299982</v>
      </c>
      <c r="AX283" s="15">
        <v>0</v>
      </c>
      <c r="AY283" s="15">
        <v>0</v>
      </c>
      <c r="AZ283" s="14">
        <v>0</v>
      </c>
      <c r="BA283" s="17">
        <v>11999</v>
      </c>
    </row>
    <row r="284" spans="1:53" ht="15" thickBot="1" x14ac:dyDescent="0.35">
      <c r="A284" s="32">
        <f t="shared" si="26"/>
        <v>276</v>
      </c>
      <c r="B284" s="29">
        <f t="shared" si="25"/>
        <v>69</v>
      </c>
      <c r="C284" s="29" t="b">
        <f>AND(VaBenefits[[#This Row],[timeFromValuation]]&gt;=ACT,VaBenefits[[#This Row],[Assumed Contract Value ]]&gt;0)</f>
        <v>0</v>
      </c>
      <c r="D284" s="20">
        <v>0</v>
      </c>
      <c r="E284" s="20">
        <v>0</v>
      </c>
      <c r="F284" s="20">
        <v>0</v>
      </c>
      <c r="G284" s="96">
        <f>ROUND($G$8+VaBenefits[[#This Row],[timeFromValuation]],0)</f>
        <v>124</v>
      </c>
      <c r="H284" s="20">
        <f>ROUND($H$8+VaBenefits[[#This Row],[timeFromValuation]],0)</f>
        <v>134</v>
      </c>
      <c r="I284" s="27" t="b">
        <f>VaBenefits[[#This Row],[Withdrawal Taken  ]]&gt;0</f>
        <v>0</v>
      </c>
      <c r="J284" s="41">
        <f>IF(AND(NOT(VaBenefits[[#This Row],[Is Activation]]),VaBenefits[[#This Row],[Assumed Contract Value ]]&gt;0),VaBenefits[[#This Row],[Withdrawal Taken  ]]/VaBenefits[[#This Row],[Assumed Contract Value ]],0)</f>
        <v>0</v>
      </c>
      <c r="K28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4" s="27" t="b">
        <f ca="1">AND(VaBenefits[[#This Row],[Is Activation]],SUMIFS($E$8:$E284,$C$8:$C284,TRUE)&gt;0)</f>
        <v>0</v>
      </c>
      <c r="M28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4" s="32" t="b">
        <f>IF(VaBenefits[[#This Row],[timeFromValuation]]=0,0, MOD(VaBenefits[[#This Row],[timeFromValuation]],1)=0)</f>
        <v>1</v>
      </c>
      <c r="O284" s="7">
        <f>IF(VaBenefits[[#This Row],[Is Anniversary?]]=TRUE,VaBenefits[[#This Row],[Assumed Contract Value ]],0)</f>
        <v>0</v>
      </c>
      <c r="P28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4" s="7" t="b">
        <f>VaBenefits[[#This Row],[Assumed Contract Value ]]&lt;0.1</f>
        <v>1</v>
      </c>
      <c r="R28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4" s="7">
        <f ca="1">IF(AND(VaBenefits[[#This Row],[Is Activation]]=FALSE,VaBenefits[[#This Row],[Is Anniversary?]]=TRUE),OFFSET( VaBenefits[[#This Row],[Income Credit Base]],-1,0)*ICP,0)</f>
        <v>0</v>
      </c>
      <c r="T284" s="5">
        <f>IF(VaBenefits[[#This Row],[Assumed Contract Value ]]&gt;0,VaBenefits[[#This Row],[Income Base]]*MAWA,0)</f>
        <v>0</v>
      </c>
      <c r="U284" s="95">
        <v>94</v>
      </c>
      <c r="V284" s="92">
        <f>1/(1+InterestRate)^VaBenefits[[#This Row],[timeFromValuation]]</f>
        <v>3.4509475941379798E-2</v>
      </c>
      <c r="W284" s="93">
        <f>VaBenefits[[#This Row],[timeFromValuation]]</f>
        <v>69</v>
      </c>
      <c r="X284" s="91">
        <f>IF(($G$8+VaBenefits[[#This Row],[timeFromValuation]])&lt;=120,VLOOKUP(G284,Table2[],Qx!L$6,FALSE),0)</f>
        <v>0</v>
      </c>
      <c r="Y284" s="91">
        <f>IF(($H$8+VaBenefits[[#This Row],[timeFromValuation]])&lt;=120,VLOOKUP(H284,Table2[],Qx!M$6,FALSE),0)</f>
        <v>0</v>
      </c>
      <c r="Z284" s="91">
        <v>0</v>
      </c>
      <c r="AA284" s="91">
        <v>0</v>
      </c>
      <c r="AB284" s="91">
        <v>0</v>
      </c>
      <c r="AC284" s="91">
        <v>0</v>
      </c>
      <c r="AD284" s="100">
        <f>PV(1.03,20,-VaBenefits[[#This Row],[Protected Income Payment]])</f>
        <v>91.262071301896071</v>
      </c>
      <c r="AE284" s="130">
        <f>IF((AND(VaBenefits[[#This Row],[Is Anniversary?]],VaBenefits[[#This Row],[Assumed Contract Value ]]&lt;75000)),-50,0)</f>
        <v>-50</v>
      </c>
      <c r="AF284" s="134">
        <f>VaBenefits[[#This Row],[Assumed Contract Value ]]*-1.15%/4</f>
        <v>0</v>
      </c>
      <c r="AG284" s="129">
        <v>0</v>
      </c>
      <c r="AH284" s="6">
        <f>VaBenefits[[#This Row],[Maintenace Fee]]+VaBenefits[[#This Row],[Separate Account Charge]]+VaBenefits[[#This Row],[Rider Fee]]</f>
        <v>-50</v>
      </c>
      <c r="AR284" s="23">
        <f t="shared" si="27"/>
        <v>138</v>
      </c>
      <c r="AS284" s="24">
        <v>0</v>
      </c>
      <c r="AT284" s="24">
        <v>0</v>
      </c>
      <c r="AU284" s="22">
        <v>0</v>
      </c>
      <c r="AV284" s="16">
        <v>0</v>
      </c>
      <c r="AW284" s="14">
        <v>299982</v>
      </c>
      <c r="AX284" s="15">
        <v>0</v>
      </c>
      <c r="AY284" s="15">
        <v>0</v>
      </c>
      <c r="AZ284" s="14">
        <v>0</v>
      </c>
      <c r="BA284" s="17">
        <v>11999</v>
      </c>
    </row>
    <row r="285" spans="1:53" ht="15" thickBot="1" x14ac:dyDescent="0.35">
      <c r="A285" s="32">
        <f t="shared" si="26"/>
        <v>277</v>
      </c>
      <c r="B285" s="29">
        <f t="shared" si="25"/>
        <v>69.25</v>
      </c>
      <c r="C285" s="29" t="b">
        <f>AND(VaBenefits[[#This Row],[timeFromValuation]]&gt;=ACT,VaBenefits[[#This Row],[Assumed Contract Value ]]&gt;0)</f>
        <v>0</v>
      </c>
      <c r="D285" s="20">
        <v>0</v>
      </c>
      <c r="E285" s="20">
        <v>0</v>
      </c>
      <c r="F285" s="20">
        <v>0</v>
      </c>
      <c r="G285" s="96">
        <f>ROUND($G$8+VaBenefits[[#This Row],[timeFromValuation]],0)</f>
        <v>124</v>
      </c>
      <c r="H285" s="20">
        <f>ROUND($H$8+VaBenefits[[#This Row],[timeFromValuation]],0)</f>
        <v>134</v>
      </c>
      <c r="I285" s="27" t="b">
        <f>VaBenefits[[#This Row],[Withdrawal Taken  ]]&gt;0</f>
        <v>0</v>
      </c>
      <c r="J285" s="41">
        <f>IF(AND(NOT(VaBenefits[[#This Row],[Is Activation]]),VaBenefits[[#This Row],[Assumed Contract Value ]]&gt;0),VaBenefits[[#This Row],[Withdrawal Taken  ]]/VaBenefits[[#This Row],[Assumed Contract Value ]],0)</f>
        <v>0</v>
      </c>
      <c r="K28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5" s="27" t="b">
        <f ca="1">AND(VaBenefits[[#This Row],[Is Activation]],SUMIFS($E$8:$E285,$C$8:$C285,TRUE)&gt;0)</f>
        <v>0</v>
      </c>
      <c r="M28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5" s="32" t="b">
        <f>IF(VaBenefits[[#This Row],[timeFromValuation]]=0,0, MOD(VaBenefits[[#This Row],[timeFromValuation]],1)=0)</f>
        <v>0</v>
      </c>
      <c r="O285" s="7">
        <f>IF(VaBenefits[[#This Row],[Is Anniversary?]]=TRUE,VaBenefits[[#This Row],[Assumed Contract Value ]],0)</f>
        <v>0</v>
      </c>
      <c r="P28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5" s="7" t="b">
        <f>VaBenefits[[#This Row],[Assumed Contract Value ]]&lt;0.1</f>
        <v>1</v>
      </c>
      <c r="R28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5" s="7">
        <f ca="1">IF(AND(VaBenefits[[#This Row],[Is Activation]]=FALSE,VaBenefits[[#This Row],[Is Anniversary?]]=TRUE),OFFSET( VaBenefits[[#This Row],[Income Credit Base]],-1,0)*ICP,0)</f>
        <v>0</v>
      </c>
      <c r="T285" s="5">
        <f>IF(VaBenefits[[#This Row],[Assumed Contract Value ]]&gt;0,VaBenefits[[#This Row],[Income Base]]*MAWA,0)</f>
        <v>0</v>
      </c>
      <c r="U285" s="95">
        <v>95</v>
      </c>
      <c r="V285" s="92">
        <f>1/(1+InterestRate)^VaBenefits[[#This Row],[timeFromValuation]]</f>
        <v>3.4091101946349837E-2</v>
      </c>
      <c r="W285" s="93">
        <f>VaBenefits[[#This Row],[timeFromValuation]]</f>
        <v>69.25</v>
      </c>
      <c r="X285" s="91">
        <f>IF(($G$8+VaBenefits[[#This Row],[timeFromValuation]])&lt;=120,VLOOKUP(G285,Table2[],Qx!L$6,FALSE),0)</f>
        <v>0</v>
      </c>
      <c r="Y285" s="91">
        <f>IF(($H$8+VaBenefits[[#This Row],[timeFromValuation]])&lt;=120,VLOOKUP(H285,Table2[],Qx!M$6,FALSE),0)</f>
        <v>0</v>
      </c>
      <c r="Z285" s="91">
        <v>0</v>
      </c>
      <c r="AA285" s="91">
        <v>0</v>
      </c>
      <c r="AB285" s="91">
        <v>0</v>
      </c>
      <c r="AC285" s="91">
        <v>0</v>
      </c>
      <c r="AD285" s="100">
        <f>PV(1.03,20,-VaBenefits[[#This Row],[Protected Income Payment]])</f>
        <v>92.232944400852418</v>
      </c>
      <c r="AE285" s="130">
        <f>IF((AND(VaBenefits[[#This Row],[Is Anniversary?]],VaBenefits[[#This Row],[Assumed Contract Value ]]&lt;75000)),-50,0)</f>
        <v>0</v>
      </c>
      <c r="AF285" s="134">
        <f>VaBenefits[[#This Row],[Assumed Contract Value ]]*-1.15%/4</f>
        <v>0</v>
      </c>
      <c r="AG285" s="129">
        <v>0</v>
      </c>
      <c r="AH285" s="6">
        <f>VaBenefits[[#This Row],[Maintenace Fee]]+VaBenefits[[#This Row],[Separate Account Charge]]+VaBenefits[[#This Row],[Rider Fee]]</f>
        <v>0</v>
      </c>
      <c r="AR285" s="23">
        <f t="shared" si="27"/>
        <v>138.5</v>
      </c>
      <c r="AS285" s="24">
        <v>0</v>
      </c>
      <c r="AT285" s="24">
        <v>0</v>
      </c>
      <c r="AU285" s="22">
        <v>0</v>
      </c>
      <c r="AV285" s="16">
        <v>0</v>
      </c>
      <c r="AW285" s="14">
        <v>299982</v>
      </c>
      <c r="AX285" s="15">
        <v>0</v>
      </c>
      <c r="AY285" s="15">
        <v>0</v>
      </c>
      <c r="AZ285" s="14">
        <v>0</v>
      </c>
      <c r="BA285" s="17">
        <v>11999</v>
      </c>
    </row>
    <row r="286" spans="1:53" ht="15" thickBot="1" x14ac:dyDescent="0.35">
      <c r="A286" s="32">
        <f t="shared" si="26"/>
        <v>278</v>
      </c>
      <c r="B286" s="29">
        <f t="shared" si="25"/>
        <v>69.5</v>
      </c>
      <c r="C286" s="29" t="b">
        <f>AND(VaBenefits[[#This Row],[timeFromValuation]]&gt;=ACT,VaBenefits[[#This Row],[Assumed Contract Value ]]&gt;0)</f>
        <v>0</v>
      </c>
      <c r="D286" s="20">
        <v>0</v>
      </c>
      <c r="E286" s="20">
        <v>0</v>
      </c>
      <c r="F286" s="20">
        <v>0</v>
      </c>
      <c r="G286" s="96">
        <f>ROUND($G$8+VaBenefits[[#This Row],[timeFromValuation]],0)</f>
        <v>125</v>
      </c>
      <c r="H286" s="20">
        <f>ROUND($H$8+VaBenefits[[#This Row],[timeFromValuation]],0)</f>
        <v>135</v>
      </c>
      <c r="I286" s="27" t="b">
        <f>VaBenefits[[#This Row],[Withdrawal Taken  ]]&gt;0</f>
        <v>0</v>
      </c>
      <c r="J286" s="41">
        <f>IF(AND(NOT(VaBenefits[[#This Row],[Is Activation]]),VaBenefits[[#This Row],[Assumed Contract Value ]]&gt;0),VaBenefits[[#This Row],[Withdrawal Taken  ]]/VaBenefits[[#This Row],[Assumed Contract Value ]],0)</f>
        <v>0</v>
      </c>
      <c r="K28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6" s="27" t="b">
        <f ca="1">AND(VaBenefits[[#This Row],[Is Activation]],SUMIFS($E$8:$E286,$C$8:$C286,TRUE)&gt;0)</f>
        <v>0</v>
      </c>
      <c r="M28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6" s="32" t="b">
        <f>IF(VaBenefits[[#This Row],[timeFromValuation]]=0,0, MOD(VaBenefits[[#This Row],[timeFromValuation]],1)=0)</f>
        <v>0</v>
      </c>
      <c r="O286" s="7">
        <f>IF(VaBenefits[[#This Row],[Is Anniversary?]]=TRUE,VaBenefits[[#This Row],[Assumed Contract Value ]],0)</f>
        <v>0</v>
      </c>
      <c r="P28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6" s="7" t="b">
        <f>VaBenefits[[#This Row],[Assumed Contract Value ]]&lt;0.1</f>
        <v>1</v>
      </c>
      <c r="R28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6" s="7">
        <f ca="1">IF(AND(VaBenefits[[#This Row],[Is Activation]]=FALSE,VaBenefits[[#This Row],[Is Anniversary?]]=TRUE),OFFSET( VaBenefits[[#This Row],[Income Credit Base]],-1,0)*ICP,0)</f>
        <v>0</v>
      </c>
      <c r="T286" s="5">
        <f>IF(VaBenefits[[#This Row],[Assumed Contract Value ]]&gt;0,VaBenefits[[#This Row],[Income Base]]*MAWA,0)</f>
        <v>0</v>
      </c>
      <c r="U286" s="95">
        <v>96</v>
      </c>
      <c r="V286" s="92">
        <f>1/(1+InterestRate)^VaBenefits[[#This Row],[timeFromValuation]]</f>
        <v>3.3677800088608122E-2</v>
      </c>
      <c r="W286" s="93">
        <f>VaBenefits[[#This Row],[timeFromValuation]]</f>
        <v>69.5</v>
      </c>
      <c r="X286" s="91">
        <f>IF(($G$8+VaBenefits[[#This Row],[timeFromValuation]])&lt;=120,VLOOKUP(G286,Table2[],Qx!L$6,FALSE),0)</f>
        <v>0</v>
      </c>
      <c r="Y286" s="91">
        <f>IF(($H$8+VaBenefits[[#This Row],[timeFromValuation]])&lt;=120,VLOOKUP(H286,Table2[],Qx!M$6,FALSE),0)</f>
        <v>0</v>
      </c>
      <c r="Z286" s="91">
        <v>0</v>
      </c>
      <c r="AA286" s="91">
        <v>0</v>
      </c>
      <c r="AB286" s="91">
        <v>0</v>
      </c>
      <c r="AC286" s="91">
        <v>0</v>
      </c>
      <c r="AD286" s="100">
        <f>PV(1.03,20,-VaBenefits[[#This Row],[Protected Income Payment]])</f>
        <v>93.20381749980875</v>
      </c>
      <c r="AE286" s="130">
        <f>IF((AND(VaBenefits[[#This Row],[Is Anniversary?]],VaBenefits[[#This Row],[Assumed Contract Value ]]&lt;75000)),-50,0)</f>
        <v>0</v>
      </c>
      <c r="AF286" s="134">
        <f>VaBenefits[[#This Row],[Assumed Contract Value ]]*-1.15%/4</f>
        <v>0</v>
      </c>
      <c r="AG286" s="129">
        <v>0</v>
      </c>
      <c r="AH286" s="6">
        <f>VaBenefits[[#This Row],[Maintenace Fee]]+VaBenefits[[#This Row],[Separate Account Charge]]+VaBenefits[[#This Row],[Rider Fee]]</f>
        <v>0</v>
      </c>
      <c r="AR286" s="23">
        <f t="shared" si="27"/>
        <v>139</v>
      </c>
      <c r="AS286" s="24">
        <v>0</v>
      </c>
      <c r="AT286" s="24">
        <v>0</v>
      </c>
      <c r="AU286" s="22">
        <v>0</v>
      </c>
      <c r="AV286" s="16">
        <v>0</v>
      </c>
      <c r="AW286" s="14">
        <v>299982</v>
      </c>
      <c r="AX286" s="15">
        <v>0</v>
      </c>
      <c r="AY286" s="15">
        <v>0</v>
      </c>
      <c r="AZ286" s="14">
        <v>0</v>
      </c>
      <c r="BA286" s="17">
        <v>11999</v>
      </c>
    </row>
    <row r="287" spans="1:53" ht="15" thickBot="1" x14ac:dyDescent="0.35">
      <c r="A287" s="32">
        <f t="shared" si="26"/>
        <v>279</v>
      </c>
      <c r="B287" s="29">
        <f t="shared" si="25"/>
        <v>69.75</v>
      </c>
      <c r="C287" s="29" t="b">
        <f>AND(VaBenefits[[#This Row],[timeFromValuation]]&gt;=ACT,VaBenefits[[#This Row],[Assumed Contract Value ]]&gt;0)</f>
        <v>0</v>
      </c>
      <c r="D287" s="20">
        <v>0</v>
      </c>
      <c r="E287" s="20">
        <v>0</v>
      </c>
      <c r="F287" s="20">
        <v>0</v>
      </c>
      <c r="G287" s="96">
        <f>ROUND($G$8+VaBenefits[[#This Row],[timeFromValuation]],0)</f>
        <v>125</v>
      </c>
      <c r="H287" s="20">
        <f>ROUND($H$8+VaBenefits[[#This Row],[timeFromValuation]],0)</f>
        <v>135</v>
      </c>
      <c r="I287" s="27" t="b">
        <f>VaBenefits[[#This Row],[Withdrawal Taken  ]]&gt;0</f>
        <v>0</v>
      </c>
      <c r="J287" s="41">
        <f>IF(AND(NOT(VaBenefits[[#This Row],[Is Activation]]),VaBenefits[[#This Row],[Assumed Contract Value ]]&gt;0),VaBenefits[[#This Row],[Withdrawal Taken  ]]/VaBenefits[[#This Row],[Assumed Contract Value ]],0)</f>
        <v>0</v>
      </c>
      <c r="K28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7" s="27" t="b">
        <f ca="1">AND(VaBenefits[[#This Row],[Is Activation]],SUMIFS($E$8:$E287,$C$8:$C287,TRUE)&gt;0)</f>
        <v>0</v>
      </c>
      <c r="M28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7" s="32" t="b">
        <f>IF(VaBenefits[[#This Row],[timeFromValuation]]=0,0, MOD(VaBenefits[[#This Row],[timeFromValuation]],1)=0)</f>
        <v>0</v>
      </c>
      <c r="O287" s="7">
        <f>IF(VaBenefits[[#This Row],[Is Anniversary?]]=TRUE,VaBenefits[[#This Row],[Assumed Contract Value ]],0)</f>
        <v>0</v>
      </c>
      <c r="P28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7" s="7" t="b">
        <f>VaBenefits[[#This Row],[Assumed Contract Value ]]&lt;0.1</f>
        <v>1</v>
      </c>
      <c r="R28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7" s="7">
        <f ca="1">IF(AND(VaBenefits[[#This Row],[Is Activation]]=FALSE,VaBenefits[[#This Row],[Is Anniversary?]]=TRUE),OFFSET( VaBenefits[[#This Row],[Income Credit Base]],-1,0)*ICP,0)</f>
        <v>0</v>
      </c>
      <c r="T287" s="5">
        <f>IF(VaBenefits[[#This Row],[Assumed Contract Value ]]&gt;0,VaBenefits[[#This Row],[Income Base]]*MAWA,0)</f>
        <v>0</v>
      </c>
      <c r="U287" s="95">
        <v>97</v>
      </c>
      <c r="V287" s="92">
        <f>1/(1+InterestRate)^VaBenefits[[#This Row],[timeFromValuation]]</f>
        <v>3.3269508876338685E-2</v>
      </c>
      <c r="W287" s="93">
        <f>VaBenefits[[#This Row],[timeFromValuation]]</f>
        <v>69.75</v>
      </c>
      <c r="X287" s="91">
        <f>IF(($G$8+VaBenefits[[#This Row],[timeFromValuation]])&lt;=120,VLOOKUP(G287,Table2[],Qx!L$6,FALSE),0)</f>
        <v>0</v>
      </c>
      <c r="Y287" s="91">
        <f>IF(($H$8+VaBenefits[[#This Row],[timeFromValuation]])&lt;=120,VLOOKUP(H287,Table2[],Qx!M$6,FALSE),0)</f>
        <v>0</v>
      </c>
      <c r="Z287" s="91">
        <v>0</v>
      </c>
      <c r="AA287" s="91">
        <v>0</v>
      </c>
      <c r="AB287" s="91">
        <v>0</v>
      </c>
      <c r="AC287" s="91">
        <v>0</v>
      </c>
      <c r="AD287" s="100">
        <f>PV(1.03,20,-VaBenefits[[#This Row],[Protected Income Payment]])</f>
        <v>94.174690598765096</v>
      </c>
      <c r="AE287" s="130">
        <f>IF((AND(VaBenefits[[#This Row],[Is Anniversary?]],VaBenefits[[#This Row],[Assumed Contract Value ]]&lt;75000)),-50,0)</f>
        <v>0</v>
      </c>
      <c r="AF287" s="134">
        <f>VaBenefits[[#This Row],[Assumed Contract Value ]]*-1.15%/4</f>
        <v>0</v>
      </c>
      <c r="AG287" s="129">
        <v>0</v>
      </c>
      <c r="AH287" s="6">
        <f>VaBenefits[[#This Row],[Maintenace Fee]]+VaBenefits[[#This Row],[Separate Account Charge]]+VaBenefits[[#This Row],[Rider Fee]]</f>
        <v>0</v>
      </c>
      <c r="AR287" s="23">
        <f t="shared" si="27"/>
        <v>139.5</v>
      </c>
      <c r="AS287" s="24">
        <v>0</v>
      </c>
      <c r="AT287" s="24">
        <v>0</v>
      </c>
      <c r="AU287" s="22">
        <v>0</v>
      </c>
      <c r="AV287" s="16">
        <v>0</v>
      </c>
      <c r="AW287" s="14">
        <v>299982</v>
      </c>
      <c r="AX287" s="15">
        <v>0</v>
      </c>
      <c r="AY287" s="15">
        <v>0</v>
      </c>
      <c r="AZ287" s="14">
        <v>0</v>
      </c>
      <c r="BA287" s="17">
        <v>11999</v>
      </c>
    </row>
    <row r="288" spans="1:53" ht="15" thickBot="1" x14ac:dyDescent="0.35">
      <c r="A288" s="32">
        <f t="shared" si="26"/>
        <v>280</v>
      </c>
      <c r="B288" s="29">
        <f t="shared" si="25"/>
        <v>70</v>
      </c>
      <c r="C288" s="29" t="b">
        <f>AND(VaBenefits[[#This Row],[timeFromValuation]]&gt;=ACT,VaBenefits[[#This Row],[Assumed Contract Value ]]&gt;0)</f>
        <v>0</v>
      </c>
      <c r="D288" s="20">
        <v>0</v>
      </c>
      <c r="E288" s="20">
        <v>0</v>
      </c>
      <c r="F288" s="20">
        <v>0</v>
      </c>
      <c r="G288" s="96">
        <f>ROUND($G$8+VaBenefits[[#This Row],[timeFromValuation]],0)</f>
        <v>125</v>
      </c>
      <c r="H288" s="20">
        <f>ROUND($H$8+VaBenefits[[#This Row],[timeFromValuation]],0)</f>
        <v>135</v>
      </c>
      <c r="I288" s="27" t="b">
        <f>VaBenefits[[#This Row],[Withdrawal Taken  ]]&gt;0</f>
        <v>0</v>
      </c>
      <c r="J288" s="41">
        <f>IF(AND(NOT(VaBenefits[[#This Row],[Is Activation]]),VaBenefits[[#This Row],[Assumed Contract Value ]]&gt;0),VaBenefits[[#This Row],[Withdrawal Taken  ]]/VaBenefits[[#This Row],[Assumed Contract Value ]],0)</f>
        <v>0</v>
      </c>
      <c r="K28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8" s="27" t="b">
        <f ca="1">AND(VaBenefits[[#This Row],[Is Activation]],SUMIFS($E$8:$E288,$C$8:$C288,TRUE)&gt;0)</f>
        <v>0</v>
      </c>
      <c r="M28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8" s="32" t="b">
        <f>IF(VaBenefits[[#This Row],[timeFromValuation]]=0,0, MOD(VaBenefits[[#This Row],[timeFromValuation]],1)=0)</f>
        <v>1</v>
      </c>
      <c r="O288" s="7">
        <f>IF(VaBenefits[[#This Row],[Is Anniversary?]]=TRUE,VaBenefits[[#This Row],[Assumed Contract Value ]],0)</f>
        <v>0</v>
      </c>
      <c r="P28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8" s="7" t="b">
        <f>VaBenefits[[#This Row],[Assumed Contract Value ]]&lt;0.1</f>
        <v>1</v>
      </c>
      <c r="R28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8" s="7">
        <f ca="1">IF(AND(VaBenefits[[#This Row],[Is Activation]]=FALSE,VaBenefits[[#This Row],[Is Anniversary?]]=TRUE),OFFSET( VaBenefits[[#This Row],[Income Credit Base]],-1,0)*ICP,0)</f>
        <v>0</v>
      </c>
      <c r="T288" s="5">
        <f>IF(VaBenefits[[#This Row],[Assumed Contract Value ]]&gt;0,VaBenefits[[#This Row],[Income Base]]*MAWA,0)</f>
        <v>0</v>
      </c>
      <c r="U288" s="95">
        <v>98</v>
      </c>
      <c r="V288" s="92">
        <f>1/(1+InterestRate)^VaBenefits[[#This Row],[timeFromValuation]]</f>
        <v>3.2866167563218862E-2</v>
      </c>
      <c r="W288" s="93">
        <f>VaBenefits[[#This Row],[timeFromValuation]]</f>
        <v>70</v>
      </c>
      <c r="X288" s="91">
        <f>IF(($G$8+VaBenefits[[#This Row],[timeFromValuation]])&lt;=120,VLOOKUP(G288,Table2[],Qx!L$6,FALSE),0)</f>
        <v>0</v>
      </c>
      <c r="Y288" s="91">
        <f>IF(($H$8+VaBenefits[[#This Row],[timeFromValuation]])&lt;=120,VLOOKUP(H288,Table2[],Qx!M$6,FALSE),0)</f>
        <v>0</v>
      </c>
      <c r="Z288" s="91">
        <v>0</v>
      </c>
      <c r="AA288" s="91">
        <v>0</v>
      </c>
      <c r="AB288" s="91">
        <v>0</v>
      </c>
      <c r="AC288" s="91">
        <v>0</v>
      </c>
      <c r="AD288" s="100">
        <f>PV(1.03,20,-VaBenefits[[#This Row],[Protected Income Payment]])</f>
        <v>95.145563697721428</v>
      </c>
      <c r="AE288" s="130">
        <f>IF((AND(VaBenefits[[#This Row],[Is Anniversary?]],VaBenefits[[#This Row],[Assumed Contract Value ]]&lt;75000)),-50,0)</f>
        <v>-50</v>
      </c>
      <c r="AF288" s="134">
        <f>VaBenefits[[#This Row],[Assumed Contract Value ]]*-1.15%/4</f>
        <v>0</v>
      </c>
      <c r="AG288" s="129">
        <v>0</v>
      </c>
      <c r="AH288" s="6">
        <f>VaBenefits[[#This Row],[Maintenace Fee]]+VaBenefits[[#This Row],[Separate Account Charge]]+VaBenefits[[#This Row],[Rider Fee]]</f>
        <v>-50</v>
      </c>
      <c r="AR288" s="23">
        <f t="shared" si="27"/>
        <v>140</v>
      </c>
      <c r="AS288" s="24">
        <v>0</v>
      </c>
      <c r="AT288" s="24">
        <v>0</v>
      </c>
      <c r="AU288" s="22">
        <v>0</v>
      </c>
      <c r="AV288" s="16">
        <v>0</v>
      </c>
      <c r="AW288" s="14">
        <v>299982</v>
      </c>
      <c r="AX288" s="15">
        <v>0</v>
      </c>
      <c r="AY288" s="15">
        <v>0</v>
      </c>
      <c r="AZ288" s="14">
        <v>0</v>
      </c>
      <c r="BA288" s="17">
        <v>11999</v>
      </c>
    </row>
    <row r="289" spans="1:53" ht="15" thickBot="1" x14ac:dyDescent="0.35">
      <c r="A289" s="32">
        <f t="shared" si="26"/>
        <v>281</v>
      </c>
      <c r="B289" s="29">
        <f t="shared" si="25"/>
        <v>70.25</v>
      </c>
      <c r="C289" s="29" t="b">
        <f>AND(VaBenefits[[#This Row],[timeFromValuation]]&gt;=ACT,VaBenefits[[#This Row],[Assumed Contract Value ]]&gt;0)</f>
        <v>0</v>
      </c>
      <c r="D289" s="20">
        <v>0</v>
      </c>
      <c r="E289" s="20">
        <v>0</v>
      </c>
      <c r="F289" s="20">
        <v>0</v>
      </c>
      <c r="G289" s="96">
        <f>ROUND($G$8+VaBenefits[[#This Row],[timeFromValuation]],0)</f>
        <v>125</v>
      </c>
      <c r="H289" s="20">
        <f>ROUND($H$8+VaBenefits[[#This Row],[timeFromValuation]],0)</f>
        <v>135</v>
      </c>
      <c r="I289" s="27" t="b">
        <f>VaBenefits[[#This Row],[Withdrawal Taken  ]]&gt;0</f>
        <v>0</v>
      </c>
      <c r="J289" s="41">
        <f>IF(AND(NOT(VaBenefits[[#This Row],[Is Activation]]),VaBenefits[[#This Row],[Assumed Contract Value ]]&gt;0),VaBenefits[[#This Row],[Withdrawal Taken  ]]/VaBenefits[[#This Row],[Assumed Contract Value ]],0)</f>
        <v>0</v>
      </c>
      <c r="K28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9" s="27" t="b">
        <f ca="1">AND(VaBenefits[[#This Row],[Is Activation]],SUMIFS($E$8:$E289,$C$8:$C289,TRUE)&gt;0)</f>
        <v>0</v>
      </c>
      <c r="M28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9" s="32" t="b">
        <f>IF(VaBenefits[[#This Row],[timeFromValuation]]=0,0, MOD(VaBenefits[[#This Row],[timeFromValuation]],1)=0)</f>
        <v>0</v>
      </c>
      <c r="O289" s="7">
        <f>IF(VaBenefits[[#This Row],[Is Anniversary?]]=TRUE,VaBenefits[[#This Row],[Assumed Contract Value ]],0)</f>
        <v>0</v>
      </c>
      <c r="P28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9" s="7" t="b">
        <f>VaBenefits[[#This Row],[Assumed Contract Value ]]&lt;0.1</f>
        <v>1</v>
      </c>
      <c r="R28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9" s="7">
        <f ca="1">IF(AND(VaBenefits[[#This Row],[Is Activation]]=FALSE,VaBenefits[[#This Row],[Is Anniversary?]]=TRUE),OFFSET( VaBenefits[[#This Row],[Income Credit Base]],-1,0)*ICP,0)</f>
        <v>0</v>
      </c>
      <c r="T289" s="5">
        <f>IF(VaBenefits[[#This Row],[Assumed Contract Value ]]&gt;0,VaBenefits[[#This Row],[Income Base]]*MAWA,0)</f>
        <v>0</v>
      </c>
      <c r="U289" s="95">
        <v>99</v>
      </c>
      <c r="V289" s="92">
        <f>1/(1+InterestRate)^VaBenefits[[#This Row],[timeFromValuation]]</f>
        <v>3.2467716139380806E-2</v>
      </c>
      <c r="W289" s="93">
        <f>VaBenefits[[#This Row],[timeFromValuation]]</f>
        <v>70.25</v>
      </c>
      <c r="X289" s="91">
        <f>IF(($G$8+VaBenefits[[#This Row],[timeFromValuation]])&lt;=120,VLOOKUP(G289,Table2[],Qx!L$6,FALSE),0)</f>
        <v>0</v>
      </c>
      <c r="Y289" s="91">
        <f>IF(($H$8+VaBenefits[[#This Row],[timeFromValuation]])&lt;=120,VLOOKUP(H289,Table2[],Qx!M$6,FALSE),0)</f>
        <v>0</v>
      </c>
      <c r="Z289" s="91">
        <v>0</v>
      </c>
      <c r="AA289" s="91">
        <v>0</v>
      </c>
      <c r="AB289" s="91">
        <v>0</v>
      </c>
      <c r="AC289" s="91">
        <v>0</v>
      </c>
      <c r="AD289" s="100">
        <f>PV(1.03,20,-VaBenefits[[#This Row],[Protected Income Payment]])</f>
        <v>96.116436796677789</v>
      </c>
      <c r="AE289" s="130">
        <f>IF((AND(VaBenefits[[#This Row],[Is Anniversary?]],VaBenefits[[#This Row],[Assumed Contract Value ]]&lt;75000)),-50,0)</f>
        <v>0</v>
      </c>
      <c r="AF289" s="134">
        <f>VaBenefits[[#This Row],[Assumed Contract Value ]]*-1.15%/4</f>
        <v>0</v>
      </c>
      <c r="AG289" s="129">
        <v>0</v>
      </c>
      <c r="AH289" s="6">
        <f>VaBenefits[[#This Row],[Maintenace Fee]]+VaBenefits[[#This Row],[Separate Account Charge]]+VaBenefits[[#This Row],[Rider Fee]]</f>
        <v>0</v>
      </c>
      <c r="AR289" s="23">
        <f t="shared" si="27"/>
        <v>140.5</v>
      </c>
      <c r="AS289" s="24">
        <v>0</v>
      </c>
      <c r="AT289" s="24">
        <v>0</v>
      </c>
      <c r="AU289" s="22">
        <v>0</v>
      </c>
      <c r="AV289" s="16">
        <v>0</v>
      </c>
      <c r="AW289" s="14">
        <v>299982</v>
      </c>
      <c r="AX289" s="15">
        <v>0</v>
      </c>
      <c r="AY289" s="15">
        <v>0</v>
      </c>
      <c r="AZ289" s="14">
        <v>0</v>
      </c>
      <c r="BA289" s="17">
        <v>11999</v>
      </c>
    </row>
    <row r="290" spans="1:53" ht="15" thickBot="1" x14ac:dyDescent="0.35">
      <c r="A290" s="32">
        <f t="shared" si="26"/>
        <v>282</v>
      </c>
      <c r="B290" s="29">
        <f t="shared" si="25"/>
        <v>70.5</v>
      </c>
      <c r="C290" s="29" t="b">
        <f>AND(VaBenefits[[#This Row],[timeFromValuation]]&gt;=ACT,VaBenefits[[#This Row],[Assumed Contract Value ]]&gt;0)</f>
        <v>0</v>
      </c>
      <c r="D290" s="20">
        <v>0</v>
      </c>
      <c r="E290" s="20">
        <v>0</v>
      </c>
      <c r="F290" s="20">
        <v>0</v>
      </c>
      <c r="G290" s="96">
        <f>ROUND($G$8+VaBenefits[[#This Row],[timeFromValuation]],0)</f>
        <v>126</v>
      </c>
      <c r="H290" s="20">
        <f>ROUND($H$8+VaBenefits[[#This Row],[timeFromValuation]],0)</f>
        <v>136</v>
      </c>
      <c r="I290" s="27" t="b">
        <f>VaBenefits[[#This Row],[Withdrawal Taken  ]]&gt;0</f>
        <v>0</v>
      </c>
      <c r="J290" s="41">
        <f>IF(AND(NOT(VaBenefits[[#This Row],[Is Activation]]),VaBenefits[[#This Row],[Assumed Contract Value ]]&gt;0),VaBenefits[[#This Row],[Withdrawal Taken  ]]/VaBenefits[[#This Row],[Assumed Contract Value ]],0)</f>
        <v>0</v>
      </c>
      <c r="K29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0" s="27" t="b">
        <f ca="1">AND(VaBenefits[[#This Row],[Is Activation]],SUMIFS($E$8:$E290,$C$8:$C290,TRUE)&gt;0)</f>
        <v>0</v>
      </c>
      <c r="M29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0" s="32" t="b">
        <f>IF(VaBenefits[[#This Row],[timeFromValuation]]=0,0, MOD(VaBenefits[[#This Row],[timeFromValuation]],1)=0)</f>
        <v>0</v>
      </c>
      <c r="O290" s="7">
        <f>IF(VaBenefits[[#This Row],[Is Anniversary?]]=TRUE,VaBenefits[[#This Row],[Assumed Contract Value ]],0)</f>
        <v>0</v>
      </c>
      <c r="P29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0" s="7" t="b">
        <f>VaBenefits[[#This Row],[Assumed Contract Value ]]&lt;0.1</f>
        <v>1</v>
      </c>
      <c r="R29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0" s="7">
        <f ca="1">IF(AND(VaBenefits[[#This Row],[Is Activation]]=FALSE,VaBenefits[[#This Row],[Is Anniversary?]]=TRUE),OFFSET( VaBenefits[[#This Row],[Income Credit Base]],-1,0)*ICP,0)</f>
        <v>0</v>
      </c>
      <c r="T290" s="5">
        <f>IF(VaBenefits[[#This Row],[Assumed Contract Value ]]&gt;0,VaBenefits[[#This Row],[Income Base]]*MAWA,0)</f>
        <v>0</v>
      </c>
      <c r="U290" s="95">
        <v>100</v>
      </c>
      <c r="V290" s="92">
        <f>1/(1+InterestRate)^VaBenefits[[#This Row],[timeFromValuation]]</f>
        <v>3.2074095322483932E-2</v>
      </c>
      <c r="W290" s="93">
        <f>VaBenefits[[#This Row],[timeFromValuation]]</f>
        <v>70.5</v>
      </c>
      <c r="X290" s="91">
        <f>IF(($G$8+VaBenefits[[#This Row],[timeFromValuation]])&lt;=120,VLOOKUP(G290,Table2[],Qx!L$6,FALSE),0)</f>
        <v>0</v>
      </c>
      <c r="Y290" s="91">
        <f>IF(($H$8+VaBenefits[[#This Row],[timeFromValuation]])&lt;=120,VLOOKUP(H290,Table2[],Qx!M$6,FALSE),0)</f>
        <v>0</v>
      </c>
      <c r="Z290" s="91">
        <v>0</v>
      </c>
      <c r="AA290" s="91">
        <v>0</v>
      </c>
      <c r="AB290" s="91">
        <v>0</v>
      </c>
      <c r="AC290" s="91">
        <v>0</v>
      </c>
      <c r="AD290" s="100">
        <f>PV(1.03,20,-VaBenefits[[#This Row],[Protected Income Payment]])</f>
        <v>97.087309895634121</v>
      </c>
      <c r="AE290" s="130">
        <f>IF((AND(VaBenefits[[#This Row],[Is Anniversary?]],VaBenefits[[#This Row],[Assumed Contract Value ]]&lt;75000)),-50,0)</f>
        <v>0</v>
      </c>
      <c r="AF290" s="134">
        <f>VaBenefits[[#This Row],[Assumed Contract Value ]]*-1.15%/4</f>
        <v>0</v>
      </c>
      <c r="AG290" s="129">
        <v>0</v>
      </c>
      <c r="AH290" s="6">
        <f>VaBenefits[[#This Row],[Maintenace Fee]]+VaBenefits[[#This Row],[Separate Account Charge]]+VaBenefits[[#This Row],[Rider Fee]]</f>
        <v>0</v>
      </c>
      <c r="AR290" s="23">
        <f t="shared" si="27"/>
        <v>141</v>
      </c>
      <c r="AS290" s="24">
        <v>0</v>
      </c>
      <c r="AT290" s="24">
        <v>0</v>
      </c>
      <c r="AU290" s="22">
        <v>0</v>
      </c>
      <c r="AV290" s="16">
        <v>0</v>
      </c>
      <c r="AW290" s="14">
        <v>299982</v>
      </c>
      <c r="AX290" s="15">
        <v>0</v>
      </c>
      <c r="AY290" s="15">
        <v>0</v>
      </c>
      <c r="AZ290" s="14">
        <v>0</v>
      </c>
      <c r="BA290" s="17">
        <v>11999</v>
      </c>
    </row>
    <row r="291" spans="1:53" ht="15" thickBot="1" x14ac:dyDescent="0.35">
      <c r="A291" s="32">
        <f t="shared" si="26"/>
        <v>283</v>
      </c>
      <c r="B291" s="29">
        <f t="shared" si="25"/>
        <v>70.75</v>
      </c>
      <c r="C291" s="29" t="b">
        <f>AND(VaBenefits[[#This Row],[timeFromValuation]]&gt;=ACT,VaBenefits[[#This Row],[Assumed Contract Value ]]&gt;0)</f>
        <v>0</v>
      </c>
      <c r="D291" s="20">
        <v>0</v>
      </c>
      <c r="E291" s="20">
        <v>0</v>
      </c>
      <c r="F291" s="20">
        <v>0</v>
      </c>
      <c r="G291" s="96">
        <f>ROUND($G$8+VaBenefits[[#This Row],[timeFromValuation]],0)</f>
        <v>126</v>
      </c>
      <c r="H291" s="20">
        <f>ROUND($H$8+VaBenefits[[#This Row],[timeFromValuation]],0)</f>
        <v>136</v>
      </c>
      <c r="I291" s="27" t="b">
        <f>VaBenefits[[#This Row],[Withdrawal Taken  ]]&gt;0</f>
        <v>0</v>
      </c>
      <c r="J291" s="41">
        <f>IF(AND(NOT(VaBenefits[[#This Row],[Is Activation]]),VaBenefits[[#This Row],[Assumed Contract Value ]]&gt;0),VaBenefits[[#This Row],[Withdrawal Taken  ]]/VaBenefits[[#This Row],[Assumed Contract Value ]],0)</f>
        <v>0</v>
      </c>
      <c r="K29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1" s="27" t="b">
        <f ca="1">AND(VaBenefits[[#This Row],[Is Activation]],SUMIFS($E$8:$E291,$C$8:$C291,TRUE)&gt;0)</f>
        <v>0</v>
      </c>
      <c r="M29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1" s="32" t="b">
        <f>IF(VaBenefits[[#This Row],[timeFromValuation]]=0,0, MOD(VaBenefits[[#This Row],[timeFromValuation]],1)=0)</f>
        <v>0</v>
      </c>
      <c r="O291" s="7">
        <f>IF(VaBenefits[[#This Row],[Is Anniversary?]]=TRUE,VaBenefits[[#This Row],[Assumed Contract Value ]],0)</f>
        <v>0</v>
      </c>
      <c r="P29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1" s="7" t="b">
        <f>VaBenefits[[#This Row],[Assumed Contract Value ]]&lt;0.1</f>
        <v>1</v>
      </c>
      <c r="R29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1" s="7">
        <f ca="1">IF(AND(VaBenefits[[#This Row],[Is Activation]]=FALSE,VaBenefits[[#This Row],[Is Anniversary?]]=TRUE),OFFSET( VaBenefits[[#This Row],[Income Credit Base]],-1,0)*ICP,0)</f>
        <v>0</v>
      </c>
      <c r="T291" s="5">
        <f>IF(VaBenefits[[#This Row],[Assumed Contract Value ]]&gt;0,VaBenefits[[#This Row],[Income Base]]*MAWA,0)</f>
        <v>0</v>
      </c>
      <c r="U291" s="95">
        <v>101</v>
      </c>
      <c r="V291" s="92">
        <f>1/(1+InterestRate)^VaBenefits[[#This Row],[timeFromValuation]]</f>
        <v>3.1685246548893993E-2</v>
      </c>
      <c r="W291" s="93">
        <f>VaBenefits[[#This Row],[timeFromValuation]]</f>
        <v>70.75</v>
      </c>
      <c r="X291" s="91">
        <f>IF(($G$8+VaBenefits[[#This Row],[timeFromValuation]])&lt;=120,VLOOKUP(G291,Table2[],Qx!L$6,FALSE),0)</f>
        <v>0</v>
      </c>
      <c r="Y291" s="91">
        <f>IF(($H$8+VaBenefits[[#This Row],[timeFromValuation]])&lt;=120,VLOOKUP(H291,Table2[],Qx!M$6,FALSE),0)</f>
        <v>0</v>
      </c>
      <c r="Z291" s="91">
        <v>0</v>
      </c>
      <c r="AA291" s="91">
        <v>0</v>
      </c>
      <c r="AB291" s="91">
        <v>0</v>
      </c>
      <c r="AC291" s="91">
        <v>0</v>
      </c>
      <c r="AD291" s="100">
        <f>PV(1.03,20,-VaBenefits[[#This Row],[Protected Income Payment]])</f>
        <v>98.058182994590467</v>
      </c>
      <c r="AE291" s="130">
        <f>IF((AND(VaBenefits[[#This Row],[Is Anniversary?]],VaBenefits[[#This Row],[Assumed Contract Value ]]&lt;75000)),-50,0)</f>
        <v>0</v>
      </c>
      <c r="AF291" s="134">
        <f>VaBenefits[[#This Row],[Assumed Contract Value ]]*-1.15%/4</f>
        <v>0</v>
      </c>
      <c r="AG291" s="129">
        <v>0</v>
      </c>
      <c r="AH291" s="6">
        <f>VaBenefits[[#This Row],[Maintenace Fee]]+VaBenefits[[#This Row],[Separate Account Charge]]+VaBenefits[[#This Row],[Rider Fee]]</f>
        <v>0</v>
      </c>
      <c r="AR291" s="23">
        <f t="shared" si="27"/>
        <v>141.5</v>
      </c>
      <c r="AS291" s="24">
        <v>0</v>
      </c>
      <c r="AT291" s="24">
        <v>0</v>
      </c>
      <c r="AU291" s="22">
        <v>0</v>
      </c>
      <c r="AV291" s="16">
        <v>0</v>
      </c>
      <c r="AW291" s="14">
        <v>299982</v>
      </c>
      <c r="AX291" s="15">
        <v>0</v>
      </c>
      <c r="AY291" s="15">
        <v>0</v>
      </c>
      <c r="AZ291" s="14">
        <v>0</v>
      </c>
      <c r="BA291" s="17">
        <v>11999</v>
      </c>
    </row>
    <row r="292" spans="1:53" ht="15" thickBot="1" x14ac:dyDescent="0.35">
      <c r="A292" s="32">
        <f t="shared" si="26"/>
        <v>284</v>
      </c>
      <c r="B292" s="29">
        <f t="shared" si="25"/>
        <v>71</v>
      </c>
      <c r="C292" s="29" t="b">
        <f>AND(VaBenefits[[#This Row],[timeFromValuation]]&gt;=ACT,VaBenefits[[#This Row],[Assumed Contract Value ]]&gt;0)</f>
        <v>0</v>
      </c>
      <c r="D292" s="20">
        <v>0</v>
      </c>
      <c r="E292" s="20">
        <v>0</v>
      </c>
      <c r="F292" s="20">
        <v>0</v>
      </c>
      <c r="G292" s="96">
        <f>ROUND($G$8+VaBenefits[[#This Row],[timeFromValuation]],0)</f>
        <v>126</v>
      </c>
      <c r="H292" s="20">
        <f>ROUND($H$8+VaBenefits[[#This Row],[timeFromValuation]],0)</f>
        <v>136</v>
      </c>
      <c r="I292" s="27" t="b">
        <f>VaBenefits[[#This Row],[Withdrawal Taken  ]]&gt;0</f>
        <v>0</v>
      </c>
      <c r="J292" s="41">
        <f>IF(AND(NOT(VaBenefits[[#This Row],[Is Activation]]),VaBenefits[[#This Row],[Assumed Contract Value ]]&gt;0),VaBenefits[[#This Row],[Withdrawal Taken  ]]/VaBenefits[[#This Row],[Assumed Contract Value ]],0)</f>
        <v>0</v>
      </c>
      <c r="K29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2" s="27" t="b">
        <f ca="1">AND(VaBenefits[[#This Row],[Is Activation]],SUMIFS($E$8:$E292,$C$8:$C292,TRUE)&gt;0)</f>
        <v>0</v>
      </c>
      <c r="M29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2" s="32" t="b">
        <f>IF(VaBenefits[[#This Row],[timeFromValuation]]=0,0, MOD(VaBenefits[[#This Row],[timeFromValuation]],1)=0)</f>
        <v>1</v>
      </c>
      <c r="O292" s="7">
        <f>IF(VaBenefits[[#This Row],[Is Anniversary?]]=TRUE,VaBenefits[[#This Row],[Assumed Contract Value ]],0)</f>
        <v>0</v>
      </c>
      <c r="P29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2" s="7" t="b">
        <f>VaBenefits[[#This Row],[Assumed Contract Value ]]&lt;0.1</f>
        <v>1</v>
      </c>
      <c r="R29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2" s="7">
        <f ca="1">IF(AND(VaBenefits[[#This Row],[Is Activation]]=FALSE,VaBenefits[[#This Row],[Is Anniversary?]]=TRUE),OFFSET( VaBenefits[[#This Row],[Income Credit Base]],-1,0)*ICP,0)</f>
        <v>0</v>
      </c>
      <c r="T292" s="5">
        <f>IF(VaBenefits[[#This Row],[Assumed Contract Value ]]&gt;0,VaBenefits[[#This Row],[Income Base]]*MAWA,0)</f>
        <v>0</v>
      </c>
      <c r="U292" s="95">
        <v>102</v>
      </c>
      <c r="V292" s="92">
        <f>1/(1+InterestRate)^VaBenefits[[#This Row],[timeFromValuation]]</f>
        <v>3.1301111964970339E-2</v>
      </c>
      <c r="W292" s="93">
        <f>VaBenefits[[#This Row],[timeFromValuation]]</f>
        <v>71</v>
      </c>
      <c r="X292" s="91">
        <f>IF(($G$8+VaBenefits[[#This Row],[timeFromValuation]])&lt;=120,VLOOKUP(G292,Table2[],Qx!L$6,FALSE),0)</f>
        <v>0</v>
      </c>
      <c r="Y292" s="91">
        <f>IF(($H$8+VaBenefits[[#This Row],[timeFromValuation]])&lt;=120,VLOOKUP(H292,Table2[],Qx!M$6,FALSE),0)</f>
        <v>0</v>
      </c>
      <c r="Z292" s="91">
        <v>0</v>
      </c>
      <c r="AA292" s="91">
        <v>0</v>
      </c>
      <c r="AB292" s="91">
        <v>0</v>
      </c>
      <c r="AC292" s="91">
        <v>0</v>
      </c>
      <c r="AD292" s="100">
        <f>PV(1.03,20,-VaBenefits[[#This Row],[Protected Income Payment]])</f>
        <v>99.029056093546799</v>
      </c>
      <c r="AE292" s="130">
        <f>IF((AND(VaBenefits[[#This Row],[Is Anniversary?]],VaBenefits[[#This Row],[Assumed Contract Value ]]&lt;75000)),-50,0)</f>
        <v>-50</v>
      </c>
      <c r="AF292" s="134">
        <f>VaBenefits[[#This Row],[Assumed Contract Value ]]*-1.15%/4</f>
        <v>0</v>
      </c>
      <c r="AG292" s="129">
        <v>0</v>
      </c>
      <c r="AH292" s="6">
        <f>VaBenefits[[#This Row],[Maintenace Fee]]+VaBenefits[[#This Row],[Separate Account Charge]]+VaBenefits[[#This Row],[Rider Fee]]</f>
        <v>-50</v>
      </c>
      <c r="AR292" s="23">
        <f t="shared" si="27"/>
        <v>142</v>
      </c>
      <c r="AS292" s="24">
        <v>0</v>
      </c>
      <c r="AT292" s="24">
        <v>0</v>
      </c>
      <c r="AU292" s="22">
        <v>0</v>
      </c>
      <c r="AV292" s="16">
        <v>0</v>
      </c>
      <c r="AW292" s="14">
        <v>299982</v>
      </c>
      <c r="AX292" s="15">
        <v>0</v>
      </c>
      <c r="AY292" s="15">
        <v>0</v>
      </c>
      <c r="AZ292" s="14">
        <v>0</v>
      </c>
      <c r="BA292" s="17">
        <v>11999</v>
      </c>
    </row>
    <row r="293" spans="1:53" ht="15" thickBot="1" x14ac:dyDescent="0.35">
      <c r="A293" s="32">
        <f t="shared" si="26"/>
        <v>285</v>
      </c>
      <c r="B293" s="29">
        <f t="shared" si="25"/>
        <v>71.25</v>
      </c>
      <c r="C293" s="29" t="b">
        <f>AND(VaBenefits[[#This Row],[timeFromValuation]]&gt;=ACT,VaBenefits[[#This Row],[Assumed Contract Value ]]&gt;0)</f>
        <v>0</v>
      </c>
      <c r="D293" s="20">
        <v>0</v>
      </c>
      <c r="E293" s="20">
        <v>0</v>
      </c>
      <c r="F293" s="20">
        <v>0</v>
      </c>
      <c r="G293" s="96">
        <f>ROUND($G$8+VaBenefits[[#This Row],[timeFromValuation]],0)</f>
        <v>126</v>
      </c>
      <c r="H293" s="20">
        <f>ROUND($H$8+VaBenefits[[#This Row],[timeFromValuation]],0)</f>
        <v>136</v>
      </c>
      <c r="I293" s="27" t="b">
        <f>VaBenefits[[#This Row],[Withdrawal Taken  ]]&gt;0</f>
        <v>0</v>
      </c>
      <c r="J293" s="41">
        <f>IF(AND(NOT(VaBenefits[[#This Row],[Is Activation]]),VaBenefits[[#This Row],[Assumed Contract Value ]]&gt;0),VaBenefits[[#This Row],[Withdrawal Taken  ]]/VaBenefits[[#This Row],[Assumed Contract Value ]],0)</f>
        <v>0</v>
      </c>
      <c r="K29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3" s="27" t="b">
        <f ca="1">AND(VaBenefits[[#This Row],[Is Activation]],SUMIFS($E$8:$E293,$C$8:$C293,TRUE)&gt;0)</f>
        <v>0</v>
      </c>
      <c r="M29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3" s="32" t="b">
        <f>IF(VaBenefits[[#This Row],[timeFromValuation]]=0,0, MOD(VaBenefits[[#This Row],[timeFromValuation]],1)=0)</f>
        <v>0</v>
      </c>
      <c r="O293" s="7">
        <f>IF(VaBenefits[[#This Row],[Is Anniversary?]]=TRUE,VaBenefits[[#This Row],[Assumed Contract Value ]],0)</f>
        <v>0</v>
      </c>
      <c r="P29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3" s="7" t="b">
        <f>VaBenefits[[#This Row],[Assumed Contract Value ]]&lt;0.1</f>
        <v>1</v>
      </c>
      <c r="R29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3" s="7">
        <f ca="1">IF(AND(VaBenefits[[#This Row],[Is Activation]]=FALSE,VaBenefits[[#This Row],[Is Anniversary?]]=TRUE),OFFSET( VaBenefits[[#This Row],[Income Credit Base]],-1,0)*ICP,0)</f>
        <v>0</v>
      </c>
      <c r="T293" s="5">
        <f>IF(VaBenefits[[#This Row],[Assumed Contract Value ]]&gt;0,VaBenefits[[#This Row],[Income Base]]*MAWA,0)</f>
        <v>0</v>
      </c>
      <c r="U293" s="95">
        <v>103</v>
      </c>
      <c r="V293" s="92">
        <f>1/(1+InterestRate)^VaBenefits[[#This Row],[timeFromValuation]]</f>
        <v>3.0921634418457904E-2</v>
      </c>
      <c r="W293" s="93">
        <f>VaBenefits[[#This Row],[timeFromValuation]]</f>
        <v>71.25</v>
      </c>
      <c r="X293" s="91">
        <f>IF(($G$8+VaBenefits[[#This Row],[timeFromValuation]])&lt;=120,VLOOKUP(G293,Table2[],Qx!L$6,FALSE),0)</f>
        <v>0</v>
      </c>
      <c r="Y293" s="91">
        <f>IF(($H$8+VaBenefits[[#This Row],[timeFromValuation]])&lt;=120,VLOOKUP(H293,Table2[],Qx!M$6,FALSE),0)</f>
        <v>0</v>
      </c>
      <c r="Z293" s="91">
        <v>0</v>
      </c>
      <c r="AA293" s="91">
        <v>0</v>
      </c>
      <c r="AB293" s="91">
        <v>0</v>
      </c>
      <c r="AC293" s="91">
        <v>0</v>
      </c>
      <c r="AD293" s="100">
        <f>PV(1.03,20,-VaBenefits[[#This Row],[Protected Income Payment]])</f>
        <v>99.999929192503132</v>
      </c>
      <c r="AE293" s="130">
        <f>IF((AND(VaBenefits[[#This Row],[Is Anniversary?]],VaBenefits[[#This Row],[Assumed Contract Value ]]&lt;75000)),-50,0)</f>
        <v>0</v>
      </c>
      <c r="AF293" s="134">
        <f>VaBenefits[[#This Row],[Assumed Contract Value ]]*-1.15%/4</f>
        <v>0</v>
      </c>
      <c r="AG293" s="129">
        <v>0</v>
      </c>
      <c r="AH293" s="6">
        <f>VaBenefits[[#This Row],[Maintenace Fee]]+VaBenefits[[#This Row],[Separate Account Charge]]+VaBenefits[[#This Row],[Rider Fee]]</f>
        <v>0</v>
      </c>
      <c r="AR293" s="23">
        <f t="shared" si="27"/>
        <v>142.5</v>
      </c>
      <c r="AS293" s="24">
        <v>0</v>
      </c>
      <c r="AT293" s="24">
        <v>0</v>
      </c>
      <c r="AU293" s="22">
        <v>0</v>
      </c>
      <c r="AV293" s="16">
        <v>0</v>
      </c>
      <c r="AW293" s="14">
        <v>299982</v>
      </c>
      <c r="AX293" s="15">
        <v>0</v>
      </c>
      <c r="AY293" s="15">
        <v>0</v>
      </c>
      <c r="AZ293" s="14">
        <v>0</v>
      </c>
      <c r="BA293" s="17">
        <v>11999</v>
      </c>
    </row>
    <row r="294" spans="1:53" ht="15" thickBot="1" x14ac:dyDescent="0.35">
      <c r="A294" s="32">
        <f t="shared" si="26"/>
        <v>286</v>
      </c>
      <c r="B294" s="29">
        <f t="shared" si="25"/>
        <v>71.5</v>
      </c>
      <c r="C294" s="29" t="b">
        <f>AND(VaBenefits[[#This Row],[timeFromValuation]]&gt;=ACT,VaBenefits[[#This Row],[Assumed Contract Value ]]&gt;0)</f>
        <v>0</v>
      </c>
      <c r="D294" s="20">
        <v>0</v>
      </c>
      <c r="E294" s="20">
        <v>0</v>
      </c>
      <c r="F294" s="20">
        <v>0</v>
      </c>
      <c r="G294" s="96">
        <f>ROUND($G$8+VaBenefits[[#This Row],[timeFromValuation]],0)</f>
        <v>127</v>
      </c>
      <c r="H294" s="20">
        <f>ROUND($H$8+VaBenefits[[#This Row],[timeFromValuation]],0)</f>
        <v>137</v>
      </c>
      <c r="I294" s="27" t="b">
        <f>VaBenefits[[#This Row],[Withdrawal Taken  ]]&gt;0</f>
        <v>0</v>
      </c>
      <c r="J294" s="41">
        <f>IF(AND(NOT(VaBenefits[[#This Row],[Is Activation]]),VaBenefits[[#This Row],[Assumed Contract Value ]]&gt;0),VaBenefits[[#This Row],[Withdrawal Taken  ]]/VaBenefits[[#This Row],[Assumed Contract Value ]],0)</f>
        <v>0</v>
      </c>
      <c r="K29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4" s="27" t="b">
        <f ca="1">AND(VaBenefits[[#This Row],[Is Activation]],SUMIFS($E$8:$E294,$C$8:$C294,TRUE)&gt;0)</f>
        <v>0</v>
      </c>
      <c r="M29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4" s="32" t="b">
        <f>IF(VaBenefits[[#This Row],[timeFromValuation]]=0,0, MOD(VaBenefits[[#This Row],[timeFromValuation]],1)=0)</f>
        <v>0</v>
      </c>
      <c r="O294" s="7">
        <f>IF(VaBenefits[[#This Row],[Is Anniversary?]]=TRUE,VaBenefits[[#This Row],[Assumed Contract Value ]],0)</f>
        <v>0</v>
      </c>
      <c r="P29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4" s="7" t="b">
        <f>VaBenefits[[#This Row],[Assumed Contract Value ]]&lt;0.1</f>
        <v>1</v>
      </c>
      <c r="R29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4" s="7">
        <f ca="1">IF(AND(VaBenefits[[#This Row],[Is Activation]]=FALSE,VaBenefits[[#This Row],[Is Anniversary?]]=TRUE),OFFSET( VaBenefits[[#This Row],[Income Credit Base]],-1,0)*ICP,0)</f>
        <v>0</v>
      </c>
      <c r="T294" s="5">
        <f>IF(VaBenefits[[#This Row],[Assumed Contract Value ]]&gt;0,VaBenefits[[#This Row],[Income Base]]*MAWA,0)</f>
        <v>0</v>
      </c>
      <c r="U294" s="95">
        <v>104</v>
      </c>
      <c r="V294" s="92">
        <f>1/(1+InterestRate)^VaBenefits[[#This Row],[timeFromValuation]]</f>
        <v>3.0546757449984689E-2</v>
      </c>
      <c r="W294" s="93">
        <f>VaBenefits[[#This Row],[timeFromValuation]]</f>
        <v>71.5</v>
      </c>
      <c r="X294" s="91">
        <f>IF(($G$8+VaBenefits[[#This Row],[timeFromValuation]])&lt;=120,VLOOKUP(G294,Table2[],Qx!L$6,FALSE),0)</f>
        <v>0</v>
      </c>
      <c r="Y294" s="91">
        <f>IF(($H$8+VaBenefits[[#This Row],[timeFromValuation]])&lt;=120,VLOOKUP(H294,Table2[],Qx!M$6,FALSE),0)</f>
        <v>0</v>
      </c>
      <c r="Z294" s="91">
        <v>0</v>
      </c>
      <c r="AA294" s="91">
        <v>0</v>
      </c>
      <c r="AB294" s="91">
        <v>0</v>
      </c>
      <c r="AC294" s="91">
        <v>0</v>
      </c>
      <c r="AD294" s="100">
        <f>PV(1.03,20,-VaBenefits[[#This Row],[Protected Income Payment]])</f>
        <v>100.97080229145949</v>
      </c>
      <c r="AE294" s="130">
        <f>IF((AND(VaBenefits[[#This Row],[Is Anniversary?]],VaBenefits[[#This Row],[Assumed Contract Value ]]&lt;75000)),-50,0)</f>
        <v>0</v>
      </c>
      <c r="AF294" s="134">
        <f>VaBenefits[[#This Row],[Assumed Contract Value ]]*-1.15%/4</f>
        <v>0</v>
      </c>
      <c r="AG294" s="129">
        <v>0</v>
      </c>
      <c r="AH294" s="6">
        <f>VaBenefits[[#This Row],[Maintenace Fee]]+VaBenefits[[#This Row],[Separate Account Charge]]+VaBenefits[[#This Row],[Rider Fee]]</f>
        <v>0</v>
      </c>
      <c r="AR294" s="23">
        <f t="shared" si="27"/>
        <v>143</v>
      </c>
      <c r="AS294" s="24">
        <v>0</v>
      </c>
      <c r="AT294" s="24">
        <v>0</v>
      </c>
      <c r="AU294" s="22">
        <v>0</v>
      </c>
      <c r="AV294" s="16">
        <v>0</v>
      </c>
      <c r="AW294" s="14">
        <v>299982</v>
      </c>
      <c r="AX294" s="15">
        <v>0</v>
      </c>
      <c r="AY294" s="15">
        <v>0</v>
      </c>
      <c r="AZ294" s="14">
        <v>0</v>
      </c>
      <c r="BA294" s="17">
        <v>11999</v>
      </c>
    </row>
    <row r="295" spans="1:53" ht="15" thickBot="1" x14ac:dyDescent="0.35">
      <c r="A295" s="32">
        <f t="shared" si="26"/>
        <v>287</v>
      </c>
      <c r="B295" s="29">
        <f t="shared" si="25"/>
        <v>71.75</v>
      </c>
      <c r="C295" s="29" t="b">
        <f>AND(VaBenefits[[#This Row],[timeFromValuation]]&gt;=ACT,VaBenefits[[#This Row],[Assumed Contract Value ]]&gt;0)</f>
        <v>0</v>
      </c>
      <c r="D295" s="20">
        <v>0</v>
      </c>
      <c r="E295" s="20">
        <v>0</v>
      </c>
      <c r="F295" s="20">
        <v>0</v>
      </c>
      <c r="G295" s="96">
        <f>ROUND($G$8+VaBenefits[[#This Row],[timeFromValuation]],0)</f>
        <v>127</v>
      </c>
      <c r="H295" s="20">
        <f>ROUND($H$8+VaBenefits[[#This Row],[timeFromValuation]],0)</f>
        <v>137</v>
      </c>
      <c r="I295" s="27" t="b">
        <f>VaBenefits[[#This Row],[Withdrawal Taken  ]]&gt;0</f>
        <v>0</v>
      </c>
      <c r="J295" s="41">
        <f>IF(AND(NOT(VaBenefits[[#This Row],[Is Activation]]),VaBenefits[[#This Row],[Assumed Contract Value ]]&gt;0),VaBenefits[[#This Row],[Withdrawal Taken  ]]/VaBenefits[[#This Row],[Assumed Contract Value ]],0)</f>
        <v>0</v>
      </c>
      <c r="K29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5" s="27" t="b">
        <f ca="1">AND(VaBenefits[[#This Row],[Is Activation]],SUMIFS($E$8:$E295,$C$8:$C295,TRUE)&gt;0)</f>
        <v>0</v>
      </c>
      <c r="M29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5" s="32" t="b">
        <f>IF(VaBenefits[[#This Row],[timeFromValuation]]=0,0, MOD(VaBenefits[[#This Row],[timeFromValuation]],1)=0)</f>
        <v>0</v>
      </c>
      <c r="O295" s="7">
        <f>IF(VaBenefits[[#This Row],[Is Anniversary?]]=TRUE,VaBenefits[[#This Row],[Assumed Contract Value ]],0)</f>
        <v>0</v>
      </c>
      <c r="P29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5" s="7" t="b">
        <f>VaBenefits[[#This Row],[Assumed Contract Value ]]&lt;0.1</f>
        <v>1</v>
      </c>
      <c r="R29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5" s="7">
        <f ca="1">IF(AND(VaBenefits[[#This Row],[Is Activation]]=FALSE,VaBenefits[[#This Row],[Is Anniversary?]]=TRUE),OFFSET( VaBenefits[[#This Row],[Income Credit Base]],-1,0)*ICP,0)</f>
        <v>0</v>
      </c>
      <c r="T295" s="5">
        <f>IF(VaBenefits[[#This Row],[Assumed Contract Value ]]&gt;0,VaBenefits[[#This Row],[Income Base]]*MAWA,0)</f>
        <v>0</v>
      </c>
      <c r="U295" s="95">
        <v>105</v>
      </c>
      <c r="V295" s="92">
        <f>1/(1+InterestRate)^VaBenefits[[#This Row],[timeFromValuation]]</f>
        <v>3.0176425284660944E-2</v>
      </c>
      <c r="W295" s="93">
        <f>VaBenefits[[#This Row],[timeFromValuation]]</f>
        <v>71.75</v>
      </c>
      <c r="X295" s="91">
        <f>IF(($G$8+VaBenefits[[#This Row],[timeFromValuation]])&lt;=120,VLOOKUP(G295,Table2[],Qx!L$6,FALSE),0)</f>
        <v>0</v>
      </c>
      <c r="Y295" s="91">
        <f>IF(($H$8+VaBenefits[[#This Row],[timeFromValuation]])&lt;=120,VLOOKUP(H295,Table2[],Qx!M$6,FALSE),0)</f>
        <v>0</v>
      </c>
      <c r="Z295" s="91">
        <v>0</v>
      </c>
      <c r="AA295" s="91">
        <v>0</v>
      </c>
      <c r="AB295" s="91">
        <v>0</v>
      </c>
      <c r="AC295" s="91">
        <v>0</v>
      </c>
      <c r="AD295" s="100">
        <f>PV(1.03,20,-VaBenefits[[#This Row],[Protected Income Payment]])</f>
        <v>101.94167539041581</v>
      </c>
      <c r="AE295" s="130">
        <f>IF((AND(VaBenefits[[#This Row],[Is Anniversary?]],VaBenefits[[#This Row],[Assumed Contract Value ]]&lt;75000)),-50,0)</f>
        <v>0</v>
      </c>
      <c r="AF295" s="134">
        <f>VaBenefits[[#This Row],[Assumed Contract Value ]]*-1.15%/4</f>
        <v>0</v>
      </c>
      <c r="AG295" s="129">
        <v>0</v>
      </c>
      <c r="AH295" s="6">
        <f>VaBenefits[[#This Row],[Maintenace Fee]]+VaBenefits[[#This Row],[Separate Account Charge]]+VaBenefits[[#This Row],[Rider Fee]]</f>
        <v>0</v>
      </c>
      <c r="AR295" s="23">
        <f t="shared" si="27"/>
        <v>143.5</v>
      </c>
      <c r="AS295" s="24">
        <v>0</v>
      </c>
      <c r="AT295" s="24">
        <v>0</v>
      </c>
      <c r="AU295" s="22">
        <v>0</v>
      </c>
      <c r="AV295" s="16">
        <v>0</v>
      </c>
      <c r="AW295" s="14">
        <v>299982</v>
      </c>
      <c r="AX295" s="15">
        <v>0</v>
      </c>
      <c r="AY295" s="15">
        <v>0</v>
      </c>
      <c r="AZ295" s="14">
        <v>0</v>
      </c>
      <c r="BA295" s="17">
        <v>11999</v>
      </c>
    </row>
    <row r="296" spans="1:53" ht="15" thickBot="1" x14ac:dyDescent="0.35">
      <c r="A296" s="32">
        <f t="shared" si="26"/>
        <v>288</v>
      </c>
      <c r="B296" s="29">
        <f t="shared" si="25"/>
        <v>72</v>
      </c>
      <c r="C296" s="29" t="b">
        <f>AND(VaBenefits[[#This Row],[timeFromValuation]]&gt;=ACT,VaBenefits[[#This Row],[Assumed Contract Value ]]&gt;0)</f>
        <v>0</v>
      </c>
      <c r="D296" s="20">
        <v>0</v>
      </c>
      <c r="E296" s="20">
        <v>0</v>
      </c>
      <c r="F296" s="20">
        <v>0</v>
      </c>
      <c r="G296" s="96">
        <f>ROUND($G$8+VaBenefits[[#This Row],[timeFromValuation]],0)</f>
        <v>127</v>
      </c>
      <c r="H296" s="20">
        <f>ROUND($H$8+VaBenefits[[#This Row],[timeFromValuation]],0)</f>
        <v>137</v>
      </c>
      <c r="I296" s="27" t="b">
        <f>VaBenefits[[#This Row],[Withdrawal Taken  ]]&gt;0</f>
        <v>0</v>
      </c>
      <c r="J296" s="41">
        <f>IF(AND(NOT(VaBenefits[[#This Row],[Is Activation]]),VaBenefits[[#This Row],[Assumed Contract Value ]]&gt;0),VaBenefits[[#This Row],[Withdrawal Taken  ]]/VaBenefits[[#This Row],[Assumed Contract Value ]],0)</f>
        <v>0</v>
      </c>
      <c r="K29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6" s="27" t="b">
        <f ca="1">AND(VaBenefits[[#This Row],[Is Activation]],SUMIFS($E$8:$E296,$C$8:$C296,TRUE)&gt;0)</f>
        <v>0</v>
      </c>
      <c r="M29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6" s="32" t="b">
        <f>IF(VaBenefits[[#This Row],[timeFromValuation]]=0,0, MOD(VaBenefits[[#This Row],[timeFromValuation]],1)=0)</f>
        <v>1</v>
      </c>
      <c r="O296" s="7">
        <f>IF(VaBenefits[[#This Row],[Is Anniversary?]]=TRUE,VaBenefits[[#This Row],[Assumed Contract Value ]],0)</f>
        <v>0</v>
      </c>
      <c r="P29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6" s="7" t="b">
        <f>VaBenefits[[#This Row],[Assumed Contract Value ]]&lt;0.1</f>
        <v>1</v>
      </c>
      <c r="R29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6" s="7">
        <f ca="1">IF(AND(VaBenefits[[#This Row],[Is Activation]]=FALSE,VaBenefits[[#This Row],[Is Anniversary?]]=TRUE),OFFSET( VaBenefits[[#This Row],[Income Credit Base]],-1,0)*ICP,0)</f>
        <v>0</v>
      </c>
      <c r="T296" s="5">
        <f>IF(VaBenefits[[#This Row],[Assumed Contract Value ]]&gt;0,VaBenefits[[#This Row],[Income Base]]*MAWA,0)</f>
        <v>0</v>
      </c>
      <c r="U296" s="95">
        <v>106</v>
      </c>
      <c r="V296" s="92">
        <f>1/(1+InterestRate)^VaBenefits[[#This Row],[timeFromValuation]]</f>
        <v>2.9810582823781274E-2</v>
      </c>
      <c r="W296" s="93">
        <f>VaBenefits[[#This Row],[timeFromValuation]]</f>
        <v>72</v>
      </c>
      <c r="X296" s="91">
        <f>IF(($G$8+VaBenefits[[#This Row],[timeFromValuation]])&lt;=120,VLOOKUP(G296,Table2[],Qx!L$6,FALSE),0)</f>
        <v>0</v>
      </c>
      <c r="Y296" s="91">
        <f>IF(($H$8+VaBenefits[[#This Row],[timeFromValuation]])&lt;=120,VLOOKUP(H296,Table2[],Qx!M$6,FALSE),0)</f>
        <v>0</v>
      </c>
      <c r="Z296" s="91">
        <v>0</v>
      </c>
      <c r="AA296" s="91">
        <v>0</v>
      </c>
      <c r="AB296" s="91">
        <v>0</v>
      </c>
      <c r="AC296" s="91">
        <v>0</v>
      </c>
      <c r="AD296" s="100">
        <f>PV(1.03,20,-VaBenefits[[#This Row],[Protected Income Payment]])</f>
        <v>102.91254848937217</v>
      </c>
      <c r="AE296" s="130">
        <f>IF((AND(VaBenefits[[#This Row],[Is Anniversary?]],VaBenefits[[#This Row],[Assumed Contract Value ]]&lt;75000)),-50,0)</f>
        <v>-50</v>
      </c>
      <c r="AF296" s="134">
        <f>VaBenefits[[#This Row],[Assumed Contract Value ]]*-1.15%/4</f>
        <v>0</v>
      </c>
      <c r="AG296" s="129">
        <v>0</v>
      </c>
      <c r="AH296" s="6">
        <f>VaBenefits[[#This Row],[Maintenace Fee]]+VaBenefits[[#This Row],[Separate Account Charge]]+VaBenefits[[#This Row],[Rider Fee]]</f>
        <v>-50</v>
      </c>
      <c r="AR296" s="23">
        <f t="shared" si="27"/>
        <v>144</v>
      </c>
      <c r="AS296" s="24">
        <v>0</v>
      </c>
      <c r="AT296" s="24">
        <v>0</v>
      </c>
      <c r="AU296" s="22">
        <v>0</v>
      </c>
      <c r="AV296" s="16">
        <v>0</v>
      </c>
      <c r="AW296" s="14">
        <v>299982</v>
      </c>
      <c r="AX296" s="15">
        <v>0</v>
      </c>
      <c r="AY296" s="15">
        <v>0</v>
      </c>
      <c r="AZ296" s="14">
        <v>0</v>
      </c>
      <c r="BA296" s="17">
        <v>11999</v>
      </c>
    </row>
    <row r="297" spans="1:53" ht="15" thickBot="1" x14ac:dyDescent="0.35">
      <c r="A297" s="32">
        <f t="shared" si="26"/>
        <v>289</v>
      </c>
      <c r="B297" s="29">
        <f t="shared" si="25"/>
        <v>72.25</v>
      </c>
      <c r="C297" s="29" t="b">
        <f>AND(VaBenefits[[#This Row],[timeFromValuation]]&gt;=ACT,VaBenefits[[#This Row],[Assumed Contract Value ]]&gt;0)</f>
        <v>0</v>
      </c>
      <c r="D297" s="20">
        <v>0</v>
      </c>
      <c r="E297" s="20">
        <v>0</v>
      </c>
      <c r="F297" s="20">
        <v>0</v>
      </c>
      <c r="G297" s="96">
        <f>ROUND($G$8+VaBenefits[[#This Row],[timeFromValuation]],0)</f>
        <v>127</v>
      </c>
      <c r="H297" s="20">
        <f>ROUND($H$8+VaBenefits[[#This Row],[timeFromValuation]],0)</f>
        <v>137</v>
      </c>
      <c r="I297" s="27" t="b">
        <f>VaBenefits[[#This Row],[Withdrawal Taken  ]]&gt;0</f>
        <v>0</v>
      </c>
      <c r="J297" s="41">
        <f>IF(AND(NOT(VaBenefits[[#This Row],[Is Activation]]),VaBenefits[[#This Row],[Assumed Contract Value ]]&gt;0),VaBenefits[[#This Row],[Withdrawal Taken  ]]/VaBenefits[[#This Row],[Assumed Contract Value ]],0)</f>
        <v>0</v>
      </c>
      <c r="K29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7" s="27" t="b">
        <f ca="1">AND(VaBenefits[[#This Row],[Is Activation]],SUMIFS($E$8:$E297,$C$8:$C297,TRUE)&gt;0)</f>
        <v>0</v>
      </c>
      <c r="M29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7" s="32" t="b">
        <f>IF(VaBenefits[[#This Row],[timeFromValuation]]=0,0, MOD(VaBenefits[[#This Row],[timeFromValuation]],1)=0)</f>
        <v>0</v>
      </c>
      <c r="O297" s="7">
        <f>IF(VaBenefits[[#This Row],[Is Anniversary?]]=TRUE,VaBenefits[[#This Row],[Assumed Contract Value ]],0)</f>
        <v>0</v>
      </c>
      <c r="P29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7" s="7" t="b">
        <f>VaBenefits[[#This Row],[Assumed Contract Value ]]&lt;0.1</f>
        <v>1</v>
      </c>
      <c r="R29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7" s="7">
        <f ca="1">IF(AND(VaBenefits[[#This Row],[Is Activation]]=FALSE,VaBenefits[[#This Row],[Is Anniversary?]]=TRUE),OFFSET( VaBenefits[[#This Row],[Income Credit Base]],-1,0)*ICP,0)</f>
        <v>0</v>
      </c>
      <c r="T297" s="5">
        <f>IF(VaBenefits[[#This Row],[Assumed Contract Value ]]&gt;0,VaBenefits[[#This Row],[Income Base]]*MAWA,0)</f>
        <v>0</v>
      </c>
      <c r="U297" s="95">
        <v>107</v>
      </c>
      <c r="V297" s="92">
        <f>1/(1+InterestRate)^VaBenefits[[#This Row],[timeFromValuation]]</f>
        <v>2.9449175636626568E-2</v>
      </c>
      <c r="W297" s="93">
        <f>VaBenefits[[#This Row],[timeFromValuation]]</f>
        <v>72.25</v>
      </c>
      <c r="X297" s="91">
        <f>IF(($G$8+VaBenefits[[#This Row],[timeFromValuation]])&lt;=120,VLOOKUP(G297,Table2[],Qx!L$6,FALSE),0)</f>
        <v>0</v>
      </c>
      <c r="Y297" s="91">
        <f>IF(($H$8+VaBenefits[[#This Row],[timeFromValuation]])&lt;=120,VLOOKUP(H297,Table2[],Qx!M$6,FALSE),0)</f>
        <v>0</v>
      </c>
      <c r="Z297" s="91">
        <v>0</v>
      </c>
      <c r="AA297" s="91">
        <v>0</v>
      </c>
      <c r="AB297" s="91">
        <v>0</v>
      </c>
      <c r="AC297" s="91">
        <v>0</v>
      </c>
      <c r="AD297" s="100">
        <f>PV(1.03,20,-VaBenefits[[#This Row],[Protected Income Payment]])</f>
        <v>103.8834215883285</v>
      </c>
      <c r="AE297" s="130">
        <f>IF((AND(VaBenefits[[#This Row],[Is Anniversary?]],VaBenefits[[#This Row],[Assumed Contract Value ]]&lt;75000)),-50,0)</f>
        <v>0</v>
      </c>
      <c r="AF297" s="134">
        <f>VaBenefits[[#This Row],[Assumed Contract Value ]]*-1.15%/4</f>
        <v>0</v>
      </c>
      <c r="AG297" s="129">
        <v>0</v>
      </c>
      <c r="AH297" s="6">
        <f>VaBenefits[[#This Row],[Maintenace Fee]]+VaBenefits[[#This Row],[Separate Account Charge]]+VaBenefits[[#This Row],[Rider Fee]]</f>
        <v>0</v>
      </c>
      <c r="AR297" s="23">
        <f t="shared" si="27"/>
        <v>144.5</v>
      </c>
      <c r="AS297" s="24">
        <v>0</v>
      </c>
      <c r="AT297" s="24">
        <v>0</v>
      </c>
      <c r="AU297" s="22">
        <v>0</v>
      </c>
      <c r="AV297" s="16">
        <v>0</v>
      </c>
      <c r="AW297" s="14">
        <v>299982</v>
      </c>
      <c r="AX297" s="15">
        <v>0</v>
      </c>
      <c r="AY297" s="15">
        <v>0</v>
      </c>
      <c r="AZ297" s="14">
        <v>0</v>
      </c>
      <c r="BA297" s="17">
        <v>11999</v>
      </c>
    </row>
    <row r="298" spans="1:53" ht="15" thickBot="1" x14ac:dyDescent="0.35">
      <c r="A298" s="32">
        <f t="shared" si="26"/>
        <v>290</v>
      </c>
      <c r="B298" s="29">
        <f t="shared" si="25"/>
        <v>72.5</v>
      </c>
      <c r="C298" s="29" t="b">
        <f>AND(VaBenefits[[#This Row],[timeFromValuation]]&gt;=ACT,VaBenefits[[#This Row],[Assumed Contract Value ]]&gt;0)</f>
        <v>0</v>
      </c>
      <c r="D298" s="20">
        <v>0</v>
      </c>
      <c r="E298" s="20">
        <v>0</v>
      </c>
      <c r="F298" s="20">
        <v>0</v>
      </c>
      <c r="G298" s="96">
        <f>ROUND($G$8+VaBenefits[[#This Row],[timeFromValuation]],0)</f>
        <v>128</v>
      </c>
      <c r="H298" s="20">
        <f>ROUND($H$8+VaBenefits[[#This Row],[timeFromValuation]],0)</f>
        <v>138</v>
      </c>
      <c r="I298" s="27" t="b">
        <f>VaBenefits[[#This Row],[Withdrawal Taken  ]]&gt;0</f>
        <v>0</v>
      </c>
      <c r="J298" s="41">
        <f>IF(AND(NOT(VaBenefits[[#This Row],[Is Activation]]),VaBenefits[[#This Row],[Assumed Contract Value ]]&gt;0),VaBenefits[[#This Row],[Withdrawal Taken  ]]/VaBenefits[[#This Row],[Assumed Contract Value ]],0)</f>
        <v>0</v>
      </c>
      <c r="K29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8" s="27" t="b">
        <f ca="1">AND(VaBenefits[[#This Row],[Is Activation]],SUMIFS($E$8:$E298,$C$8:$C298,TRUE)&gt;0)</f>
        <v>0</v>
      </c>
      <c r="M29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8" s="32" t="b">
        <f>IF(VaBenefits[[#This Row],[timeFromValuation]]=0,0, MOD(VaBenefits[[#This Row],[timeFromValuation]],1)=0)</f>
        <v>0</v>
      </c>
      <c r="O298" s="7">
        <f>IF(VaBenefits[[#This Row],[Is Anniversary?]]=TRUE,VaBenefits[[#This Row],[Assumed Contract Value ]],0)</f>
        <v>0</v>
      </c>
      <c r="P29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8" s="7" t="b">
        <f>VaBenefits[[#This Row],[Assumed Contract Value ]]&lt;0.1</f>
        <v>1</v>
      </c>
      <c r="R29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8" s="7">
        <f ca="1">IF(AND(VaBenefits[[#This Row],[Is Activation]]=FALSE,VaBenefits[[#This Row],[Is Anniversary?]]=TRUE),OFFSET( VaBenefits[[#This Row],[Income Credit Base]],-1,0)*ICP,0)</f>
        <v>0</v>
      </c>
      <c r="T298" s="5">
        <f>IF(VaBenefits[[#This Row],[Assumed Contract Value ]]&gt;0,VaBenefits[[#This Row],[Income Base]]*MAWA,0)</f>
        <v>0</v>
      </c>
      <c r="U298" s="95">
        <v>108</v>
      </c>
      <c r="V298" s="92">
        <f>1/(1+InterestRate)^VaBenefits[[#This Row],[timeFromValuation]]</f>
        <v>2.9092149952366367E-2</v>
      </c>
      <c r="W298" s="93">
        <f>VaBenefits[[#This Row],[timeFromValuation]]</f>
        <v>72.5</v>
      </c>
      <c r="X298" s="91">
        <f>IF(($G$8+VaBenefits[[#This Row],[timeFromValuation]])&lt;=120,VLOOKUP(G298,Table2[],Qx!L$6,FALSE),0)</f>
        <v>0</v>
      </c>
      <c r="Y298" s="91">
        <f>IF(($H$8+VaBenefits[[#This Row],[timeFromValuation]])&lt;=120,VLOOKUP(H298,Table2[],Qx!M$6,FALSE),0)</f>
        <v>0</v>
      </c>
      <c r="Z298" s="91">
        <v>0</v>
      </c>
      <c r="AA298" s="91">
        <v>0</v>
      </c>
      <c r="AB298" s="91">
        <v>0</v>
      </c>
      <c r="AC298" s="91">
        <v>0</v>
      </c>
      <c r="AD298" s="100">
        <f>PV(1.03,20,-VaBenefits[[#This Row],[Protected Income Payment]])</f>
        <v>104.85429468728485</v>
      </c>
      <c r="AE298" s="130">
        <f>IF((AND(VaBenefits[[#This Row],[Is Anniversary?]],VaBenefits[[#This Row],[Assumed Contract Value ]]&lt;75000)),-50,0)</f>
        <v>0</v>
      </c>
      <c r="AF298" s="134">
        <f>VaBenefits[[#This Row],[Assumed Contract Value ]]*-1.15%/4</f>
        <v>0</v>
      </c>
      <c r="AG298" s="129">
        <v>0</v>
      </c>
      <c r="AH298" s="6">
        <f>VaBenefits[[#This Row],[Maintenace Fee]]+VaBenefits[[#This Row],[Separate Account Charge]]+VaBenefits[[#This Row],[Rider Fee]]</f>
        <v>0</v>
      </c>
      <c r="AR298" s="23">
        <f t="shared" si="27"/>
        <v>145</v>
      </c>
      <c r="AS298" s="24">
        <v>0</v>
      </c>
      <c r="AT298" s="24">
        <v>0</v>
      </c>
      <c r="AU298" s="22">
        <v>0</v>
      </c>
      <c r="AV298" s="16">
        <v>0</v>
      </c>
      <c r="AW298" s="14">
        <v>299982</v>
      </c>
      <c r="AX298" s="15">
        <v>0</v>
      </c>
      <c r="AY298" s="15">
        <v>0</v>
      </c>
      <c r="AZ298" s="14">
        <v>0</v>
      </c>
      <c r="BA298" s="17">
        <v>11999</v>
      </c>
    </row>
    <row r="299" spans="1:53" ht="15" thickBot="1" x14ac:dyDescent="0.35">
      <c r="A299" s="32">
        <f t="shared" si="26"/>
        <v>291</v>
      </c>
      <c r="B299" s="29">
        <f t="shared" si="25"/>
        <v>72.75</v>
      </c>
      <c r="C299" s="29" t="b">
        <f>AND(VaBenefits[[#This Row],[timeFromValuation]]&gt;=ACT,VaBenefits[[#This Row],[Assumed Contract Value ]]&gt;0)</f>
        <v>0</v>
      </c>
      <c r="D299" s="20">
        <v>0</v>
      </c>
      <c r="E299" s="20">
        <v>0</v>
      </c>
      <c r="F299" s="20">
        <v>0</v>
      </c>
      <c r="G299" s="96">
        <f>ROUND($G$8+VaBenefits[[#This Row],[timeFromValuation]],0)</f>
        <v>128</v>
      </c>
      <c r="H299" s="20">
        <f>ROUND($H$8+VaBenefits[[#This Row],[timeFromValuation]],0)</f>
        <v>138</v>
      </c>
      <c r="I299" s="27" t="b">
        <f>VaBenefits[[#This Row],[Withdrawal Taken  ]]&gt;0</f>
        <v>0</v>
      </c>
      <c r="J299" s="41">
        <f>IF(AND(NOT(VaBenefits[[#This Row],[Is Activation]]),VaBenefits[[#This Row],[Assumed Contract Value ]]&gt;0),VaBenefits[[#This Row],[Withdrawal Taken  ]]/VaBenefits[[#This Row],[Assumed Contract Value ]],0)</f>
        <v>0</v>
      </c>
      <c r="K29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9" s="27" t="b">
        <f ca="1">AND(VaBenefits[[#This Row],[Is Activation]],SUMIFS($E$8:$E299,$C$8:$C299,TRUE)&gt;0)</f>
        <v>0</v>
      </c>
      <c r="M29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9" s="32" t="b">
        <f>IF(VaBenefits[[#This Row],[timeFromValuation]]=0,0, MOD(VaBenefits[[#This Row],[timeFromValuation]],1)=0)</f>
        <v>0</v>
      </c>
      <c r="O299" s="7">
        <f>IF(VaBenefits[[#This Row],[Is Anniversary?]]=TRUE,VaBenefits[[#This Row],[Assumed Contract Value ]],0)</f>
        <v>0</v>
      </c>
      <c r="P29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9" s="7" t="b">
        <f>VaBenefits[[#This Row],[Assumed Contract Value ]]&lt;0.1</f>
        <v>1</v>
      </c>
      <c r="R29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9" s="7">
        <f ca="1">IF(AND(VaBenefits[[#This Row],[Is Activation]]=FALSE,VaBenefits[[#This Row],[Is Anniversary?]]=TRUE),OFFSET( VaBenefits[[#This Row],[Income Credit Base]],-1,0)*ICP,0)</f>
        <v>0</v>
      </c>
      <c r="T299" s="5">
        <f>IF(VaBenefits[[#This Row],[Assumed Contract Value ]]&gt;0,VaBenefits[[#This Row],[Income Base]]*MAWA,0)</f>
        <v>0</v>
      </c>
      <c r="U299" s="95">
        <v>109</v>
      </c>
      <c r="V299" s="92">
        <f>1/(1+InterestRate)^VaBenefits[[#This Row],[timeFromValuation]]</f>
        <v>2.8739452652058038E-2</v>
      </c>
      <c r="W299" s="93">
        <f>VaBenefits[[#This Row],[timeFromValuation]]</f>
        <v>72.75</v>
      </c>
      <c r="X299" s="91">
        <f>IF(($G$8+VaBenefits[[#This Row],[timeFromValuation]])&lt;=120,VLOOKUP(G299,Table2[],Qx!L$6,FALSE),0)</f>
        <v>0</v>
      </c>
      <c r="Y299" s="91">
        <f>IF(($H$8+VaBenefits[[#This Row],[timeFromValuation]])&lt;=120,VLOOKUP(H299,Table2[],Qx!M$6,FALSE),0)</f>
        <v>0</v>
      </c>
      <c r="Z299" s="91">
        <v>0</v>
      </c>
      <c r="AA299" s="91">
        <v>0</v>
      </c>
      <c r="AB299" s="91">
        <v>0</v>
      </c>
      <c r="AC299" s="91">
        <v>0</v>
      </c>
      <c r="AD299" s="100">
        <f>PV(1.03,20,-VaBenefits[[#This Row],[Protected Income Payment]])</f>
        <v>105.82516778624118</v>
      </c>
      <c r="AE299" s="130">
        <f>IF((AND(VaBenefits[[#This Row],[Is Anniversary?]],VaBenefits[[#This Row],[Assumed Contract Value ]]&lt;75000)),-50,0)</f>
        <v>0</v>
      </c>
      <c r="AF299" s="134">
        <f>VaBenefits[[#This Row],[Assumed Contract Value ]]*-1.15%/4</f>
        <v>0</v>
      </c>
      <c r="AG299" s="129">
        <v>0</v>
      </c>
      <c r="AH299" s="6">
        <f>VaBenefits[[#This Row],[Maintenace Fee]]+VaBenefits[[#This Row],[Separate Account Charge]]+VaBenefits[[#This Row],[Rider Fee]]</f>
        <v>0</v>
      </c>
      <c r="AR299" s="23">
        <f t="shared" si="27"/>
        <v>145.5</v>
      </c>
      <c r="AS299" s="24">
        <v>0</v>
      </c>
      <c r="AT299" s="24">
        <v>0</v>
      </c>
      <c r="AU299" s="22">
        <v>0</v>
      </c>
      <c r="AV299" s="16">
        <v>0</v>
      </c>
      <c r="AW299" s="14">
        <v>299982</v>
      </c>
      <c r="AX299" s="15">
        <v>0</v>
      </c>
      <c r="AY299" s="15">
        <v>0</v>
      </c>
      <c r="AZ299" s="14">
        <v>0</v>
      </c>
      <c r="BA299" s="17">
        <v>11999</v>
      </c>
    </row>
    <row r="300" spans="1:53" ht="15" thickBot="1" x14ac:dyDescent="0.35">
      <c r="A300" s="32">
        <f t="shared" si="26"/>
        <v>292</v>
      </c>
      <c r="B300" s="29">
        <f t="shared" si="25"/>
        <v>73</v>
      </c>
      <c r="C300" s="29" t="b">
        <f>AND(VaBenefits[[#This Row],[timeFromValuation]]&gt;=ACT,VaBenefits[[#This Row],[Assumed Contract Value ]]&gt;0)</f>
        <v>0</v>
      </c>
      <c r="D300" s="20">
        <v>0</v>
      </c>
      <c r="E300" s="20">
        <v>0</v>
      </c>
      <c r="F300" s="20">
        <v>0</v>
      </c>
      <c r="G300" s="96">
        <f>ROUND($G$8+VaBenefits[[#This Row],[timeFromValuation]],0)</f>
        <v>128</v>
      </c>
      <c r="H300" s="20">
        <f>ROUND($H$8+VaBenefits[[#This Row],[timeFromValuation]],0)</f>
        <v>138</v>
      </c>
      <c r="I300" s="27" t="b">
        <f>VaBenefits[[#This Row],[Withdrawal Taken  ]]&gt;0</f>
        <v>0</v>
      </c>
      <c r="J300" s="41">
        <f>IF(AND(NOT(VaBenefits[[#This Row],[Is Activation]]),VaBenefits[[#This Row],[Assumed Contract Value ]]&gt;0),VaBenefits[[#This Row],[Withdrawal Taken  ]]/VaBenefits[[#This Row],[Assumed Contract Value ]],0)</f>
        <v>0</v>
      </c>
      <c r="K30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0" s="27" t="b">
        <f ca="1">AND(VaBenefits[[#This Row],[Is Activation]],SUMIFS($E$8:$E300,$C$8:$C300,TRUE)&gt;0)</f>
        <v>0</v>
      </c>
      <c r="M30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0" s="32" t="b">
        <f>IF(VaBenefits[[#This Row],[timeFromValuation]]=0,0, MOD(VaBenefits[[#This Row],[timeFromValuation]],1)=0)</f>
        <v>1</v>
      </c>
      <c r="O300" s="7">
        <f>IF(VaBenefits[[#This Row],[Is Anniversary?]]=TRUE,VaBenefits[[#This Row],[Assumed Contract Value ]],0)</f>
        <v>0</v>
      </c>
      <c r="P30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0" s="7" t="b">
        <f>VaBenefits[[#This Row],[Assumed Contract Value ]]&lt;0.1</f>
        <v>1</v>
      </c>
      <c r="R30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0" s="7">
        <f ca="1">IF(AND(VaBenefits[[#This Row],[Is Activation]]=FALSE,VaBenefits[[#This Row],[Is Anniversary?]]=TRUE),OFFSET( VaBenefits[[#This Row],[Income Credit Base]],-1,0)*ICP,0)</f>
        <v>0</v>
      </c>
      <c r="T300" s="5">
        <f>IF(VaBenefits[[#This Row],[Assumed Contract Value ]]&gt;0,VaBenefits[[#This Row],[Income Base]]*MAWA,0)</f>
        <v>0</v>
      </c>
      <c r="U300" s="95">
        <v>110</v>
      </c>
      <c r="V300" s="92">
        <f>1/(1+InterestRate)^VaBenefits[[#This Row],[timeFromValuation]]</f>
        <v>2.8391031260744073E-2</v>
      </c>
      <c r="W300" s="93">
        <f>VaBenefits[[#This Row],[timeFromValuation]]</f>
        <v>73</v>
      </c>
      <c r="X300" s="91">
        <f>IF(($G$8+VaBenefits[[#This Row],[timeFromValuation]])&lt;=120,VLOOKUP(G300,Table2[],Qx!L$6,FALSE),0)</f>
        <v>0</v>
      </c>
      <c r="Y300" s="91">
        <f>IF(($H$8+VaBenefits[[#This Row],[timeFromValuation]])&lt;=120,VLOOKUP(H300,Table2[],Qx!M$6,FALSE),0)</f>
        <v>0</v>
      </c>
      <c r="Z300" s="91">
        <v>0</v>
      </c>
      <c r="AA300" s="91">
        <v>0</v>
      </c>
      <c r="AB300" s="91">
        <v>0</v>
      </c>
      <c r="AC300" s="91">
        <v>0</v>
      </c>
      <c r="AD300" s="100">
        <f>PV(1.03,20,-VaBenefits[[#This Row],[Protected Income Payment]])</f>
        <v>106.79604088519754</v>
      </c>
      <c r="AE300" s="130">
        <f>IF((AND(VaBenefits[[#This Row],[Is Anniversary?]],VaBenefits[[#This Row],[Assumed Contract Value ]]&lt;75000)),-50,0)</f>
        <v>-50</v>
      </c>
      <c r="AF300" s="134">
        <f>VaBenefits[[#This Row],[Assumed Contract Value ]]*-1.15%/4</f>
        <v>0</v>
      </c>
      <c r="AG300" s="129">
        <v>0</v>
      </c>
      <c r="AH300" s="6">
        <f>VaBenefits[[#This Row],[Maintenace Fee]]+VaBenefits[[#This Row],[Separate Account Charge]]+VaBenefits[[#This Row],[Rider Fee]]</f>
        <v>-50</v>
      </c>
      <c r="AR300" s="23">
        <f t="shared" si="27"/>
        <v>146</v>
      </c>
      <c r="AS300" s="24">
        <v>0</v>
      </c>
      <c r="AT300" s="24">
        <v>0</v>
      </c>
      <c r="AU300" s="22">
        <v>0</v>
      </c>
      <c r="AV300" s="16">
        <v>0</v>
      </c>
      <c r="AW300" s="14">
        <v>299982</v>
      </c>
      <c r="AX300" s="15">
        <v>0</v>
      </c>
      <c r="AY300" s="15">
        <v>0</v>
      </c>
      <c r="AZ300" s="14">
        <v>0</v>
      </c>
      <c r="BA300" s="17">
        <v>11999</v>
      </c>
    </row>
    <row r="301" spans="1:53" ht="15" thickBot="1" x14ac:dyDescent="0.35">
      <c r="A301" s="32">
        <f t="shared" si="26"/>
        <v>293</v>
      </c>
      <c r="B301" s="29">
        <f t="shared" si="25"/>
        <v>73.25</v>
      </c>
      <c r="C301" s="29" t="b">
        <f>AND(VaBenefits[[#This Row],[timeFromValuation]]&gt;=ACT,VaBenefits[[#This Row],[Assumed Contract Value ]]&gt;0)</f>
        <v>0</v>
      </c>
      <c r="D301" s="20">
        <v>0</v>
      </c>
      <c r="E301" s="20">
        <v>0</v>
      </c>
      <c r="F301" s="20">
        <v>0</v>
      </c>
      <c r="G301" s="96">
        <f>ROUND($G$8+VaBenefits[[#This Row],[timeFromValuation]],0)</f>
        <v>128</v>
      </c>
      <c r="H301" s="20">
        <f>ROUND($H$8+VaBenefits[[#This Row],[timeFromValuation]],0)</f>
        <v>138</v>
      </c>
      <c r="I301" s="27" t="b">
        <f>VaBenefits[[#This Row],[Withdrawal Taken  ]]&gt;0</f>
        <v>0</v>
      </c>
      <c r="J301" s="41">
        <f>IF(AND(NOT(VaBenefits[[#This Row],[Is Activation]]),VaBenefits[[#This Row],[Assumed Contract Value ]]&gt;0),VaBenefits[[#This Row],[Withdrawal Taken  ]]/VaBenefits[[#This Row],[Assumed Contract Value ]],0)</f>
        <v>0</v>
      </c>
      <c r="K30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1" s="27" t="b">
        <f ca="1">AND(VaBenefits[[#This Row],[Is Activation]],SUMIFS($E$8:$E301,$C$8:$C301,TRUE)&gt;0)</f>
        <v>0</v>
      </c>
      <c r="M30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1" s="32" t="b">
        <f>IF(VaBenefits[[#This Row],[timeFromValuation]]=0,0, MOD(VaBenefits[[#This Row],[timeFromValuation]],1)=0)</f>
        <v>0</v>
      </c>
      <c r="O301" s="7">
        <f>IF(VaBenefits[[#This Row],[Is Anniversary?]]=TRUE,VaBenefits[[#This Row],[Assumed Contract Value ]],0)</f>
        <v>0</v>
      </c>
      <c r="P30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1" s="7" t="b">
        <f>VaBenefits[[#This Row],[Assumed Contract Value ]]&lt;0.1</f>
        <v>1</v>
      </c>
      <c r="R30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1" s="7">
        <f ca="1">IF(AND(VaBenefits[[#This Row],[Is Activation]]=FALSE,VaBenefits[[#This Row],[Is Anniversary?]]=TRUE),OFFSET( VaBenefits[[#This Row],[Income Credit Base]],-1,0)*ICP,0)</f>
        <v>0</v>
      </c>
      <c r="T301" s="5">
        <f>IF(VaBenefits[[#This Row],[Assumed Contract Value ]]&gt;0,VaBenefits[[#This Row],[Income Base]]*MAWA,0)</f>
        <v>0</v>
      </c>
      <c r="U301" s="95">
        <v>111</v>
      </c>
      <c r="V301" s="92">
        <f>1/(1+InterestRate)^VaBenefits[[#This Row],[timeFromValuation]]</f>
        <v>2.8046833939644349E-2</v>
      </c>
      <c r="W301" s="93">
        <f>VaBenefits[[#This Row],[timeFromValuation]]</f>
        <v>73.25</v>
      </c>
      <c r="X301" s="91">
        <f>IF(($G$8+VaBenefits[[#This Row],[timeFromValuation]])&lt;=120,VLOOKUP(G301,Table2[],Qx!L$6,FALSE),0)</f>
        <v>0</v>
      </c>
      <c r="Y301" s="91">
        <f>IF(($H$8+VaBenefits[[#This Row],[timeFromValuation]])&lt;=120,VLOOKUP(H301,Table2[],Qx!M$6,FALSE),0)</f>
        <v>0</v>
      </c>
      <c r="Z301" s="91">
        <v>0</v>
      </c>
      <c r="AA301" s="91">
        <v>0</v>
      </c>
      <c r="AB301" s="91">
        <v>0</v>
      </c>
      <c r="AC301" s="91">
        <v>0</v>
      </c>
      <c r="AD301" s="100">
        <f>PV(1.03,20,-VaBenefits[[#This Row],[Protected Income Payment]])</f>
        <v>107.76691398415387</v>
      </c>
      <c r="AE301" s="130">
        <f>IF((AND(VaBenefits[[#This Row],[Is Anniversary?]],VaBenefits[[#This Row],[Assumed Contract Value ]]&lt;75000)),-50,0)</f>
        <v>0</v>
      </c>
      <c r="AF301" s="134">
        <f>VaBenefits[[#This Row],[Assumed Contract Value ]]*-1.15%/4</f>
        <v>0</v>
      </c>
      <c r="AG301" s="129">
        <v>0</v>
      </c>
      <c r="AH301" s="6">
        <f>VaBenefits[[#This Row],[Maintenace Fee]]+VaBenefits[[#This Row],[Separate Account Charge]]+VaBenefits[[#This Row],[Rider Fee]]</f>
        <v>0</v>
      </c>
      <c r="AR301" s="23">
        <f t="shared" si="27"/>
        <v>146.5</v>
      </c>
      <c r="AS301" s="24">
        <v>0</v>
      </c>
      <c r="AT301" s="24">
        <v>0</v>
      </c>
      <c r="AU301" s="22">
        <v>0</v>
      </c>
      <c r="AV301" s="16">
        <v>0</v>
      </c>
      <c r="AW301" s="14">
        <v>299982</v>
      </c>
      <c r="AX301" s="15">
        <v>0</v>
      </c>
      <c r="AY301" s="15">
        <v>0</v>
      </c>
      <c r="AZ301" s="14">
        <v>0</v>
      </c>
      <c r="BA301" s="17">
        <v>11999</v>
      </c>
    </row>
    <row r="302" spans="1:53" ht="15" thickBot="1" x14ac:dyDescent="0.35">
      <c r="A302" s="32">
        <f t="shared" si="26"/>
        <v>294</v>
      </c>
      <c r="B302" s="29">
        <f t="shared" si="25"/>
        <v>73.5</v>
      </c>
      <c r="C302" s="29" t="b">
        <f>AND(VaBenefits[[#This Row],[timeFromValuation]]&gt;=ACT,VaBenefits[[#This Row],[Assumed Contract Value ]]&gt;0)</f>
        <v>0</v>
      </c>
      <c r="D302" s="20">
        <v>0</v>
      </c>
      <c r="E302" s="20">
        <v>0</v>
      </c>
      <c r="F302" s="20">
        <v>0</v>
      </c>
      <c r="G302" s="96">
        <f>ROUND($G$8+VaBenefits[[#This Row],[timeFromValuation]],0)</f>
        <v>129</v>
      </c>
      <c r="H302" s="20">
        <f>ROUND($H$8+VaBenefits[[#This Row],[timeFromValuation]],0)</f>
        <v>139</v>
      </c>
      <c r="I302" s="27" t="b">
        <f>VaBenefits[[#This Row],[Withdrawal Taken  ]]&gt;0</f>
        <v>0</v>
      </c>
      <c r="J302" s="41">
        <f>IF(AND(NOT(VaBenefits[[#This Row],[Is Activation]]),VaBenefits[[#This Row],[Assumed Contract Value ]]&gt;0),VaBenefits[[#This Row],[Withdrawal Taken  ]]/VaBenefits[[#This Row],[Assumed Contract Value ]],0)</f>
        <v>0</v>
      </c>
      <c r="K30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2" s="27" t="b">
        <f ca="1">AND(VaBenefits[[#This Row],[Is Activation]],SUMIFS($E$8:$E302,$C$8:$C302,TRUE)&gt;0)</f>
        <v>0</v>
      </c>
      <c r="M30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2" s="32" t="b">
        <f>IF(VaBenefits[[#This Row],[timeFromValuation]]=0,0, MOD(VaBenefits[[#This Row],[timeFromValuation]],1)=0)</f>
        <v>0</v>
      </c>
      <c r="O302" s="7">
        <f>IF(VaBenefits[[#This Row],[Is Anniversary?]]=TRUE,VaBenefits[[#This Row],[Assumed Contract Value ]],0)</f>
        <v>0</v>
      </c>
      <c r="P30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2" s="7" t="b">
        <f>VaBenefits[[#This Row],[Assumed Contract Value ]]&lt;0.1</f>
        <v>1</v>
      </c>
      <c r="R30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2" s="7">
        <f ca="1">IF(AND(VaBenefits[[#This Row],[Is Activation]]=FALSE,VaBenefits[[#This Row],[Is Anniversary?]]=TRUE),OFFSET( VaBenefits[[#This Row],[Income Credit Base]],-1,0)*ICP,0)</f>
        <v>0</v>
      </c>
      <c r="T302" s="5">
        <f>IF(VaBenefits[[#This Row],[Assumed Contract Value ]]&gt;0,VaBenefits[[#This Row],[Income Base]]*MAWA,0)</f>
        <v>0</v>
      </c>
      <c r="U302" s="95">
        <v>112</v>
      </c>
      <c r="V302" s="92">
        <f>1/(1+InterestRate)^VaBenefits[[#This Row],[timeFromValuation]]</f>
        <v>2.7706809478444155E-2</v>
      </c>
      <c r="W302" s="93">
        <f>VaBenefits[[#This Row],[timeFromValuation]]</f>
        <v>73.5</v>
      </c>
      <c r="X302" s="91">
        <f>IF(($G$8+VaBenefits[[#This Row],[timeFromValuation]])&lt;=120,VLOOKUP(G302,Table2[],Qx!L$6,FALSE),0)</f>
        <v>0</v>
      </c>
      <c r="Y302" s="91">
        <f>IF(($H$8+VaBenefits[[#This Row],[timeFromValuation]])&lt;=120,VLOOKUP(H302,Table2[],Qx!M$6,FALSE),0)</f>
        <v>0</v>
      </c>
      <c r="Z302" s="91">
        <v>0</v>
      </c>
      <c r="AA302" s="91">
        <v>0</v>
      </c>
      <c r="AB302" s="91">
        <v>0</v>
      </c>
      <c r="AC302" s="91">
        <v>0</v>
      </c>
      <c r="AD302" s="100">
        <f>PV(1.03,20,-VaBenefits[[#This Row],[Protected Income Payment]])</f>
        <v>108.73778708311022</v>
      </c>
      <c r="AE302" s="130">
        <f>IF((AND(VaBenefits[[#This Row],[Is Anniversary?]],VaBenefits[[#This Row],[Assumed Contract Value ]]&lt;75000)),-50,0)</f>
        <v>0</v>
      </c>
      <c r="AF302" s="134">
        <f>VaBenefits[[#This Row],[Assumed Contract Value ]]*-1.15%/4</f>
        <v>0</v>
      </c>
      <c r="AG302" s="129">
        <v>0</v>
      </c>
      <c r="AH302" s="6">
        <f>VaBenefits[[#This Row],[Maintenace Fee]]+VaBenefits[[#This Row],[Separate Account Charge]]+VaBenefits[[#This Row],[Rider Fee]]</f>
        <v>0</v>
      </c>
      <c r="AR302" s="23">
        <f t="shared" si="27"/>
        <v>147</v>
      </c>
      <c r="AS302" s="24">
        <v>0</v>
      </c>
      <c r="AT302" s="24">
        <v>0</v>
      </c>
      <c r="AU302" s="22">
        <v>0</v>
      </c>
      <c r="AV302" s="16">
        <v>0</v>
      </c>
      <c r="AW302" s="14">
        <v>299982</v>
      </c>
      <c r="AX302" s="15">
        <v>0</v>
      </c>
      <c r="AY302" s="15">
        <v>0</v>
      </c>
      <c r="AZ302" s="14">
        <v>0</v>
      </c>
      <c r="BA302" s="17">
        <v>11999</v>
      </c>
    </row>
    <row r="303" spans="1:53" ht="15" thickBot="1" x14ac:dyDescent="0.35">
      <c r="A303" s="32">
        <f t="shared" si="26"/>
        <v>295</v>
      </c>
      <c r="B303" s="29">
        <f t="shared" si="25"/>
        <v>73.75</v>
      </c>
      <c r="C303" s="29" t="b">
        <f>AND(VaBenefits[[#This Row],[timeFromValuation]]&gt;=ACT,VaBenefits[[#This Row],[Assumed Contract Value ]]&gt;0)</f>
        <v>0</v>
      </c>
      <c r="D303" s="20">
        <v>0</v>
      </c>
      <c r="E303" s="20">
        <v>0</v>
      </c>
      <c r="F303" s="20">
        <v>0</v>
      </c>
      <c r="G303" s="96">
        <f>ROUND($G$8+VaBenefits[[#This Row],[timeFromValuation]],0)</f>
        <v>129</v>
      </c>
      <c r="H303" s="20">
        <f>ROUND($H$8+VaBenefits[[#This Row],[timeFromValuation]],0)</f>
        <v>139</v>
      </c>
      <c r="I303" s="27" t="b">
        <f>VaBenefits[[#This Row],[Withdrawal Taken  ]]&gt;0</f>
        <v>0</v>
      </c>
      <c r="J303" s="41">
        <f>IF(AND(NOT(VaBenefits[[#This Row],[Is Activation]]),VaBenefits[[#This Row],[Assumed Contract Value ]]&gt;0),VaBenefits[[#This Row],[Withdrawal Taken  ]]/VaBenefits[[#This Row],[Assumed Contract Value ]],0)</f>
        <v>0</v>
      </c>
      <c r="K30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3" s="27" t="b">
        <f ca="1">AND(VaBenefits[[#This Row],[Is Activation]],SUMIFS($E$8:$E303,$C$8:$C303,TRUE)&gt;0)</f>
        <v>0</v>
      </c>
      <c r="M30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3" s="32" t="b">
        <f>IF(VaBenefits[[#This Row],[timeFromValuation]]=0,0, MOD(VaBenefits[[#This Row],[timeFromValuation]],1)=0)</f>
        <v>0</v>
      </c>
      <c r="O303" s="7">
        <f>IF(VaBenefits[[#This Row],[Is Anniversary?]]=TRUE,VaBenefits[[#This Row],[Assumed Contract Value ]],0)</f>
        <v>0</v>
      </c>
      <c r="P30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3" s="7" t="b">
        <f>VaBenefits[[#This Row],[Assumed Contract Value ]]&lt;0.1</f>
        <v>1</v>
      </c>
      <c r="R30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3" s="7">
        <f ca="1">IF(AND(VaBenefits[[#This Row],[Is Activation]]=FALSE,VaBenefits[[#This Row],[Is Anniversary?]]=TRUE),OFFSET( VaBenefits[[#This Row],[Income Credit Base]],-1,0)*ICP,0)</f>
        <v>0</v>
      </c>
      <c r="T303" s="5">
        <f>IF(VaBenefits[[#This Row],[Assumed Contract Value ]]&gt;0,VaBenefits[[#This Row],[Income Base]]*MAWA,0)</f>
        <v>0</v>
      </c>
      <c r="U303" s="95">
        <v>113</v>
      </c>
      <c r="V303" s="92">
        <f>1/(1+InterestRate)^VaBenefits[[#This Row],[timeFromValuation]]</f>
        <v>2.7370907287674315E-2</v>
      </c>
      <c r="W303" s="93">
        <f>VaBenefits[[#This Row],[timeFromValuation]]</f>
        <v>73.75</v>
      </c>
      <c r="X303" s="91">
        <f>IF(($G$8+VaBenefits[[#This Row],[timeFromValuation]])&lt;=120,VLOOKUP(G303,Table2[],Qx!L$6,FALSE),0)</f>
        <v>0</v>
      </c>
      <c r="Y303" s="91">
        <f>IF(($H$8+VaBenefits[[#This Row],[timeFromValuation]])&lt;=120,VLOOKUP(H303,Table2[],Qx!M$6,FALSE),0)</f>
        <v>0</v>
      </c>
      <c r="Z303" s="91">
        <v>0</v>
      </c>
      <c r="AA303" s="91">
        <v>0</v>
      </c>
      <c r="AB303" s="91">
        <v>0</v>
      </c>
      <c r="AC303" s="91">
        <v>0</v>
      </c>
      <c r="AD303" s="100">
        <f>PV(1.03,20,-VaBenefits[[#This Row],[Protected Income Payment]])</f>
        <v>109.70866018206655</v>
      </c>
      <c r="AE303" s="130">
        <f>IF((AND(VaBenefits[[#This Row],[Is Anniversary?]],VaBenefits[[#This Row],[Assumed Contract Value ]]&lt;75000)),-50,0)</f>
        <v>0</v>
      </c>
      <c r="AF303" s="134">
        <f>VaBenefits[[#This Row],[Assumed Contract Value ]]*-1.15%/4</f>
        <v>0</v>
      </c>
      <c r="AG303" s="129">
        <v>0</v>
      </c>
      <c r="AH303" s="6">
        <f>VaBenefits[[#This Row],[Maintenace Fee]]+VaBenefits[[#This Row],[Separate Account Charge]]+VaBenefits[[#This Row],[Rider Fee]]</f>
        <v>0</v>
      </c>
      <c r="AR303" s="23">
        <f t="shared" si="27"/>
        <v>147.5</v>
      </c>
      <c r="AS303" s="24">
        <v>0</v>
      </c>
      <c r="AT303" s="24">
        <v>0</v>
      </c>
      <c r="AU303" s="22">
        <v>0</v>
      </c>
      <c r="AV303" s="16">
        <v>0</v>
      </c>
      <c r="AW303" s="14">
        <v>299982</v>
      </c>
      <c r="AX303" s="15">
        <v>0</v>
      </c>
      <c r="AY303" s="15">
        <v>0</v>
      </c>
      <c r="AZ303" s="14">
        <v>0</v>
      </c>
      <c r="BA303" s="17">
        <v>11999</v>
      </c>
    </row>
    <row r="304" spans="1:53" ht="15" thickBot="1" x14ac:dyDescent="0.35">
      <c r="A304" s="32">
        <f t="shared" si="26"/>
        <v>296</v>
      </c>
      <c r="B304" s="29">
        <f t="shared" si="25"/>
        <v>74</v>
      </c>
      <c r="C304" s="29" t="b">
        <f>AND(VaBenefits[[#This Row],[timeFromValuation]]&gt;=ACT,VaBenefits[[#This Row],[Assumed Contract Value ]]&gt;0)</f>
        <v>0</v>
      </c>
      <c r="D304" s="20">
        <v>0</v>
      </c>
      <c r="E304" s="20">
        <v>0</v>
      </c>
      <c r="F304" s="20">
        <v>0</v>
      </c>
      <c r="G304" s="96">
        <f>ROUND($G$8+VaBenefits[[#This Row],[timeFromValuation]],0)</f>
        <v>129</v>
      </c>
      <c r="H304" s="20">
        <f>ROUND($H$8+VaBenefits[[#This Row],[timeFromValuation]],0)</f>
        <v>139</v>
      </c>
      <c r="I304" s="27" t="b">
        <f>VaBenefits[[#This Row],[Withdrawal Taken  ]]&gt;0</f>
        <v>0</v>
      </c>
      <c r="J304" s="41">
        <f>IF(AND(NOT(VaBenefits[[#This Row],[Is Activation]]),VaBenefits[[#This Row],[Assumed Contract Value ]]&gt;0),VaBenefits[[#This Row],[Withdrawal Taken  ]]/VaBenefits[[#This Row],[Assumed Contract Value ]],0)</f>
        <v>0</v>
      </c>
      <c r="K30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4" s="27" t="b">
        <f ca="1">AND(VaBenefits[[#This Row],[Is Activation]],SUMIFS($E$8:$E304,$C$8:$C304,TRUE)&gt;0)</f>
        <v>0</v>
      </c>
      <c r="M30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4" s="32" t="b">
        <f>IF(VaBenefits[[#This Row],[timeFromValuation]]=0,0, MOD(VaBenefits[[#This Row],[timeFromValuation]],1)=0)</f>
        <v>1</v>
      </c>
      <c r="O304" s="7">
        <f>IF(VaBenefits[[#This Row],[Is Anniversary?]]=TRUE,VaBenefits[[#This Row],[Assumed Contract Value ]],0)</f>
        <v>0</v>
      </c>
      <c r="P30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4" s="7" t="b">
        <f>VaBenefits[[#This Row],[Assumed Contract Value ]]&lt;0.1</f>
        <v>1</v>
      </c>
      <c r="R30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4" s="7">
        <f ca="1">IF(AND(VaBenefits[[#This Row],[Is Activation]]=FALSE,VaBenefits[[#This Row],[Is Anniversary?]]=TRUE),OFFSET( VaBenefits[[#This Row],[Income Credit Base]],-1,0)*ICP,0)</f>
        <v>0</v>
      </c>
      <c r="T304" s="5">
        <f>IF(VaBenefits[[#This Row],[Assumed Contract Value ]]&gt;0,VaBenefits[[#This Row],[Income Base]]*MAWA,0)</f>
        <v>0</v>
      </c>
      <c r="U304" s="95">
        <v>114</v>
      </c>
      <c r="V304" s="92">
        <f>1/(1+InterestRate)^VaBenefits[[#This Row],[timeFromValuation]]</f>
        <v>2.7039077391184833E-2</v>
      </c>
      <c r="W304" s="93">
        <f>VaBenefits[[#This Row],[timeFromValuation]]</f>
        <v>74</v>
      </c>
      <c r="X304" s="91">
        <f>IF(($G$8+VaBenefits[[#This Row],[timeFromValuation]])&lt;=120,VLOOKUP(G304,Table2[],Qx!L$6,FALSE),0)</f>
        <v>0</v>
      </c>
      <c r="Y304" s="91">
        <f>IF(($H$8+VaBenefits[[#This Row],[timeFromValuation]])&lt;=120,VLOOKUP(H304,Table2[],Qx!M$6,FALSE),0)</f>
        <v>0</v>
      </c>
      <c r="Z304" s="91">
        <v>0</v>
      </c>
      <c r="AA304" s="91">
        <v>0</v>
      </c>
      <c r="AB304" s="91">
        <v>0</v>
      </c>
      <c r="AC304" s="91">
        <v>0</v>
      </c>
      <c r="AD304" s="100">
        <f>PV(1.03,20,-VaBenefits[[#This Row],[Protected Income Payment]])</f>
        <v>110.67953328102291</v>
      </c>
      <c r="AE304" s="130">
        <f>IF((AND(VaBenefits[[#This Row],[Is Anniversary?]],VaBenefits[[#This Row],[Assumed Contract Value ]]&lt;75000)),-50,0)</f>
        <v>-50</v>
      </c>
      <c r="AF304" s="134">
        <f>VaBenefits[[#This Row],[Assumed Contract Value ]]*-1.15%/4</f>
        <v>0</v>
      </c>
      <c r="AG304" s="129">
        <v>0</v>
      </c>
      <c r="AH304" s="6">
        <f>VaBenefits[[#This Row],[Maintenace Fee]]+VaBenefits[[#This Row],[Separate Account Charge]]+VaBenefits[[#This Row],[Rider Fee]]</f>
        <v>-50</v>
      </c>
      <c r="AR304" s="23">
        <f t="shared" si="27"/>
        <v>148</v>
      </c>
      <c r="AS304" s="24">
        <v>0</v>
      </c>
      <c r="AT304" s="24">
        <v>0</v>
      </c>
      <c r="AU304" s="22">
        <v>0</v>
      </c>
      <c r="AV304" s="16">
        <v>0</v>
      </c>
      <c r="AW304" s="14">
        <v>299982</v>
      </c>
      <c r="AX304" s="15">
        <v>0</v>
      </c>
      <c r="AY304" s="15">
        <v>0</v>
      </c>
      <c r="AZ304" s="14">
        <v>0</v>
      </c>
      <c r="BA304" s="17">
        <v>11999</v>
      </c>
    </row>
    <row r="305" spans="1:53" ht="15" thickBot="1" x14ac:dyDescent="0.35">
      <c r="A305" s="32">
        <f t="shared" si="26"/>
        <v>297</v>
      </c>
      <c r="B305" s="29">
        <f t="shared" si="25"/>
        <v>74.25</v>
      </c>
      <c r="C305" s="29" t="b">
        <f>AND(VaBenefits[[#This Row],[timeFromValuation]]&gt;=ACT,VaBenefits[[#This Row],[Assumed Contract Value ]]&gt;0)</f>
        <v>0</v>
      </c>
      <c r="D305" s="20">
        <v>0</v>
      </c>
      <c r="E305" s="20">
        <v>0</v>
      </c>
      <c r="F305" s="20">
        <v>0</v>
      </c>
      <c r="G305" s="96">
        <f>ROUND($G$8+VaBenefits[[#This Row],[timeFromValuation]],0)</f>
        <v>129</v>
      </c>
      <c r="H305" s="20">
        <f>ROUND($H$8+VaBenefits[[#This Row],[timeFromValuation]],0)</f>
        <v>139</v>
      </c>
      <c r="I305" s="27" t="b">
        <f>VaBenefits[[#This Row],[Withdrawal Taken  ]]&gt;0</f>
        <v>0</v>
      </c>
      <c r="J305" s="41">
        <f>IF(AND(NOT(VaBenefits[[#This Row],[Is Activation]]),VaBenefits[[#This Row],[Assumed Contract Value ]]&gt;0),VaBenefits[[#This Row],[Withdrawal Taken  ]]/VaBenefits[[#This Row],[Assumed Contract Value ]],0)</f>
        <v>0</v>
      </c>
      <c r="K30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5" s="27" t="b">
        <f ca="1">AND(VaBenefits[[#This Row],[Is Activation]],SUMIFS($E$8:$E305,$C$8:$C305,TRUE)&gt;0)</f>
        <v>0</v>
      </c>
      <c r="M30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5" s="32" t="b">
        <f>IF(VaBenefits[[#This Row],[timeFromValuation]]=0,0, MOD(VaBenefits[[#This Row],[timeFromValuation]],1)=0)</f>
        <v>0</v>
      </c>
      <c r="O305" s="7">
        <f>IF(VaBenefits[[#This Row],[Is Anniversary?]]=TRUE,VaBenefits[[#This Row],[Assumed Contract Value ]],0)</f>
        <v>0</v>
      </c>
      <c r="P30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5" s="7" t="b">
        <f>VaBenefits[[#This Row],[Assumed Contract Value ]]&lt;0.1</f>
        <v>1</v>
      </c>
      <c r="R30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5" s="7">
        <f ca="1">IF(AND(VaBenefits[[#This Row],[Is Activation]]=FALSE,VaBenefits[[#This Row],[Is Anniversary?]]=TRUE),OFFSET( VaBenefits[[#This Row],[Income Credit Base]],-1,0)*ICP,0)</f>
        <v>0</v>
      </c>
      <c r="T305" s="5">
        <f>IF(VaBenefits[[#This Row],[Assumed Contract Value ]]&gt;0,VaBenefits[[#This Row],[Income Base]]*MAWA,0)</f>
        <v>0</v>
      </c>
      <c r="U305" s="95">
        <v>115</v>
      </c>
      <c r="V305" s="92">
        <f>1/(1+InterestRate)^VaBenefits[[#This Row],[timeFromValuation]]</f>
        <v>2.6711270418708914E-2</v>
      </c>
      <c r="W305" s="93">
        <f>VaBenefits[[#This Row],[timeFromValuation]]</f>
        <v>74.25</v>
      </c>
      <c r="X305" s="91">
        <f>IF(($G$8+VaBenefits[[#This Row],[timeFromValuation]])&lt;=120,VLOOKUP(G305,Table2[],Qx!L$6,FALSE),0)</f>
        <v>0</v>
      </c>
      <c r="Y305" s="91">
        <f>IF(($H$8+VaBenefits[[#This Row],[timeFromValuation]])&lt;=120,VLOOKUP(H305,Table2[],Qx!M$6,FALSE),0)</f>
        <v>0</v>
      </c>
      <c r="Z305" s="91">
        <v>0</v>
      </c>
      <c r="AA305" s="91">
        <v>0</v>
      </c>
      <c r="AB305" s="91">
        <v>0</v>
      </c>
      <c r="AC305" s="91">
        <v>0</v>
      </c>
      <c r="AD305" s="100">
        <f>PV(1.03,20,-VaBenefits[[#This Row],[Protected Income Payment]])</f>
        <v>111.65040637997923</v>
      </c>
      <c r="AE305" s="130">
        <f>IF((AND(VaBenefits[[#This Row],[Is Anniversary?]],VaBenefits[[#This Row],[Assumed Contract Value ]]&lt;75000)),-50,0)</f>
        <v>0</v>
      </c>
      <c r="AF305" s="134">
        <f>VaBenefits[[#This Row],[Assumed Contract Value ]]*-1.15%/4</f>
        <v>0</v>
      </c>
      <c r="AG305" s="129">
        <v>0</v>
      </c>
      <c r="AH305" s="6">
        <f>VaBenefits[[#This Row],[Maintenace Fee]]+VaBenefits[[#This Row],[Separate Account Charge]]+VaBenefits[[#This Row],[Rider Fee]]</f>
        <v>0</v>
      </c>
      <c r="AR305" s="23">
        <f t="shared" si="27"/>
        <v>148.5</v>
      </c>
      <c r="AS305" s="24">
        <v>0</v>
      </c>
      <c r="AT305" s="24">
        <v>0</v>
      </c>
      <c r="AU305" s="22">
        <v>0</v>
      </c>
      <c r="AV305" s="16">
        <v>0</v>
      </c>
      <c r="AW305" s="14">
        <v>299982</v>
      </c>
      <c r="AX305" s="15">
        <v>0</v>
      </c>
      <c r="AY305" s="15">
        <v>0</v>
      </c>
      <c r="AZ305" s="14">
        <v>0</v>
      </c>
      <c r="BA305" s="17">
        <v>11999</v>
      </c>
    </row>
    <row r="306" spans="1:53" ht="15" thickBot="1" x14ac:dyDescent="0.35">
      <c r="A306" s="32">
        <f t="shared" si="26"/>
        <v>298</v>
      </c>
      <c r="B306" s="29">
        <f t="shared" si="25"/>
        <v>74.5</v>
      </c>
      <c r="C306" s="29" t="b">
        <f>AND(VaBenefits[[#This Row],[timeFromValuation]]&gt;=ACT,VaBenefits[[#This Row],[Assumed Contract Value ]]&gt;0)</f>
        <v>0</v>
      </c>
      <c r="D306" s="20">
        <v>0</v>
      </c>
      <c r="E306" s="20">
        <v>0</v>
      </c>
      <c r="F306" s="20">
        <v>0</v>
      </c>
      <c r="G306" s="96">
        <f>ROUND($G$8+VaBenefits[[#This Row],[timeFromValuation]],0)</f>
        <v>130</v>
      </c>
      <c r="H306" s="20">
        <f>ROUND($H$8+VaBenefits[[#This Row],[timeFromValuation]],0)</f>
        <v>140</v>
      </c>
      <c r="I306" s="27" t="b">
        <f>VaBenefits[[#This Row],[Withdrawal Taken  ]]&gt;0</f>
        <v>0</v>
      </c>
      <c r="J306" s="41">
        <f>IF(AND(NOT(VaBenefits[[#This Row],[Is Activation]]),VaBenefits[[#This Row],[Assumed Contract Value ]]&gt;0),VaBenefits[[#This Row],[Withdrawal Taken  ]]/VaBenefits[[#This Row],[Assumed Contract Value ]],0)</f>
        <v>0</v>
      </c>
      <c r="K30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6" s="27" t="b">
        <f ca="1">AND(VaBenefits[[#This Row],[Is Activation]],SUMIFS($E$8:$E306,$C$8:$C306,TRUE)&gt;0)</f>
        <v>0</v>
      </c>
      <c r="M30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6" s="32" t="b">
        <f>IF(VaBenefits[[#This Row],[timeFromValuation]]=0,0, MOD(VaBenefits[[#This Row],[timeFromValuation]],1)=0)</f>
        <v>0</v>
      </c>
      <c r="O306" s="7">
        <f>IF(VaBenefits[[#This Row],[Is Anniversary?]]=TRUE,VaBenefits[[#This Row],[Assumed Contract Value ]],0)</f>
        <v>0</v>
      </c>
      <c r="P30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6" s="7" t="b">
        <f>VaBenefits[[#This Row],[Assumed Contract Value ]]&lt;0.1</f>
        <v>1</v>
      </c>
      <c r="R30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6" s="7">
        <f ca="1">IF(AND(VaBenefits[[#This Row],[Is Activation]]=FALSE,VaBenefits[[#This Row],[Is Anniversary?]]=TRUE),OFFSET( VaBenefits[[#This Row],[Income Credit Base]],-1,0)*ICP,0)</f>
        <v>0</v>
      </c>
      <c r="T306" s="5">
        <f>IF(VaBenefits[[#This Row],[Assumed Contract Value ]]&gt;0,VaBenefits[[#This Row],[Income Base]]*MAWA,0)</f>
        <v>0</v>
      </c>
      <c r="U306" s="95">
        <v>116</v>
      </c>
      <c r="V306" s="92">
        <f>1/(1+InterestRate)^VaBenefits[[#This Row],[timeFromValuation]]</f>
        <v>2.6387437598518249E-2</v>
      </c>
      <c r="W306" s="93">
        <f>VaBenefits[[#This Row],[timeFromValuation]]</f>
        <v>74.5</v>
      </c>
      <c r="X306" s="91">
        <f>IF(($G$8+VaBenefits[[#This Row],[timeFromValuation]])&lt;=120,VLOOKUP(G306,Table2[],Qx!L$6,FALSE),0)</f>
        <v>0</v>
      </c>
      <c r="Y306" s="91">
        <f>IF(($H$8+VaBenefits[[#This Row],[timeFromValuation]])&lt;=120,VLOOKUP(H306,Table2[],Qx!M$6,FALSE),0)</f>
        <v>0</v>
      </c>
      <c r="Z306" s="91">
        <v>0</v>
      </c>
      <c r="AA306" s="91">
        <v>0</v>
      </c>
      <c r="AB306" s="91">
        <v>0</v>
      </c>
      <c r="AC306" s="91">
        <v>0</v>
      </c>
      <c r="AD306" s="100">
        <f>PV(1.03,20,-VaBenefits[[#This Row],[Protected Income Payment]])</f>
        <v>112.62127947893556</v>
      </c>
      <c r="AE306" s="130">
        <f>IF((AND(VaBenefits[[#This Row],[Is Anniversary?]],VaBenefits[[#This Row],[Assumed Contract Value ]]&lt;75000)),-50,0)</f>
        <v>0</v>
      </c>
      <c r="AF306" s="134">
        <f>VaBenefits[[#This Row],[Assumed Contract Value ]]*-1.15%/4</f>
        <v>0</v>
      </c>
      <c r="AG306" s="129">
        <v>0</v>
      </c>
      <c r="AH306" s="6">
        <f>VaBenefits[[#This Row],[Maintenace Fee]]+VaBenefits[[#This Row],[Separate Account Charge]]+VaBenefits[[#This Row],[Rider Fee]]</f>
        <v>0</v>
      </c>
      <c r="AR306" s="23">
        <f t="shared" si="27"/>
        <v>149</v>
      </c>
      <c r="AS306" s="24">
        <v>0</v>
      </c>
      <c r="AT306" s="24">
        <v>0</v>
      </c>
      <c r="AU306" s="22">
        <v>0</v>
      </c>
      <c r="AV306" s="16">
        <v>0</v>
      </c>
      <c r="AW306" s="14">
        <v>299982</v>
      </c>
      <c r="AX306" s="15">
        <v>0</v>
      </c>
      <c r="AY306" s="15">
        <v>0</v>
      </c>
      <c r="AZ306" s="14">
        <v>0</v>
      </c>
      <c r="BA306" s="17">
        <v>11999</v>
      </c>
    </row>
    <row r="307" spans="1:53" ht="15" thickBot="1" x14ac:dyDescent="0.35">
      <c r="A307" s="32">
        <f t="shared" si="26"/>
        <v>299</v>
      </c>
      <c r="B307" s="29">
        <f t="shared" si="25"/>
        <v>74.75</v>
      </c>
      <c r="C307" s="29" t="b">
        <f>AND(VaBenefits[[#This Row],[timeFromValuation]]&gt;=ACT,VaBenefits[[#This Row],[Assumed Contract Value ]]&gt;0)</f>
        <v>0</v>
      </c>
      <c r="D307" s="20">
        <v>0</v>
      </c>
      <c r="E307" s="20">
        <v>0</v>
      </c>
      <c r="F307" s="20">
        <v>0</v>
      </c>
      <c r="G307" s="96">
        <f>ROUND($G$8+VaBenefits[[#This Row],[timeFromValuation]],0)</f>
        <v>130</v>
      </c>
      <c r="H307" s="20">
        <f>ROUND($H$8+VaBenefits[[#This Row],[timeFromValuation]],0)</f>
        <v>140</v>
      </c>
      <c r="I307" s="27" t="b">
        <f>VaBenefits[[#This Row],[Withdrawal Taken  ]]&gt;0</f>
        <v>0</v>
      </c>
      <c r="J307" s="41">
        <f>IF(AND(NOT(VaBenefits[[#This Row],[Is Activation]]),VaBenefits[[#This Row],[Assumed Contract Value ]]&gt;0),VaBenefits[[#This Row],[Withdrawal Taken  ]]/VaBenefits[[#This Row],[Assumed Contract Value ]],0)</f>
        <v>0</v>
      </c>
      <c r="K30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7" s="27" t="b">
        <f ca="1">AND(VaBenefits[[#This Row],[Is Activation]],SUMIFS($E$8:$E307,$C$8:$C307,TRUE)&gt;0)</f>
        <v>0</v>
      </c>
      <c r="M30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7" s="32" t="b">
        <f>IF(VaBenefits[[#This Row],[timeFromValuation]]=0,0, MOD(VaBenefits[[#This Row],[timeFromValuation]],1)=0)</f>
        <v>0</v>
      </c>
      <c r="O307" s="7">
        <f>IF(VaBenefits[[#This Row],[Is Anniversary?]]=TRUE,VaBenefits[[#This Row],[Assumed Contract Value ]],0)</f>
        <v>0</v>
      </c>
      <c r="P30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7" s="7" t="b">
        <f>VaBenefits[[#This Row],[Assumed Contract Value ]]&lt;0.1</f>
        <v>1</v>
      </c>
      <c r="R30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7" s="7">
        <f ca="1">IF(AND(VaBenefits[[#This Row],[Is Activation]]=FALSE,VaBenefits[[#This Row],[Is Anniversary?]]=TRUE),OFFSET( VaBenefits[[#This Row],[Income Credit Base]],-1,0)*ICP,0)</f>
        <v>0</v>
      </c>
      <c r="T307" s="5">
        <f>IF(VaBenefits[[#This Row],[Assumed Contract Value ]]&gt;0,VaBenefits[[#This Row],[Income Base]]*MAWA,0)</f>
        <v>0</v>
      </c>
      <c r="U307" s="95">
        <v>117</v>
      </c>
      <c r="V307" s="92">
        <f>1/(1+InterestRate)^VaBenefits[[#This Row],[timeFromValuation]]</f>
        <v>2.6067530750166025E-2</v>
      </c>
      <c r="W307" s="93">
        <f>VaBenefits[[#This Row],[timeFromValuation]]</f>
        <v>74.75</v>
      </c>
      <c r="X307" s="91">
        <f>IF(($G$8+VaBenefits[[#This Row],[timeFromValuation]])&lt;=120,VLOOKUP(G307,Table2[],Qx!L$6,FALSE),0)</f>
        <v>0</v>
      </c>
      <c r="Y307" s="91">
        <f>IF(($H$8+VaBenefits[[#This Row],[timeFromValuation]])&lt;=120,VLOOKUP(H307,Table2[],Qx!M$6,FALSE),0)</f>
        <v>0</v>
      </c>
      <c r="Z307" s="91">
        <v>0</v>
      </c>
      <c r="AA307" s="91">
        <v>0</v>
      </c>
      <c r="AB307" s="91">
        <v>0</v>
      </c>
      <c r="AC307" s="91">
        <v>0</v>
      </c>
      <c r="AD307" s="100">
        <f>PV(1.03,20,-VaBenefits[[#This Row],[Protected Income Payment]])</f>
        <v>113.59215257789192</v>
      </c>
      <c r="AE307" s="130">
        <f>IF((AND(VaBenefits[[#This Row],[Is Anniversary?]],VaBenefits[[#This Row],[Assumed Contract Value ]]&lt;75000)),-50,0)</f>
        <v>0</v>
      </c>
      <c r="AF307" s="134">
        <f>VaBenefits[[#This Row],[Assumed Contract Value ]]*-1.15%/4</f>
        <v>0</v>
      </c>
      <c r="AG307" s="129">
        <v>0</v>
      </c>
      <c r="AH307" s="6">
        <f>VaBenefits[[#This Row],[Maintenace Fee]]+VaBenefits[[#This Row],[Separate Account Charge]]+VaBenefits[[#This Row],[Rider Fee]]</f>
        <v>0</v>
      </c>
      <c r="AR307" s="23">
        <f t="shared" si="27"/>
        <v>149.5</v>
      </c>
      <c r="AS307" s="24">
        <v>0</v>
      </c>
      <c r="AT307" s="24">
        <v>0</v>
      </c>
      <c r="AU307" s="22">
        <v>0</v>
      </c>
      <c r="AV307" s="16">
        <v>0</v>
      </c>
      <c r="AW307" s="14">
        <v>299982</v>
      </c>
      <c r="AX307" s="15">
        <v>0</v>
      </c>
      <c r="AY307" s="15">
        <v>0</v>
      </c>
      <c r="AZ307" s="14">
        <v>0</v>
      </c>
      <c r="BA307" s="17">
        <v>11999</v>
      </c>
    </row>
    <row r="308" spans="1:53" ht="15" thickBot="1" x14ac:dyDescent="0.35">
      <c r="A308" s="32">
        <f t="shared" si="26"/>
        <v>300</v>
      </c>
      <c r="B308" s="29">
        <f t="shared" si="25"/>
        <v>75</v>
      </c>
      <c r="C308" s="29" t="b">
        <f>AND(VaBenefits[[#This Row],[timeFromValuation]]&gt;=ACT,VaBenefits[[#This Row],[Assumed Contract Value ]]&gt;0)</f>
        <v>0</v>
      </c>
      <c r="D308" s="20">
        <v>0</v>
      </c>
      <c r="E308" s="20">
        <v>0</v>
      </c>
      <c r="F308" s="20">
        <v>0</v>
      </c>
      <c r="G308" s="96">
        <f>ROUND($G$8+VaBenefits[[#This Row],[timeFromValuation]],0)</f>
        <v>130</v>
      </c>
      <c r="H308" s="20">
        <f>ROUND($H$8+VaBenefits[[#This Row],[timeFromValuation]],0)</f>
        <v>140</v>
      </c>
      <c r="I308" s="27" t="b">
        <f>VaBenefits[[#This Row],[Withdrawal Taken  ]]&gt;0</f>
        <v>0</v>
      </c>
      <c r="J308" s="41">
        <f>IF(AND(NOT(VaBenefits[[#This Row],[Is Activation]]),VaBenefits[[#This Row],[Assumed Contract Value ]]&gt;0),VaBenefits[[#This Row],[Withdrawal Taken  ]]/VaBenefits[[#This Row],[Assumed Contract Value ]],0)</f>
        <v>0</v>
      </c>
      <c r="K30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8" s="27" t="b">
        <f ca="1">AND(VaBenefits[[#This Row],[Is Activation]],SUMIFS($E$8:$E308,$C$8:$C308,TRUE)&gt;0)</f>
        <v>0</v>
      </c>
      <c r="M30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8" s="32" t="b">
        <f>IF(VaBenefits[[#This Row],[timeFromValuation]]=0,0, MOD(VaBenefits[[#This Row],[timeFromValuation]],1)=0)</f>
        <v>1</v>
      </c>
      <c r="O308" s="7">
        <f>IF(VaBenefits[[#This Row],[Is Anniversary?]]=TRUE,VaBenefits[[#This Row],[Assumed Contract Value ]],0)</f>
        <v>0</v>
      </c>
      <c r="P30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8" s="7" t="b">
        <f>VaBenefits[[#This Row],[Assumed Contract Value ]]&lt;0.1</f>
        <v>1</v>
      </c>
      <c r="R30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8" s="7">
        <f ca="1">IF(AND(VaBenefits[[#This Row],[Is Activation]]=FALSE,VaBenefits[[#This Row],[Is Anniversary?]]=TRUE),OFFSET( VaBenefits[[#This Row],[Income Credit Base]],-1,0)*ICP,0)</f>
        <v>0</v>
      </c>
      <c r="T308" s="5">
        <f>IF(VaBenefits[[#This Row],[Assumed Contract Value ]]&gt;0,VaBenefits[[#This Row],[Income Base]]*MAWA,0)</f>
        <v>0</v>
      </c>
      <c r="U308" s="95">
        <v>118</v>
      </c>
      <c r="V308" s="92">
        <f>1/(1+InterestRate)^VaBenefits[[#This Row],[timeFromValuation]]</f>
        <v>2.5751502277318886E-2</v>
      </c>
      <c r="W308" s="93">
        <f>VaBenefits[[#This Row],[timeFromValuation]]</f>
        <v>75</v>
      </c>
      <c r="X308" s="91">
        <f>IF(($G$8+VaBenefits[[#This Row],[timeFromValuation]])&lt;=120,VLOOKUP(G308,Table2[],Qx!L$6,FALSE),0)</f>
        <v>0</v>
      </c>
      <c r="Y308" s="91">
        <f>IF(($H$8+VaBenefits[[#This Row],[timeFromValuation]])&lt;=120,VLOOKUP(H308,Table2[],Qx!M$6,FALSE),0)</f>
        <v>0</v>
      </c>
      <c r="Z308" s="91">
        <v>0</v>
      </c>
      <c r="AA308" s="91">
        <v>0</v>
      </c>
      <c r="AB308" s="91">
        <v>0</v>
      </c>
      <c r="AC308" s="91">
        <v>0</v>
      </c>
      <c r="AD308" s="100">
        <f>PV(1.03,20,-VaBenefits[[#This Row],[Protected Income Payment]])</f>
        <v>114.56302567684826</v>
      </c>
      <c r="AE308" s="130">
        <f>IF((AND(VaBenefits[[#This Row],[Is Anniversary?]],VaBenefits[[#This Row],[Assumed Contract Value ]]&lt;75000)),-50,0)</f>
        <v>-50</v>
      </c>
      <c r="AF308" s="134">
        <f>VaBenefits[[#This Row],[Assumed Contract Value ]]*-1.15%/4</f>
        <v>0</v>
      </c>
      <c r="AG308" s="129">
        <v>0</v>
      </c>
      <c r="AH308" s="6">
        <f>VaBenefits[[#This Row],[Maintenace Fee]]+VaBenefits[[#This Row],[Separate Account Charge]]+VaBenefits[[#This Row],[Rider Fee]]</f>
        <v>-50</v>
      </c>
      <c r="AR308" s="23">
        <f t="shared" si="27"/>
        <v>150</v>
      </c>
      <c r="AS308" s="24">
        <v>0</v>
      </c>
      <c r="AT308" s="24">
        <v>0</v>
      </c>
      <c r="AU308" s="22">
        <v>0</v>
      </c>
      <c r="AV308" s="16">
        <v>0</v>
      </c>
      <c r="AW308" s="14">
        <v>299982</v>
      </c>
      <c r="AX308" s="15">
        <v>0</v>
      </c>
      <c r="AY308" s="15">
        <v>0</v>
      </c>
      <c r="AZ308" s="14">
        <v>0</v>
      </c>
      <c r="BA308" s="17">
        <v>11999</v>
      </c>
    </row>
    <row r="309" spans="1:53" ht="15" thickBot="1" x14ac:dyDescent="0.35">
      <c r="A309" s="32">
        <f t="shared" si="26"/>
        <v>301</v>
      </c>
      <c r="B309" s="29">
        <f t="shared" si="25"/>
        <v>75.25</v>
      </c>
      <c r="C309" s="29" t="b">
        <f>AND(VaBenefits[[#This Row],[timeFromValuation]]&gt;=ACT,VaBenefits[[#This Row],[Assumed Contract Value ]]&gt;0)</f>
        <v>0</v>
      </c>
      <c r="D309" s="20">
        <v>0</v>
      </c>
      <c r="E309" s="20">
        <v>0</v>
      </c>
      <c r="F309" s="20">
        <v>0</v>
      </c>
      <c r="G309" s="96">
        <f>ROUND($G$8+VaBenefits[[#This Row],[timeFromValuation]],0)</f>
        <v>130</v>
      </c>
      <c r="H309" s="20">
        <f>ROUND($H$8+VaBenefits[[#This Row],[timeFromValuation]],0)</f>
        <v>140</v>
      </c>
      <c r="I309" s="27" t="b">
        <f>VaBenefits[[#This Row],[Withdrawal Taken  ]]&gt;0</f>
        <v>0</v>
      </c>
      <c r="J309" s="41">
        <f>IF(AND(NOT(VaBenefits[[#This Row],[Is Activation]]),VaBenefits[[#This Row],[Assumed Contract Value ]]&gt;0),VaBenefits[[#This Row],[Withdrawal Taken  ]]/VaBenefits[[#This Row],[Assumed Contract Value ]],0)</f>
        <v>0</v>
      </c>
      <c r="K30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9" s="27" t="b">
        <f ca="1">AND(VaBenefits[[#This Row],[Is Activation]],SUMIFS($E$8:$E309,$C$8:$C309,TRUE)&gt;0)</f>
        <v>0</v>
      </c>
      <c r="M30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9" s="32" t="b">
        <f>IF(VaBenefits[[#This Row],[timeFromValuation]]=0,0, MOD(VaBenefits[[#This Row],[timeFromValuation]],1)=0)</f>
        <v>0</v>
      </c>
      <c r="O309" s="7">
        <f>IF(VaBenefits[[#This Row],[Is Anniversary?]]=TRUE,VaBenefits[[#This Row],[Assumed Contract Value ]],0)</f>
        <v>0</v>
      </c>
      <c r="P30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9" s="7" t="b">
        <f>VaBenefits[[#This Row],[Assumed Contract Value ]]&lt;0.1</f>
        <v>1</v>
      </c>
      <c r="R30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9" s="7">
        <f ca="1">IF(AND(VaBenefits[[#This Row],[Is Activation]]=FALSE,VaBenefits[[#This Row],[Is Anniversary?]]=TRUE),OFFSET( VaBenefits[[#This Row],[Income Credit Base]],-1,0)*ICP,0)</f>
        <v>0</v>
      </c>
      <c r="T309" s="5">
        <f>IF(VaBenefits[[#This Row],[Assumed Contract Value ]]&gt;0,VaBenefits[[#This Row],[Income Base]]*MAWA,0)</f>
        <v>0</v>
      </c>
      <c r="U309" s="95">
        <v>119</v>
      </c>
      <c r="V309" s="92">
        <f>1/(1+InterestRate)^VaBenefits[[#This Row],[timeFromValuation]]</f>
        <v>2.5439305160675153E-2</v>
      </c>
      <c r="W309" s="93">
        <f>VaBenefits[[#This Row],[timeFromValuation]]</f>
        <v>75.25</v>
      </c>
      <c r="X309" s="91">
        <f>IF(($G$8+VaBenefits[[#This Row],[timeFromValuation]])&lt;=120,VLOOKUP(G309,Table2[],Qx!L$6,FALSE),0)</f>
        <v>0</v>
      </c>
      <c r="Y309" s="91">
        <f>IF(($H$8+VaBenefits[[#This Row],[timeFromValuation]])&lt;=120,VLOOKUP(H309,Table2[],Qx!M$6,FALSE),0)</f>
        <v>0</v>
      </c>
      <c r="Z309" s="91">
        <v>0</v>
      </c>
      <c r="AA309" s="91">
        <v>0</v>
      </c>
      <c r="AB309" s="91">
        <v>0</v>
      </c>
      <c r="AC309" s="91">
        <v>0</v>
      </c>
      <c r="AD309" s="100">
        <f>PV(1.03,20,-VaBenefits[[#This Row],[Protected Income Payment]])</f>
        <v>115.5338987758046</v>
      </c>
      <c r="AE309" s="130">
        <f>IF((AND(VaBenefits[[#This Row],[Is Anniversary?]],VaBenefits[[#This Row],[Assumed Contract Value ]]&lt;75000)),-50,0)</f>
        <v>0</v>
      </c>
      <c r="AF309" s="134">
        <f>VaBenefits[[#This Row],[Assumed Contract Value ]]*-1.15%/4</f>
        <v>0</v>
      </c>
      <c r="AG309" s="129">
        <v>0</v>
      </c>
      <c r="AH309" s="6">
        <f>VaBenefits[[#This Row],[Maintenace Fee]]+VaBenefits[[#This Row],[Separate Account Charge]]+VaBenefits[[#This Row],[Rider Fee]]</f>
        <v>0</v>
      </c>
      <c r="AR309" s="23">
        <f t="shared" si="27"/>
        <v>150.5</v>
      </c>
      <c r="AS309" s="24">
        <v>0</v>
      </c>
      <c r="AT309" s="24">
        <v>0</v>
      </c>
      <c r="AU309" s="22">
        <v>0</v>
      </c>
      <c r="AV309" s="16">
        <v>0</v>
      </c>
      <c r="AW309" s="14">
        <v>299982</v>
      </c>
      <c r="AX309" s="15">
        <v>0</v>
      </c>
      <c r="AY309" s="15">
        <v>0</v>
      </c>
      <c r="AZ309" s="14">
        <v>0</v>
      </c>
      <c r="BA309" s="17">
        <v>11999</v>
      </c>
    </row>
    <row r="310" spans="1:53" ht="15" thickBot="1" x14ac:dyDescent="0.35">
      <c r="A310" s="32">
        <f t="shared" si="26"/>
        <v>302</v>
      </c>
      <c r="B310" s="29">
        <f t="shared" si="25"/>
        <v>75.5</v>
      </c>
      <c r="C310" s="29" t="b">
        <f>AND(VaBenefits[[#This Row],[timeFromValuation]]&gt;=ACT,VaBenefits[[#This Row],[Assumed Contract Value ]]&gt;0)</f>
        <v>0</v>
      </c>
      <c r="D310" s="20">
        <v>0</v>
      </c>
      <c r="E310" s="20">
        <v>0</v>
      </c>
      <c r="F310" s="20">
        <v>0</v>
      </c>
      <c r="G310" s="96">
        <f>ROUND($G$8+VaBenefits[[#This Row],[timeFromValuation]],0)</f>
        <v>131</v>
      </c>
      <c r="H310" s="20">
        <f>ROUND($H$8+VaBenefits[[#This Row],[timeFromValuation]],0)</f>
        <v>141</v>
      </c>
      <c r="I310" s="27" t="b">
        <f>VaBenefits[[#This Row],[Withdrawal Taken  ]]&gt;0</f>
        <v>0</v>
      </c>
      <c r="J310" s="41">
        <f>IF(AND(NOT(VaBenefits[[#This Row],[Is Activation]]),VaBenefits[[#This Row],[Assumed Contract Value ]]&gt;0),VaBenefits[[#This Row],[Withdrawal Taken  ]]/VaBenefits[[#This Row],[Assumed Contract Value ]],0)</f>
        <v>0</v>
      </c>
      <c r="K31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10" s="27" t="b">
        <f ca="1">AND(VaBenefits[[#This Row],[Is Activation]],SUMIFS($E$8:$E310,$C$8:$C310,TRUE)&gt;0)</f>
        <v>0</v>
      </c>
      <c r="M31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10" s="32" t="b">
        <f>IF(VaBenefits[[#This Row],[timeFromValuation]]=0,0, MOD(VaBenefits[[#This Row],[timeFromValuation]],1)=0)</f>
        <v>0</v>
      </c>
      <c r="O310" s="7">
        <f>IF(VaBenefits[[#This Row],[Is Anniversary?]]=TRUE,VaBenefits[[#This Row],[Assumed Contract Value ]],0)</f>
        <v>0</v>
      </c>
      <c r="P31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10" s="7" t="b">
        <f>VaBenefits[[#This Row],[Assumed Contract Value ]]&lt;0.1</f>
        <v>1</v>
      </c>
      <c r="R31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10" s="7">
        <f ca="1">IF(AND(VaBenefits[[#This Row],[Is Activation]]=FALSE,VaBenefits[[#This Row],[Is Anniversary?]]=TRUE),OFFSET( VaBenefits[[#This Row],[Income Credit Base]],-1,0)*ICP,0)</f>
        <v>0</v>
      </c>
      <c r="T310" s="5">
        <f>IF(VaBenefits[[#This Row],[Assumed Contract Value ]]&gt;0,VaBenefits[[#This Row],[Income Base]]*MAWA,0)</f>
        <v>0</v>
      </c>
      <c r="U310" s="95">
        <v>120</v>
      </c>
      <c r="V310" s="92">
        <f>1/(1+InterestRate)^VaBenefits[[#This Row],[timeFromValuation]]</f>
        <v>2.5130892950969756E-2</v>
      </c>
      <c r="W310" s="93">
        <f>VaBenefits[[#This Row],[timeFromValuation]]</f>
        <v>75.5</v>
      </c>
      <c r="X310" s="91">
        <f>IF(($G$8+VaBenefits[[#This Row],[timeFromValuation]])&lt;=120,VLOOKUP(G310,Table2[],Qx!L$6,FALSE),0)</f>
        <v>0</v>
      </c>
      <c r="Y310" s="91">
        <f>IF(($H$8+VaBenefits[[#This Row],[timeFromValuation]])&lt;=120,VLOOKUP(H310,Table2[],Qx!M$6,FALSE),0)</f>
        <v>0</v>
      </c>
      <c r="Z310" s="91">
        <v>0</v>
      </c>
      <c r="AA310" s="91">
        <v>0</v>
      </c>
      <c r="AB310" s="91">
        <v>0</v>
      </c>
      <c r="AC310" s="91">
        <v>0</v>
      </c>
      <c r="AD310" s="100">
        <f>PV(1.03,20,-VaBenefits[[#This Row],[Protected Income Payment]])</f>
        <v>116.50477187476093</v>
      </c>
      <c r="AE310" s="130">
        <f>IF((AND(VaBenefits[[#This Row],[Is Anniversary?]],VaBenefits[[#This Row],[Assumed Contract Value ]]&lt;75000)),-50,0)</f>
        <v>0</v>
      </c>
      <c r="AF310" s="134">
        <f>VaBenefits[[#This Row],[Assumed Contract Value ]]*-1.15%/4</f>
        <v>0</v>
      </c>
      <c r="AG310" s="129">
        <v>0</v>
      </c>
      <c r="AH310" s="6">
        <f>VaBenefits[[#This Row],[Maintenace Fee]]+VaBenefits[[#This Row],[Separate Account Charge]]+VaBenefits[[#This Row],[Rider Fee]]</f>
        <v>0</v>
      </c>
      <c r="AR310" s="23">
        <f t="shared" si="27"/>
        <v>151</v>
      </c>
      <c r="AS310" s="24">
        <v>0</v>
      </c>
      <c r="AT310" s="24">
        <v>0</v>
      </c>
      <c r="AU310" s="22">
        <v>0</v>
      </c>
      <c r="AV310" s="16">
        <v>0</v>
      </c>
      <c r="AW310" s="14">
        <v>299982</v>
      </c>
      <c r="AX310" s="15">
        <v>0</v>
      </c>
      <c r="AY310" s="15">
        <v>0</v>
      </c>
      <c r="AZ310" s="14">
        <v>0</v>
      </c>
      <c r="BA310" s="17">
        <v>11999</v>
      </c>
    </row>
    <row r="311" spans="1:53" ht="15" thickBot="1" x14ac:dyDescent="0.35">
      <c r="L311" s="7"/>
      <c r="AR311" s="23">
        <f t="shared" si="27"/>
        <v>151.5</v>
      </c>
      <c r="AS311" s="24">
        <v>0</v>
      </c>
      <c r="AT311" s="24">
        <v>0</v>
      </c>
      <c r="AU311" s="22">
        <v>0</v>
      </c>
      <c r="AV311" s="16">
        <v>0</v>
      </c>
      <c r="AW311" s="14">
        <v>299982</v>
      </c>
      <c r="AX311" s="15">
        <v>0</v>
      </c>
      <c r="AY311" s="15">
        <v>0</v>
      </c>
      <c r="AZ311" s="14">
        <v>0</v>
      </c>
      <c r="BA311" s="17">
        <v>11999</v>
      </c>
    </row>
    <row r="312" spans="1:53" ht="15" thickBot="1" x14ac:dyDescent="0.35">
      <c r="AR312" s="23">
        <f t="shared" si="27"/>
        <v>152</v>
      </c>
      <c r="AS312" s="24">
        <v>0</v>
      </c>
      <c r="AT312" s="24">
        <v>0</v>
      </c>
      <c r="AU312" s="22">
        <v>0</v>
      </c>
      <c r="AV312" s="16">
        <v>0</v>
      </c>
      <c r="AW312" s="14">
        <v>299982</v>
      </c>
      <c r="AX312" s="15">
        <v>0</v>
      </c>
      <c r="AY312" s="15">
        <v>0</v>
      </c>
      <c r="AZ312" s="14">
        <v>0</v>
      </c>
      <c r="BA312" s="17">
        <v>11999</v>
      </c>
    </row>
    <row r="313" spans="1:53" ht="15" thickBot="1" x14ac:dyDescent="0.35">
      <c r="AR313" s="23">
        <f t="shared" si="27"/>
        <v>152.5</v>
      </c>
      <c r="AS313" s="24">
        <v>0</v>
      </c>
      <c r="AT313" s="24">
        <v>0</v>
      </c>
      <c r="AU313" s="22">
        <v>0</v>
      </c>
      <c r="AV313" s="16">
        <v>0</v>
      </c>
      <c r="AW313" s="14">
        <v>299982</v>
      </c>
      <c r="AX313" s="15">
        <v>0</v>
      </c>
      <c r="AY313" s="15">
        <v>0</v>
      </c>
      <c r="AZ313" s="14">
        <v>0</v>
      </c>
      <c r="BA313" s="17">
        <v>11999</v>
      </c>
    </row>
    <row r="314" spans="1:53" ht="15" thickBot="1" x14ac:dyDescent="0.35">
      <c r="AR314" s="23">
        <f t="shared" si="27"/>
        <v>153</v>
      </c>
      <c r="AS314" s="24">
        <v>0</v>
      </c>
      <c r="AT314" s="24">
        <v>0</v>
      </c>
      <c r="AU314" s="22">
        <v>0</v>
      </c>
      <c r="AV314" s="16">
        <v>0</v>
      </c>
      <c r="AW314" s="14">
        <v>299982</v>
      </c>
      <c r="AX314" s="15">
        <v>0</v>
      </c>
      <c r="AY314" s="15">
        <v>0</v>
      </c>
      <c r="AZ314" s="14">
        <v>0</v>
      </c>
      <c r="BA314" s="17">
        <v>11999</v>
      </c>
    </row>
    <row r="315" spans="1:53" ht="15" thickBot="1" x14ac:dyDescent="0.35">
      <c r="AR315" s="23">
        <f t="shared" si="27"/>
        <v>153.5</v>
      </c>
      <c r="AS315" s="24">
        <v>0</v>
      </c>
      <c r="AT315" s="24">
        <v>0</v>
      </c>
      <c r="AU315" s="22">
        <v>0</v>
      </c>
      <c r="AV315" s="16">
        <v>0</v>
      </c>
      <c r="AW315" s="14">
        <v>299982</v>
      </c>
      <c r="AX315" s="15">
        <v>0</v>
      </c>
      <c r="AY315" s="15">
        <v>0</v>
      </c>
      <c r="AZ315" s="14">
        <v>0</v>
      </c>
      <c r="BA315" s="17">
        <v>11999</v>
      </c>
    </row>
    <row r="316" spans="1:53" ht="15" thickBot="1" x14ac:dyDescent="0.35">
      <c r="AR316" s="23">
        <f t="shared" si="27"/>
        <v>154</v>
      </c>
      <c r="AS316" s="24">
        <v>0</v>
      </c>
      <c r="AT316" s="24">
        <v>0</v>
      </c>
      <c r="AU316" s="22">
        <v>0</v>
      </c>
      <c r="AV316" s="16">
        <v>0</v>
      </c>
      <c r="AW316" s="14">
        <v>299982</v>
      </c>
      <c r="AX316" s="15">
        <v>0</v>
      </c>
      <c r="AY316" s="15">
        <v>0</v>
      </c>
      <c r="AZ316" s="14">
        <v>0</v>
      </c>
      <c r="BA316" s="17">
        <v>11999</v>
      </c>
    </row>
    <row r="317" spans="1:53" ht="15" thickBot="1" x14ac:dyDescent="0.35">
      <c r="AR317" s="23">
        <f t="shared" si="27"/>
        <v>154.5</v>
      </c>
      <c r="AS317" s="24">
        <v>0</v>
      </c>
      <c r="AT317" s="24">
        <v>0</v>
      </c>
      <c r="AU317" s="22">
        <v>0</v>
      </c>
      <c r="AV317" s="16">
        <v>0</v>
      </c>
      <c r="AW317" s="14">
        <v>299982</v>
      </c>
      <c r="AX317" s="15">
        <v>0</v>
      </c>
      <c r="AY317" s="15">
        <v>0</v>
      </c>
      <c r="AZ317" s="14">
        <v>0</v>
      </c>
      <c r="BA317" s="17">
        <v>11999</v>
      </c>
    </row>
    <row r="318" spans="1:53" ht="15" thickBot="1" x14ac:dyDescent="0.35">
      <c r="AR318" s="23">
        <f t="shared" si="27"/>
        <v>155</v>
      </c>
      <c r="AS318" s="24">
        <v>0</v>
      </c>
      <c r="AT318" s="24">
        <v>0</v>
      </c>
      <c r="AU318" s="22">
        <v>0</v>
      </c>
      <c r="AV318" s="16">
        <v>0</v>
      </c>
      <c r="AW318" s="14">
        <v>299982</v>
      </c>
      <c r="AX318" s="15">
        <v>0</v>
      </c>
      <c r="AY318" s="15">
        <v>0</v>
      </c>
      <c r="AZ318" s="14">
        <v>0</v>
      </c>
      <c r="BA318" s="17">
        <v>11999</v>
      </c>
    </row>
    <row r="319" spans="1:53" ht="15" thickBot="1" x14ac:dyDescent="0.35">
      <c r="AR319" s="23">
        <f t="shared" si="27"/>
        <v>155.5</v>
      </c>
      <c r="AS319" s="24">
        <v>0</v>
      </c>
      <c r="AT319" s="24">
        <v>0</v>
      </c>
      <c r="AU319" s="22">
        <v>0</v>
      </c>
      <c r="AV319" s="16">
        <v>0</v>
      </c>
      <c r="AW319" s="14">
        <v>299982</v>
      </c>
      <c r="AX319" s="15">
        <v>0</v>
      </c>
      <c r="AY319" s="15">
        <v>0</v>
      </c>
      <c r="AZ319" s="14">
        <v>0</v>
      </c>
      <c r="BA319" s="17">
        <v>11999</v>
      </c>
    </row>
    <row r="320" spans="1:53" ht="15" thickBot="1" x14ac:dyDescent="0.35">
      <c r="AR320" s="23">
        <f t="shared" si="27"/>
        <v>156</v>
      </c>
      <c r="AS320" s="24">
        <v>0</v>
      </c>
      <c r="AT320" s="24">
        <v>0</v>
      </c>
      <c r="AU320" s="22">
        <v>0</v>
      </c>
      <c r="AV320" s="16">
        <v>0</v>
      </c>
      <c r="AW320" s="14">
        <v>299982</v>
      </c>
      <c r="AX320" s="15">
        <v>0</v>
      </c>
      <c r="AY320" s="15">
        <v>0</v>
      </c>
      <c r="AZ320" s="14">
        <v>0</v>
      </c>
      <c r="BA320" s="17">
        <v>11999</v>
      </c>
    </row>
    <row r="321" spans="44:53" ht="15" thickBot="1" x14ac:dyDescent="0.35">
      <c r="AR321" s="23">
        <f t="shared" si="27"/>
        <v>156.5</v>
      </c>
      <c r="AS321" s="24">
        <v>0</v>
      </c>
      <c r="AT321" s="24">
        <v>0</v>
      </c>
      <c r="AU321" s="22">
        <v>0</v>
      </c>
      <c r="AV321" s="16">
        <v>0</v>
      </c>
      <c r="AW321" s="14">
        <v>299982</v>
      </c>
      <c r="AX321" s="15">
        <v>0</v>
      </c>
      <c r="AY321" s="15">
        <v>0</v>
      </c>
      <c r="AZ321" s="14">
        <v>0</v>
      </c>
      <c r="BA321" s="17">
        <v>11999</v>
      </c>
    </row>
    <row r="322" spans="44:53" ht="15" thickBot="1" x14ac:dyDescent="0.35">
      <c r="AR322" s="23">
        <f t="shared" si="27"/>
        <v>157</v>
      </c>
      <c r="AS322" s="24">
        <v>0</v>
      </c>
      <c r="AT322" s="24">
        <v>0</v>
      </c>
      <c r="AU322" s="22">
        <v>0</v>
      </c>
      <c r="AV322" s="16">
        <v>0</v>
      </c>
      <c r="AW322" s="14">
        <v>299982</v>
      </c>
      <c r="AX322" s="15">
        <v>0</v>
      </c>
      <c r="AY322" s="15">
        <v>0</v>
      </c>
      <c r="AZ322" s="14">
        <v>0</v>
      </c>
      <c r="BA322" s="17">
        <v>11999</v>
      </c>
    </row>
    <row r="323" spans="44:53" ht="15" thickBot="1" x14ac:dyDescent="0.35">
      <c r="AR323" s="23">
        <f t="shared" si="27"/>
        <v>157.5</v>
      </c>
      <c r="AS323" s="24">
        <v>0</v>
      </c>
      <c r="AT323" s="24">
        <v>0</v>
      </c>
      <c r="AU323" s="22">
        <v>0</v>
      </c>
      <c r="AV323" s="16">
        <v>0</v>
      </c>
      <c r="AW323" s="14">
        <v>299982</v>
      </c>
      <c r="AX323" s="15">
        <v>0</v>
      </c>
      <c r="AY323" s="15">
        <v>0</v>
      </c>
      <c r="AZ323" s="14">
        <v>0</v>
      </c>
      <c r="BA323" s="17">
        <v>11999</v>
      </c>
    </row>
    <row r="324" spans="44:53" ht="15" thickBot="1" x14ac:dyDescent="0.35">
      <c r="AR324" s="23">
        <f t="shared" si="27"/>
        <v>158</v>
      </c>
      <c r="AS324" s="24">
        <v>0</v>
      </c>
      <c r="AT324" s="24">
        <v>0</v>
      </c>
      <c r="AU324" s="22">
        <v>0</v>
      </c>
      <c r="AV324" s="16">
        <v>0</v>
      </c>
      <c r="AW324" s="14">
        <v>299982</v>
      </c>
      <c r="AX324" s="15">
        <v>0</v>
      </c>
      <c r="AY324" s="15">
        <v>0</v>
      </c>
      <c r="AZ324" s="14">
        <v>0</v>
      </c>
      <c r="BA324" s="17">
        <v>11999</v>
      </c>
    </row>
    <row r="325" spans="44:53" ht="15" thickBot="1" x14ac:dyDescent="0.35">
      <c r="AR325" s="23">
        <f t="shared" si="27"/>
        <v>158.5</v>
      </c>
      <c r="AS325" s="24">
        <v>0</v>
      </c>
      <c r="AT325" s="24">
        <v>0</v>
      </c>
      <c r="AU325" s="22">
        <v>0</v>
      </c>
      <c r="AV325" s="16">
        <v>0</v>
      </c>
      <c r="AW325" s="14">
        <v>299982</v>
      </c>
      <c r="AX325" s="15">
        <v>0</v>
      </c>
      <c r="AY325" s="15">
        <v>0</v>
      </c>
      <c r="AZ325" s="14">
        <v>0</v>
      </c>
      <c r="BA325" s="17">
        <v>11999</v>
      </c>
    </row>
    <row r="326" spans="44:53" ht="15" thickBot="1" x14ac:dyDescent="0.35">
      <c r="AR326" s="23">
        <f t="shared" si="27"/>
        <v>159</v>
      </c>
      <c r="AS326" s="24">
        <v>0</v>
      </c>
      <c r="AT326" s="24">
        <v>0</v>
      </c>
      <c r="AU326" s="22">
        <v>0</v>
      </c>
      <c r="AV326" s="16">
        <v>0</v>
      </c>
      <c r="AW326" s="14">
        <v>299982</v>
      </c>
      <c r="AX326" s="15">
        <v>0</v>
      </c>
      <c r="AY326" s="15">
        <v>0</v>
      </c>
      <c r="AZ326" s="14">
        <v>0</v>
      </c>
      <c r="BA326" s="17">
        <v>11999</v>
      </c>
    </row>
    <row r="327" spans="44:53" ht="15" thickBot="1" x14ac:dyDescent="0.35">
      <c r="AR327" s="23">
        <f t="shared" si="27"/>
        <v>159.5</v>
      </c>
      <c r="AS327" s="24">
        <v>0</v>
      </c>
      <c r="AT327" s="24">
        <v>0</v>
      </c>
      <c r="AU327" s="22">
        <v>0</v>
      </c>
      <c r="AV327" s="16">
        <v>0</v>
      </c>
      <c r="AW327" s="14">
        <v>299982</v>
      </c>
      <c r="AX327" s="15">
        <v>0</v>
      </c>
      <c r="AY327" s="15">
        <v>0</v>
      </c>
      <c r="AZ327" s="14">
        <v>0</v>
      </c>
      <c r="BA327" s="17">
        <v>11999</v>
      </c>
    </row>
    <row r="328" spans="44:53" ht="15" thickBot="1" x14ac:dyDescent="0.35">
      <c r="AR328" s="23">
        <f t="shared" si="27"/>
        <v>160</v>
      </c>
      <c r="AS328" s="24">
        <v>0</v>
      </c>
      <c r="AT328" s="24">
        <v>0</v>
      </c>
      <c r="AU328" s="22">
        <v>0</v>
      </c>
      <c r="AV328" s="16">
        <v>0</v>
      </c>
      <c r="AW328" s="14">
        <v>299982</v>
      </c>
      <c r="AX328" s="15">
        <v>0</v>
      </c>
      <c r="AY328" s="15">
        <v>0</v>
      </c>
      <c r="AZ328" s="14">
        <v>0</v>
      </c>
      <c r="BA328" s="17">
        <v>11999</v>
      </c>
    </row>
    <row r="329" spans="44:53" ht="15" thickBot="1" x14ac:dyDescent="0.35">
      <c r="AR329" s="23">
        <f t="shared" si="27"/>
        <v>160.5</v>
      </c>
      <c r="AS329" s="24">
        <v>0</v>
      </c>
      <c r="AT329" s="24">
        <v>0</v>
      </c>
      <c r="AU329" s="22">
        <v>0</v>
      </c>
      <c r="AV329" s="16">
        <v>0</v>
      </c>
      <c r="AW329" s="14">
        <v>299982</v>
      </c>
      <c r="AX329" s="15">
        <v>0</v>
      </c>
      <c r="AY329" s="15">
        <v>0</v>
      </c>
      <c r="AZ329" s="14">
        <v>0</v>
      </c>
      <c r="BA329" s="17">
        <v>11999</v>
      </c>
    </row>
    <row r="330" spans="44:53" ht="15" thickBot="1" x14ac:dyDescent="0.35">
      <c r="AR330" s="23">
        <f t="shared" ref="AR330:AR350" si="28">AR329+0.5</f>
        <v>161</v>
      </c>
      <c r="AS330" s="24">
        <v>0</v>
      </c>
      <c r="AT330" s="24">
        <v>0</v>
      </c>
      <c r="AU330" s="22">
        <v>0</v>
      </c>
      <c r="AV330" s="16">
        <v>0</v>
      </c>
      <c r="AW330" s="14">
        <v>299982</v>
      </c>
      <c r="AX330" s="15">
        <v>0</v>
      </c>
      <c r="AY330" s="15">
        <v>0</v>
      </c>
      <c r="AZ330" s="14">
        <v>0</v>
      </c>
      <c r="BA330" s="17">
        <v>11999</v>
      </c>
    </row>
    <row r="331" spans="44:53" ht="15" thickBot="1" x14ac:dyDescent="0.35">
      <c r="AR331" s="23">
        <f t="shared" si="28"/>
        <v>161.5</v>
      </c>
      <c r="AS331" s="24">
        <v>0</v>
      </c>
      <c r="AT331" s="24">
        <v>0</v>
      </c>
      <c r="AU331" s="22">
        <v>0</v>
      </c>
      <c r="AV331" s="16">
        <v>0</v>
      </c>
      <c r="AW331" s="14">
        <v>299982</v>
      </c>
      <c r="AX331" s="15">
        <v>0</v>
      </c>
      <c r="AY331" s="15">
        <v>0</v>
      </c>
      <c r="AZ331" s="14">
        <v>0</v>
      </c>
      <c r="BA331" s="17">
        <v>11999</v>
      </c>
    </row>
    <row r="332" spans="44:53" ht="15" thickBot="1" x14ac:dyDescent="0.35">
      <c r="AR332" s="23">
        <f t="shared" si="28"/>
        <v>162</v>
      </c>
      <c r="AS332" s="24">
        <v>0</v>
      </c>
      <c r="AT332" s="24">
        <v>0</v>
      </c>
      <c r="AU332" s="22">
        <v>0</v>
      </c>
      <c r="AV332" s="16">
        <v>0</v>
      </c>
      <c r="AW332" s="14">
        <v>299982</v>
      </c>
      <c r="AX332" s="15">
        <v>0</v>
      </c>
      <c r="AY332" s="15">
        <v>0</v>
      </c>
      <c r="AZ332" s="14">
        <v>0</v>
      </c>
      <c r="BA332" s="17">
        <v>11999</v>
      </c>
    </row>
    <row r="333" spans="44:53" ht="15" thickBot="1" x14ac:dyDescent="0.35">
      <c r="AR333" s="23">
        <f t="shared" si="28"/>
        <v>162.5</v>
      </c>
      <c r="AS333" s="24">
        <v>0</v>
      </c>
      <c r="AT333" s="24">
        <v>0</v>
      </c>
      <c r="AU333" s="22">
        <v>0</v>
      </c>
      <c r="AV333" s="16">
        <v>0</v>
      </c>
      <c r="AW333" s="14">
        <v>299982</v>
      </c>
      <c r="AX333" s="15">
        <v>0</v>
      </c>
      <c r="AY333" s="15">
        <v>0</v>
      </c>
      <c r="AZ333" s="14">
        <v>0</v>
      </c>
      <c r="BA333" s="17">
        <v>11999</v>
      </c>
    </row>
    <row r="334" spans="44:53" ht="15" thickBot="1" x14ac:dyDescent="0.35">
      <c r="AR334" s="23">
        <f t="shared" si="28"/>
        <v>163</v>
      </c>
      <c r="AS334" s="24">
        <v>0</v>
      </c>
      <c r="AT334" s="24">
        <v>0</v>
      </c>
      <c r="AU334" s="22">
        <v>0</v>
      </c>
      <c r="AV334" s="16">
        <v>0</v>
      </c>
      <c r="AW334" s="14">
        <v>299982</v>
      </c>
      <c r="AX334" s="15">
        <v>0</v>
      </c>
      <c r="AY334" s="15">
        <v>0</v>
      </c>
      <c r="AZ334" s="14">
        <v>0</v>
      </c>
      <c r="BA334" s="17">
        <v>11999</v>
      </c>
    </row>
    <row r="335" spans="44:53" ht="15" thickBot="1" x14ac:dyDescent="0.35">
      <c r="AR335" s="23">
        <f t="shared" si="28"/>
        <v>163.5</v>
      </c>
      <c r="AS335" s="24">
        <v>0</v>
      </c>
      <c r="AT335" s="24">
        <v>0</v>
      </c>
      <c r="AU335" s="22">
        <v>0</v>
      </c>
      <c r="AV335" s="16">
        <v>0</v>
      </c>
      <c r="AW335" s="14">
        <v>299982</v>
      </c>
      <c r="AX335" s="15">
        <v>0</v>
      </c>
      <c r="AY335" s="15">
        <v>0</v>
      </c>
      <c r="AZ335" s="14">
        <v>0</v>
      </c>
      <c r="BA335" s="17">
        <v>11999</v>
      </c>
    </row>
    <row r="336" spans="44:53" ht="15" thickBot="1" x14ac:dyDescent="0.35">
      <c r="AR336" s="23">
        <f t="shared" si="28"/>
        <v>164</v>
      </c>
      <c r="AS336" s="24">
        <v>0</v>
      </c>
      <c r="AT336" s="24">
        <v>0</v>
      </c>
      <c r="AU336" s="22">
        <v>0</v>
      </c>
      <c r="AV336" s="16">
        <v>0</v>
      </c>
      <c r="AW336" s="14">
        <v>299982</v>
      </c>
      <c r="AX336" s="15">
        <v>0</v>
      </c>
      <c r="AY336" s="15">
        <v>0</v>
      </c>
      <c r="AZ336" s="14">
        <v>0</v>
      </c>
      <c r="BA336" s="17">
        <v>11999</v>
      </c>
    </row>
    <row r="337" spans="44:53" ht="15" thickBot="1" x14ac:dyDescent="0.35">
      <c r="AR337" s="23">
        <f t="shared" si="28"/>
        <v>164.5</v>
      </c>
      <c r="AS337" s="24">
        <v>0</v>
      </c>
      <c r="AT337" s="24">
        <v>0</v>
      </c>
      <c r="AU337" s="22">
        <v>0</v>
      </c>
      <c r="AV337" s="16">
        <v>0</v>
      </c>
      <c r="AW337" s="14">
        <v>299982</v>
      </c>
      <c r="AX337" s="15">
        <v>0</v>
      </c>
      <c r="AY337" s="15">
        <v>0</v>
      </c>
      <c r="AZ337" s="14">
        <v>0</v>
      </c>
      <c r="BA337" s="17">
        <v>11999</v>
      </c>
    </row>
    <row r="338" spans="44:53" ht="15" thickBot="1" x14ac:dyDescent="0.35">
      <c r="AR338" s="23">
        <f t="shared" si="28"/>
        <v>165</v>
      </c>
      <c r="AS338" s="24">
        <v>0</v>
      </c>
      <c r="AT338" s="24">
        <v>0</v>
      </c>
      <c r="AU338" s="22">
        <v>0</v>
      </c>
      <c r="AV338" s="16">
        <v>0</v>
      </c>
      <c r="AW338" s="14">
        <v>299982</v>
      </c>
      <c r="AX338" s="15">
        <v>0</v>
      </c>
      <c r="AY338" s="15">
        <v>0</v>
      </c>
      <c r="AZ338" s="14">
        <v>0</v>
      </c>
      <c r="BA338" s="17">
        <v>11999</v>
      </c>
    </row>
    <row r="339" spans="44:53" ht="15" thickBot="1" x14ac:dyDescent="0.35">
      <c r="AR339" s="23">
        <f t="shared" si="28"/>
        <v>165.5</v>
      </c>
      <c r="AS339" s="24">
        <v>0</v>
      </c>
      <c r="AT339" s="24">
        <v>0</v>
      </c>
      <c r="AU339" s="22">
        <v>0</v>
      </c>
      <c r="AV339" s="16">
        <v>0</v>
      </c>
      <c r="AW339" s="14">
        <v>299982</v>
      </c>
      <c r="AX339" s="15">
        <v>0</v>
      </c>
      <c r="AY339" s="15">
        <v>0</v>
      </c>
      <c r="AZ339" s="14">
        <v>0</v>
      </c>
      <c r="BA339" s="17">
        <v>11999</v>
      </c>
    </row>
    <row r="340" spans="44:53" ht="15" thickBot="1" x14ac:dyDescent="0.35">
      <c r="AR340" s="23">
        <f t="shared" si="28"/>
        <v>166</v>
      </c>
      <c r="AS340" s="24">
        <v>0</v>
      </c>
      <c r="AT340" s="24">
        <v>0</v>
      </c>
      <c r="AU340" s="22">
        <v>0</v>
      </c>
      <c r="AV340" s="16">
        <v>0</v>
      </c>
      <c r="AW340" s="14">
        <v>299982</v>
      </c>
      <c r="AX340" s="15">
        <v>0</v>
      </c>
      <c r="AY340" s="15">
        <v>0</v>
      </c>
      <c r="AZ340" s="14">
        <v>0</v>
      </c>
      <c r="BA340" s="17">
        <v>11999</v>
      </c>
    </row>
    <row r="341" spans="44:53" ht="15" thickBot="1" x14ac:dyDescent="0.35">
      <c r="AR341" s="23">
        <f t="shared" si="28"/>
        <v>166.5</v>
      </c>
      <c r="AS341" s="24">
        <v>0</v>
      </c>
      <c r="AT341" s="24">
        <v>0</v>
      </c>
      <c r="AU341" s="22">
        <v>0</v>
      </c>
      <c r="AV341" s="16">
        <v>0</v>
      </c>
      <c r="AW341" s="14">
        <v>299982</v>
      </c>
      <c r="AX341" s="15">
        <v>0</v>
      </c>
      <c r="AY341" s="15">
        <v>0</v>
      </c>
      <c r="AZ341" s="14">
        <v>0</v>
      </c>
      <c r="BA341" s="17">
        <v>11999</v>
      </c>
    </row>
    <row r="342" spans="44:53" ht="15" thickBot="1" x14ac:dyDescent="0.35">
      <c r="AR342" s="23">
        <f t="shared" si="28"/>
        <v>167</v>
      </c>
      <c r="AS342" s="24">
        <v>0</v>
      </c>
      <c r="AT342" s="24">
        <v>0</v>
      </c>
      <c r="AU342" s="22">
        <v>0</v>
      </c>
      <c r="AV342" s="16">
        <v>0</v>
      </c>
      <c r="AW342" s="14">
        <v>299982</v>
      </c>
      <c r="AX342" s="15">
        <v>0</v>
      </c>
      <c r="AY342" s="15">
        <v>0</v>
      </c>
      <c r="AZ342" s="14">
        <v>0</v>
      </c>
      <c r="BA342" s="17">
        <v>11999</v>
      </c>
    </row>
    <row r="343" spans="44:53" ht="15" thickBot="1" x14ac:dyDescent="0.35">
      <c r="AR343" s="23">
        <f t="shared" si="28"/>
        <v>167.5</v>
      </c>
      <c r="AS343" s="24">
        <v>0</v>
      </c>
      <c r="AT343" s="24">
        <v>0</v>
      </c>
      <c r="AU343" s="22">
        <v>0</v>
      </c>
      <c r="AV343" s="16">
        <v>0</v>
      </c>
      <c r="AW343" s="14">
        <v>299982</v>
      </c>
      <c r="AX343" s="15">
        <v>0</v>
      </c>
      <c r="AY343" s="15">
        <v>0</v>
      </c>
      <c r="AZ343" s="14">
        <v>0</v>
      </c>
      <c r="BA343" s="17">
        <v>11999</v>
      </c>
    </row>
    <row r="344" spans="44:53" ht="15" thickBot="1" x14ac:dyDescent="0.35">
      <c r="AR344" s="23">
        <f t="shared" si="28"/>
        <v>168</v>
      </c>
      <c r="AS344" s="24">
        <v>0</v>
      </c>
      <c r="AT344" s="24">
        <v>0</v>
      </c>
      <c r="AU344" s="22">
        <v>0</v>
      </c>
      <c r="AV344" s="16">
        <v>0</v>
      </c>
      <c r="AW344" s="14">
        <v>299982</v>
      </c>
      <c r="AX344" s="15">
        <v>0</v>
      </c>
      <c r="AY344" s="15">
        <v>0</v>
      </c>
      <c r="AZ344" s="14">
        <v>0</v>
      </c>
      <c r="BA344" s="17">
        <v>11999</v>
      </c>
    </row>
    <row r="345" spans="44:53" ht="15" thickBot="1" x14ac:dyDescent="0.35">
      <c r="AR345" s="23">
        <f t="shared" si="28"/>
        <v>168.5</v>
      </c>
      <c r="AS345" s="24">
        <v>0</v>
      </c>
      <c r="AT345" s="24">
        <v>0</v>
      </c>
      <c r="AU345" s="22">
        <v>0</v>
      </c>
      <c r="AV345" s="16">
        <v>0</v>
      </c>
      <c r="AW345" s="14">
        <v>299982</v>
      </c>
      <c r="AX345" s="15">
        <v>0</v>
      </c>
      <c r="AY345" s="15">
        <v>0</v>
      </c>
      <c r="AZ345" s="14">
        <v>0</v>
      </c>
      <c r="BA345" s="17">
        <v>11999</v>
      </c>
    </row>
    <row r="346" spans="44:53" ht="15" thickBot="1" x14ac:dyDescent="0.35">
      <c r="AR346" s="23">
        <f t="shared" si="28"/>
        <v>169</v>
      </c>
      <c r="AS346" s="24">
        <v>0</v>
      </c>
      <c r="AT346" s="24">
        <v>0</v>
      </c>
      <c r="AU346" s="22">
        <v>0</v>
      </c>
      <c r="AV346" s="16">
        <v>0</v>
      </c>
      <c r="AW346" s="14">
        <v>299982</v>
      </c>
      <c r="AX346" s="15">
        <v>0</v>
      </c>
      <c r="AY346" s="15">
        <v>0</v>
      </c>
      <c r="AZ346" s="14">
        <v>0</v>
      </c>
      <c r="BA346" s="17">
        <v>11999</v>
      </c>
    </row>
    <row r="347" spans="44:53" ht="15" thickBot="1" x14ac:dyDescent="0.35">
      <c r="AR347" s="23">
        <f t="shared" si="28"/>
        <v>169.5</v>
      </c>
      <c r="AS347" s="24">
        <v>0</v>
      </c>
      <c r="AT347" s="24">
        <v>0</v>
      </c>
      <c r="AU347" s="22">
        <v>0</v>
      </c>
      <c r="AV347" s="16">
        <v>0</v>
      </c>
      <c r="AW347" s="14">
        <v>299982</v>
      </c>
      <c r="AX347" s="15">
        <v>0</v>
      </c>
      <c r="AY347" s="15">
        <v>0</v>
      </c>
      <c r="AZ347" s="14">
        <v>0</v>
      </c>
      <c r="BA347" s="17">
        <v>11999</v>
      </c>
    </row>
    <row r="348" spans="44:53" ht="15" thickBot="1" x14ac:dyDescent="0.35">
      <c r="AR348" s="23">
        <f t="shared" si="28"/>
        <v>170</v>
      </c>
      <c r="AS348" s="24">
        <v>0</v>
      </c>
      <c r="AT348" s="24">
        <v>0</v>
      </c>
      <c r="AU348" s="22">
        <v>0</v>
      </c>
      <c r="AV348" s="16">
        <v>0</v>
      </c>
      <c r="AW348" s="14">
        <v>299982</v>
      </c>
      <c r="AX348" s="15">
        <v>0</v>
      </c>
      <c r="AY348" s="15">
        <v>0</v>
      </c>
      <c r="AZ348" s="14">
        <v>0</v>
      </c>
      <c r="BA348" s="17">
        <v>11999</v>
      </c>
    </row>
    <row r="349" spans="44:53" ht="15" thickBot="1" x14ac:dyDescent="0.35">
      <c r="AR349" s="23">
        <f t="shared" si="28"/>
        <v>170.5</v>
      </c>
      <c r="AS349" s="24">
        <v>0</v>
      </c>
      <c r="AT349" s="24">
        <v>0</v>
      </c>
      <c r="AU349" s="22">
        <v>0</v>
      </c>
      <c r="AV349" s="16">
        <v>0</v>
      </c>
      <c r="AW349" s="14">
        <v>299982</v>
      </c>
      <c r="AX349" s="15">
        <v>0</v>
      </c>
      <c r="AY349" s="15">
        <v>0</v>
      </c>
      <c r="AZ349" s="14">
        <v>0</v>
      </c>
      <c r="BA349" s="17">
        <v>11999</v>
      </c>
    </row>
    <row r="350" spans="44:53" ht="15" thickBot="1" x14ac:dyDescent="0.35">
      <c r="AR350" s="23">
        <f t="shared" si="28"/>
        <v>171</v>
      </c>
      <c r="AS350" s="24">
        <v>0</v>
      </c>
      <c r="AT350" s="24">
        <v>0</v>
      </c>
      <c r="AU350" s="22">
        <v>0</v>
      </c>
      <c r="AV350" s="16">
        <v>0</v>
      </c>
      <c r="AW350" s="14">
        <v>299982</v>
      </c>
      <c r="AX350" s="15">
        <v>0</v>
      </c>
      <c r="AY350" s="15">
        <v>0</v>
      </c>
      <c r="AZ350" s="14">
        <v>0</v>
      </c>
      <c r="BA350" s="17">
        <v>11999</v>
      </c>
    </row>
  </sheetData>
  <mergeCells count="5">
    <mergeCell ref="A1:B1"/>
    <mergeCell ref="B6:O6"/>
    <mergeCell ref="P6:U6"/>
    <mergeCell ref="AJ6:AP6"/>
    <mergeCell ref="V6:AD6"/>
  </mergeCells>
  <phoneticPr fontId="24" type="noConversion"/>
  <conditionalFormatting sqref="V181:W310 S8:U310 O8:Q310 AD8:AI9 AD19:AD180 AE19:AE310 AF19:AF180 AH26:AH180 AD10:AF18 AH10:AI30 AG10:AG310">
    <cfRule type="expression" dxfId="53" priority="11">
      <formula>#REF!</formula>
    </cfRule>
  </conditionalFormatting>
  <conditionalFormatting sqref="N8:N310">
    <cfRule type="containsText" dxfId="52" priority="7" operator="containsText" text="TRUE">
      <formula>NOT(ISERROR(SEARCH("TRUE",N8)))</formula>
    </cfRule>
    <cfRule type="expression" dxfId="51" priority="8">
      <formula>#REF!</formula>
    </cfRule>
  </conditionalFormatting>
  <conditionalFormatting sqref="L311">
    <cfRule type="expression" dxfId="50" priority="6">
      <formula>#REF!</formula>
    </cfRule>
  </conditionalFormatting>
  <conditionalFormatting sqref="J8:K310">
    <cfRule type="colorScale" priority="5">
      <colorScale>
        <cfvo type="min"/>
        <cfvo type="percentile" val="50"/>
        <cfvo type="max"/>
        <color rgb="FFF8696B"/>
        <color rgb="FFFFEB84"/>
        <color rgb="FF63BE7B"/>
      </colorScale>
    </cfRule>
  </conditionalFormatting>
  <conditionalFormatting sqref="M8:M310">
    <cfRule type="colorScale" priority="4">
      <colorScale>
        <cfvo type="min"/>
        <cfvo type="percentile" val="50"/>
        <cfvo type="max"/>
        <color rgb="FFF8696B"/>
        <color rgb="FFFFEB84"/>
        <color rgb="FF63BE7B"/>
      </colorScale>
    </cfRule>
  </conditionalFormatting>
  <conditionalFormatting sqref="R8:R310">
    <cfRule type="expression" dxfId="49" priority="3">
      <formula>#REF!</formula>
    </cfRule>
  </conditionalFormatting>
  <conditionalFormatting sqref="W8:X8 W9:W180 Y8:AC310 X9:X310">
    <cfRule type="expression" dxfId="48" priority="2">
      <formula>#REF!</formula>
    </cfRule>
  </conditionalFormatting>
  <conditionalFormatting sqref="V8:V180">
    <cfRule type="expression" dxfId="47" priority="1">
      <formula>#REF!</formula>
    </cfRule>
  </conditionalFormatting>
  <pageMargins left="0.7" right="0.7" top="0.75" bottom="0.75" header="0.3" footer="0.3"/>
  <pageSetup orientation="portrait" r:id="rId1"/>
  <ignoredErrors>
    <ignoredError sqref="B8 S8" calculatedColumn="1"/>
  </ignoredErrors>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2CEFC-C4F7-474D-9B3C-B2EF4920411A}">
  <sheetPr>
    <tabColor theme="5" tint="-0.249977111117893"/>
  </sheetPr>
  <dimension ref="A1:K29"/>
  <sheetViews>
    <sheetView topLeftCell="A5" workbookViewId="0">
      <selection activeCell="J15" sqref="J15"/>
    </sheetView>
  </sheetViews>
  <sheetFormatPr defaultRowHeight="14.4" x14ac:dyDescent="0.3"/>
  <cols>
    <col min="1" max="1" width="37.109375" customWidth="1"/>
    <col min="2" max="3" width="7" bestFit="1" customWidth="1"/>
    <col min="4" max="4" width="10.44140625" customWidth="1"/>
    <col min="6" max="6" width="9.6640625" bestFit="1" customWidth="1"/>
    <col min="8" max="8" width="11" customWidth="1"/>
  </cols>
  <sheetData>
    <row r="1" spans="1:11" x14ac:dyDescent="0.3">
      <c r="A1" s="144" t="s">
        <v>100</v>
      </c>
      <c r="B1" s="144"/>
      <c r="C1" s="144"/>
      <c r="D1" s="145"/>
      <c r="E1" s="145"/>
      <c r="F1" s="145"/>
      <c r="G1" s="145"/>
      <c r="H1" s="145"/>
    </row>
    <row r="2" spans="1:11" x14ac:dyDescent="0.3">
      <c r="A2" s="146" t="s">
        <v>99</v>
      </c>
      <c r="B2" s="146"/>
      <c r="C2" s="146"/>
      <c r="D2" s="145"/>
      <c r="E2" s="145"/>
      <c r="F2" s="145"/>
      <c r="G2" s="145"/>
      <c r="H2" s="145"/>
    </row>
    <row r="3" spans="1:11" x14ac:dyDescent="0.3">
      <c r="A3" s="147" t="s">
        <v>98</v>
      </c>
      <c r="B3" s="147"/>
      <c r="C3" s="147"/>
      <c r="D3" s="145"/>
      <c r="E3" s="145"/>
      <c r="F3" s="145"/>
      <c r="G3" s="145"/>
      <c r="H3" s="145"/>
    </row>
    <row r="4" spans="1:11" x14ac:dyDescent="0.3">
      <c r="A4" s="146" t="s">
        <v>97</v>
      </c>
      <c r="B4" s="146"/>
      <c r="C4" s="146"/>
      <c r="D4" s="145"/>
      <c r="E4" s="145"/>
      <c r="F4" s="145"/>
      <c r="G4" s="145"/>
      <c r="H4" s="145"/>
    </row>
    <row r="5" spans="1:11" ht="93.75" customHeight="1" thickBot="1" x14ac:dyDescent="0.35">
      <c r="A5" s="153" t="s">
        <v>96</v>
      </c>
      <c r="B5" s="153"/>
      <c r="C5" s="153"/>
      <c r="D5" s="154"/>
      <c r="E5" s="154"/>
      <c r="F5" s="154"/>
      <c r="G5" s="154"/>
      <c r="H5" s="154"/>
      <c r="I5" s="154"/>
    </row>
    <row r="6" spans="1:11" ht="31.5" customHeight="1" thickBot="1" x14ac:dyDescent="0.35">
      <c r="A6" s="148" t="s">
        <v>95</v>
      </c>
      <c r="B6" s="58"/>
      <c r="C6" s="58"/>
      <c r="D6" s="151" t="s">
        <v>94</v>
      </c>
      <c r="E6" s="152"/>
      <c r="F6" s="151" t="s">
        <v>93</v>
      </c>
      <c r="G6" s="152"/>
      <c r="H6" s="151" t="s">
        <v>92</v>
      </c>
      <c r="I6" s="152"/>
    </row>
    <row r="7" spans="1:11" x14ac:dyDescent="0.3">
      <c r="A7" s="149"/>
      <c r="B7" s="56"/>
      <c r="C7" s="56"/>
      <c r="D7" s="57" t="s">
        <v>91</v>
      </c>
      <c r="E7" s="56" t="s">
        <v>90</v>
      </c>
      <c r="F7" s="57" t="s">
        <v>91</v>
      </c>
      <c r="G7" s="56" t="s">
        <v>90</v>
      </c>
      <c r="H7" s="57" t="s">
        <v>91</v>
      </c>
      <c r="I7" s="56" t="s">
        <v>90</v>
      </c>
    </row>
    <row r="8" spans="1:11" x14ac:dyDescent="0.3">
      <c r="A8" s="149"/>
      <c r="B8" s="56"/>
      <c r="C8" s="56"/>
      <c r="D8" s="56" t="s">
        <v>89</v>
      </c>
      <c r="E8" s="56" t="s">
        <v>88</v>
      </c>
      <c r="F8" s="56" t="s">
        <v>89</v>
      </c>
      <c r="G8" s="56" t="s">
        <v>88</v>
      </c>
      <c r="H8" s="56" t="s">
        <v>89</v>
      </c>
      <c r="I8" s="56" t="s">
        <v>88</v>
      </c>
    </row>
    <row r="9" spans="1:11" x14ac:dyDescent="0.3">
      <c r="A9" s="149"/>
      <c r="B9" s="56"/>
      <c r="C9" s="56"/>
      <c r="D9" s="57" t="s">
        <v>87</v>
      </c>
      <c r="E9" s="56" t="s">
        <v>86</v>
      </c>
      <c r="F9" s="57" t="s">
        <v>87</v>
      </c>
      <c r="G9" s="56" t="s">
        <v>86</v>
      </c>
      <c r="H9" s="57" t="s">
        <v>87</v>
      </c>
      <c r="I9" s="56" t="s">
        <v>86</v>
      </c>
    </row>
    <row r="10" spans="1:11" ht="27" thickBot="1" x14ac:dyDescent="0.35">
      <c r="A10" s="150"/>
      <c r="B10" s="66" t="s">
        <v>85</v>
      </c>
      <c r="C10" s="66" t="s">
        <v>84</v>
      </c>
      <c r="D10" s="55" t="s">
        <v>83</v>
      </c>
      <c r="E10" s="55" t="s">
        <v>83</v>
      </c>
      <c r="F10" s="55" t="s">
        <v>83</v>
      </c>
      <c r="G10" s="55" t="s">
        <v>83</v>
      </c>
      <c r="H10" s="55" t="s">
        <v>83</v>
      </c>
      <c r="I10" s="55" t="s">
        <v>83</v>
      </c>
    </row>
    <row r="11" spans="1:11" ht="15" thickBot="1" x14ac:dyDescent="0.35">
      <c r="A11" s="65" t="s">
        <v>82</v>
      </c>
      <c r="B11" s="67">
        <v>45</v>
      </c>
      <c r="C11" s="68">
        <v>59</v>
      </c>
      <c r="D11" s="54">
        <v>0.04</v>
      </c>
      <c r="E11" s="54">
        <v>0.03</v>
      </c>
      <c r="F11" s="61">
        <v>0.04</v>
      </c>
      <c r="G11" s="61">
        <v>0.03</v>
      </c>
      <c r="H11" s="62">
        <v>0.03</v>
      </c>
      <c r="I11" s="62">
        <v>0.03</v>
      </c>
      <c r="J11">
        <f>SUM(WithdrawalPercentages)</f>
        <v>0.36</v>
      </c>
      <c r="K11" s="59">
        <f>SUM(F11:G14)</f>
        <v>0.36499999999999999</v>
      </c>
    </row>
    <row r="12" spans="1:11" ht="15" thickBot="1" x14ac:dyDescent="0.35">
      <c r="A12" s="65" t="s">
        <v>81</v>
      </c>
      <c r="B12" s="69">
        <v>60</v>
      </c>
      <c r="C12" s="70">
        <v>64</v>
      </c>
      <c r="D12" s="54">
        <v>0.05</v>
      </c>
      <c r="E12" s="54">
        <v>0.03</v>
      </c>
      <c r="F12" s="61">
        <v>0.05</v>
      </c>
      <c r="G12" s="61">
        <v>0.03</v>
      </c>
      <c r="H12" s="62">
        <v>3.5000000000000003E-2</v>
      </c>
      <c r="I12" s="62">
        <v>3.5000000000000003E-2</v>
      </c>
    </row>
    <row r="13" spans="1:11" ht="15" thickBot="1" x14ac:dyDescent="0.35">
      <c r="A13" s="65" t="s">
        <v>80</v>
      </c>
      <c r="B13" s="69">
        <v>65</v>
      </c>
      <c r="C13" s="70">
        <v>71</v>
      </c>
      <c r="D13" s="54">
        <v>6.25E-2</v>
      </c>
      <c r="E13" s="54">
        <v>0.04</v>
      </c>
      <c r="F13" s="61">
        <v>7.4999999999999997E-2</v>
      </c>
      <c r="G13" s="61">
        <v>0.03</v>
      </c>
      <c r="H13" s="62">
        <v>0.05</v>
      </c>
      <c r="I13" s="62">
        <v>0.05</v>
      </c>
    </row>
    <row r="14" spans="1:11" ht="15" thickBot="1" x14ac:dyDescent="0.35">
      <c r="A14" s="65" t="s">
        <v>79</v>
      </c>
      <c r="B14" s="71">
        <v>72</v>
      </c>
      <c r="C14" s="72">
        <v>99</v>
      </c>
      <c r="D14" s="54">
        <v>6.7500000000000004E-2</v>
      </c>
      <c r="E14" s="54">
        <v>0.04</v>
      </c>
      <c r="F14" s="61">
        <v>0.08</v>
      </c>
      <c r="G14" s="61">
        <v>0.03</v>
      </c>
      <c r="H14" s="62">
        <v>5.2499999999999998E-2</v>
      </c>
      <c r="I14" s="62">
        <v>5.2499999999999998E-2</v>
      </c>
    </row>
    <row r="15" spans="1:11" ht="15" thickBot="1" x14ac:dyDescent="0.35">
      <c r="A15" s="53" t="s">
        <v>78</v>
      </c>
      <c r="B15" s="73">
        <v>45</v>
      </c>
      <c r="C15" s="73">
        <v>59</v>
      </c>
      <c r="D15" s="52">
        <v>3.5000000000000003E-2</v>
      </c>
      <c r="E15" s="52">
        <v>0.03</v>
      </c>
      <c r="F15" s="63">
        <v>3.5000000000000003E-2</v>
      </c>
      <c r="G15" s="63">
        <v>0.03</v>
      </c>
      <c r="H15" s="64">
        <v>2.75E-2</v>
      </c>
      <c r="I15" s="64">
        <v>2.75E-2</v>
      </c>
      <c r="J15" s="59">
        <f>SUM(D15:E18)</f>
        <v>0.34</v>
      </c>
    </row>
    <row r="16" spans="1:11" ht="15" thickBot="1" x14ac:dyDescent="0.35">
      <c r="A16" s="53" t="s">
        <v>77</v>
      </c>
      <c r="B16" s="73">
        <v>60</v>
      </c>
      <c r="C16" s="73">
        <v>64</v>
      </c>
      <c r="D16" s="52">
        <v>4.4999999999999998E-2</v>
      </c>
      <c r="E16" s="52">
        <v>0.03</v>
      </c>
      <c r="F16" s="63">
        <v>4.4999999999999998E-2</v>
      </c>
      <c r="G16" s="63">
        <v>0.03</v>
      </c>
      <c r="H16" s="64">
        <v>3.2500000000000001E-2</v>
      </c>
      <c r="I16" s="64">
        <v>3.2500000000000001E-2</v>
      </c>
    </row>
    <row r="17" spans="1:9" ht="15" thickBot="1" x14ac:dyDescent="0.35">
      <c r="A17" s="53" t="s">
        <v>76</v>
      </c>
      <c r="B17" s="73">
        <v>65</v>
      </c>
      <c r="C17" s="73">
        <v>71</v>
      </c>
      <c r="D17" s="52">
        <v>5.7500000000000002E-2</v>
      </c>
      <c r="E17" s="52">
        <v>0.04</v>
      </c>
      <c r="F17" s="63">
        <v>7.0000000000000007E-2</v>
      </c>
      <c r="G17" s="63">
        <v>0.03</v>
      </c>
      <c r="H17" s="64">
        <v>4.4999999999999998E-2</v>
      </c>
      <c r="I17" s="64">
        <v>4.4999999999999998E-2</v>
      </c>
    </row>
    <row r="18" spans="1:9" ht="15" thickBot="1" x14ac:dyDescent="0.35">
      <c r="A18" s="53" t="s">
        <v>75</v>
      </c>
      <c r="B18" s="73">
        <v>72</v>
      </c>
      <c r="C18" s="73">
        <v>99</v>
      </c>
      <c r="D18" s="52">
        <v>6.25E-2</v>
      </c>
      <c r="E18" s="52">
        <v>0.04</v>
      </c>
      <c r="F18" s="63">
        <v>7.4999999999999997E-2</v>
      </c>
      <c r="G18" s="63">
        <v>0.03</v>
      </c>
      <c r="H18" s="64">
        <v>4.7500000000000001E-2</v>
      </c>
      <c r="I18" s="64">
        <v>4.7500000000000001E-2</v>
      </c>
    </row>
    <row r="19" spans="1:9" x14ac:dyDescent="0.3">
      <c r="A19" s="51" t="s">
        <v>74</v>
      </c>
      <c r="B19" s="51"/>
      <c r="C19" s="51"/>
    </row>
    <row r="20" spans="1:9" x14ac:dyDescent="0.3">
      <c r="A20" s="51" t="s">
        <v>73</v>
      </c>
      <c r="B20" s="51"/>
      <c r="C20" s="51"/>
    </row>
    <row r="21" spans="1:9" x14ac:dyDescent="0.3">
      <c r="A21" s="51" t="s">
        <v>72</v>
      </c>
      <c r="B21" s="51"/>
      <c r="C21" s="51"/>
    </row>
    <row r="22" spans="1:9" x14ac:dyDescent="0.3">
      <c r="A22" s="50" t="s">
        <v>71</v>
      </c>
      <c r="B22" s="50"/>
      <c r="C22" s="50"/>
    </row>
    <row r="23" spans="1:9" x14ac:dyDescent="0.3">
      <c r="A23" s="49"/>
      <c r="B23" s="49"/>
      <c r="C23" s="49"/>
    </row>
    <row r="26" spans="1:9" ht="77.25" customHeight="1" x14ac:dyDescent="0.3"/>
    <row r="27" spans="1:9" ht="79.5" customHeight="1" x14ac:dyDescent="0.3"/>
    <row r="28" spans="1:9" ht="15" customHeight="1" x14ac:dyDescent="0.3"/>
    <row r="29" spans="1:9" ht="15.75" customHeight="1" x14ac:dyDescent="0.3"/>
  </sheetData>
  <mergeCells count="9">
    <mergeCell ref="A1:H1"/>
    <mergeCell ref="A2:H2"/>
    <mergeCell ref="A3:H3"/>
    <mergeCell ref="A4:H4"/>
    <mergeCell ref="A6:A10"/>
    <mergeCell ref="D6:E6"/>
    <mergeCell ref="F6:G6"/>
    <mergeCell ref="H6:I6"/>
    <mergeCell ref="A5:I5"/>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999D1-20EE-47CD-B6DF-DD6CE2D54FB3}">
  <sheetPr>
    <tabColor theme="9" tint="0.79998168889431442"/>
  </sheetPr>
  <dimension ref="A1"/>
  <sheetViews>
    <sheetView workbookViewId="0">
      <selection activeCell="B2" sqref="B2"/>
    </sheetView>
  </sheetViews>
  <sheetFormatPr defaultRowHeight="14.4" x14ac:dyDescent="0.3"/>
  <sheetData/>
  <pageMargins left="0.7" right="0.7" top="0.75" bottom="0.75" header="0.3" footer="0.3"/>
  <drawing r:id="rId1"/>
  <legacyDrawing r:id="rId2"/>
  <oleObjects>
    <mc:AlternateContent xmlns:mc="http://schemas.openxmlformats.org/markup-compatibility/2006">
      <mc:Choice Requires="x14">
        <oleObject progId="Word.Document.12" shapeId="5121" r:id="rId3">
          <objectPr defaultSize="0" r:id="rId4">
            <anchor moveWithCells="1">
              <from>
                <xdr:col>1</xdr:col>
                <xdr:colOff>525780</xdr:colOff>
                <xdr:row>1</xdr:row>
                <xdr:rowOff>68580</xdr:rowOff>
              </from>
              <to>
                <xdr:col>11</xdr:col>
                <xdr:colOff>373380</xdr:colOff>
                <xdr:row>17</xdr:row>
                <xdr:rowOff>175260</xdr:rowOff>
              </to>
            </anchor>
          </objectPr>
        </oleObject>
      </mc:Choice>
      <mc:Fallback>
        <oleObject progId="Word.Document.12" shapeId="5121" r:id="rId3"/>
      </mc:Fallback>
    </mc:AlternateContent>
    <mc:AlternateContent xmlns:mc="http://schemas.openxmlformats.org/markup-compatibility/2006">
      <mc:Choice Requires="x14">
        <oleObject progId="Word.Document.12" shapeId="5122" r:id="rId5">
          <objectPr defaultSize="0" r:id="rId6">
            <anchor moveWithCells="1">
              <from>
                <xdr:col>1</xdr:col>
                <xdr:colOff>502920</xdr:colOff>
                <xdr:row>18</xdr:row>
                <xdr:rowOff>76200</xdr:rowOff>
              </from>
              <to>
                <xdr:col>11</xdr:col>
                <xdr:colOff>350520</xdr:colOff>
                <xdr:row>46</xdr:row>
                <xdr:rowOff>22860</xdr:rowOff>
              </to>
            </anchor>
          </objectPr>
        </oleObject>
      </mc:Choice>
      <mc:Fallback>
        <oleObject progId="Word.Document.12" shapeId="5122" r:id="rId5"/>
      </mc:Fallback>
    </mc:AlternateContent>
    <mc:AlternateContent xmlns:mc="http://schemas.openxmlformats.org/markup-compatibility/2006">
      <mc:Choice Requires="x14">
        <oleObject progId="Word.Document.12" shapeId="5123" r:id="rId7">
          <objectPr defaultSize="0" r:id="rId8">
            <anchor moveWithCells="1">
              <from>
                <xdr:col>1</xdr:col>
                <xdr:colOff>403860</xdr:colOff>
                <xdr:row>48</xdr:row>
                <xdr:rowOff>144780</xdr:rowOff>
              </from>
              <to>
                <xdr:col>11</xdr:col>
                <xdr:colOff>251460</xdr:colOff>
                <xdr:row>59</xdr:row>
                <xdr:rowOff>45720</xdr:rowOff>
              </to>
            </anchor>
          </objectPr>
        </oleObject>
      </mc:Choice>
      <mc:Fallback>
        <oleObject progId="Word.Document.12" shapeId="5123" r:id="rId7"/>
      </mc:Fallback>
    </mc:AlternateContent>
    <mc:AlternateContent xmlns:mc="http://schemas.openxmlformats.org/markup-compatibility/2006">
      <mc:Choice Requires="x14">
        <oleObject progId="Word.Document.12" shapeId="5124" r:id="rId9">
          <objectPr defaultSize="0" r:id="rId10">
            <anchor moveWithCells="1">
              <from>
                <xdr:col>1</xdr:col>
                <xdr:colOff>449580</xdr:colOff>
                <xdr:row>63</xdr:row>
                <xdr:rowOff>160020</xdr:rowOff>
              </from>
              <to>
                <xdr:col>11</xdr:col>
                <xdr:colOff>297180</xdr:colOff>
                <xdr:row>75</xdr:row>
                <xdr:rowOff>144780</xdr:rowOff>
              </to>
            </anchor>
          </objectPr>
        </oleObject>
      </mc:Choice>
      <mc:Fallback>
        <oleObject progId="Word.Document.12" shapeId="5124" r:id="rId9"/>
      </mc:Fallback>
    </mc:AlternateContent>
    <mc:AlternateContent xmlns:mc="http://schemas.openxmlformats.org/markup-compatibility/2006">
      <mc:Choice Requires="x14">
        <oleObject progId="Word.Document.12" shapeId="5125" r:id="rId11">
          <objectPr defaultSize="0" r:id="rId12">
            <anchor moveWithCells="1">
              <from>
                <xdr:col>1</xdr:col>
                <xdr:colOff>541020</xdr:colOff>
                <xdr:row>79</xdr:row>
                <xdr:rowOff>160020</xdr:rowOff>
              </from>
              <to>
                <xdr:col>11</xdr:col>
                <xdr:colOff>388620</xdr:colOff>
                <xdr:row>91</xdr:row>
                <xdr:rowOff>76200</xdr:rowOff>
              </to>
            </anchor>
          </objectPr>
        </oleObject>
      </mc:Choice>
      <mc:Fallback>
        <oleObject progId="Word.Document.12" shapeId="5125" r:id="rId11"/>
      </mc:Fallback>
    </mc:AlternateContent>
    <mc:AlternateContent xmlns:mc="http://schemas.openxmlformats.org/markup-compatibility/2006">
      <mc:Choice Requires="x14">
        <oleObject progId="Word.Document.12" shapeId="5126" r:id="rId13">
          <objectPr defaultSize="0" r:id="rId14">
            <anchor moveWithCells="1">
              <from>
                <xdr:col>1</xdr:col>
                <xdr:colOff>579120</xdr:colOff>
                <xdr:row>94</xdr:row>
                <xdr:rowOff>144780</xdr:rowOff>
              </from>
              <to>
                <xdr:col>11</xdr:col>
                <xdr:colOff>426720</xdr:colOff>
                <xdr:row>112</xdr:row>
                <xdr:rowOff>30480</xdr:rowOff>
              </to>
            </anchor>
          </objectPr>
        </oleObject>
      </mc:Choice>
      <mc:Fallback>
        <oleObject progId="Word.Document.12" shapeId="5126" r:id="rId13"/>
      </mc:Fallback>
    </mc:AlternateContent>
    <mc:AlternateContent xmlns:mc="http://schemas.openxmlformats.org/markup-compatibility/2006">
      <mc:Choice Requires="x14">
        <oleObject progId="Word.Document.12" shapeId="5127" r:id="rId15">
          <objectPr defaultSize="0" r:id="rId16">
            <anchor moveWithCells="1">
              <from>
                <xdr:col>1</xdr:col>
                <xdr:colOff>594360</xdr:colOff>
                <xdr:row>116</xdr:row>
                <xdr:rowOff>30480</xdr:rowOff>
              </from>
              <to>
                <xdr:col>11</xdr:col>
                <xdr:colOff>441960</xdr:colOff>
                <xdr:row>124</xdr:row>
                <xdr:rowOff>83820</xdr:rowOff>
              </to>
            </anchor>
          </objectPr>
        </oleObject>
      </mc:Choice>
      <mc:Fallback>
        <oleObject progId="Word.Document.12" shapeId="5127" r:id="rId15"/>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E559F-9EFD-46FC-9F16-41EAE84F8BE1}">
  <sheetPr>
    <tabColor theme="9" tint="0.79998168889431442"/>
  </sheetPr>
  <dimension ref="A1"/>
  <sheetViews>
    <sheetView topLeftCell="A13" workbookViewId="0">
      <selection activeCell="S25" sqref="S25"/>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3073" r:id="rId4">
          <objectPr defaultSize="0" r:id="rId5">
            <anchor moveWithCells="1">
              <from>
                <xdr:col>1</xdr:col>
                <xdr:colOff>0</xdr:colOff>
                <xdr:row>1</xdr:row>
                <xdr:rowOff>0</xdr:rowOff>
              </from>
              <to>
                <xdr:col>17</xdr:col>
                <xdr:colOff>60960</xdr:colOff>
                <xdr:row>36</xdr:row>
                <xdr:rowOff>121920</xdr:rowOff>
              </to>
            </anchor>
          </objectPr>
        </oleObject>
      </mc:Choice>
      <mc:Fallback>
        <oleObject progId="Word.Document.12" shapeId="3073" r:id="rId4"/>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2AF8-B2A2-427B-87D8-092C4A496479}">
  <sheetPr>
    <tabColor theme="9" tint="0.79998168889431442"/>
  </sheetPr>
  <dimension ref="A1"/>
  <sheetViews>
    <sheetView topLeftCell="A13" workbookViewId="0">
      <selection activeCell="S25" sqref="S25"/>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4097" r:id="rId4">
          <objectPr defaultSize="0" r:id="rId5">
            <anchor moveWithCells="1">
              <from>
                <xdr:col>0</xdr:col>
                <xdr:colOff>556260</xdr:colOff>
                <xdr:row>1</xdr:row>
                <xdr:rowOff>0</xdr:rowOff>
              </from>
              <to>
                <xdr:col>15</xdr:col>
                <xdr:colOff>480060</xdr:colOff>
                <xdr:row>36</xdr:row>
                <xdr:rowOff>76200</xdr:rowOff>
              </to>
            </anchor>
          </objectPr>
        </oleObject>
      </mc:Choice>
      <mc:Fallback>
        <oleObject progId="Word.Document.12" shapeId="4097" r:id="rId4"/>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0A159-4FE4-47BD-B82B-B305F14512F5}">
  <sheetPr>
    <tabColor theme="7" tint="-0.249977111117893"/>
  </sheetPr>
  <dimension ref="A1:Q128"/>
  <sheetViews>
    <sheetView workbookViewId="0">
      <selection activeCell="L12" sqref="L12"/>
    </sheetView>
  </sheetViews>
  <sheetFormatPr defaultRowHeight="14.4" x14ac:dyDescent="0.3"/>
  <cols>
    <col min="8" max="8" width="11.44140625" customWidth="1"/>
    <col min="9" max="9" width="16.21875" customWidth="1"/>
    <col min="10" max="10" width="14.21875" bestFit="1" customWidth="1"/>
    <col min="11" max="11" width="12.33203125" bestFit="1" customWidth="1"/>
    <col min="14" max="14" width="9.21875" customWidth="1"/>
    <col min="16" max="16" width="10.21875" customWidth="1"/>
  </cols>
  <sheetData>
    <row r="1" spans="1:17" ht="15" thickBot="1" x14ac:dyDescent="0.35">
      <c r="A1" t="s">
        <v>137</v>
      </c>
      <c r="B1">
        <f>MAX(A8:A128)</f>
        <v>120</v>
      </c>
    </row>
    <row r="2" spans="1:17" ht="15.6" x14ac:dyDescent="0.3">
      <c r="A2" s="87">
        <v>2012</v>
      </c>
      <c r="B2" s="86" t="s">
        <v>136</v>
      </c>
      <c r="C2" s="85"/>
    </row>
    <row r="3" spans="1:17" ht="21" x14ac:dyDescent="0.4">
      <c r="A3" s="84" t="s">
        <v>135</v>
      </c>
      <c r="B3" s="83" t="s">
        <v>134</v>
      </c>
      <c r="C3" s="82"/>
      <c r="I3" s="155" t="s">
        <v>133</v>
      </c>
      <c r="J3" s="156"/>
      <c r="K3" s="156"/>
      <c r="L3" s="156"/>
      <c r="M3" s="156"/>
      <c r="N3" s="156"/>
      <c r="O3" s="156"/>
      <c r="P3" s="156"/>
      <c r="Q3" s="156"/>
    </row>
    <row r="4" spans="1:17" ht="16.2" thickBot="1" x14ac:dyDescent="0.35">
      <c r="A4" s="81" t="s">
        <v>123</v>
      </c>
      <c r="B4" s="80" t="s">
        <v>132</v>
      </c>
      <c r="C4" s="79" t="s">
        <v>131</v>
      </c>
    </row>
    <row r="5" spans="1:17" x14ac:dyDescent="0.3">
      <c r="B5" s="25" t="s">
        <v>130</v>
      </c>
      <c r="C5" s="25" t="s">
        <v>129</v>
      </c>
      <c r="D5" s="78" t="s">
        <v>130</v>
      </c>
      <c r="E5" s="78" t="s">
        <v>129</v>
      </c>
      <c r="F5" s="78" t="s">
        <v>130</v>
      </c>
      <c r="G5" s="78" t="s">
        <v>129</v>
      </c>
      <c r="H5" s="78"/>
      <c r="I5" s="78"/>
      <c r="J5" s="78" t="s">
        <v>128</v>
      </c>
      <c r="K5" s="78" t="s">
        <v>127</v>
      </c>
    </row>
    <row r="6" spans="1:17" x14ac:dyDescent="0.3">
      <c r="B6" s="25" t="s">
        <v>126</v>
      </c>
      <c r="C6" s="25" t="s">
        <v>126</v>
      </c>
      <c r="D6" s="78" t="s">
        <v>125</v>
      </c>
      <c r="E6" s="78" t="s">
        <v>125</v>
      </c>
      <c r="F6" s="78" t="s">
        <v>124</v>
      </c>
      <c r="G6" s="78" t="s">
        <v>124</v>
      </c>
      <c r="H6" s="78"/>
      <c r="I6" s="78"/>
      <c r="J6">
        <v>55</v>
      </c>
      <c r="K6">
        <v>65</v>
      </c>
      <c r="L6">
        <v>6</v>
      </c>
      <c r="M6">
        <f>L6+1</f>
        <v>7</v>
      </c>
    </row>
    <row r="7" spans="1:17" x14ac:dyDescent="0.3">
      <c r="A7" s="25" t="s">
        <v>123</v>
      </c>
      <c r="B7" s="25" t="s">
        <v>122</v>
      </c>
      <c r="C7" s="25" t="s">
        <v>121</v>
      </c>
      <c r="D7" s="78" t="s">
        <v>120</v>
      </c>
      <c r="E7" s="78" t="s">
        <v>119</v>
      </c>
      <c r="F7" s="78" t="s">
        <v>118</v>
      </c>
      <c r="G7" s="78" t="s">
        <v>117</v>
      </c>
      <c r="H7" s="78"/>
      <c r="I7" s="78" t="s">
        <v>116</v>
      </c>
      <c r="J7" s="25" t="s">
        <v>115</v>
      </c>
      <c r="K7" s="25" t="s">
        <v>114</v>
      </c>
      <c r="L7" s="25" t="s">
        <v>113</v>
      </c>
      <c r="M7" s="25" t="s">
        <v>112</v>
      </c>
      <c r="N7" s="25" t="s">
        <v>111</v>
      </c>
      <c r="O7" s="25" t="s">
        <v>110</v>
      </c>
      <c r="P7" s="25" t="s">
        <v>109</v>
      </c>
      <c r="Q7" s="25" t="s">
        <v>108</v>
      </c>
    </row>
    <row r="8" spans="1:17" x14ac:dyDescent="0.3">
      <c r="A8">
        <v>0</v>
      </c>
      <c r="B8" s="77">
        <v>1.621</v>
      </c>
      <c r="C8">
        <v>1.605</v>
      </c>
      <c r="D8">
        <f>Table2[[#This Row],[Fix]]/MAX(FIx)</f>
        <v>1.621E-3</v>
      </c>
      <c r="E8">
        <f>Table2[[#This Row],[Mix]]/MAX(FIx)</f>
        <v>1.6050000000000001E-3</v>
      </c>
      <c r="F8">
        <f>1-Table2[[#This Row],[Fqx]]</f>
        <v>0.99837900000000002</v>
      </c>
      <c r="G8">
        <f>1-Table2[[#This Row],[Mqx]]</f>
        <v>0.99839500000000003</v>
      </c>
      <c r="I8">
        <v>0</v>
      </c>
      <c r="J8">
        <f>MIN(Qx!MaxAge,Table3[[#This Row],[Survivng t Years]]+$J$6)</f>
        <v>55</v>
      </c>
      <c r="K8">
        <f>MIN(Table3[[#This Row],[Survivng t Years]]+$K$6,Qx!MaxAge)</f>
        <v>65</v>
      </c>
      <c r="L8">
        <f>VLOOKUP(Table3[[#This Row],[To Age]],$A$8:$G$128,L$6,FALSE)</f>
        <v>0.99804999999999999</v>
      </c>
      <c r="M8">
        <f>VLOOKUP(Table3[[#This Row],[To Age2]],$A$8:$G$128,M$6,FALSE)</f>
        <v>0.99189400000000005</v>
      </c>
      <c r="N8" t="str">
        <f t="shared" ref="N8:N39" si="0">"P"&amp;J8&amp;","&amp;K8</f>
        <v>P55,65</v>
      </c>
      <c r="O8">
        <f>Table3[[#This Row],[Px]]+Table3[[#This Row],[Py]]-Table3[[#This Row],[Px]]*Table3[[#This Row],[Py]]</f>
        <v>0.99998419329999988</v>
      </c>
      <c r="P8" t="str">
        <f t="shared" ref="P8:P39" si="1">I8+1&amp;" P"&amp;$J$8&amp;","&amp;$K$8</f>
        <v>1 P55,65</v>
      </c>
      <c r="Q8">
        <f>PRODUCT($O$8:$O8)</f>
        <v>0.99998419329999988</v>
      </c>
    </row>
    <row r="9" spans="1:17" x14ac:dyDescent="0.3">
      <c r="A9">
        <v>1</v>
      </c>
      <c r="B9">
        <v>0.40500000000000003</v>
      </c>
      <c r="C9">
        <v>0.40100000000000002</v>
      </c>
      <c r="D9">
        <f>Table2[[#This Row],[Fix]]/MAX(FIx)</f>
        <v>4.0500000000000003E-4</v>
      </c>
      <c r="E9">
        <f>Table2[[#This Row],[Mix]]/MAX(FIx)</f>
        <v>4.0100000000000004E-4</v>
      </c>
      <c r="F9">
        <f>1-Table2[[#This Row],[Fqx]]</f>
        <v>0.99959500000000001</v>
      </c>
      <c r="G9">
        <f>1-Table2[[#This Row],[Mqx]]</f>
        <v>0.99959900000000002</v>
      </c>
      <c r="I9">
        <f t="shared" ref="I9:I40" si="2">I8+1</f>
        <v>1</v>
      </c>
      <c r="J9">
        <f>MIN(Qx!MaxAge,Table3[[#This Row],[Survivng t Years]]+$J$6)</f>
        <v>56</v>
      </c>
      <c r="K9">
        <f>MIN(Table3[[#This Row],[Survivng t Years]]+$K$6,Qx!MaxAge)</f>
        <v>66</v>
      </c>
      <c r="L9">
        <f>VLOOKUP(Table3[[#This Row],[To Age]],$A$8:$G$128,L$6,FALSE)</f>
        <v>0.99784600000000001</v>
      </c>
      <c r="M9">
        <f>VLOOKUP(Table3[[#This Row],[To Age2]],$A$8:$G$128,M$6,FALSE)</f>
        <v>0.991452</v>
      </c>
      <c r="N9" t="str">
        <f t="shared" si="0"/>
        <v>P56,66</v>
      </c>
      <c r="O9">
        <f>Table3[[#This Row],[Px]]+Table3[[#This Row],[Py]]-Table3[[#This Row],[Px]]*Table3[[#This Row],[Py]]</f>
        <v>0.99998158760800004</v>
      </c>
      <c r="P9" t="str">
        <f t="shared" si="1"/>
        <v>2 P55,65</v>
      </c>
      <c r="Q9">
        <f>PRODUCT($O$8:$O9)</f>
        <v>0.99996578119903912</v>
      </c>
    </row>
    <row r="10" spans="1:17" x14ac:dyDescent="0.3">
      <c r="A10">
        <v>2</v>
      </c>
      <c r="B10">
        <v>0.25900000000000001</v>
      </c>
      <c r="C10">
        <v>0.27500000000000002</v>
      </c>
      <c r="D10">
        <f>Table2[[#This Row],[Fix]]/MAX(FIx)</f>
        <v>2.5900000000000001E-4</v>
      </c>
      <c r="E10">
        <f>Table2[[#This Row],[Mix]]/MAX(FIx)</f>
        <v>2.7500000000000002E-4</v>
      </c>
      <c r="F10">
        <f>1-Table2[[#This Row],[Fqx]]</f>
        <v>0.99974099999999999</v>
      </c>
      <c r="G10">
        <f>1-Table2[[#This Row],[Mqx]]</f>
        <v>0.99972499999999997</v>
      </c>
      <c r="I10">
        <f t="shared" si="2"/>
        <v>2</v>
      </c>
      <c r="J10">
        <f>MIN(Qx!MaxAge,Table3[[#This Row],[Survivng t Years]]+$J$6)</f>
        <v>57</v>
      </c>
      <c r="K10">
        <f>MIN(Table3[[#This Row],[Survivng t Years]]+$K$6,Qx!MaxAge)</f>
        <v>67</v>
      </c>
      <c r="L10">
        <f>VLOOKUP(Table3[[#This Row],[To Age]],$A$8:$G$128,L$6,FALSE)</f>
        <v>0.99760099999999996</v>
      </c>
      <c r="M10">
        <f>VLOOKUP(Table3[[#This Row],[To Age2]],$A$8:$G$128,M$6,FALSE)</f>
        <v>0.99092400000000003</v>
      </c>
      <c r="N10" t="str">
        <f t="shared" si="0"/>
        <v>P57,67</v>
      </c>
      <c r="O10">
        <f>Table3[[#This Row],[Px]]+Table3[[#This Row],[Py]]-Table3[[#This Row],[Px]]*Table3[[#This Row],[Py]]</f>
        <v>0.99997822667600011</v>
      </c>
      <c r="P10" t="str">
        <f t="shared" si="1"/>
        <v>3 P55,65</v>
      </c>
      <c r="Q10">
        <f>PRODUCT($O$8:$O10)</f>
        <v>0.99994400862009625</v>
      </c>
    </row>
    <row r="11" spans="1:17" x14ac:dyDescent="0.3">
      <c r="A11">
        <v>3</v>
      </c>
      <c r="B11">
        <v>0.17899999999999999</v>
      </c>
      <c r="C11">
        <v>0.22900000000000001</v>
      </c>
      <c r="D11">
        <f>Table2[[#This Row],[Fix]]/MAX(FIx)</f>
        <v>1.7899999999999999E-4</v>
      </c>
      <c r="E11">
        <f>Table2[[#This Row],[Mix]]/MAX(FIx)</f>
        <v>2.2900000000000001E-4</v>
      </c>
      <c r="F11">
        <f>1-Table2[[#This Row],[Fqx]]</f>
        <v>0.99982099999999996</v>
      </c>
      <c r="G11">
        <f>1-Table2[[#This Row],[Mqx]]</f>
        <v>0.99977099999999997</v>
      </c>
      <c r="I11">
        <f t="shared" si="2"/>
        <v>3</v>
      </c>
      <c r="J11">
        <f>MIN(Qx!MaxAge,Table3[[#This Row],[Survivng t Years]]+$J$6)</f>
        <v>58</v>
      </c>
      <c r="K11">
        <f>MIN(Table3[[#This Row],[Survivng t Years]]+$K$6,Qx!MaxAge)</f>
        <v>68</v>
      </c>
      <c r="L11">
        <f>VLOOKUP(Table3[[#This Row],[To Age]],$A$8:$G$128,L$6,FALSE)</f>
        <v>0.99729999999999996</v>
      </c>
      <c r="M11">
        <f>VLOOKUP(Table3[[#This Row],[To Age2]],$A$8:$G$128,M$6,FALSE)</f>
        <v>0.99029199999999995</v>
      </c>
      <c r="N11" t="str">
        <f t="shared" si="0"/>
        <v>P58,68</v>
      </c>
      <c r="O11">
        <f>Table3[[#This Row],[Px]]+Table3[[#This Row],[Py]]-Table3[[#This Row],[Px]]*Table3[[#This Row],[Py]]</f>
        <v>0.99997378839999984</v>
      </c>
      <c r="P11" t="str">
        <f t="shared" si="1"/>
        <v>4 P55,65</v>
      </c>
      <c r="Q11">
        <f>PRODUCT($O$8:$O11)</f>
        <v>0.99991779848771978</v>
      </c>
    </row>
    <row r="12" spans="1:17" x14ac:dyDescent="0.3">
      <c r="A12">
        <v>4</v>
      </c>
      <c r="B12">
        <v>0.13700000000000001</v>
      </c>
      <c r="C12">
        <v>0.17399999999999999</v>
      </c>
      <c r="D12">
        <f>Table2[[#This Row],[Fix]]/MAX(FIx)</f>
        <v>1.3700000000000002E-4</v>
      </c>
      <c r="E12">
        <f>Table2[[#This Row],[Mix]]/MAX(FIx)</f>
        <v>1.74E-4</v>
      </c>
      <c r="F12">
        <f>1-Table2[[#This Row],[Fqx]]</f>
        <v>0.99986299999999995</v>
      </c>
      <c r="G12">
        <f>1-Table2[[#This Row],[Mqx]]</f>
        <v>0.99982599999999999</v>
      </c>
      <c r="I12">
        <f t="shared" si="2"/>
        <v>4</v>
      </c>
      <c r="J12">
        <f>MIN(Qx!MaxAge,Table3[[#This Row],[Survivng t Years]]+$J$6)</f>
        <v>59</v>
      </c>
      <c r="K12">
        <f>MIN(Table3[[#This Row],[Survivng t Years]]+$K$6,Qx!MaxAge)</f>
        <v>69</v>
      </c>
      <c r="L12">
        <f>VLOOKUP(Table3[[#This Row],[To Age]],$A$8:$G$128,L$6,FALSE)</f>
        <v>0.996946</v>
      </c>
      <c r="M12">
        <f>VLOOKUP(Table3[[#This Row],[To Age2]],$A$8:$G$128,M$6,FALSE)</f>
        <v>0.989537</v>
      </c>
      <c r="N12" t="str">
        <f t="shared" si="0"/>
        <v>P59,69</v>
      </c>
      <c r="O12">
        <f>Table3[[#This Row],[Px]]+Table3[[#This Row],[Py]]-Table3[[#This Row],[Px]]*Table3[[#This Row],[Py]]</f>
        <v>0.99996804599800004</v>
      </c>
      <c r="P12" t="str">
        <f t="shared" si="1"/>
        <v>5 P55,65</v>
      </c>
      <c r="Q12">
        <f>PRODUCT($O$8:$O12)</f>
        <v>0.99988584711238715</v>
      </c>
    </row>
    <row r="13" spans="1:17" x14ac:dyDescent="0.3">
      <c r="A13">
        <v>5</v>
      </c>
      <c r="B13">
        <v>0.125</v>
      </c>
      <c r="C13">
        <v>0.16800000000000001</v>
      </c>
      <c r="D13">
        <f>Table2[[#This Row],[Fix]]/MAX(FIx)</f>
        <v>1.25E-4</v>
      </c>
      <c r="E13">
        <f>Table2[[#This Row],[Mix]]/MAX(FIx)</f>
        <v>1.6800000000000002E-4</v>
      </c>
      <c r="F13">
        <f>1-Table2[[#This Row],[Fqx]]</f>
        <v>0.99987499999999996</v>
      </c>
      <c r="G13">
        <f>1-Table2[[#This Row],[Mqx]]</f>
        <v>0.99983200000000005</v>
      </c>
      <c r="I13">
        <f t="shared" si="2"/>
        <v>5</v>
      </c>
      <c r="J13">
        <f>MIN(Qx!MaxAge,Table3[[#This Row],[Survivng t Years]]+$J$6)</f>
        <v>60</v>
      </c>
      <c r="K13">
        <f>MIN(Table3[[#This Row],[Survivng t Years]]+$K$6,Qx!MaxAge)</f>
        <v>70</v>
      </c>
      <c r="L13">
        <f>VLOOKUP(Table3[[#This Row],[To Age]],$A$8:$G$128,L$6,FALSE)</f>
        <v>0.99653999999999998</v>
      </c>
      <c r="M13">
        <f>VLOOKUP(Table3[[#This Row],[To Age2]],$A$8:$G$128,M$6,FALSE)</f>
        <v>0.98864300000000005</v>
      </c>
      <c r="N13" t="str">
        <f t="shared" si="0"/>
        <v>P60,70</v>
      </c>
      <c r="O13">
        <f>Table3[[#This Row],[Px]]+Table3[[#This Row],[Py]]-Table3[[#This Row],[Px]]*Table3[[#This Row],[Py]]</f>
        <v>0.9999607047800001</v>
      </c>
      <c r="P13" t="str">
        <f t="shared" si="1"/>
        <v>6 P55,65</v>
      </c>
      <c r="Q13">
        <f>PRODUCT($O$8:$O13)</f>
        <v>0.99984655637805009</v>
      </c>
    </row>
    <row r="14" spans="1:17" x14ac:dyDescent="0.3">
      <c r="A14">
        <v>6</v>
      </c>
      <c r="B14">
        <v>0.11700000000000001</v>
      </c>
      <c r="C14">
        <v>0.16500000000000001</v>
      </c>
      <c r="D14">
        <f>Table2[[#This Row],[Fix]]/MAX(FIx)</f>
        <v>1.1700000000000001E-4</v>
      </c>
      <c r="E14">
        <f>Table2[[#This Row],[Mix]]/MAX(FIx)</f>
        <v>1.65E-4</v>
      </c>
      <c r="F14">
        <f>1-Table2[[#This Row],[Fqx]]</f>
        <v>0.99988299999999997</v>
      </c>
      <c r="G14">
        <f>1-Table2[[#This Row],[Mqx]]</f>
        <v>0.99983500000000003</v>
      </c>
      <c r="I14">
        <f t="shared" si="2"/>
        <v>6</v>
      </c>
      <c r="J14">
        <f>MIN(Qx!MaxAge,Table3[[#This Row],[Survivng t Years]]+$J$6)</f>
        <v>61</v>
      </c>
      <c r="K14">
        <f>MIN(Table3[[#This Row],[Survivng t Years]]+$K$6,Qx!MaxAge)</f>
        <v>71</v>
      </c>
      <c r="L14">
        <f>VLOOKUP(Table3[[#This Row],[To Age]],$A$8:$G$128,L$6,FALSE)</f>
        <v>0.99608399999999997</v>
      </c>
      <c r="M14">
        <f>VLOOKUP(Table3[[#This Row],[To Age2]],$A$8:$G$128,M$6,FALSE)</f>
        <v>0.98758199999999996</v>
      </c>
      <c r="N14" t="str">
        <f t="shared" si="0"/>
        <v>P61,71</v>
      </c>
      <c r="O14">
        <f>Table3[[#This Row],[Px]]+Table3[[#This Row],[Py]]-Table3[[#This Row],[Px]]*Table3[[#This Row],[Py]]</f>
        <v>0.99995137111200005</v>
      </c>
      <c r="P14" t="str">
        <f t="shared" si="1"/>
        <v>7 P55,65</v>
      </c>
      <c r="Q14">
        <f>PRODUCT($O$8:$O14)</f>
        <v>0.99979793495184288</v>
      </c>
    </row>
    <row r="15" spans="1:17" x14ac:dyDescent="0.3">
      <c r="A15">
        <v>7</v>
      </c>
      <c r="B15">
        <v>0.11</v>
      </c>
      <c r="C15">
        <v>0.159</v>
      </c>
      <c r="D15">
        <f>Table2[[#This Row],[Fix]]/MAX(FIx)</f>
        <v>1.1E-4</v>
      </c>
      <c r="E15">
        <f>Table2[[#This Row],[Mix]]/MAX(FIx)</f>
        <v>1.5900000000000002E-4</v>
      </c>
      <c r="F15">
        <f>1-Table2[[#This Row],[Fqx]]</f>
        <v>0.99988999999999995</v>
      </c>
      <c r="G15">
        <f>1-Table2[[#This Row],[Mqx]]</f>
        <v>0.99984099999999998</v>
      </c>
      <c r="I15">
        <f t="shared" si="2"/>
        <v>7</v>
      </c>
      <c r="J15">
        <f>MIN(Qx!MaxAge,Table3[[#This Row],[Survivng t Years]]+$J$6)</f>
        <v>62</v>
      </c>
      <c r="K15">
        <f>MIN(Table3[[#This Row],[Survivng t Years]]+$K$6,Qx!MaxAge)</f>
        <v>72</v>
      </c>
      <c r="L15">
        <f>VLOOKUP(Table3[[#This Row],[To Age]],$A$8:$G$128,L$6,FALSE)</f>
        <v>0.995591</v>
      </c>
      <c r="M15">
        <f>VLOOKUP(Table3[[#This Row],[To Age2]],$A$8:$G$128,M$6,FALSE)</f>
        <v>0.98632500000000001</v>
      </c>
      <c r="N15" t="str">
        <f t="shared" si="0"/>
        <v>P62,72</v>
      </c>
      <c r="O15">
        <f>Table3[[#This Row],[Px]]+Table3[[#This Row],[Py]]-Table3[[#This Row],[Px]]*Table3[[#This Row],[Py]]</f>
        <v>0.999939706925</v>
      </c>
      <c r="P15" t="str">
        <f t="shared" si="1"/>
        <v>8 P55,65</v>
      </c>
      <c r="Q15">
        <f>PRODUCT($O$8:$O15)</f>
        <v>0.99973765405996595</v>
      </c>
    </row>
    <row r="16" spans="1:17" x14ac:dyDescent="0.3">
      <c r="A16">
        <v>8</v>
      </c>
      <c r="B16">
        <v>9.5000000000000001E-2</v>
      </c>
      <c r="C16">
        <v>0.14299999999999999</v>
      </c>
      <c r="D16">
        <f>Table2[[#This Row],[Fix]]/MAX(FIx)</f>
        <v>9.5000000000000005E-5</v>
      </c>
      <c r="E16">
        <f>Table2[[#This Row],[Mix]]/MAX(FIx)</f>
        <v>1.4299999999999998E-4</v>
      </c>
      <c r="F16">
        <f>1-Table2[[#This Row],[Fqx]]</f>
        <v>0.99990500000000004</v>
      </c>
      <c r="G16">
        <f>1-Table2[[#This Row],[Mqx]]</f>
        <v>0.999857</v>
      </c>
      <c r="I16">
        <f t="shared" si="2"/>
        <v>8</v>
      </c>
      <c r="J16">
        <f>MIN(Qx!MaxAge,Table3[[#This Row],[Survivng t Years]]+$J$6)</f>
        <v>63</v>
      </c>
      <c r="K16">
        <f>MIN(Table3[[#This Row],[Survivng t Years]]+$K$6,Qx!MaxAge)</f>
        <v>73</v>
      </c>
      <c r="L16">
        <f>VLOOKUP(Table3[[#This Row],[To Age]],$A$8:$G$128,L$6,FALSE)</f>
        <v>0.99506700000000003</v>
      </c>
      <c r="M16">
        <f>VLOOKUP(Table3[[#This Row],[To Age2]],$A$8:$G$128,M$6,FALSE)</f>
        <v>0.98485</v>
      </c>
      <c r="N16" t="str">
        <f t="shared" si="0"/>
        <v>P63,73</v>
      </c>
      <c r="O16">
        <f>Table3[[#This Row],[Px]]+Table3[[#This Row],[Py]]-Table3[[#This Row],[Px]]*Table3[[#This Row],[Py]]</f>
        <v>0.9999252650499999</v>
      </c>
      <c r="P16" t="str">
        <f t="shared" si="1"/>
        <v>9 P55,65</v>
      </c>
      <c r="Q16">
        <f>PRODUCT($O$8:$O16)</f>
        <v>0.99966293871637657</v>
      </c>
    </row>
    <row r="17" spans="1:17" x14ac:dyDescent="0.3">
      <c r="A17">
        <v>9</v>
      </c>
      <c r="B17">
        <v>8.7999999999999995E-2</v>
      </c>
      <c r="C17">
        <v>0.129</v>
      </c>
      <c r="D17">
        <f>Table2[[#This Row],[Fix]]/MAX(FIx)</f>
        <v>8.7999999999999998E-5</v>
      </c>
      <c r="E17">
        <f>Table2[[#This Row],[Mix]]/MAX(FIx)</f>
        <v>1.2899999999999999E-4</v>
      </c>
      <c r="F17">
        <f>1-Table2[[#This Row],[Fqx]]</f>
        <v>0.99991200000000002</v>
      </c>
      <c r="G17">
        <f>1-Table2[[#This Row],[Mqx]]</f>
        <v>0.99987099999999995</v>
      </c>
      <c r="I17">
        <f t="shared" si="2"/>
        <v>9</v>
      </c>
      <c r="J17">
        <f>MIN(Qx!MaxAge,Table3[[#This Row],[Survivng t Years]]+$J$6)</f>
        <v>64</v>
      </c>
      <c r="K17">
        <f>MIN(Table3[[#This Row],[Survivng t Years]]+$K$6,Qx!MaxAge)</f>
        <v>74</v>
      </c>
      <c r="L17">
        <f>VLOOKUP(Table3[[#This Row],[To Age]],$A$8:$G$128,L$6,FALSE)</f>
        <v>0.99449299999999996</v>
      </c>
      <c r="M17">
        <f>VLOOKUP(Table3[[#This Row],[To Age2]],$A$8:$G$128,M$6,FALSE)</f>
        <v>0.98314000000000001</v>
      </c>
      <c r="N17" t="str">
        <f t="shared" si="0"/>
        <v>P64,74</v>
      </c>
      <c r="O17">
        <f>Table3[[#This Row],[Px]]+Table3[[#This Row],[Py]]-Table3[[#This Row],[Px]]*Table3[[#This Row],[Py]]</f>
        <v>0.99990715198000002</v>
      </c>
      <c r="P17" t="str">
        <f t="shared" si="1"/>
        <v>10 P55,65</v>
      </c>
      <c r="Q17">
        <f>PRODUCT($O$8:$O17)</f>
        <v>0.99957012199184936</v>
      </c>
    </row>
    <row r="18" spans="1:17" x14ac:dyDescent="0.3">
      <c r="A18">
        <v>10</v>
      </c>
      <c r="B18">
        <v>8.5000000000000006E-2</v>
      </c>
      <c r="C18">
        <v>0.113</v>
      </c>
      <c r="D18">
        <f>Table2[[#This Row],[Fix]]/MAX(FIx)</f>
        <v>8.5000000000000006E-5</v>
      </c>
      <c r="E18">
        <f>Table2[[#This Row],[Mix]]/MAX(FIx)</f>
        <v>1.1300000000000001E-4</v>
      </c>
      <c r="F18">
        <f>1-Table2[[#This Row],[Fqx]]</f>
        <v>0.999915</v>
      </c>
      <c r="G18">
        <f>1-Table2[[#This Row],[Mqx]]</f>
        <v>0.99988699999999997</v>
      </c>
      <c r="I18">
        <f t="shared" si="2"/>
        <v>10</v>
      </c>
      <c r="J18">
        <f>MIN(Qx!MaxAge,Table3[[#This Row],[Survivng t Years]]+$J$6)</f>
        <v>65</v>
      </c>
      <c r="K18">
        <f>MIN(Table3[[#This Row],[Survivng t Years]]+$K$6,Qx!MaxAge)</f>
        <v>75</v>
      </c>
      <c r="L18">
        <f>VLOOKUP(Table3[[#This Row],[To Age]],$A$8:$G$128,L$6,FALSE)</f>
        <v>0.99385400000000002</v>
      </c>
      <c r="M18">
        <f>VLOOKUP(Table3[[#This Row],[To Age2]],$A$8:$G$128,M$6,FALSE)</f>
        <v>0.98118499999999997</v>
      </c>
      <c r="N18" t="str">
        <f t="shared" si="0"/>
        <v>P65,75</v>
      </c>
      <c r="O18">
        <f>Table3[[#This Row],[Px]]+Table3[[#This Row],[Py]]-Table3[[#This Row],[Px]]*Table3[[#This Row],[Py]]</f>
        <v>0.99988436301000005</v>
      </c>
      <c r="P18" t="str">
        <f t="shared" si="1"/>
        <v>11 P55,65</v>
      </c>
      <c r="Q18">
        <f>PRODUCT($O$8:$O18)</f>
        <v>0.99945453471164836</v>
      </c>
    </row>
    <row r="19" spans="1:17" x14ac:dyDescent="0.3">
      <c r="A19">
        <v>11</v>
      </c>
      <c r="B19">
        <v>8.5999999999999993E-2</v>
      </c>
      <c r="C19">
        <v>0.111</v>
      </c>
      <c r="D19">
        <f>Table2[[#This Row],[Fix]]/MAX(FIx)</f>
        <v>8.599999999999999E-5</v>
      </c>
      <c r="E19">
        <f>Table2[[#This Row],[Mix]]/MAX(FIx)</f>
        <v>1.11E-4</v>
      </c>
      <c r="F19">
        <f>1-Table2[[#This Row],[Fqx]]</f>
        <v>0.99991399999999997</v>
      </c>
      <c r="G19">
        <f>1-Table2[[#This Row],[Mqx]]</f>
        <v>0.99988900000000003</v>
      </c>
      <c r="I19">
        <f t="shared" si="2"/>
        <v>11</v>
      </c>
      <c r="J19">
        <f>MIN(Qx!MaxAge,Table3[[#This Row],[Survivng t Years]]+$J$6)</f>
        <v>66</v>
      </c>
      <c r="K19">
        <f>MIN(Table3[[#This Row],[Survivng t Years]]+$K$6,Qx!MaxAge)</f>
        <v>76</v>
      </c>
      <c r="L19">
        <f>VLOOKUP(Table3[[#This Row],[To Age]],$A$8:$G$128,L$6,FALSE)</f>
        <v>0.99344900000000003</v>
      </c>
      <c r="M19">
        <f>VLOOKUP(Table3[[#This Row],[To Age2]],$A$8:$G$128,M$6,FALSE)</f>
        <v>0.97896899999999998</v>
      </c>
      <c r="N19" t="str">
        <f t="shared" si="0"/>
        <v>P66,76</v>
      </c>
      <c r="O19">
        <f>Table3[[#This Row],[Px]]+Table3[[#This Row],[Py]]-Table3[[#This Row],[Px]]*Table3[[#This Row],[Py]]</f>
        <v>0.99986222591899998</v>
      </c>
      <c r="P19" t="str">
        <f t="shared" si="1"/>
        <v>12 P55,65</v>
      </c>
      <c r="Q19">
        <f>PRODUCT($O$8:$O19)</f>
        <v>0.99931683578162711</v>
      </c>
    </row>
    <row r="20" spans="1:17" x14ac:dyDescent="0.3">
      <c r="A20">
        <v>12</v>
      </c>
      <c r="B20">
        <v>9.4E-2</v>
      </c>
      <c r="C20">
        <v>0.13200000000000001</v>
      </c>
      <c r="D20">
        <f>Table2[[#This Row],[Fix]]/MAX(FIx)</f>
        <v>9.3999999999999994E-5</v>
      </c>
      <c r="E20">
        <f>Table2[[#This Row],[Mix]]/MAX(FIx)</f>
        <v>1.3200000000000001E-4</v>
      </c>
      <c r="F20">
        <f>1-Table2[[#This Row],[Fqx]]</f>
        <v>0.99990599999999996</v>
      </c>
      <c r="G20">
        <f>1-Table2[[#This Row],[Mqx]]</f>
        <v>0.99986799999999998</v>
      </c>
      <c r="I20">
        <f t="shared" si="2"/>
        <v>12</v>
      </c>
      <c r="J20">
        <f>MIN(Qx!MaxAge,Table3[[#This Row],[Survivng t Years]]+$J$6)</f>
        <v>67</v>
      </c>
      <c r="K20">
        <f>MIN(Table3[[#This Row],[Survivng t Years]]+$K$6,Qx!MaxAge)</f>
        <v>77</v>
      </c>
      <c r="L20">
        <f>VLOOKUP(Table3[[#This Row],[To Age]],$A$8:$G$128,L$6,FALSE)</f>
        <v>0.99296099999999998</v>
      </c>
      <c r="M20">
        <f>VLOOKUP(Table3[[#This Row],[To Age2]],$A$8:$G$128,M$6,FALSE)</f>
        <v>0.97645999999999999</v>
      </c>
      <c r="N20" t="str">
        <f t="shared" si="0"/>
        <v>P67,77</v>
      </c>
      <c r="O20">
        <f>Table3[[#This Row],[Px]]+Table3[[#This Row],[Py]]-Table3[[#This Row],[Px]]*Table3[[#This Row],[Py]]</f>
        <v>0.99983430194000011</v>
      </c>
      <c r="P20" t="str">
        <f t="shared" si="1"/>
        <v>13 P55,65</v>
      </c>
      <c r="Q20">
        <f>PRODUCT($O$8:$O20)</f>
        <v>0.99915125092061285</v>
      </c>
    </row>
    <row r="21" spans="1:17" x14ac:dyDescent="0.3">
      <c r="A21">
        <v>13</v>
      </c>
      <c r="B21">
        <v>0.108</v>
      </c>
      <c r="C21">
        <v>0.16900000000000001</v>
      </c>
      <c r="D21">
        <f>Table2[[#This Row],[Fix]]/MAX(FIx)</f>
        <v>1.08E-4</v>
      </c>
      <c r="E21">
        <f>Table2[[#This Row],[Mix]]/MAX(FIx)</f>
        <v>1.6900000000000002E-4</v>
      </c>
      <c r="F21">
        <f>1-Table2[[#This Row],[Fqx]]</f>
        <v>0.999892</v>
      </c>
      <c r="G21">
        <f>1-Table2[[#This Row],[Mqx]]</f>
        <v>0.99983100000000003</v>
      </c>
      <c r="I21">
        <f t="shared" si="2"/>
        <v>13</v>
      </c>
      <c r="J21">
        <f>MIN(Qx!MaxAge,Table3[[#This Row],[Survivng t Years]]+$J$6)</f>
        <v>68</v>
      </c>
      <c r="K21">
        <f>MIN(Table3[[#This Row],[Survivng t Years]]+$K$6,Qx!MaxAge)</f>
        <v>78</v>
      </c>
      <c r="L21">
        <f>VLOOKUP(Table3[[#This Row],[To Age]],$A$8:$G$128,L$6,FALSE)</f>
        <v>0.99237200000000003</v>
      </c>
      <c r="M21">
        <f>VLOOKUP(Table3[[#This Row],[To Age2]],$A$8:$G$128,M$6,FALSE)</f>
        <v>0.97362499999999996</v>
      </c>
      <c r="N21" t="str">
        <f t="shared" si="0"/>
        <v>P68,78</v>
      </c>
      <c r="O21">
        <f>Table3[[#This Row],[Px]]+Table3[[#This Row],[Py]]-Table3[[#This Row],[Px]]*Table3[[#This Row],[Py]]</f>
        <v>0.99979881150000005</v>
      </c>
      <c r="P21" t="str">
        <f t="shared" si="1"/>
        <v>14 P55,65</v>
      </c>
      <c r="Q21">
        <f>PRODUCT($O$8:$O21)</f>
        <v>0.99895023317916709</v>
      </c>
    </row>
    <row r="22" spans="1:17" x14ac:dyDescent="0.3">
      <c r="A22">
        <v>14</v>
      </c>
      <c r="B22">
        <v>0.13100000000000001</v>
      </c>
      <c r="C22">
        <v>0.21299999999999999</v>
      </c>
      <c r="D22">
        <f>Table2[[#This Row],[Fix]]/MAX(FIx)</f>
        <v>1.3100000000000001E-4</v>
      </c>
      <c r="E22">
        <f>Table2[[#This Row],[Mix]]/MAX(FIx)</f>
        <v>2.13E-4</v>
      </c>
      <c r="F22">
        <f>1-Table2[[#This Row],[Fqx]]</f>
        <v>0.99986900000000001</v>
      </c>
      <c r="G22">
        <f>1-Table2[[#This Row],[Mqx]]</f>
        <v>0.99978699999999998</v>
      </c>
      <c r="I22">
        <f t="shared" si="2"/>
        <v>14</v>
      </c>
      <c r="J22">
        <f>MIN(Qx!MaxAge,Table3[[#This Row],[Survivng t Years]]+$J$6)</f>
        <v>69</v>
      </c>
      <c r="K22">
        <f>MIN(Table3[[#This Row],[Survivng t Years]]+$K$6,Qx!MaxAge)</f>
        <v>79</v>
      </c>
      <c r="L22">
        <f>VLOOKUP(Table3[[#This Row],[To Age]],$A$8:$G$128,L$6,FALSE)</f>
        <v>0.99168900000000004</v>
      </c>
      <c r="M22">
        <f>VLOOKUP(Table3[[#This Row],[To Age2]],$A$8:$G$128,M$6,FALSE)</f>
        <v>0.97042799999999996</v>
      </c>
      <c r="N22" t="str">
        <f t="shared" si="0"/>
        <v>P69,79</v>
      </c>
      <c r="O22">
        <f>Table3[[#This Row],[Px]]+Table3[[#This Row],[Py]]-Table3[[#This Row],[Px]]*Table3[[#This Row],[Py]]</f>
        <v>0.9997542271080001</v>
      </c>
      <c r="P22" t="str">
        <f t="shared" si="1"/>
        <v>15 P55,65</v>
      </c>
      <c r="Q22">
        <f>PRODUCT($O$8:$O22)</f>
        <v>0.99870471829139462</v>
      </c>
    </row>
    <row r="23" spans="1:17" x14ac:dyDescent="0.3">
      <c r="A23">
        <v>15</v>
      </c>
      <c r="B23">
        <v>0.156</v>
      </c>
      <c r="C23">
        <v>0.254</v>
      </c>
      <c r="D23">
        <f>Table2[[#This Row],[Fix]]/MAX(FIx)</f>
        <v>1.56E-4</v>
      </c>
      <c r="E23">
        <f>Table2[[#This Row],[Mix]]/MAX(FIx)</f>
        <v>2.5399999999999999E-4</v>
      </c>
      <c r="F23">
        <f>1-Table2[[#This Row],[Fqx]]</f>
        <v>0.99984399999999996</v>
      </c>
      <c r="G23">
        <f>1-Table2[[#This Row],[Mqx]]</f>
        <v>0.99974600000000002</v>
      </c>
      <c r="I23">
        <f t="shared" si="2"/>
        <v>15</v>
      </c>
      <c r="J23">
        <f>MIN(Qx!MaxAge,Table3[[#This Row],[Survivng t Years]]+$J$6)</f>
        <v>70</v>
      </c>
      <c r="K23">
        <f>MIN(Table3[[#This Row],[Survivng t Years]]+$K$6,Qx!MaxAge)</f>
        <v>80</v>
      </c>
      <c r="L23">
        <f>VLOOKUP(Table3[[#This Row],[To Age]],$A$8:$G$128,L$6,FALSE)</f>
        <v>0.99092599999999997</v>
      </c>
      <c r="M23">
        <f>VLOOKUP(Table3[[#This Row],[To Age2]],$A$8:$G$128,M$6,FALSE)</f>
        <v>0.96676600000000001</v>
      </c>
      <c r="N23" t="str">
        <f t="shared" si="0"/>
        <v>P70,80</v>
      </c>
      <c r="O23">
        <f>Table3[[#This Row],[Px]]+Table3[[#This Row],[Py]]-Table3[[#This Row],[Px]]*Table3[[#This Row],[Py]]</f>
        <v>0.99969843468399999</v>
      </c>
      <c r="P23" t="str">
        <f t="shared" si="1"/>
        <v>16 P55,65</v>
      </c>
      <c r="Q23">
        <f>PRODUCT($O$8:$O23)</f>
        <v>0.99840354358743233</v>
      </c>
    </row>
    <row r="24" spans="1:17" x14ac:dyDescent="0.3">
      <c r="A24">
        <v>16</v>
      </c>
      <c r="B24">
        <v>0.17899999999999999</v>
      </c>
      <c r="C24">
        <v>0.29299999999999998</v>
      </c>
      <c r="D24">
        <f>Table2[[#This Row],[Fix]]/MAX(FIx)</f>
        <v>1.7899999999999999E-4</v>
      </c>
      <c r="E24">
        <f>Table2[[#This Row],[Mix]]/MAX(FIx)</f>
        <v>2.9299999999999997E-4</v>
      </c>
      <c r="F24">
        <f>1-Table2[[#This Row],[Fqx]]</f>
        <v>0.99982099999999996</v>
      </c>
      <c r="G24">
        <f>1-Table2[[#This Row],[Mqx]]</f>
        <v>0.99970700000000001</v>
      </c>
      <c r="I24">
        <f t="shared" si="2"/>
        <v>16</v>
      </c>
      <c r="J24">
        <f>MIN(Qx!MaxAge,Table3[[#This Row],[Survivng t Years]]+$J$6)</f>
        <v>71</v>
      </c>
      <c r="K24">
        <f>MIN(Table3[[#This Row],[Survivng t Years]]+$K$6,Qx!MaxAge)</f>
        <v>81</v>
      </c>
      <c r="L24">
        <f>VLOOKUP(Table3[[#This Row],[To Age]],$A$8:$G$128,L$6,FALSE)</f>
        <v>0.99009000000000003</v>
      </c>
      <c r="M24">
        <f>VLOOKUP(Table3[[#This Row],[To Age2]],$A$8:$G$128,M$6,FALSE)</f>
        <v>0.96246699999999996</v>
      </c>
      <c r="N24" t="str">
        <f t="shared" si="0"/>
        <v>P71,81</v>
      </c>
      <c r="O24">
        <f>Table3[[#This Row],[Px]]+Table3[[#This Row],[Py]]-Table3[[#This Row],[Px]]*Table3[[#This Row],[Py]]</f>
        <v>0.99962804797000016</v>
      </c>
      <c r="P24" t="str">
        <f t="shared" si="1"/>
        <v>17 P55,65</v>
      </c>
      <c r="Q24">
        <f>PRODUCT($O$8:$O24)</f>
        <v>0.99803218536263594</v>
      </c>
    </row>
    <row r="25" spans="1:17" x14ac:dyDescent="0.3">
      <c r="A25">
        <v>17</v>
      </c>
      <c r="B25">
        <v>0.19800000000000001</v>
      </c>
      <c r="C25">
        <v>0.32800000000000001</v>
      </c>
      <c r="D25">
        <f>Table2[[#This Row],[Fix]]/MAX(FIx)</f>
        <v>1.9800000000000002E-4</v>
      </c>
      <c r="E25">
        <f>Table2[[#This Row],[Mix]]/MAX(FIx)</f>
        <v>3.28E-4</v>
      </c>
      <c r="F25">
        <f>1-Table2[[#This Row],[Fqx]]</f>
        <v>0.99980199999999997</v>
      </c>
      <c r="G25">
        <f>1-Table2[[#This Row],[Mqx]]</f>
        <v>0.99967200000000001</v>
      </c>
      <c r="I25">
        <f t="shared" si="2"/>
        <v>17</v>
      </c>
      <c r="J25">
        <f>MIN(Qx!MaxAge,Table3[[#This Row],[Survivng t Years]]+$J$6)</f>
        <v>72</v>
      </c>
      <c r="K25">
        <f>MIN(Table3[[#This Row],[Survivng t Years]]+$K$6,Qx!MaxAge)</f>
        <v>82</v>
      </c>
      <c r="L25">
        <f>VLOOKUP(Table3[[#This Row],[To Age]],$A$8:$G$128,L$6,FALSE)</f>
        <v>0.98917299999999997</v>
      </c>
      <c r="M25">
        <f>VLOOKUP(Table3[[#This Row],[To Age2]],$A$8:$G$128,M$6,FALSE)</f>
        <v>0.95773900000000001</v>
      </c>
      <c r="N25" t="str">
        <f t="shared" si="0"/>
        <v>P72,82</v>
      </c>
      <c r="O25">
        <f>Table3[[#This Row],[Px]]+Table3[[#This Row],[Py]]-Table3[[#This Row],[Px]]*Table3[[#This Row],[Py]]</f>
        <v>0.99954244015299998</v>
      </c>
      <c r="P25" t="str">
        <f t="shared" si="1"/>
        <v>18 P55,65</v>
      </c>
      <c r="Q25">
        <f>PRODUCT($O$8:$O25)</f>
        <v>0.99757552590860032</v>
      </c>
    </row>
    <row r="26" spans="1:17" x14ac:dyDescent="0.3">
      <c r="A26">
        <v>18</v>
      </c>
      <c r="B26">
        <v>0.21099999999999999</v>
      </c>
      <c r="C26">
        <v>0.35899999999999999</v>
      </c>
      <c r="D26">
        <f>Table2[[#This Row],[Fix]]/MAX(FIx)</f>
        <v>2.1100000000000001E-4</v>
      </c>
      <c r="E26">
        <f>Table2[[#This Row],[Mix]]/MAX(FIx)</f>
        <v>3.59E-4</v>
      </c>
      <c r="F26">
        <f>1-Table2[[#This Row],[Fqx]]</f>
        <v>0.99978900000000004</v>
      </c>
      <c r="G26">
        <f>1-Table2[[#This Row],[Mqx]]</f>
        <v>0.999641</v>
      </c>
      <c r="I26">
        <f t="shared" si="2"/>
        <v>18</v>
      </c>
      <c r="J26">
        <f>MIN(Qx!MaxAge,Table3[[#This Row],[Survivng t Years]]+$J$6)</f>
        <v>73</v>
      </c>
      <c r="K26">
        <f>MIN(Table3[[#This Row],[Survivng t Years]]+$K$6,Qx!MaxAge)</f>
        <v>83</v>
      </c>
      <c r="L26">
        <f>VLOOKUP(Table3[[#This Row],[To Age]],$A$8:$G$128,L$6,FALSE)</f>
        <v>0.98816099999999996</v>
      </c>
      <c r="M26">
        <f>VLOOKUP(Table3[[#This Row],[To Age2]],$A$8:$G$128,M$6,FALSE)</f>
        <v>0.95255900000000004</v>
      </c>
      <c r="N26" t="str">
        <f t="shared" si="0"/>
        <v>P73,83</v>
      </c>
      <c r="O26">
        <f>Table3[[#This Row],[Px]]+Table3[[#This Row],[Py]]-Table3[[#This Row],[Px]]*Table3[[#This Row],[Py]]</f>
        <v>0.99943834600100001</v>
      </c>
      <c r="P26" t="str">
        <f t="shared" si="1"/>
        <v>19 P55,65</v>
      </c>
      <c r="Q26">
        <f>PRODUCT($O$8:$O26)</f>
        <v>0.99701523362516919</v>
      </c>
    </row>
    <row r="27" spans="1:17" x14ac:dyDescent="0.3">
      <c r="A27">
        <v>19</v>
      </c>
      <c r="B27">
        <v>0.221</v>
      </c>
      <c r="C27">
        <v>0.38700000000000001</v>
      </c>
      <c r="D27">
        <f>Table2[[#This Row],[Fix]]/MAX(FIx)</f>
        <v>2.2100000000000001E-4</v>
      </c>
      <c r="E27">
        <f>Table2[[#This Row],[Mix]]/MAX(FIx)</f>
        <v>3.8700000000000003E-4</v>
      </c>
      <c r="F27">
        <f>1-Table2[[#This Row],[Fqx]]</f>
        <v>0.99977899999999997</v>
      </c>
      <c r="G27">
        <f>1-Table2[[#This Row],[Mqx]]</f>
        <v>0.99961299999999997</v>
      </c>
      <c r="I27">
        <f t="shared" si="2"/>
        <v>19</v>
      </c>
      <c r="J27">
        <f>MIN(Qx!MaxAge,Table3[[#This Row],[Survivng t Years]]+$J$6)</f>
        <v>74</v>
      </c>
      <c r="K27">
        <f>MIN(Table3[[#This Row],[Survivng t Years]]+$K$6,Qx!MaxAge)</f>
        <v>84</v>
      </c>
      <c r="L27">
        <f>VLOOKUP(Table3[[#This Row],[To Age]],$A$8:$G$128,L$6,FALSE)</f>
        <v>0.98702599999999996</v>
      </c>
      <c r="M27">
        <f>VLOOKUP(Table3[[#This Row],[To Age2]],$A$8:$G$128,M$6,FALSE)</f>
        <v>0.94676700000000003</v>
      </c>
      <c r="N27" t="str">
        <f t="shared" si="0"/>
        <v>P74,84</v>
      </c>
      <c r="O27">
        <f>Table3[[#This Row],[Px]]+Table3[[#This Row],[Py]]-Table3[[#This Row],[Px]]*Table3[[#This Row],[Py]]</f>
        <v>0.99930935505800011</v>
      </c>
      <c r="P27" t="str">
        <f t="shared" si="1"/>
        <v>20 P55,65</v>
      </c>
      <c r="Q27">
        <f>PRODUCT($O$8:$O27)</f>
        <v>0.99632665009696919</v>
      </c>
    </row>
    <row r="28" spans="1:17" x14ac:dyDescent="0.3">
      <c r="A28">
        <v>20</v>
      </c>
      <c r="B28">
        <v>0.22800000000000001</v>
      </c>
      <c r="C28">
        <v>0.41399999999999998</v>
      </c>
      <c r="D28">
        <f>Table2[[#This Row],[Fix]]/MAX(FIx)</f>
        <v>2.2800000000000001E-4</v>
      </c>
      <c r="E28">
        <f>Table2[[#This Row],[Mix]]/MAX(FIx)</f>
        <v>4.1399999999999998E-4</v>
      </c>
      <c r="F28">
        <f>1-Table2[[#This Row],[Fqx]]</f>
        <v>0.99977199999999999</v>
      </c>
      <c r="G28">
        <f>1-Table2[[#This Row],[Mqx]]</f>
        <v>0.99958599999999997</v>
      </c>
      <c r="I28">
        <f t="shared" si="2"/>
        <v>20</v>
      </c>
      <c r="J28">
        <f>MIN(Qx!MaxAge,Table3[[#This Row],[Survivng t Years]]+$J$6)</f>
        <v>75</v>
      </c>
      <c r="K28">
        <f>MIN(Table3[[#This Row],[Survivng t Years]]+$K$6,Qx!MaxAge)</f>
        <v>85</v>
      </c>
      <c r="L28">
        <f>VLOOKUP(Table3[[#This Row],[To Age]],$A$8:$G$128,L$6,FALSE)</f>
        <v>0.98571799999999998</v>
      </c>
      <c r="M28">
        <f>VLOOKUP(Table3[[#This Row],[To Age2]],$A$8:$G$128,M$6,FALSE)</f>
        <v>0.94014500000000001</v>
      </c>
      <c r="N28" t="str">
        <f t="shared" si="0"/>
        <v>P75,85</v>
      </c>
      <c r="O28">
        <f>Table3[[#This Row],[Px]]+Table3[[#This Row],[Py]]-Table3[[#This Row],[Px]]*Table3[[#This Row],[Py]]</f>
        <v>0.99914515089000011</v>
      </c>
      <c r="P28" t="str">
        <f t="shared" si="1"/>
        <v>21 P55,65</v>
      </c>
      <c r="Q28">
        <f>PRODUCT($O$8:$O28)</f>
        <v>0.99547494114686463</v>
      </c>
    </row>
    <row r="29" spans="1:17" x14ac:dyDescent="0.3">
      <c r="A29">
        <v>21</v>
      </c>
      <c r="B29">
        <v>0.23400000000000001</v>
      </c>
      <c r="C29">
        <v>0.443</v>
      </c>
      <c r="D29">
        <f>Table2[[#This Row],[Fix]]/MAX(FIx)</f>
        <v>2.3400000000000002E-4</v>
      </c>
      <c r="E29">
        <f>Table2[[#This Row],[Mix]]/MAX(FIx)</f>
        <v>4.4299999999999998E-4</v>
      </c>
      <c r="F29">
        <f>1-Table2[[#This Row],[Fqx]]</f>
        <v>0.99976600000000004</v>
      </c>
      <c r="G29">
        <f>1-Table2[[#This Row],[Mqx]]</f>
        <v>0.99955700000000003</v>
      </c>
      <c r="I29">
        <f t="shared" si="2"/>
        <v>21</v>
      </c>
      <c r="J29">
        <f>MIN(Qx!MaxAge,Table3[[#This Row],[Survivng t Years]]+$J$6)</f>
        <v>76</v>
      </c>
      <c r="K29">
        <f>MIN(Table3[[#This Row],[Survivng t Years]]+$K$6,Qx!MaxAge)</f>
        <v>86</v>
      </c>
      <c r="L29">
        <f>VLOOKUP(Table3[[#This Row],[To Age]],$A$8:$G$128,L$6,FALSE)</f>
        <v>0.98420099999999999</v>
      </c>
      <c r="M29">
        <f>VLOOKUP(Table3[[#This Row],[To Age2]],$A$8:$G$128,M$6,FALSE)</f>
        <v>0.93248600000000004</v>
      </c>
      <c r="N29" t="str">
        <f t="shared" si="0"/>
        <v>P76,86</v>
      </c>
      <c r="O29">
        <f>Table3[[#This Row],[Px]]+Table3[[#This Row],[Py]]-Table3[[#This Row],[Px]]*Table3[[#This Row],[Py]]</f>
        <v>0.99893334631399999</v>
      </c>
      <c r="P29" t="str">
        <f t="shared" si="1"/>
        <v>22 P55,65</v>
      </c>
      <c r="Q29">
        <f>PRODUCT($O$8:$O29)</f>
        <v>0.99441311413156974</v>
      </c>
    </row>
    <row r="30" spans="1:17" x14ac:dyDescent="0.3">
      <c r="A30">
        <v>22</v>
      </c>
      <c r="B30">
        <v>0.24</v>
      </c>
      <c r="C30">
        <v>0.47299999999999998</v>
      </c>
      <c r="D30">
        <f>Table2[[#This Row],[Fix]]/MAX(FIx)</f>
        <v>2.3999999999999998E-4</v>
      </c>
      <c r="E30">
        <f>Table2[[#This Row],[Mix]]/MAX(FIx)</f>
        <v>4.7299999999999995E-4</v>
      </c>
      <c r="F30">
        <f>1-Table2[[#This Row],[Fqx]]</f>
        <v>0.99975999999999998</v>
      </c>
      <c r="G30">
        <f>1-Table2[[#This Row],[Mqx]]</f>
        <v>0.99952700000000005</v>
      </c>
      <c r="I30">
        <f t="shared" si="2"/>
        <v>22</v>
      </c>
      <c r="J30">
        <f>MIN(Qx!MaxAge,Table3[[#This Row],[Survivng t Years]]+$J$6)</f>
        <v>77</v>
      </c>
      <c r="K30">
        <f>MIN(Table3[[#This Row],[Survivng t Years]]+$K$6,Qx!MaxAge)</f>
        <v>87</v>
      </c>
      <c r="L30">
        <f>VLOOKUP(Table3[[#This Row],[To Age]],$A$8:$G$128,L$6,FALSE)</f>
        <v>0.98245000000000005</v>
      </c>
      <c r="M30">
        <f>VLOOKUP(Table3[[#This Row],[To Age2]],$A$8:$G$128,M$6,FALSE)</f>
        <v>0.92366000000000004</v>
      </c>
      <c r="N30" t="str">
        <f t="shared" si="0"/>
        <v>P77,87</v>
      </c>
      <c r="O30">
        <f>Table3[[#This Row],[Px]]+Table3[[#This Row],[Py]]-Table3[[#This Row],[Px]]*Table3[[#This Row],[Py]]</f>
        <v>0.99866023299999984</v>
      </c>
      <c r="P30" t="str">
        <f t="shared" si="1"/>
        <v>23 P55,65</v>
      </c>
      <c r="Q30">
        <f>PRODUCT($O$8:$O30)</f>
        <v>0.99308083225688892</v>
      </c>
    </row>
    <row r="31" spans="1:17" x14ac:dyDescent="0.3">
      <c r="A31">
        <v>23</v>
      </c>
      <c r="B31">
        <v>0.245</v>
      </c>
      <c r="C31">
        <v>0.51300000000000001</v>
      </c>
      <c r="D31">
        <f>Table2[[#This Row],[Fix]]/MAX(FIx)</f>
        <v>2.4499999999999999E-4</v>
      </c>
      <c r="E31">
        <f>Table2[[#This Row],[Mix]]/MAX(FIx)</f>
        <v>5.13E-4</v>
      </c>
      <c r="F31">
        <f>1-Table2[[#This Row],[Fqx]]</f>
        <v>0.99975499999999995</v>
      </c>
      <c r="G31">
        <f>1-Table2[[#This Row],[Mqx]]</f>
        <v>0.99948700000000001</v>
      </c>
      <c r="I31">
        <f t="shared" si="2"/>
        <v>23</v>
      </c>
      <c r="J31">
        <f>MIN(Qx!MaxAge,Table3[[#This Row],[Survivng t Years]]+$J$6)</f>
        <v>78</v>
      </c>
      <c r="K31">
        <f>MIN(Table3[[#This Row],[Survivng t Years]]+$K$6,Qx!MaxAge)</f>
        <v>88</v>
      </c>
      <c r="L31">
        <f>VLOOKUP(Table3[[#This Row],[To Age]],$A$8:$G$128,L$6,FALSE)</f>
        <v>0.98041800000000001</v>
      </c>
      <c r="M31">
        <f>VLOOKUP(Table3[[#This Row],[To Age2]],$A$8:$G$128,M$6,FALSE)</f>
        <v>0.91361199999999998</v>
      </c>
      <c r="N31" t="str">
        <f t="shared" si="0"/>
        <v>P78,88</v>
      </c>
      <c r="O31">
        <f>Table3[[#This Row],[Px]]+Table3[[#This Row],[Py]]-Table3[[#This Row],[Px]]*Table3[[#This Row],[Py]]</f>
        <v>0.99830835018399988</v>
      </c>
      <c r="P31" t="str">
        <f t="shared" si="1"/>
        <v>24 P55,65</v>
      </c>
      <c r="Q31">
        <f>PRODUCT($O$8:$O31)</f>
        <v>0.9914008872497283</v>
      </c>
    </row>
    <row r="32" spans="1:17" x14ac:dyDescent="0.3">
      <c r="A32">
        <v>24</v>
      </c>
      <c r="B32">
        <v>0.247</v>
      </c>
      <c r="C32">
        <v>0.55400000000000005</v>
      </c>
      <c r="D32">
        <f>Table2[[#This Row],[Fix]]/MAX(FIx)</f>
        <v>2.4699999999999999E-4</v>
      </c>
      <c r="E32">
        <f>Table2[[#This Row],[Mix]]/MAX(FIx)</f>
        <v>5.5400000000000002E-4</v>
      </c>
      <c r="F32">
        <f>1-Table2[[#This Row],[Fqx]]</f>
        <v>0.999753</v>
      </c>
      <c r="G32">
        <f>1-Table2[[#This Row],[Mqx]]</f>
        <v>0.99944599999999995</v>
      </c>
      <c r="I32">
        <f t="shared" si="2"/>
        <v>24</v>
      </c>
      <c r="J32">
        <f>MIN(Qx!MaxAge,Table3[[#This Row],[Survivng t Years]]+$J$6)</f>
        <v>79</v>
      </c>
      <c r="K32">
        <f>MIN(Table3[[#This Row],[Survivng t Years]]+$K$6,Qx!MaxAge)</f>
        <v>89</v>
      </c>
      <c r="L32">
        <f>VLOOKUP(Table3[[#This Row],[To Age]],$A$8:$G$128,L$6,FALSE)</f>
        <v>0.97802999999999995</v>
      </c>
      <c r="M32">
        <f>VLOOKUP(Table3[[#This Row],[To Age2]],$A$8:$G$128,M$6,FALSE)</f>
        <v>0.902366</v>
      </c>
      <c r="N32" t="str">
        <f t="shared" si="0"/>
        <v>P79,89</v>
      </c>
      <c r="O32">
        <f>Table3[[#This Row],[Px]]+Table3[[#This Row],[Py]]-Table3[[#This Row],[Px]]*Table3[[#This Row],[Py]]</f>
        <v>0.99785498102000003</v>
      </c>
      <c r="P32" t="str">
        <f t="shared" si="1"/>
        <v>25 P55,65</v>
      </c>
      <c r="Q32">
        <f>PRODUCT($O$8:$O32)</f>
        <v>0.98927431352978878</v>
      </c>
    </row>
    <row r="33" spans="1:17" x14ac:dyDescent="0.3">
      <c r="A33">
        <v>25</v>
      </c>
      <c r="B33">
        <v>0.25</v>
      </c>
      <c r="C33">
        <v>0.60199999999999998</v>
      </c>
      <c r="D33">
        <f>Table2[[#This Row],[Fix]]/MAX(FIx)</f>
        <v>2.5000000000000001E-4</v>
      </c>
      <c r="E33">
        <f>Table2[[#This Row],[Mix]]/MAX(FIx)</f>
        <v>6.02E-4</v>
      </c>
      <c r="F33">
        <f>1-Table2[[#This Row],[Fqx]]</f>
        <v>0.99975000000000003</v>
      </c>
      <c r="G33">
        <f>1-Table2[[#This Row],[Mqx]]</f>
        <v>0.99939800000000001</v>
      </c>
      <c r="I33">
        <f t="shared" si="2"/>
        <v>25</v>
      </c>
      <c r="J33">
        <f>MIN(Qx!MaxAge,Table3[[#This Row],[Survivng t Years]]+$J$6)</f>
        <v>80</v>
      </c>
      <c r="K33">
        <f>MIN(Table3[[#This Row],[Survivng t Years]]+$K$6,Qx!MaxAge)</f>
        <v>90</v>
      </c>
      <c r="L33">
        <f>VLOOKUP(Table3[[#This Row],[To Age]],$A$8:$G$128,L$6,FALSE)</f>
        <v>0.97517900000000002</v>
      </c>
      <c r="M33">
        <f>VLOOKUP(Table3[[#This Row],[To Age2]],$A$8:$G$128,M$6,FALSE)</f>
        <v>0.89000699999999999</v>
      </c>
      <c r="N33" t="str">
        <f t="shared" si="0"/>
        <v>P80,90</v>
      </c>
      <c r="O33">
        <f>Table3[[#This Row],[Px]]+Table3[[#This Row],[Py]]-Table3[[#This Row],[Px]]*Table3[[#This Row],[Py]]</f>
        <v>0.997269863747</v>
      </c>
      <c r="P33" t="str">
        <f t="shared" si="1"/>
        <v>26 P55,65</v>
      </c>
      <c r="Q33">
        <f>PRODUCT($O$8:$O33)</f>
        <v>0.98657345986225942</v>
      </c>
    </row>
    <row r="34" spans="1:17" x14ac:dyDescent="0.3">
      <c r="A34">
        <v>26</v>
      </c>
      <c r="B34">
        <v>0.25600000000000001</v>
      </c>
      <c r="C34">
        <v>0.65500000000000003</v>
      </c>
      <c r="D34">
        <f>Table2[[#This Row],[Fix]]/MAX(FIx)</f>
        <v>2.5599999999999999E-4</v>
      </c>
      <c r="E34">
        <f>Table2[[#This Row],[Mix]]/MAX(FIx)</f>
        <v>6.5499999999999998E-4</v>
      </c>
      <c r="F34">
        <f>1-Table2[[#This Row],[Fqx]]</f>
        <v>0.99974399999999997</v>
      </c>
      <c r="G34">
        <f>1-Table2[[#This Row],[Mqx]]</f>
        <v>0.99934500000000004</v>
      </c>
      <c r="I34">
        <f t="shared" si="2"/>
        <v>26</v>
      </c>
      <c r="J34">
        <f>MIN(Qx!MaxAge,Table3[[#This Row],[Survivng t Years]]+$J$6)</f>
        <v>81</v>
      </c>
      <c r="K34">
        <f>MIN(Table3[[#This Row],[Survivng t Years]]+$K$6,Qx!MaxAge)</f>
        <v>91</v>
      </c>
      <c r="L34">
        <f>VLOOKUP(Table3[[#This Row],[To Age]],$A$8:$G$128,L$6,FALSE)</f>
        <v>0.97164899999999998</v>
      </c>
      <c r="M34">
        <f>VLOOKUP(Table3[[#This Row],[To Age2]],$A$8:$G$128,M$6,FALSE)</f>
        <v>0.87688100000000002</v>
      </c>
      <c r="N34" t="str">
        <f t="shared" si="0"/>
        <v>P81,91</v>
      </c>
      <c r="O34">
        <f>Table3[[#This Row],[Px]]+Table3[[#This Row],[Py]]-Table3[[#This Row],[Px]]*Table3[[#This Row],[Py]]</f>
        <v>0.99650945323100004</v>
      </c>
      <c r="P34" t="str">
        <f t="shared" si="1"/>
        <v>27 P55,65</v>
      </c>
      <c r="Q34">
        <f>PRODUCT($O$8:$O34)</f>
        <v>0.98312977905955612</v>
      </c>
    </row>
    <row r="35" spans="1:17" x14ac:dyDescent="0.3">
      <c r="A35">
        <v>27</v>
      </c>
      <c r="B35">
        <v>0.26100000000000001</v>
      </c>
      <c r="C35">
        <v>0.68799999999999994</v>
      </c>
      <c r="D35">
        <f>Table2[[#This Row],[Fix]]/MAX(FIx)</f>
        <v>2.61E-4</v>
      </c>
      <c r="E35">
        <f>Table2[[#This Row],[Mix]]/MAX(FIx)</f>
        <v>6.8799999999999992E-4</v>
      </c>
      <c r="F35">
        <f>1-Table2[[#This Row],[Fqx]]</f>
        <v>0.99973900000000004</v>
      </c>
      <c r="G35">
        <f>1-Table2[[#This Row],[Mqx]]</f>
        <v>0.99931199999999998</v>
      </c>
      <c r="I35">
        <f t="shared" si="2"/>
        <v>27</v>
      </c>
      <c r="J35">
        <f>MIN(Qx!MaxAge,Table3[[#This Row],[Survivng t Years]]+$J$6)</f>
        <v>82</v>
      </c>
      <c r="K35">
        <f>MIN(Table3[[#This Row],[Survivng t Years]]+$K$6,Qx!MaxAge)</f>
        <v>92</v>
      </c>
      <c r="L35">
        <f>VLOOKUP(Table3[[#This Row],[To Age]],$A$8:$G$128,L$6,FALSE)</f>
        <v>0.96749099999999999</v>
      </c>
      <c r="M35">
        <f>VLOOKUP(Table3[[#This Row],[To Age2]],$A$8:$G$128,M$6,FALSE)</f>
        <v>0.86283200000000004</v>
      </c>
      <c r="N35" t="str">
        <f t="shared" si="0"/>
        <v>P82,92</v>
      </c>
      <c r="O35">
        <f>Table3[[#This Row],[Px]]+Table3[[#This Row],[Py]]-Table3[[#This Row],[Px]]*Table3[[#This Row],[Py]]</f>
        <v>0.99554080548799984</v>
      </c>
      <c r="P35" t="str">
        <f t="shared" si="1"/>
        <v>28 P55,65</v>
      </c>
      <c r="Q35">
        <f>PRODUCT($O$8:$O35)</f>
        <v>0.97874581214418976</v>
      </c>
    </row>
    <row r="36" spans="1:17" x14ac:dyDescent="0.3">
      <c r="A36">
        <v>28</v>
      </c>
      <c r="B36">
        <v>0.27</v>
      </c>
      <c r="C36">
        <v>0.71</v>
      </c>
      <c r="D36">
        <f>Table2[[#This Row],[Fix]]/MAX(FIx)</f>
        <v>2.7E-4</v>
      </c>
      <c r="E36">
        <f>Table2[[#This Row],[Mix]]/MAX(FIx)</f>
        <v>7.0999999999999991E-4</v>
      </c>
      <c r="F36">
        <f>1-Table2[[#This Row],[Fqx]]</f>
        <v>0.99973000000000001</v>
      </c>
      <c r="G36">
        <f>1-Table2[[#This Row],[Mqx]]</f>
        <v>0.99929000000000001</v>
      </c>
      <c r="I36">
        <f t="shared" si="2"/>
        <v>28</v>
      </c>
      <c r="J36">
        <f>MIN(Qx!MaxAge,Table3[[#This Row],[Survivng t Years]]+$J$6)</f>
        <v>83</v>
      </c>
      <c r="K36">
        <f>MIN(Table3[[#This Row],[Survivng t Years]]+$K$6,Qx!MaxAge)</f>
        <v>93</v>
      </c>
      <c r="L36">
        <f>VLOOKUP(Table3[[#This Row],[To Age]],$A$8:$G$128,L$6,FALSE)</f>
        <v>0.96267100000000005</v>
      </c>
      <c r="M36">
        <f>VLOOKUP(Table3[[#This Row],[To Age2]],$A$8:$G$128,M$6,FALSE)</f>
        <v>0.84782899999999994</v>
      </c>
      <c r="N36" t="str">
        <f t="shared" si="0"/>
        <v>P83,93</v>
      </c>
      <c r="O36">
        <f>Table3[[#This Row],[Px]]+Table3[[#This Row],[Py]]-Table3[[#This Row],[Px]]*Table3[[#This Row],[Py]]</f>
        <v>0.99431960874100001</v>
      </c>
      <c r="P36" t="str">
        <f t="shared" si="1"/>
        <v>29 P55,65</v>
      </c>
      <c r="Q36">
        <f>PRODUCT($O$8:$O36)</f>
        <v>0.97318615298810307</v>
      </c>
    </row>
    <row r="37" spans="1:17" x14ac:dyDescent="0.3">
      <c r="A37">
        <v>29</v>
      </c>
      <c r="B37">
        <v>0.28100000000000003</v>
      </c>
      <c r="C37">
        <v>0.72699999999999998</v>
      </c>
      <c r="D37">
        <f>Table2[[#This Row],[Fix]]/MAX(FIx)</f>
        <v>2.8100000000000005E-4</v>
      </c>
      <c r="E37">
        <f>Table2[[#This Row],[Mix]]/MAX(FIx)</f>
        <v>7.27E-4</v>
      </c>
      <c r="F37">
        <f>1-Table2[[#This Row],[Fqx]]</f>
        <v>0.99971900000000002</v>
      </c>
      <c r="G37">
        <f>1-Table2[[#This Row],[Mqx]]</f>
        <v>0.99927299999999997</v>
      </c>
      <c r="I37">
        <f t="shared" si="2"/>
        <v>29</v>
      </c>
      <c r="J37">
        <f>MIN(Qx!MaxAge,Table3[[#This Row],[Survivng t Years]]+$J$6)</f>
        <v>84</v>
      </c>
      <c r="K37">
        <f>MIN(Table3[[#This Row],[Survivng t Years]]+$K$6,Qx!MaxAge)</f>
        <v>94</v>
      </c>
      <c r="L37">
        <f>VLOOKUP(Table3[[#This Row],[To Age]],$A$8:$G$128,L$6,FALSE)</f>
        <v>0.95716999999999997</v>
      </c>
      <c r="M37">
        <f>VLOOKUP(Table3[[#This Row],[To Age2]],$A$8:$G$128,M$6,FALSE)</f>
        <v>0.83180600000000005</v>
      </c>
      <c r="N37" t="str">
        <f t="shared" si="0"/>
        <v>P84,94</v>
      </c>
      <c r="O37">
        <f>Table3[[#This Row],[Px]]+Table3[[#This Row],[Py]]-Table3[[#This Row],[Px]]*Table3[[#This Row],[Py]]</f>
        <v>0.99279625097999991</v>
      </c>
      <c r="P37" t="str">
        <f t="shared" si="1"/>
        <v>30 P55,65</v>
      </c>
      <c r="Q37">
        <f>PRODUCT($O$8:$O37)</f>
        <v>0.96617556419223738</v>
      </c>
    </row>
    <row r="38" spans="1:17" x14ac:dyDescent="0.3">
      <c r="A38">
        <v>30</v>
      </c>
      <c r="B38">
        <v>0.3</v>
      </c>
      <c r="C38">
        <v>0.74099999999999999</v>
      </c>
      <c r="D38">
        <f>Table2[[#This Row],[Fix]]/MAX(FIx)</f>
        <v>2.9999999999999997E-4</v>
      </c>
      <c r="E38">
        <f>Table2[[#This Row],[Mix]]/MAX(FIx)</f>
        <v>7.4100000000000001E-4</v>
      </c>
      <c r="F38">
        <f>1-Table2[[#This Row],[Fqx]]</f>
        <v>0.99970000000000003</v>
      </c>
      <c r="G38">
        <f>1-Table2[[#This Row],[Mqx]]</f>
        <v>0.99925900000000001</v>
      </c>
      <c r="I38">
        <f t="shared" si="2"/>
        <v>30</v>
      </c>
      <c r="J38">
        <f>MIN(Qx!MaxAge,Table3[[#This Row],[Survivng t Years]]+$J$6)</f>
        <v>85</v>
      </c>
      <c r="K38">
        <f>MIN(Table3[[#This Row],[Survivng t Years]]+$K$6,Qx!MaxAge)</f>
        <v>95</v>
      </c>
      <c r="L38">
        <f>VLOOKUP(Table3[[#This Row],[To Age]],$A$8:$G$128,L$6,FALSE)</f>
        <v>0.95100300000000004</v>
      </c>
      <c r="M38">
        <f>VLOOKUP(Table3[[#This Row],[To Age2]],$A$8:$G$128,M$6,FALSE)</f>
        <v>0.81474000000000002</v>
      </c>
      <c r="N38" t="str">
        <f t="shared" si="0"/>
        <v>P85,95</v>
      </c>
      <c r="O38">
        <f>Table3[[#This Row],[Px]]+Table3[[#This Row],[Py]]-Table3[[#This Row],[Px]]*Table3[[#This Row],[Py]]</f>
        <v>0.99092281577999997</v>
      </c>
      <c r="P38" t="str">
        <f t="shared" si="1"/>
        <v>31 P55,65</v>
      </c>
      <c r="Q38">
        <f>PRODUCT($O$8:$O38)</f>
        <v>0.95740541060720197</v>
      </c>
    </row>
    <row r="39" spans="1:17" x14ac:dyDescent="0.3">
      <c r="A39">
        <v>31</v>
      </c>
      <c r="B39">
        <v>0.32100000000000001</v>
      </c>
      <c r="C39">
        <v>0.751</v>
      </c>
      <c r="D39">
        <f>Table2[[#This Row],[Fix]]/MAX(FIx)</f>
        <v>3.21E-4</v>
      </c>
      <c r="E39">
        <f>Table2[[#This Row],[Mix]]/MAX(FIx)</f>
        <v>7.5100000000000004E-4</v>
      </c>
      <c r="F39">
        <f>1-Table2[[#This Row],[Fqx]]</f>
        <v>0.99967899999999998</v>
      </c>
      <c r="G39">
        <f>1-Table2[[#This Row],[Mqx]]</f>
        <v>0.99924900000000005</v>
      </c>
      <c r="I39">
        <f t="shared" si="2"/>
        <v>31</v>
      </c>
      <c r="J39">
        <f>MIN(Qx!MaxAge,Table3[[#This Row],[Survivng t Years]]+$J$6)</f>
        <v>86</v>
      </c>
      <c r="K39">
        <f>MIN(Table3[[#This Row],[Survivng t Years]]+$K$6,Qx!MaxAge)</f>
        <v>96</v>
      </c>
      <c r="L39">
        <f>VLOOKUP(Table3[[#This Row],[To Age]],$A$8:$G$128,L$6,FALSE)</f>
        <v>0.94422600000000001</v>
      </c>
      <c r="M39">
        <f>VLOOKUP(Table3[[#This Row],[To Age2]],$A$8:$G$128,M$6,FALSE)</f>
        <v>0.802678</v>
      </c>
      <c r="N39" t="str">
        <f t="shared" si="0"/>
        <v>P86,96</v>
      </c>
      <c r="O39">
        <f>Table3[[#This Row],[Px]]+Table3[[#This Row],[Py]]-Table3[[#This Row],[Px]]*Table3[[#This Row],[Py]]</f>
        <v>0.98899456277200004</v>
      </c>
      <c r="P39" t="str">
        <f t="shared" si="1"/>
        <v>32 P55,65</v>
      </c>
      <c r="Q39">
        <f>PRODUCT($O$8:$O39)</f>
        <v>0.94686874545901689</v>
      </c>
    </row>
    <row r="40" spans="1:17" x14ac:dyDescent="0.3">
      <c r="A40">
        <v>32</v>
      </c>
      <c r="B40">
        <v>0.33800000000000002</v>
      </c>
      <c r="C40">
        <v>0.754</v>
      </c>
      <c r="D40">
        <f>Table2[[#This Row],[Fix]]/MAX(FIx)</f>
        <v>3.3800000000000003E-4</v>
      </c>
      <c r="E40">
        <f>Table2[[#This Row],[Mix]]/MAX(FIx)</f>
        <v>7.54E-4</v>
      </c>
      <c r="F40">
        <f>1-Table2[[#This Row],[Fqx]]</f>
        <v>0.99966200000000005</v>
      </c>
      <c r="G40">
        <f>1-Table2[[#This Row],[Mqx]]</f>
        <v>0.99924599999999997</v>
      </c>
      <c r="I40">
        <f t="shared" si="2"/>
        <v>32</v>
      </c>
      <c r="J40">
        <f>MIN(Qx!MaxAge,Table3[[#This Row],[Survivng t Years]]+$J$6)</f>
        <v>87</v>
      </c>
      <c r="K40">
        <f>MIN(Table3[[#This Row],[Survivng t Years]]+$K$6,Qx!MaxAge)</f>
        <v>97</v>
      </c>
      <c r="L40">
        <f>VLOOKUP(Table3[[#This Row],[To Age]],$A$8:$G$128,L$6,FALSE)</f>
        <v>0.93686000000000003</v>
      </c>
      <c r="M40">
        <f>VLOOKUP(Table3[[#This Row],[To Age2]],$A$8:$G$128,M$6,FALSE)</f>
        <v>0.78524899999999997</v>
      </c>
      <c r="N40" t="str">
        <f t="shared" ref="N40:N71" si="3">"P"&amp;J40&amp;","&amp;K40</f>
        <v>P87,97</v>
      </c>
      <c r="O40">
        <f>Table3[[#This Row],[Px]]+Table3[[#This Row],[Py]]-Table3[[#This Row],[Px]]*Table3[[#This Row],[Py]]</f>
        <v>0.98644062186000014</v>
      </c>
      <c r="P40" t="str">
        <f t="shared" ref="P40:P71" si="4">I40+1&amp;" P"&amp;$J$8&amp;","&amp;$K$8</f>
        <v>33 P55,65</v>
      </c>
      <c r="Q40">
        <f>PRODUCT($O$8:$O40)</f>
        <v>0.93402979409039077</v>
      </c>
    </row>
    <row r="41" spans="1:17" x14ac:dyDescent="0.3">
      <c r="A41">
        <v>33</v>
      </c>
      <c r="B41">
        <v>0.35099999999999998</v>
      </c>
      <c r="C41">
        <v>0.75600000000000001</v>
      </c>
      <c r="D41">
        <f>Table2[[#This Row],[Fix]]/MAX(FIx)</f>
        <v>3.5099999999999997E-4</v>
      </c>
      <c r="E41">
        <f>Table2[[#This Row],[Mix]]/MAX(FIx)</f>
        <v>7.5600000000000005E-4</v>
      </c>
      <c r="F41">
        <f>1-Table2[[#This Row],[Fqx]]</f>
        <v>0.99964900000000001</v>
      </c>
      <c r="G41">
        <f>1-Table2[[#This Row],[Mqx]]</f>
        <v>0.99924400000000002</v>
      </c>
      <c r="I41">
        <f t="shared" ref="I41:I72" si="5">I40+1</f>
        <v>33</v>
      </c>
      <c r="J41">
        <f>MIN(Qx!MaxAge,Table3[[#This Row],[Survivng t Years]]+$J$6)</f>
        <v>88</v>
      </c>
      <c r="K41">
        <f>MIN(Table3[[#This Row],[Survivng t Years]]+$K$6,Qx!MaxAge)</f>
        <v>98</v>
      </c>
      <c r="L41">
        <f>VLOOKUP(Table3[[#This Row],[To Age]],$A$8:$G$128,L$6,FALSE)</f>
        <v>0.92893400000000004</v>
      </c>
      <c r="M41">
        <f>VLOOKUP(Table3[[#This Row],[To Age2]],$A$8:$G$128,M$6,FALSE)</f>
        <v>0.76749299999999998</v>
      </c>
      <c r="N41" t="str">
        <f t="shared" si="3"/>
        <v>P88,98</v>
      </c>
      <c r="O41">
        <f>Table3[[#This Row],[Px]]+Table3[[#This Row],[Py]]-Table3[[#This Row],[Px]]*Table3[[#This Row],[Py]]</f>
        <v>0.98347665753799984</v>
      </c>
      <c r="P41" t="str">
        <f t="shared" si="4"/>
        <v>34 P55,65</v>
      </c>
      <c r="Q41">
        <f>PRODUCT($O$8:$O41)</f>
        <v>0.9185964999329238</v>
      </c>
    </row>
    <row r="42" spans="1:17" x14ac:dyDescent="0.3">
      <c r="A42">
        <v>34</v>
      </c>
      <c r="B42">
        <v>0.36499999999999999</v>
      </c>
      <c r="C42">
        <v>0.75600000000000001</v>
      </c>
      <c r="D42">
        <f>Table2[[#This Row],[Fix]]/MAX(FIx)</f>
        <v>3.6499999999999998E-4</v>
      </c>
      <c r="E42">
        <f>Table2[[#This Row],[Mix]]/MAX(FIx)</f>
        <v>7.5600000000000005E-4</v>
      </c>
      <c r="F42">
        <f>1-Table2[[#This Row],[Fqx]]</f>
        <v>0.99963500000000005</v>
      </c>
      <c r="G42">
        <f>1-Table2[[#This Row],[Mqx]]</f>
        <v>0.99924400000000002</v>
      </c>
      <c r="I42">
        <f t="shared" si="5"/>
        <v>34</v>
      </c>
      <c r="J42">
        <f>MIN(Qx!MaxAge,Table3[[#This Row],[Survivng t Years]]+$J$6)</f>
        <v>89</v>
      </c>
      <c r="K42">
        <f>MIN(Table3[[#This Row],[Survivng t Years]]+$K$6,Qx!MaxAge)</f>
        <v>99</v>
      </c>
      <c r="L42">
        <f>VLOOKUP(Table3[[#This Row],[To Age]],$A$8:$G$128,L$6,FALSE)</f>
        <v>0.92049800000000004</v>
      </c>
      <c r="M42">
        <f>VLOOKUP(Table3[[#This Row],[To Age2]],$A$8:$G$128,M$6,FALSE)</f>
        <v>0.74960300000000002</v>
      </c>
      <c r="N42" t="str">
        <f t="shared" si="3"/>
        <v>P89,99</v>
      </c>
      <c r="O42">
        <f>Table3[[#This Row],[Px]]+Table3[[#This Row],[Py]]-Table3[[#This Row],[Px]]*Table3[[#This Row],[Py]]</f>
        <v>0.98009293770600003</v>
      </c>
      <c r="P42" t="str">
        <f t="shared" si="4"/>
        <v>35 P55,65</v>
      </c>
      <c r="Q42">
        <f>PRODUCT($O$8:$O42)</f>
        <v>0.9003099421857087</v>
      </c>
    </row>
    <row r="43" spans="1:17" x14ac:dyDescent="0.3">
      <c r="A43">
        <v>35</v>
      </c>
      <c r="B43">
        <v>0.38100000000000001</v>
      </c>
      <c r="C43">
        <v>0.75600000000000001</v>
      </c>
      <c r="D43">
        <f>Table2[[#This Row],[Fix]]/MAX(FIx)</f>
        <v>3.8099999999999999E-4</v>
      </c>
      <c r="E43">
        <f>Table2[[#This Row],[Mix]]/MAX(FIx)</f>
        <v>7.5600000000000005E-4</v>
      </c>
      <c r="F43">
        <f>1-Table2[[#This Row],[Fqx]]</f>
        <v>0.99961900000000004</v>
      </c>
      <c r="G43">
        <f>1-Table2[[#This Row],[Mqx]]</f>
        <v>0.99924400000000002</v>
      </c>
      <c r="I43">
        <f t="shared" si="5"/>
        <v>35</v>
      </c>
      <c r="J43">
        <f>MIN(Qx!MaxAge,Table3[[#This Row],[Survivng t Years]]+$J$6)</f>
        <v>90</v>
      </c>
      <c r="K43">
        <f>MIN(Table3[[#This Row],[Survivng t Years]]+$K$6,Qx!MaxAge)</f>
        <v>100</v>
      </c>
      <c r="L43">
        <f>VLOOKUP(Table3[[#This Row],[To Age]],$A$8:$G$128,L$6,FALSE)</f>
        <v>0.91162299999999996</v>
      </c>
      <c r="M43">
        <f>VLOOKUP(Table3[[#This Row],[To Age2]],$A$8:$G$128,M$6,FALSE)</f>
        <v>0.73139299999999996</v>
      </c>
      <c r="N43" t="str">
        <f t="shared" si="3"/>
        <v>P90,100</v>
      </c>
      <c r="O43">
        <f>Table3[[#This Row],[Px]]+Table3[[#This Row],[Py]]-Table3[[#This Row],[Px]]*Table3[[#This Row],[Py]]</f>
        <v>0.9762613191609999</v>
      </c>
      <c r="P43" t="str">
        <f t="shared" si="4"/>
        <v>36 P55,65</v>
      </c>
      <c r="Q43">
        <f>PRODUCT($O$8:$O43)</f>
        <v>0.87893777181198351</v>
      </c>
    </row>
    <row r="44" spans="1:17" x14ac:dyDescent="0.3">
      <c r="A44">
        <v>36</v>
      </c>
      <c r="B44">
        <v>0.40200000000000002</v>
      </c>
      <c r="C44">
        <v>0.75600000000000001</v>
      </c>
      <c r="D44">
        <f>Table2[[#This Row],[Fix]]/MAX(FIx)</f>
        <v>4.0200000000000001E-4</v>
      </c>
      <c r="E44">
        <f>Table2[[#This Row],[Mix]]/MAX(FIx)</f>
        <v>7.5600000000000005E-4</v>
      </c>
      <c r="F44">
        <f>1-Table2[[#This Row],[Fqx]]</f>
        <v>0.99959799999999999</v>
      </c>
      <c r="G44">
        <f>1-Table2[[#This Row],[Mqx]]</f>
        <v>0.99924400000000002</v>
      </c>
      <c r="I44">
        <f t="shared" si="5"/>
        <v>36</v>
      </c>
      <c r="J44">
        <f>MIN(Qx!MaxAge,Table3[[#This Row],[Survivng t Years]]+$J$6)</f>
        <v>91</v>
      </c>
      <c r="K44">
        <f>MIN(Table3[[#This Row],[Survivng t Years]]+$K$6,Qx!MaxAge)</f>
        <v>101</v>
      </c>
      <c r="L44">
        <f>VLOOKUP(Table3[[#This Row],[To Age]],$A$8:$G$128,L$6,FALSE)</f>
        <v>0.90250900000000001</v>
      </c>
      <c r="M44">
        <f>VLOOKUP(Table3[[#This Row],[To Age2]],$A$8:$G$128,M$6,FALSE)</f>
        <v>0.70998399999999995</v>
      </c>
      <c r="N44" t="str">
        <f t="shared" si="3"/>
        <v>P91,101</v>
      </c>
      <c r="O44">
        <f>Table3[[#This Row],[Px]]+Table3[[#This Row],[Py]]-Table3[[#This Row],[Px]]*Table3[[#This Row],[Py]]</f>
        <v>0.97172605014400004</v>
      </c>
      <c r="P44" t="str">
        <f t="shared" si="4"/>
        <v>37 P55,65</v>
      </c>
      <c r="Q44">
        <f>PRODUCT($O$8:$O44)</f>
        <v>0.85408672932522711</v>
      </c>
    </row>
    <row r="45" spans="1:17" x14ac:dyDescent="0.3">
      <c r="A45">
        <v>37</v>
      </c>
      <c r="B45">
        <v>0.42899999999999999</v>
      </c>
      <c r="C45">
        <v>0.75600000000000001</v>
      </c>
      <c r="D45">
        <f>Table2[[#This Row],[Fix]]/MAX(FIx)</f>
        <v>4.2900000000000002E-4</v>
      </c>
      <c r="E45">
        <f>Table2[[#This Row],[Mix]]/MAX(FIx)</f>
        <v>7.5600000000000005E-4</v>
      </c>
      <c r="F45">
        <f>1-Table2[[#This Row],[Fqx]]</f>
        <v>0.99957099999999999</v>
      </c>
      <c r="G45">
        <f>1-Table2[[#This Row],[Mqx]]</f>
        <v>0.99924400000000002</v>
      </c>
      <c r="I45">
        <f t="shared" si="5"/>
        <v>37</v>
      </c>
      <c r="J45">
        <f>MIN(Qx!MaxAge,Table3[[#This Row],[Survivng t Years]]+$J$6)</f>
        <v>92</v>
      </c>
      <c r="K45">
        <f>MIN(Table3[[#This Row],[Survivng t Years]]+$K$6,Qx!MaxAge)</f>
        <v>102</v>
      </c>
      <c r="L45">
        <f>VLOOKUP(Table3[[#This Row],[To Age]],$A$8:$G$128,L$6,FALSE)</f>
        <v>0.89273099999999994</v>
      </c>
      <c r="M45">
        <f>VLOOKUP(Table3[[#This Row],[To Age2]],$A$8:$G$128,M$6,FALSE)</f>
        <v>0.68815099999999996</v>
      </c>
      <c r="N45" t="str">
        <f t="shared" si="3"/>
        <v>P92,102</v>
      </c>
      <c r="O45">
        <f>Table3[[#This Row],[Px]]+Table3[[#This Row],[Py]]-Table3[[#This Row],[Px]]*Table3[[#This Row],[Py]]</f>
        <v>0.96654826961899998</v>
      </c>
      <c r="P45" t="str">
        <f t="shared" si="4"/>
        <v>38 P55,65</v>
      </c>
      <c r="Q45">
        <f>PRODUCT($O$8:$O45)</f>
        <v>0.82551605033384945</v>
      </c>
    </row>
    <row r="46" spans="1:17" x14ac:dyDescent="0.3">
      <c r="A46">
        <v>38</v>
      </c>
      <c r="B46">
        <v>0.46300000000000002</v>
      </c>
      <c r="C46">
        <v>0.75600000000000001</v>
      </c>
      <c r="D46">
        <f>Table2[[#This Row],[Fix]]/MAX(FIx)</f>
        <v>4.6300000000000003E-4</v>
      </c>
      <c r="E46">
        <f>Table2[[#This Row],[Mix]]/MAX(FIx)</f>
        <v>7.5600000000000005E-4</v>
      </c>
      <c r="F46">
        <f>1-Table2[[#This Row],[Fqx]]</f>
        <v>0.99953700000000001</v>
      </c>
      <c r="G46">
        <f>1-Table2[[#This Row],[Mqx]]</f>
        <v>0.99924400000000002</v>
      </c>
      <c r="I46">
        <f t="shared" si="5"/>
        <v>38</v>
      </c>
      <c r="J46">
        <f>MIN(Qx!MaxAge,Table3[[#This Row],[Survivng t Years]]+$J$6)</f>
        <v>93</v>
      </c>
      <c r="K46">
        <f>MIN(Table3[[#This Row],[Survivng t Years]]+$K$6,Qx!MaxAge)</f>
        <v>103</v>
      </c>
      <c r="L46">
        <f>VLOOKUP(Table3[[#This Row],[To Age]],$A$8:$G$128,L$6,FALSE)</f>
        <v>0.881799</v>
      </c>
      <c r="M46">
        <f>VLOOKUP(Table3[[#This Row],[To Age2]],$A$8:$G$128,M$6,FALSE)</f>
        <v>0.66603800000000002</v>
      </c>
      <c r="N46" t="str">
        <f t="shared" si="3"/>
        <v>P93,103</v>
      </c>
      <c r="O46">
        <f>Table3[[#This Row],[Px]]+Table3[[#This Row],[Py]]-Table3[[#This Row],[Px]]*Table3[[#This Row],[Py]]</f>
        <v>0.96052535763799984</v>
      </c>
      <c r="P46" t="str">
        <f t="shared" si="4"/>
        <v>39 P55,65</v>
      </c>
      <c r="Q46">
        <f>PRODUCT($O$8:$O46)</f>
        <v>0.79292909948282986</v>
      </c>
    </row>
    <row r="47" spans="1:17" x14ac:dyDescent="0.3">
      <c r="A47">
        <v>39</v>
      </c>
      <c r="B47">
        <v>0.504</v>
      </c>
      <c r="C47">
        <v>0.8</v>
      </c>
      <c r="D47">
        <f>Table2[[#This Row],[Fix]]/MAX(FIx)</f>
        <v>5.04E-4</v>
      </c>
      <c r="E47">
        <f>Table2[[#This Row],[Mix]]/MAX(FIx)</f>
        <v>8.0000000000000004E-4</v>
      </c>
      <c r="F47">
        <f>1-Table2[[#This Row],[Fqx]]</f>
        <v>0.99949600000000005</v>
      </c>
      <c r="G47">
        <f>1-Table2[[#This Row],[Mqx]]</f>
        <v>0.99919999999999998</v>
      </c>
      <c r="I47">
        <f t="shared" si="5"/>
        <v>39</v>
      </c>
      <c r="J47">
        <f>MIN(Qx!MaxAge,Table3[[#This Row],[Survivng t Years]]+$J$6)</f>
        <v>94</v>
      </c>
      <c r="K47">
        <f>MIN(Table3[[#This Row],[Survivng t Years]]+$K$6,Qx!MaxAge)</f>
        <v>104</v>
      </c>
      <c r="L47">
        <f>VLOOKUP(Table3[[#This Row],[To Age]],$A$8:$G$128,L$6,FALSE)</f>
        <v>0.869031</v>
      </c>
      <c r="M47">
        <f>VLOOKUP(Table3[[#This Row],[To Age2]],$A$8:$G$128,M$6,FALSE)</f>
        <v>0.64379300000000006</v>
      </c>
      <c r="N47" t="str">
        <f t="shared" si="3"/>
        <v>P94,104</v>
      </c>
      <c r="O47">
        <f>Table3[[#This Row],[Px]]+Table3[[#This Row],[Py]]-Table3[[#This Row],[Px]]*Table3[[#This Row],[Py]]</f>
        <v>0.95334792541700009</v>
      </c>
      <c r="P47" t="str">
        <f t="shared" si="4"/>
        <v>40 P55,65</v>
      </c>
      <c r="Q47">
        <f>PRODUCT($O$8:$O47)</f>
        <v>0.75593731199472591</v>
      </c>
    </row>
    <row r="48" spans="1:17" x14ac:dyDescent="0.3">
      <c r="A48">
        <v>40</v>
      </c>
      <c r="B48">
        <v>0.55200000000000005</v>
      </c>
      <c r="C48">
        <v>0.85899999999999999</v>
      </c>
      <c r="D48">
        <f>Table2[[#This Row],[Fix]]/MAX(FIx)</f>
        <v>5.5200000000000008E-4</v>
      </c>
      <c r="E48">
        <f>Table2[[#This Row],[Mix]]/MAX(FIx)</f>
        <v>8.5899999999999995E-4</v>
      </c>
      <c r="F48">
        <f>1-Table2[[#This Row],[Fqx]]</f>
        <v>0.999448</v>
      </c>
      <c r="G48">
        <f>1-Table2[[#This Row],[Mqx]]</f>
        <v>0.99914099999999995</v>
      </c>
      <c r="I48">
        <f t="shared" si="5"/>
        <v>40</v>
      </c>
      <c r="J48">
        <f>MIN(Qx!MaxAge,Table3[[#This Row],[Survivng t Years]]+$J$6)</f>
        <v>95</v>
      </c>
      <c r="K48">
        <f>MIN(Table3[[#This Row],[Survivng t Years]]+$K$6,Qx!MaxAge)</f>
        <v>105</v>
      </c>
      <c r="L48">
        <f>VLOOKUP(Table3[[#This Row],[To Age]],$A$8:$G$128,L$6,FALSE)</f>
        <v>0.85355099999999995</v>
      </c>
      <c r="M48">
        <f>VLOOKUP(Table3[[#This Row],[To Age2]],$A$8:$G$128,M$6,FALSE)</f>
        <v>0.62</v>
      </c>
      <c r="N48" t="str">
        <f t="shared" si="3"/>
        <v>P95,105</v>
      </c>
      <c r="O48">
        <f>Table3[[#This Row],[Px]]+Table3[[#This Row],[Py]]-Table3[[#This Row],[Px]]*Table3[[#This Row],[Py]]</f>
        <v>0.94434938000000013</v>
      </c>
      <c r="P48" t="str">
        <f t="shared" si="4"/>
        <v>41 P55,65</v>
      </c>
      <c r="Q48">
        <f>PRODUCT($O$8:$O48)</f>
        <v>0.71386893190108602</v>
      </c>
    </row>
    <row r="49" spans="1:17" x14ac:dyDescent="0.3">
      <c r="A49">
        <v>41</v>
      </c>
      <c r="B49">
        <v>0.6</v>
      </c>
      <c r="C49">
        <v>0.92600000000000005</v>
      </c>
      <c r="D49">
        <f>Table2[[#This Row],[Fix]]/MAX(FIx)</f>
        <v>5.9999999999999995E-4</v>
      </c>
      <c r="E49">
        <f>Table2[[#This Row],[Mix]]/MAX(FIx)</f>
        <v>9.2600000000000007E-4</v>
      </c>
      <c r="F49">
        <f>1-Table2[[#This Row],[Fqx]]</f>
        <v>0.99939999999999996</v>
      </c>
      <c r="G49">
        <f>1-Table2[[#This Row],[Mqx]]</f>
        <v>0.99907400000000002</v>
      </c>
      <c r="I49">
        <f t="shared" si="5"/>
        <v>41</v>
      </c>
      <c r="J49">
        <f>MIN(Qx!MaxAge,Table3[[#This Row],[Survivng t Years]]+$J$6)</f>
        <v>96</v>
      </c>
      <c r="K49">
        <f>MIN(Table3[[#This Row],[Survivng t Years]]+$K$6,Qx!MaxAge)</f>
        <v>106</v>
      </c>
      <c r="L49">
        <f>VLOOKUP(Table3[[#This Row],[To Age]],$A$8:$G$128,L$6,FALSE)</f>
        <v>0.83609200000000006</v>
      </c>
      <c r="M49">
        <f>VLOOKUP(Table3[[#This Row],[To Age2]],$A$8:$G$128,M$6,FALSE)</f>
        <v>0.6</v>
      </c>
      <c r="N49" t="str">
        <f t="shared" si="3"/>
        <v>P96,106</v>
      </c>
      <c r="O49">
        <f>Table3[[#This Row],[Px]]+Table3[[#This Row],[Py]]-Table3[[#This Row],[Px]]*Table3[[#This Row],[Py]]</f>
        <v>0.93443679999999996</v>
      </c>
      <c r="P49" t="str">
        <f t="shared" si="4"/>
        <v>42 P55,65</v>
      </c>
      <c r="Q49">
        <f>PRODUCT($O$8:$O49)</f>
        <v>0.66706540034506867</v>
      </c>
    </row>
    <row r="50" spans="1:17" x14ac:dyDescent="0.3">
      <c r="A50">
        <v>42</v>
      </c>
      <c r="B50">
        <v>0.65</v>
      </c>
      <c r="C50">
        <v>0.999</v>
      </c>
      <c r="D50">
        <f>Table2[[#This Row],[Fix]]/MAX(FIx)</f>
        <v>6.4999999999999997E-4</v>
      </c>
      <c r="E50">
        <f>Table2[[#This Row],[Mix]]/MAX(FIx)</f>
        <v>9.990000000000001E-4</v>
      </c>
      <c r="F50">
        <f>1-Table2[[#This Row],[Fqx]]</f>
        <v>0.99934999999999996</v>
      </c>
      <c r="G50">
        <f>1-Table2[[#This Row],[Mqx]]</f>
        <v>0.99900100000000003</v>
      </c>
      <c r="I50">
        <f t="shared" si="5"/>
        <v>42</v>
      </c>
      <c r="J50">
        <f>MIN(Qx!MaxAge,Table3[[#This Row],[Survivng t Years]]+$J$6)</f>
        <v>97</v>
      </c>
      <c r="K50">
        <f>MIN(Table3[[#This Row],[Survivng t Years]]+$K$6,Qx!MaxAge)</f>
        <v>107</v>
      </c>
      <c r="L50">
        <f>VLOOKUP(Table3[[#This Row],[To Age]],$A$8:$G$128,L$6,FALSE)</f>
        <v>0.82030500000000006</v>
      </c>
      <c r="M50">
        <f>VLOOKUP(Table3[[#This Row],[To Age2]],$A$8:$G$128,M$6,FALSE)</f>
        <v>0.6</v>
      </c>
      <c r="N50" t="str">
        <f t="shared" si="3"/>
        <v>P97,107</v>
      </c>
      <c r="O50">
        <f>Table3[[#This Row],[Px]]+Table3[[#This Row],[Py]]-Table3[[#This Row],[Px]]*Table3[[#This Row],[Py]]</f>
        <v>0.92812199999999989</v>
      </c>
      <c r="P50" t="str">
        <f t="shared" si="4"/>
        <v>43 P55,65</v>
      </c>
      <c r="Q50">
        <f>PRODUCT($O$8:$O50)</f>
        <v>0.61911807349906578</v>
      </c>
    </row>
    <row r="51" spans="1:17" x14ac:dyDescent="0.3">
      <c r="A51">
        <v>43</v>
      </c>
      <c r="B51">
        <v>0.69699999999999995</v>
      </c>
      <c r="C51">
        <v>1.069</v>
      </c>
      <c r="D51">
        <f>Table2[[#This Row],[Fix]]/MAX(FIx)</f>
        <v>6.9699999999999992E-4</v>
      </c>
      <c r="E51">
        <f>Table2[[#This Row],[Mix]]/MAX(FIx)</f>
        <v>1.0689999999999999E-3</v>
      </c>
      <c r="F51">
        <f>1-Table2[[#This Row],[Fqx]]</f>
        <v>0.99930300000000005</v>
      </c>
      <c r="G51">
        <f>1-Table2[[#This Row],[Mqx]]</f>
        <v>0.99893100000000001</v>
      </c>
      <c r="I51">
        <f t="shared" si="5"/>
        <v>43</v>
      </c>
      <c r="J51">
        <f>MIN(Qx!MaxAge,Table3[[#This Row],[Survivng t Years]]+$J$6)</f>
        <v>98</v>
      </c>
      <c r="K51">
        <f>MIN(Table3[[#This Row],[Survivng t Years]]+$K$6,Qx!MaxAge)</f>
        <v>108</v>
      </c>
      <c r="L51">
        <f>VLOOKUP(Table3[[#This Row],[To Age]],$A$8:$G$128,L$6,FALSE)</f>
        <v>0.80384900000000004</v>
      </c>
      <c r="M51">
        <f>VLOOKUP(Table3[[#This Row],[To Age2]],$A$8:$G$128,M$6,FALSE)</f>
        <v>0.6</v>
      </c>
      <c r="N51" t="str">
        <f t="shared" si="3"/>
        <v>P98,108</v>
      </c>
      <c r="O51">
        <f>Table3[[#This Row],[Px]]+Table3[[#This Row],[Py]]-Table3[[#This Row],[Px]]*Table3[[#This Row],[Py]]</f>
        <v>0.92153960000000013</v>
      </c>
      <c r="P51" t="str">
        <f t="shared" si="4"/>
        <v>44 P55,65</v>
      </c>
      <c r="Q51">
        <f>PRODUCT($O$8:$O51)</f>
        <v>0.57054182180509971</v>
      </c>
    </row>
    <row r="52" spans="1:17" x14ac:dyDescent="0.3">
      <c r="A52">
        <v>44</v>
      </c>
      <c r="B52">
        <v>0.74</v>
      </c>
      <c r="C52">
        <v>1.1419999999999999</v>
      </c>
      <c r="D52">
        <f>Table2[[#This Row],[Fix]]/MAX(FIx)</f>
        <v>7.3999999999999999E-4</v>
      </c>
      <c r="E52">
        <f>Table2[[#This Row],[Mix]]/MAX(FIx)</f>
        <v>1.142E-3</v>
      </c>
      <c r="F52">
        <f>1-Table2[[#This Row],[Fqx]]</f>
        <v>0.99926000000000004</v>
      </c>
      <c r="G52">
        <f>1-Table2[[#This Row],[Mqx]]</f>
        <v>0.99885800000000002</v>
      </c>
      <c r="I52">
        <f t="shared" si="5"/>
        <v>44</v>
      </c>
      <c r="J52">
        <f>MIN(Qx!MaxAge,Table3[[#This Row],[Survivng t Years]]+$J$6)</f>
        <v>99</v>
      </c>
      <c r="K52">
        <f>MIN(Table3[[#This Row],[Survivng t Years]]+$K$6,Qx!MaxAge)</f>
        <v>109</v>
      </c>
      <c r="L52">
        <f>VLOOKUP(Table3[[#This Row],[To Age]],$A$8:$G$128,L$6,FALSE)</f>
        <v>0.78685000000000005</v>
      </c>
      <c r="M52">
        <f>VLOOKUP(Table3[[#This Row],[To Age2]],$A$8:$G$128,M$6,FALSE)</f>
        <v>0.6</v>
      </c>
      <c r="N52" t="str">
        <f t="shared" si="3"/>
        <v>P99,109</v>
      </c>
      <c r="O52">
        <f>Table3[[#This Row],[Px]]+Table3[[#This Row],[Py]]-Table3[[#This Row],[Px]]*Table3[[#This Row],[Py]]</f>
        <v>0.91473999999999989</v>
      </c>
      <c r="P52" t="str">
        <f t="shared" si="4"/>
        <v>45 P55,65</v>
      </c>
      <c r="Q52">
        <f>PRODUCT($O$8:$O52)</f>
        <v>0.52189742607799683</v>
      </c>
    </row>
    <row r="53" spans="1:17" x14ac:dyDescent="0.3">
      <c r="A53">
        <v>45</v>
      </c>
      <c r="B53">
        <v>0.78</v>
      </c>
      <c r="C53">
        <v>1.2190000000000001</v>
      </c>
      <c r="D53">
        <f>Table2[[#This Row],[Fix]]/MAX(FIx)</f>
        <v>7.7999999999999999E-4</v>
      </c>
      <c r="E53">
        <f>Table2[[#This Row],[Mix]]/MAX(FIx)</f>
        <v>1.219E-3</v>
      </c>
      <c r="F53">
        <f>1-Table2[[#This Row],[Fqx]]</f>
        <v>0.99922</v>
      </c>
      <c r="G53">
        <f>1-Table2[[#This Row],[Mqx]]</f>
        <v>0.99878100000000003</v>
      </c>
      <c r="I53">
        <f t="shared" si="5"/>
        <v>45</v>
      </c>
      <c r="J53">
        <f>MIN(Qx!MaxAge,Table3[[#This Row],[Survivng t Years]]+$J$6)</f>
        <v>100</v>
      </c>
      <c r="K53">
        <f>MIN(Table3[[#This Row],[Survivng t Years]]+$K$6,Qx!MaxAge)</f>
        <v>110</v>
      </c>
      <c r="L53">
        <f>VLOOKUP(Table3[[#This Row],[To Age]],$A$8:$G$128,L$6,FALSE)</f>
        <v>0.76927800000000002</v>
      </c>
      <c r="M53">
        <f>VLOOKUP(Table3[[#This Row],[To Age2]],$A$8:$G$128,M$6,FALSE)</f>
        <v>0.6</v>
      </c>
      <c r="N53" t="str">
        <f t="shared" si="3"/>
        <v>P100,110</v>
      </c>
      <c r="O53">
        <f>Table3[[#This Row],[Px]]+Table3[[#This Row],[Py]]-Table3[[#This Row],[Px]]*Table3[[#This Row],[Py]]</f>
        <v>0.90771120000000005</v>
      </c>
      <c r="P53" t="str">
        <f t="shared" si="4"/>
        <v>46 P55,65</v>
      </c>
      <c r="Q53">
        <f>PRODUCT($O$8:$O53)</f>
        <v>0.47373213890216981</v>
      </c>
    </row>
    <row r="54" spans="1:17" x14ac:dyDescent="0.3">
      <c r="A54">
        <v>46</v>
      </c>
      <c r="B54">
        <v>0.82499999999999996</v>
      </c>
      <c r="C54">
        <v>1.3180000000000001</v>
      </c>
      <c r="D54">
        <f>Table2[[#This Row],[Fix]]/MAX(FIx)</f>
        <v>8.25E-4</v>
      </c>
      <c r="E54">
        <f>Table2[[#This Row],[Mix]]/MAX(FIx)</f>
        <v>1.3180000000000002E-3</v>
      </c>
      <c r="F54">
        <f>1-Table2[[#This Row],[Fqx]]</f>
        <v>0.99917500000000004</v>
      </c>
      <c r="G54">
        <f>1-Table2[[#This Row],[Mqx]]</f>
        <v>0.99868199999999996</v>
      </c>
      <c r="I54">
        <f t="shared" si="5"/>
        <v>46</v>
      </c>
      <c r="J54">
        <f>MIN(Qx!MaxAge,Table3[[#This Row],[Survivng t Years]]+$J$6)</f>
        <v>101</v>
      </c>
      <c r="K54">
        <f>MIN(Table3[[#This Row],[Survivng t Years]]+$K$6,Qx!MaxAge)</f>
        <v>111</v>
      </c>
      <c r="L54">
        <f>VLOOKUP(Table3[[#This Row],[To Age]],$A$8:$G$128,L$6,FALSE)</f>
        <v>0.74849500000000002</v>
      </c>
      <c r="M54">
        <f>VLOOKUP(Table3[[#This Row],[To Age2]],$A$8:$G$128,M$6,FALSE)</f>
        <v>0.6</v>
      </c>
      <c r="N54" t="str">
        <f t="shared" si="3"/>
        <v>P101,111</v>
      </c>
      <c r="O54">
        <f>Table3[[#This Row],[Px]]+Table3[[#This Row],[Py]]-Table3[[#This Row],[Px]]*Table3[[#This Row],[Py]]</f>
        <v>0.89939799999999992</v>
      </c>
      <c r="P54" t="str">
        <f t="shared" si="4"/>
        <v>47 P55,65</v>
      </c>
      <c r="Q54">
        <f>PRODUCT($O$8:$O54)</f>
        <v>0.4260737382643337</v>
      </c>
    </row>
    <row r="55" spans="1:17" x14ac:dyDescent="0.3">
      <c r="A55">
        <v>47</v>
      </c>
      <c r="B55">
        <v>0.88500000000000001</v>
      </c>
      <c r="C55">
        <v>1.454</v>
      </c>
      <c r="D55">
        <f>Table2[[#This Row],[Fix]]/MAX(FIx)</f>
        <v>8.8500000000000004E-4</v>
      </c>
      <c r="E55">
        <f>Table2[[#This Row],[Mix]]/MAX(FIx)</f>
        <v>1.454E-3</v>
      </c>
      <c r="F55">
        <f>1-Table2[[#This Row],[Fqx]]</f>
        <v>0.99911499999999998</v>
      </c>
      <c r="G55">
        <f>1-Table2[[#This Row],[Mqx]]</f>
        <v>0.99854600000000004</v>
      </c>
      <c r="I55">
        <f t="shared" si="5"/>
        <v>47</v>
      </c>
      <c r="J55">
        <f>MIN(Qx!MaxAge,Table3[[#This Row],[Survivng t Years]]+$J$6)</f>
        <v>102</v>
      </c>
      <c r="K55">
        <f>MIN(Table3[[#This Row],[Survivng t Years]]+$K$6,Qx!MaxAge)</f>
        <v>112</v>
      </c>
      <c r="L55">
        <f>VLOOKUP(Table3[[#This Row],[To Age]],$A$8:$G$128,L$6,FALSE)</f>
        <v>0.726993</v>
      </c>
      <c r="M55">
        <f>VLOOKUP(Table3[[#This Row],[To Age2]],$A$8:$G$128,M$6,FALSE)</f>
        <v>0.6</v>
      </c>
      <c r="N55" t="str">
        <f t="shared" si="3"/>
        <v>P102,112</v>
      </c>
      <c r="O55">
        <f>Table3[[#This Row],[Px]]+Table3[[#This Row],[Py]]-Table3[[#This Row],[Px]]*Table3[[#This Row],[Py]]</f>
        <v>0.89079719999999996</v>
      </c>
      <c r="P55" t="str">
        <f t="shared" si="4"/>
        <v>48 P55,65</v>
      </c>
      <c r="Q55">
        <f>PRODUCT($O$8:$O55)</f>
        <v>0.37954529303940132</v>
      </c>
    </row>
    <row r="56" spans="1:17" x14ac:dyDescent="0.3">
      <c r="A56">
        <v>48</v>
      </c>
      <c r="B56">
        <v>0.96399999999999997</v>
      </c>
      <c r="C56">
        <v>1.627</v>
      </c>
      <c r="D56">
        <f>Table2[[#This Row],[Fix]]/MAX(FIx)</f>
        <v>9.6400000000000001E-4</v>
      </c>
      <c r="E56">
        <f>Table2[[#This Row],[Mix]]/MAX(FIx)</f>
        <v>1.627E-3</v>
      </c>
      <c r="F56">
        <f>1-Table2[[#This Row],[Fqx]]</f>
        <v>0.99903600000000004</v>
      </c>
      <c r="G56">
        <f>1-Table2[[#This Row],[Mqx]]</f>
        <v>0.99837299999999995</v>
      </c>
      <c r="I56">
        <f t="shared" si="5"/>
        <v>48</v>
      </c>
      <c r="J56">
        <f>MIN(Qx!MaxAge,Table3[[#This Row],[Survivng t Years]]+$J$6)</f>
        <v>103</v>
      </c>
      <c r="K56">
        <f>MIN(Table3[[#This Row],[Survivng t Years]]+$K$6,Qx!MaxAge)</f>
        <v>113</v>
      </c>
      <c r="L56">
        <f>VLOOKUP(Table3[[#This Row],[To Age]],$A$8:$G$128,L$6,FALSE)</f>
        <v>0.70491400000000004</v>
      </c>
      <c r="M56">
        <f>VLOOKUP(Table3[[#This Row],[To Age2]],$A$8:$G$128,M$6,FALSE)</f>
        <v>0.6</v>
      </c>
      <c r="N56" t="str">
        <f t="shared" si="3"/>
        <v>P103,113</v>
      </c>
      <c r="O56">
        <f>Table3[[#This Row],[Px]]+Table3[[#This Row],[Py]]-Table3[[#This Row],[Px]]*Table3[[#This Row],[Py]]</f>
        <v>0.88196560000000013</v>
      </c>
      <c r="P56" t="str">
        <f t="shared" si="4"/>
        <v>49 P55,65</v>
      </c>
      <c r="Q56">
        <f>PRODUCT($O$8:$O56)</f>
        <v>0.33474589210267147</v>
      </c>
    </row>
    <row r="57" spans="1:17" x14ac:dyDescent="0.3">
      <c r="A57">
        <v>49</v>
      </c>
      <c r="B57">
        <v>1.0509999999999999</v>
      </c>
      <c r="C57">
        <v>1.829</v>
      </c>
      <c r="D57">
        <f>Table2[[#This Row],[Fix]]/MAX(FIx)</f>
        <v>1.0509999999999999E-3</v>
      </c>
      <c r="E57">
        <f>Table2[[#This Row],[Mix]]/MAX(FIx)</f>
        <v>1.8289999999999999E-3</v>
      </c>
      <c r="F57">
        <f>1-Table2[[#This Row],[Fqx]]</f>
        <v>0.99894899999999998</v>
      </c>
      <c r="G57">
        <f>1-Table2[[#This Row],[Mqx]]</f>
        <v>0.99817100000000003</v>
      </c>
      <c r="I57">
        <f t="shared" si="5"/>
        <v>49</v>
      </c>
      <c r="J57">
        <f>MIN(Qx!MaxAge,Table3[[#This Row],[Survivng t Years]]+$J$6)</f>
        <v>104</v>
      </c>
      <c r="K57">
        <f>MIN(Table3[[#This Row],[Survivng t Years]]+$K$6,Qx!MaxAge)</f>
        <v>114</v>
      </c>
      <c r="L57">
        <f>VLOOKUP(Table3[[#This Row],[To Age]],$A$8:$G$128,L$6,FALSE)</f>
        <v>0.68240900000000004</v>
      </c>
      <c r="M57">
        <f>VLOOKUP(Table3[[#This Row],[To Age2]],$A$8:$G$128,M$6,FALSE)</f>
        <v>0.6</v>
      </c>
      <c r="N57" t="str">
        <f t="shared" si="3"/>
        <v>P104,114</v>
      </c>
      <c r="O57">
        <f>Table3[[#This Row],[Px]]+Table3[[#This Row],[Py]]-Table3[[#This Row],[Px]]*Table3[[#This Row],[Py]]</f>
        <v>0.87296359999999984</v>
      </c>
      <c r="P57" t="str">
        <f t="shared" si="4"/>
        <v>50 P55,65</v>
      </c>
      <c r="Q57">
        <f>PRODUCT($O$8:$O57)</f>
        <v>0.29222097905515959</v>
      </c>
    </row>
    <row r="58" spans="1:17" x14ac:dyDescent="0.3">
      <c r="A58">
        <v>50</v>
      </c>
      <c r="B58">
        <v>1.161</v>
      </c>
      <c r="C58">
        <v>2.0569999999999999</v>
      </c>
      <c r="D58">
        <f>Table2[[#This Row],[Fix]]/MAX(FIx)</f>
        <v>1.1610000000000001E-3</v>
      </c>
      <c r="E58">
        <f>Table2[[#This Row],[Mix]]/MAX(FIx)</f>
        <v>2.0569999999999998E-3</v>
      </c>
      <c r="F58">
        <f>1-Table2[[#This Row],[Fqx]]</f>
        <v>0.99883900000000003</v>
      </c>
      <c r="G58">
        <f>1-Table2[[#This Row],[Mqx]]</f>
        <v>0.99794300000000002</v>
      </c>
      <c r="I58">
        <f t="shared" si="5"/>
        <v>50</v>
      </c>
      <c r="J58">
        <f>MIN(Qx!MaxAge,Table3[[#This Row],[Survivng t Years]]+$J$6)</f>
        <v>105</v>
      </c>
      <c r="K58">
        <f>MIN(Table3[[#This Row],[Survivng t Years]]+$K$6,Qx!MaxAge)</f>
        <v>115</v>
      </c>
      <c r="L58">
        <f>VLOOKUP(Table3[[#This Row],[To Age]],$A$8:$G$128,L$6,FALSE)</f>
        <v>0.65963799999999995</v>
      </c>
      <c r="M58">
        <f>VLOOKUP(Table3[[#This Row],[To Age2]],$A$8:$G$128,M$6,FALSE)</f>
        <v>0.6</v>
      </c>
      <c r="N58" t="str">
        <f t="shared" si="3"/>
        <v>P105,115</v>
      </c>
      <c r="O58">
        <f>Table3[[#This Row],[Px]]+Table3[[#This Row],[Py]]-Table3[[#This Row],[Px]]*Table3[[#This Row],[Py]]</f>
        <v>0.86385519999999993</v>
      </c>
      <c r="P58" t="str">
        <f t="shared" si="4"/>
        <v>51 P55,65</v>
      </c>
      <c r="Q58">
        <f>PRODUCT($O$8:$O58)</f>
        <v>0.25243661230589071</v>
      </c>
    </row>
    <row r="59" spans="1:17" x14ac:dyDescent="0.3">
      <c r="A59">
        <v>51</v>
      </c>
      <c r="B59">
        <v>1.3080000000000001</v>
      </c>
      <c r="C59">
        <v>2.302</v>
      </c>
      <c r="D59">
        <f>Table2[[#This Row],[Fix]]/MAX(FIx)</f>
        <v>1.3080000000000001E-3</v>
      </c>
      <c r="E59">
        <f>Table2[[#This Row],[Mix]]/MAX(FIx)</f>
        <v>2.3020000000000002E-3</v>
      </c>
      <c r="F59">
        <f>1-Table2[[#This Row],[Fqx]]</f>
        <v>0.99869200000000002</v>
      </c>
      <c r="G59">
        <f>1-Table2[[#This Row],[Mqx]]</f>
        <v>0.99769799999999997</v>
      </c>
      <c r="I59">
        <f t="shared" si="5"/>
        <v>51</v>
      </c>
      <c r="J59">
        <f>MIN(Qx!MaxAge,Table3[[#This Row],[Survivng t Years]]+$J$6)</f>
        <v>106</v>
      </c>
      <c r="K59">
        <f>MIN(Table3[[#This Row],[Survivng t Years]]+$K$6,Qx!MaxAge)</f>
        <v>116</v>
      </c>
      <c r="L59">
        <f>VLOOKUP(Table3[[#This Row],[To Age]],$A$8:$G$128,L$6,FALSE)</f>
        <v>0.637629</v>
      </c>
      <c r="M59">
        <f>VLOOKUP(Table3[[#This Row],[To Age2]],$A$8:$G$128,M$6,FALSE)</f>
        <v>0.6</v>
      </c>
      <c r="N59" t="str">
        <f t="shared" si="3"/>
        <v>P106,116</v>
      </c>
      <c r="O59">
        <f>Table3[[#This Row],[Px]]+Table3[[#This Row],[Py]]-Table3[[#This Row],[Px]]*Table3[[#This Row],[Py]]</f>
        <v>0.85505160000000013</v>
      </c>
      <c r="P59" t="str">
        <f t="shared" si="4"/>
        <v>52 P55,65</v>
      </c>
      <c r="Q59">
        <f>PRODUCT($O$8:$O59)</f>
        <v>0.21584632925073158</v>
      </c>
    </row>
    <row r="60" spans="1:17" x14ac:dyDescent="0.3">
      <c r="A60">
        <v>52</v>
      </c>
      <c r="B60">
        <v>1.46</v>
      </c>
      <c r="C60">
        <v>2.5449999999999999</v>
      </c>
      <c r="D60">
        <f>Table2[[#This Row],[Fix]]/MAX(FIx)</f>
        <v>1.4599999999999999E-3</v>
      </c>
      <c r="E60">
        <f>Table2[[#This Row],[Mix]]/MAX(FIx)</f>
        <v>2.545E-3</v>
      </c>
      <c r="F60">
        <f>1-Table2[[#This Row],[Fqx]]</f>
        <v>0.99853999999999998</v>
      </c>
      <c r="G60">
        <f>1-Table2[[#This Row],[Mqx]]</f>
        <v>0.99745499999999998</v>
      </c>
      <c r="I60">
        <f t="shared" si="5"/>
        <v>52</v>
      </c>
      <c r="J60">
        <f>MIN(Qx!MaxAge,Table3[[#This Row],[Survivng t Years]]+$J$6)</f>
        <v>107</v>
      </c>
      <c r="K60">
        <f>MIN(Table3[[#This Row],[Survivng t Years]]+$K$6,Qx!MaxAge)</f>
        <v>117</v>
      </c>
      <c r="L60">
        <f>VLOOKUP(Table3[[#This Row],[To Age]],$A$8:$G$128,L$6,FALSE)</f>
        <v>0.61588700000000007</v>
      </c>
      <c r="M60">
        <f>VLOOKUP(Table3[[#This Row],[To Age2]],$A$8:$G$128,M$6,FALSE)</f>
        <v>0.6</v>
      </c>
      <c r="N60" t="str">
        <f t="shared" si="3"/>
        <v>P107,117</v>
      </c>
      <c r="O60">
        <f>Table3[[#This Row],[Px]]+Table3[[#This Row],[Py]]-Table3[[#This Row],[Px]]*Table3[[#This Row],[Py]]</f>
        <v>0.84635479999999985</v>
      </c>
      <c r="P60" t="str">
        <f t="shared" si="4"/>
        <v>53 P55,65</v>
      </c>
      <c r="Q60">
        <f>PRODUCT($O$8:$O60)</f>
        <v>0.18268257682373704</v>
      </c>
    </row>
    <row r="61" spans="1:17" x14ac:dyDescent="0.3">
      <c r="A61">
        <v>53</v>
      </c>
      <c r="B61">
        <v>1.613</v>
      </c>
      <c r="C61">
        <v>2.7789999999999999</v>
      </c>
      <c r="D61">
        <f>Table2[[#This Row],[Fix]]/MAX(FIx)</f>
        <v>1.6130000000000001E-3</v>
      </c>
      <c r="E61">
        <f>Table2[[#This Row],[Mix]]/MAX(FIx)</f>
        <v>2.7789999999999998E-3</v>
      </c>
      <c r="F61">
        <f>1-Table2[[#This Row],[Fqx]]</f>
        <v>0.99838700000000002</v>
      </c>
      <c r="G61">
        <f>1-Table2[[#This Row],[Mqx]]</f>
        <v>0.99722100000000002</v>
      </c>
      <c r="I61">
        <f t="shared" si="5"/>
        <v>53</v>
      </c>
      <c r="J61">
        <f>MIN(Qx!MaxAge,Table3[[#This Row],[Survivng t Years]]+$J$6)</f>
        <v>108</v>
      </c>
      <c r="K61">
        <f>MIN(Table3[[#This Row],[Survivng t Years]]+$K$6,Qx!MaxAge)</f>
        <v>118</v>
      </c>
      <c r="L61">
        <f>VLOOKUP(Table3[[#This Row],[To Age]],$A$8:$G$128,L$6,FALSE)</f>
        <v>0.6</v>
      </c>
      <c r="M61">
        <f>VLOOKUP(Table3[[#This Row],[To Age2]],$A$8:$G$128,M$6,FALSE)</f>
        <v>0.6</v>
      </c>
      <c r="N61" t="str">
        <f t="shared" si="3"/>
        <v>P108,118</v>
      </c>
      <c r="O61">
        <f>Table3[[#This Row],[Px]]+Table3[[#This Row],[Py]]-Table3[[#This Row],[Px]]*Table3[[#This Row],[Py]]</f>
        <v>0.84</v>
      </c>
      <c r="P61" t="str">
        <f t="shared" si="4"/>
        <v>54 P55,65</v>
      </c>
      <c r="Q61">
        <f>PRODUCT($O$8:$O61)</f>
        <v>0.15345336453193911</v>
      </c>
    </row>
    <row r="62" spans="1:17" x14ac:dyDescent="0.3">
      <c r="A62">
        <v>54</v>
      </c>
      <c r="B62">
        <v>1.774</v>
      </c>
      <c r="C62">
        <v>3.0110000000000001</v>
      </c>
      <c r="D62">
        <f>Table2[[#This Row],[Fix]]/MAX(FIx)</f>
        <v>1.774E-3</v>
      </c>
      <c r="E62">
        <f>Table2[[#This Row],[Mix]]/MAX(FIx)</f>
        <v>3.0110000000000002E-3</v>
      </c>
      <c r="F62">
        <f>1-Table2[[#This Row],[Fqx]]</f>
        <v>0.99822599999999995</v>
      </c>
      <c r="G62">
        <f>1-Table2[[#This Row],[Mqx]]</f>
        <v>0.99698900000000001</v>
      </c>
      <c r="I62">
        <f t="shared" si="5"/>
        <v>54</v>
      </c>
      <c r="J62">
        <f>MIN(Qx!MaxAge,Table3[[#This Row],[Survivng t Years]]+$J$6)</f>
        <v>109</v>
      </c>
      <c r="K62">
        <f>MIN(Table3[[#This Row],[Survivng t Years]]+$K$6,Qx!MaxAge)</f>
        <v>119</v>
      </c>
      <c r="L62">
        <f>VLOOKUP(Table3[[#This Row],[To Age]],$A$8:$G$128,L$6,FALSE)</f>
        <v>0.6</v>
      </c>
      <c r="M62">
        <f>VLOOKUP(Table3[[#This Row],[To Age2]],$A$8:$G$128,M$6,FALSE)</f>
        <v>0.6</v>
      </c>
      <c r="N62" t="str">
        <f t="shared" si="3"/>
        <v>P109,119</v>
      </c>
      <c r="O62">
        <f>Table3[[#This Row],[Px]]+Table3[[#This Row],[Py]]-Table3[[#This Row],[Px]]*Table3[[#This Row],[Py]]</f>
        <v>0.84</v>
      </c>
      <c r="P62" t="str">
        <f t="shared" si="4"/>
        <v>55 P55,65</v>
      </c>
      <c r="Q62">
        <f>PRODUCT($O$8:$O62)</f>
        <v>0.12890082620682886</v>
      </c>
    </row>
    <row r="63" spans="1:17" x14ac:dyDescent="0.3">
      <c r="A63">
        <v>55</v>
      </c>
      <c r="B63">
        <v>1.95</v>
      </c>
      <c r="C63">
        <v>3.254</v>
      </c>
      <c r="D63">
        <f>Table2[[#This Row],[Fix]]/MAX(FIx)</f>
        <v>1.9499999999999999E-3</v>
      </c>
      <c r="E63">
        <f>Table2[[#This Row],[Mix]]/MAX(FIx)</f>
        <v>3.2539999999999999E-3</v>
      </c>
      <c r="F63">
        <f>1-Table2[[#This Row],[Fqx]]</f>
        <v>0.99804999999999999</v>
      </c>
      <c r="G63">
        <f>1-Table2[[#This Row],[Mqx]]</f>
        <v>0.99674600000000002</v>
      </c>
      <c r="I63">
        <f t="shared" si="5"/>
        <v>55</v>
      </c>
      <c r="J63">
        <f>MIN(Qx!MaxAge,Table3[[#This Row],[Survivng t Years]]+$J$6)</f>
        <v>110</v>
      </c>
      <c r="K63">
        <f>MIN(Table3[[#This Row],[Survivng t Years]]+$K$6,Qx!MaxAge)</f>
        <v>120</v>
      </c>
      <c r="L63">
        <f>VLOOKUP(Table3[[#This Row],[To Age]],$A$8:$G$128,L$6,FALSE)</f>
        <v>0.6</v>
      </c>
      <c r="M63">
        <f>VLOOKUP(Table3[[#This Row],[To Age2]],$A$8:$G$128,M$6,FALSE)</f>
        <v>0</v>
      </c>
      <c r="N63" t="str">
        <f t="shared" si="3"/>
        <v>P110,120</v>
      </c>
      <c r="O63">
        <f>Table3[[#This Row],[Px]]+Table3[[#This Row],[Py]]-Table3[[#This Row],[Px]]*Table3[[#This Row],[Py]]</f>
        <v>0.6</v>
      </c>
      <c r="P63" t="str">
        <f t="shared" si="4"/>
        <v>56 P55,65</v>
      </c>
      <c r="Q63">
        <f>PRODUCT($O$8:$O63)</f>
        <v>7.7340495724097305E-2</v>
      </c>
    </row>
    <row r="64" spans="1:17" x14ac:dyDescent="0.3">
      <c r="A64">
        <v>56</v>
      </c>
      <c r="B64">
        <v>2.1539999999999999</v>
      </c>
      <c r="C64">
        <v>3.5289999999999999</v>
      </c>
      <c r="D64">
        <f>Table2[[#This Row],[Fix]]/MAX(FIx)</f>
        <v>2.1540000000000001E-3</v>
      </c>
      <c r="E64">
        <f>Table2[[#This Row],[Mix]]/MAX(FIx)</f>
        <v>3.529E-3</v>
      </c>
      <c r="F64">
        <f>1-Table2[[#This Row],[Fqx]]</f>
        <v>0.99784600000000001</v>
      </c>
      <c r="G64">
        <f>1-Table2[[#This Row],[Mqx]]</f>
        <v>0.996471</v>
      </c>
      <c r="I64">
        <f t="shared" si="5"/>
        <v>56</v>
      </c>
      <c r="J64">
        <f>MIN(Qx!MaxAge,Table3[[#This Row],[Survivng t Years]]+$J$6)</f>
        <v>111</v>
      </c>
      <c r="K64">
        <f>MIN(Table3[[#This Row],[Survivng t Years]]+$K$6,Qx!MaxAge)</f>
        <v>120</v>
      </c>
      <c r="L64">
        <f>VLOOKUP(Table3[[#This Row],[To Age]],$A$8:$G$128,L$6,FALSE)</f>
        <v>0.6</v>
      </c>
      <c r="M64">
        <f>VLOOKUP(Table3[[#This Row],[To Age2]],$A$8:$G$128,M$6,FALSE)</f>
        <v>0</v>
      </c>
      <c r="N64" t="str">
        <f t="shared" si="3"/>
        <v>P111,120</v>
      </c>
      <c r="O64">
        <f>Table3[[#This Row],[Px]]+Table3[[#This Row],[Py]]-Table3[[#This Row],[Px]]*Table3[[#This Row],[Py]]</f>
        <v>0.6</v>
      </c>
      <c r="P64" t="str">
        <f t="shared" si="4"/>
        <v>57 P55,65</v>
      </c>
      <c r="Q64">
        <f>PRODUCT($O$8:$O64)</f>
        <v>4.6404297434458383E-2</v>
      </c>
    </row>
    <row r="65" spans="1:17" x14ac:dyDescent="0.3">
      <c r="A65">
        <v>57</v>
      </c>
      <c r="B65">
        <v>2.399</v>
      </c>
      <c r="C65">
        <v>3.8450000000000002</v>
      </c>
      <c r="D65">
        <f>Table2[[#This Row],[Fix]]/MAX(FIx)</f>
        <v>2.3990000000000001E-3</v>
      </c>
      <c r="E65">
        <f>Table2[[#This Row],[Mix]]/MAX(FIx)</f>
        <v>3.8450000000000003E-3</v>
      </c>
      <c r="F65">
        <f>1-Table2[[#This Row],[Fqx]]</f>
        <v>0.99760099999999996</v>
      </c>
      <c r="G65">
        <f>1-Table2[[#This Row],[Mqx]]</f>
        <v>0.99615500000000001</v>
      </c>
      <c r="I65">
        <f t="shared" si="5"/>
        <v>57</v>
      </c>
      <c r="J65">
        <f>MIN(Qx!MaxAge,Table3[[#This Row],[Survivng t Years]]+$J$6)</f>
        <v>112</v>
      </c>
      <c r="K65">
        <f>MIN(Table3[[#This Row],[Survivng t Years]]+$K$6,Qx!MaxAge)</f>
        <v>120</v>
      </c>
      <c r="L65">
        <f>VLOOKUP(Table3[[#This Row],[To Age]],$A$8:$G$128,L$6,FALSE)</f>
        <v>0.6</v>
      </c>
      <c r="M65">
        <f>VLOOKUP(Table3[[#This Row],[To Age2]],$A$8:$G$128,M$6,FALSE)</f>
        <v>0</v>
      </c>
      <c r="N65" t="str">
        <f t="shared" si="3"/>
        <v>P112,120</v>
      </c>
      <c r="O65">
        <f>Table3[[#This Row],[Px]]+Table3[[#This Row],[Py]]-Table3[[#This Row],[Px]]*Table3[[#This Row],[Py]]</f>
        <v>0.6</v>
      </c>
      <c r="P65" t="str">
        <f t="shared" si="4"/>
        <v>58 P55,65</v>
      </c>
      <c r="Q65">
        <f>PRODUCT($O$8:$O65)</f>
        <v>2.7842578460675029E-2</v>
      </c>
    </row>
    <row r="66" spans="1:17" x14ac:dyDescent="0.3">
      <c r="A66">
        <v>58</v>
      </c>
      <c r="B66">
        <v>2.7</v>
      </c>
      <c r="C66">
        <v>4.2130000000000001</v>
      </c>
      <c r="D66">
        <f>Table2[[#This Row],[Fix]]/MAX(FIx)</f>
        <v>2.7000000000000001E-3</v>
      </c>
      <c r="E66">
        <f>Table2[[#This Row],[Mix]]/MAX(FIx)</f>
        <v>4.2129999999999997E-3</v>
      </c>
      <c r="F66">
        <f>1-Table2[[#This Row],[Fqx]]</f>
        <v>0.99729999999999996</v>
      </c>
      <c r="G66">
        <f>1-Table2[[#This Row],[Mqx]]</f>
        <v>0.99578699999999998</v>
      </c>
      <c r="I66">
        <f t="shared" si="5"/>
        <v>58</v>
      </c>
      <c r="J66">
        <f>MIN(Qx!MaxAge,Table3[[#This Row],[Survivng t Years]]+$J$6)</f>
        <v>113</v>
      </c>
      <c r="K66">
        <f>MIN(Table3[[#This Row],[Survivng t Years]]+$K$6,Qx!MaxAge)</f>
        <v>120</v>
      </c>
      <c r="L66">
        <f>VLOOKUP(Table3[[#This Row],[To Age]],$A$8:$G$128,L$6,FALSE)</f>
        <v>0.6</v>
      </c>
      <c r="M66">
        <f>VLOOKUP(Table3[[#This Row],[To Age2]],$A$8:$G$128,M$6,FALSE)</f>
        <v>0</v>
      </c>
      <c r="N66" t="str">
        <f t="shared" si="3"/>
        <v>P113,120</v>
      </c>
      <c r="O66">
        <f>Table3[[#This Row],[Px]]+Table3[[#This Row],[Py]]-Table3[[#This Row],[Px]]*Table3[[#This Row],[Py]]</f>
        <v>0.6</v>
      </c>
      <c r="P66" t="str">
        <f t="shared" si="4"/>
        <v>59 P55,65</v>
      </c>
      <c r="Q66">
        <f>PRODUCT($O$8:$O66)</f>
        <v>1.6705547076405015E-2</v>
      </c>
    </row>
    <row r="67" spans="1:17" x14ac:dyDescent="0.3">
      <c r="A67">
        <v>59</v>
      </c>
      <c r="B67">
        <v>3.0539999999999998</v>
      </c>
      <c r="C67">
        <v>4.6310000000000002</v>
      </c>
      <c r="D67">
        <f>Table2[[#This Row],[Fix]]/MAX(FIx)</f>
        <v>3.0539999999999999E-3</v>
      </c>
      <c r="E67">
        <f>Table2[[#This Row],[Mix]]/MAX(FIx)</f>
        <v>4.6310000000000006E-3</v>
      </c>
      <c r="F67">
        <f>1-Table2[[#This Row],[Fqx]]</f>
        <v>0.996946</v>
      </c>
      <c r="G67">
        <f>1-Table2[[#This Row],[Mqx]]</f>
        <v>0.99536899999999995</v>
      </c>
      <c r="I67">
        <f t="shared" si="5"/>
        <v>59</v>
      </c>
      <c r="J67">
        <f>MIN(Qx!MaxAge,Table3[[#This Row],[Survivng t Years]]+$J$6)</f>
        <v>114</v>
      </c>
      <c r="K67">
        <f>MIN(Table3[[#This Row],[Survivng t Years]]+$K$6,Qx!MaxAge)</f>
        <v>120</v>
      </c>
      <c r="L67">
        <f>VLOOKUP(Table3[[#This Row],[To Age]],$A$8:$G$128,L$6,FALSE)</f>
        <v>0.6</v>
      </c>
      <c r="M67">
        <f>VLOOKUP(Table3[[#This Row],[To Age2]],$A$8:$G$128,M$6,FALSE)</f>
        <v>0</v>
      </c>
      <c r="N67" t="str">
        <f t="shared" si="3"/>
        <v>P114,120</v>
      </c>
      <c r="O67">
        <f>Table3[[#This Row],[Px]]+Table3[[#This Row],[Py]]-Table3[[#This Row],[Px]]*Table3[[#This Row],[Py]]</f>
        <v>0.6</v>
      </c>
      <c r="P67" t="str">
        <f t="shared" si="4"/>
        <v>60 P55,65</v>
      </c>
      <c r="Q67">
        <f>PRODUCT($O$8:$O67)</f>
        <v>1.0023328245843009E-2</v>
      </c>
    </row>
    <row r="68" spans="1:17" x14ac:dyDescent="0.3">
      <c r="A68">
        <v>60</v>
      </c>
      <c r="B68">
        <v>3.46</v>
      </c>
      <c r="C68">
        <v>5.0960000000000001</v>
      </c>
      <c r="D68">
        <f>Table2[[#This Row],[Fix]]/MAX(FIx)</f>
        <v>3.46E-3</v>
      </c>
      <c r="E68">
        <f>Table2[[#This Row],[Mix]]/MAX(FIx)</f>
        <v>5.0959999999999998E-3</v>
      </c>
      <c r="F68">
        <f>1-Table2[[#This Row],[Fqx]]</f>
        <v>0.99653999999999998</v>
      </c>
      <c r="G68">
        <f>1-Table2[[#This Row],[Mqx]]</f>
        <v>0.99490400000000001</v>
      </c>
      <c r="I68">
        <f t="shared" si="5"/>
        <v>60</v>
      </c>
      <c r="J68">
        <f>MIN(Qx!MaxAge,Table3[[#This Row],[Survivng t Years]]+$J$6)</f>
        <v>115</v>
      </c>
      <c r="K68">
        <f>MIN(Table3[[#This Row],[Survivng t Years]]+$K$6,Qx!MaxAge)</f>
        <v>120</v>
      </c>
      <c r="L68">
        <f>VLOOKUP(Table3[[#This Row],[To Age]],$A$8:$G$128,L$6,FALSE)</f>
        <v>0.6</v>
      </c>
      <c r="M68">
        <f>VLOOKUP(Table3[[#This Row],[To Age2]],$A$8:$G$128,M$6,FALSE)</f>
        <v>0</v>
      </c>
      <c r="N68" t="str">
        <f t="shared" si="3"/>
        <v>P115,120</v>
      </c>
      <c r="O68">
        <f>Table3[[#This Row],[Px]]+Table3[[#This Row],[Py]]-Table3[[#This Row],[Px]]*Table3[[#This Row],[Py]]</f>
        <v>0.6</v>
      </c>
      <c r="P68" t="str">
        <f t="shared" si="4"/>
        <v>61 P55,65</v>
      </c>
      <c r="Q68">
        <f>PRODUCT($O$8:$O68)</f>
        <v>6.0139969475058053E-3</v>
      </c>
    </row>
    <row r="69" spans="1:17" x14ac:dyDescent="0.3">
      <c r="A69">
        <v>61</v>
      </c>
      <c r="B69">
        <v>3.9159999999999999</v>
      </c>
      <c r="C69">
        <v>5.6139999999999999</v>
      </c>
      <c r="D69">
        <f>Table2[[#This Row],[Fix]]/MAX(FIx)</f>
        <v>3.9160000000000002E-3</v>
      </c>
      <c r="E69">
        <f>Table2[[#This Row],[Mix]]/MAX(FIx)</f>
        <v>5.6140000000000001E-3</v>
      </c>
      <c r="F69">
        <f>1-Table2[[#This Row],[Fqx]]</f>
        <v>0.99608399999999997</v>
      </c>
      <c r="G69">
        <f>1-Table2[[#This Row],[Mqx]]</f>
        <v>0.99438599999999999</v>
      </c>
      <c r="I69">
        <f t="shared" si="5"/>
        <v>61</v>
      </c>
      <c r="J69">
        <f>MIN(Qx!MaxAge,Table3[[#This Row],[Survivng t Years]]+$J$6)</f>
        <v>116</v>
      </c>
      <c r="K69">
        <f>MIN(Table3[[#This Row],[Survivng t Years]]+$K$6,Qx!MaxAge)</f>
        <v>120</v>
      </c>
      <c r="L69">
        <f>VLOOKUP(Table3[[#This Row],[To Age]],$A$8:$G$128,L$6,FALSE)</f>
        <v>0.6</v>
      </c>
      <c r="M69">
        <f>VLOOKUP(Table3[[#This Row],[To Age2]],$A$8:$G$128,M$6,FALSE)</f>
        <v>0</v>
      </c>
      <c r="N69" t="str">
        <f t="shared" si="3"/>
        <v>P116,120</v>
      </c>
      <c r="O69">
        <f>Table3[[#This Row],[Px]]+Table3[[#This Row],[Py]]-Table3[[#This Row],[Px]]*Table3[[#This Row],[Py]]</f>
        <v>0.6</v>
      </c>
      <c r="P69" t="str">
        <f t="shared" si="4"/>
        <v>62 P55,65</v>
      </c>
      <c r="Q69">
        <f>PRODUCT($O$8:$O69)</f>
        <v>3.6083981685034829E-3</v>
      </c>
    </row>
    <row r="70" spans="1:17" x14ac:dyDescent="0.3">
      <c r="A70">
        <v>62</v>
      </c>
      <c r="B70">
        <v>4.4089999999999998</v>
      </c>
      <c r="C70">
        <v>6.1689999999999996</v>
      </c>
      <c r="D70">
        <f>Table2[[#This Row],[Fix]]/MAX(FIx)</f>
        <v>4.4089999999999997E-3</v>
      </c>
      <c r="E70">
        <f>Table2[[#This Row],[Mix]]/MAX(FIx)</f>
        <v>6.169E-3</v>
      </c>
      <c r="F70">
        <f>1-Table2[[#This Row],[Fqx]]</f>
        <v>0.995591</v>
      </c>
      <c r="G70">
        <f>1-Table2[[#This Row],[Mqx]]</f>
        <v>0.99383100000000002</v>
      </c>
      <c r="I70">
        <f t="shared" si="5"/>
        <v>62</v>
      </c>
      <c r="J70">
        <f>MIN(Qx!MaxAge,Table3[[#This Row],[Survivng t Years]]+$J$6)</f>
        <v>117</v>
      </c>
      <c r="K70">
        <f>MIN(Table3[[#This Row],[Survivng t Years]]+$K$6,Qx!MaxAge)</f>
        <v>120</v>
      </c>
      <c r="L70">
        <f>VLOOKUP(Table3[[#This Row],[To Age]],$A$8:$G$128,L$6,FALSE)</f>
        <v>0.6</v>
      </c>
      <c r="M70">
        <f>VLOOKUP(Table3[[#This Row],[To Age2]],$A$8:$G$128,M$6,FALSE)</f>
        <v>0</v>
      </c>
      <c r="N70" t="str">
        <f t="shared" si="3"/>
        <v>P117,120</v>
      </c>
      <c r="O70">
        <f>Table3[[#This Row],[Px]]+Table3[[#This Row],[Py]]-Table3[[#This Row],[Px]]*Table3[[#This Row],[Py]]</f>
        <v>0.6</v>
      </c>
      <c r="P70" t="str">
        <f t="shared" si="4"/>
        <v>63 P55,65</v>
      </c>
      <c r="Q70">
        <f>PRODUCT($O$8:$O70)</f>
        <v>2.1650389011020899E-3</v>
      </c>
    </row>
    <row r="71" spans="1:17" x14ac:dyDescent="0.3">
      <c r="A71">
        <v>63</v>
      </c>
      <c r="B71">
        <v>4.9329999999999998</v>
      </c>
      <c r="C71">
        <v>6.7590000000000003</v>
      </c>
      <c r="D71">
        <f>Table2[[#This Row],[Fix]]/MAX(FIx)</f>
        <v>4.9329999999999999E-3</v>
      </c>
      <c r="E71">
        <f>Table2[[#This Row],[Mix]]/MAX(FIx)</f>
        <v>6.7590000000000003E-3</v>
      </c>
      <c r="F71">
        <f>1-Table2[[#This Row],[Fqx]]</f>
        <v>0.99506700000000003</v>
      </c>
      <c r="G71">
        <f>1-Table2[[#This Row],[Mqx]]</f>
        <v>0.99324100000000004</v>
      </c>
      <c r="I71">
        <f t="shared" si="5"/>
        <v>63</v>
      </c>
      <c r="J71">
        <f>MIN(Qx!MaxAge,Table3[[#This Row],[Survivng t Years]]+$J$6)</f>
        <v>118</v>
      </c>
      <c r="K71">
        <f>MIN(Table3[[#This Row],[Survivng t Years]]+$K$6,Qx!MaxAge)</f>
        <v>120</v>
      </c>
      <c r="L71">
        <f>VLOOKUP(Table3[[#This Row],[To Age]],$A$8:$G$128,L$6,FALSE)</f>
        <v>0.6</v>
      </c>
      <c r="M71">
        <f>VLOOKUP(Table3[[#This Row],[To Age2]],$A$8:$G$128,M$6,FALSE)</f>
        <v>0</v>
      </c>
      <c r="N71" t="str">
        <f t="shared" si="3"/>
        <v>P118,120</v>
      </c>
      <c r="O71">
        <f>Table3[[#This Row],[Px]]+Table3[[#This Row],[Py]]-Table3[[#This Row],[Px]]*Table3[[#This Row],[Py]]</f>
        <v>0.6</v>
      </c>
      <c r="P71" t="str">
        <f t="shared" si="4"/>
        <v>64 P55,65</v>
      </c>
      <c r="Q71">
        <f>PRODUCT($O$8:$O71)</f>
        <v>1.2990233406612538E-3</v>
      </c>
    </row>
    <row r="72" spans="1:17" x14ac:dyDescent="0.3">
      <c r="A72">
        <v>64</v>
      </c>
      <c r="B72">
        <v>5.5069999999999997</v>
      </c>
      <c r="C72">
        <v>7.3979999999999997</v>
      </c>
      <c r="D72">
        <f>Table2[[#This Row],[Fix]]/MAX(FIx)</f>
        <v>5.5069999999999997E-3</v>
      </c>
      <c r="E72">
        <f>Table2[[#This Row],[Mix]]/MAX(FIx)</f>
        <v>7.3980000000000001E-3</v>
      </c>
      <c r="F72">
        <f>1-Table2[[#This Row],[Fqx]]</f>
        <v>0.99449299999999996</v>
      </c>
      <c r="G72">
        <f>1-Table2[[#This Row],[Mqx]]</f>
        <v>0.99260199999999998</v>
      </c>
      <c r="I72">
        <f t="shared" si="5"/>
        <v>64</v>
      </c>
      <c r="J72">
        <f>MIN(Qx!MaxAge,Table3[[#This Row],[Survivng t Years]]+$J$6)</f>
        <v>119</v>
      </c>
      <c r="K72">
        <f>MIN(Table3[[#This Row],[Survivng t Years]]+$K$6,Qx!MaxAge)</f>
        <v>120</v>
      </c>
      <c r="L72">
        <f>VLOOKUP(Table3[[#This Row],[To Age]],$A$8:$G$128,L$6,FALSE)</f>
        <v>0.6</v>
      </c>
      <c r="M72">
        <f>VLOOKUP(Table3[[#This Row],[To Age2]],$A$8:$G$128,M$6,FALSE)</f>
        <v>0</v>
      </c>
      <c r="N72" t="str">
        <f t="shared" ref="N72:N78" si="6">"P"&amp;J72&amp;","&amp;K72</f>
        <v>P119,120</v>
      </c>
      <c r="O72">
        <f>Table3[[#This Row],[Px]]+Table3[[#This Row],[Py]]-Table3[[#This Row],[Px]]*Table3[[#This Row],[Py]]</f>
        <v>0.6</v>
      </c>
      <c r="P72" t="str">
        <f t="shared" ref="P72:P78" si="7">I72+1&amp;" P"&amp;$J$8&amp;","&amp;$K$8</f>
        <v>65 P55,65</v>
      </c>
      <c r="Q72">
        <f>PRODUCT($O$8:$O72)</f>
        <v>7.7941400439675225E-4</v>
      </c>
    </row>
    <row r="73" spans="1:17" x14ac:dyDescent="0.3">
      <c r="A73">
        <v>65</v>
      </c>
      <c r="B73">
        <v>6.1459999999999999</v>
      </c>
      <c r="C73">
        <v>8.1059999999999999</v>
      </c>
      <c r="D73">
        <f>Table2[[#This Row],[Fix]]/MAX(FIx)</f>
        <v>6.1459999999999996E-3</v>
      </c>
      <c r="E73">
        <f>Table2[[#This Row],[Mix]]/MAX(FIx)</f>
        <v>8.1060000000000004E-3</v>
      </c>
      <c r="F73">
        <f>1-Table2[[#This Row],[Fqx]]</f>
        <v>0.99385400000000002</v>
      </c>
      <c r="G73">
        <f>1-Table2[[#This Row],[Mqx]]</f>
        <v>0.99189400000000005</v>
      </c>
      <c r="I73">
        <f t="shared" ref="I73:I78" si="8">I72+1</f>
        <v>65</v>
      </c>
      <c r="J73">
        <f>MIN(Qx!MaxAge,Table3[[#This Row],[Survivng t Years]]+$J$6)</f>
        <v>120</v>
      </c>
      <c r="K73">
        <f>MIN(Table3[[#This Row],[Survivng t Years]]+$K$6,Qx!MaxAge)</f>
        <v>120</v>
      </c>
      <c r="L73">
        <f>VLOOKUP(Table3[[#This Row],[To Age]],$A$8:$G$128,L$6,FALSE)</f>
        <v>0</v>
      </c>
      <c r="M73">
        <f>VLOOKUP(Table3[[#This Row],[To Age2]],$A$8:$G$128,M$6,FALSE)</f>
        <v>0</v>
      </c>
      <c r="N73" t="str">
        <f t="shared" si="6"/>
        <v>P120,120</v>
      </c>
      <c r="O73">
        <f>Table3[[#This Row],[Px]]+Table3[[#This Row],[Py]]-Table3[[#This Row],[Px]]*Table3[[#This Row],[Py]]</f>
        <v>0</v>
      </c>
      <c r="P73" t="str">
        <f t="shared" si="7"/>
        <v>66 P55,65</v>
      </c>
      <c r="Q73">
        <f>PRODUCT($O$8:$O73)</f>
        <v>0</v>
      </c>
    </row>
    <row r="74" spans="1:17" x14ac:dyDescent="0.3">
      <c r="A74">
        <v>66</v>
      </c>
      <c r="B74">
        <v>6.5510000000000002</v>
      </c>
      <c r="C74">
        <v>8.548</v>
      </c>
      <c r="D74">
        <f>Table2[[#This Row],[Fix]]/MAX(FIx)</f>
        <v>6.5510000000000004E-3</v>
      </c>
      <c r="E74">
        <f>Table2[[#This Row],[Mix]]/MAX(FIx)</f>
        <v>8.548E-3</v>
      </c>
      <c r="F74">
        <f>1-Table2[[#This Row],[Fqx]]</f>
        <v>0.99344900000000003</v>
      </c>
      <c r="G74">
        <f>1-Table2[[#This Row],[Mqx]]</f>
        <v>0.991452</v>
      </c>
      <c r="I74">
        <f t="shared" si="8"/>
        <v>66</v>
      </c>
      <c r="J74">
        <f>MIN(Qx!MaxAge,Table3[[#This Row],[Survivng t Years]]+$J$6)</f>
        <v>120</v>
      </c>
      <c r="K74">
        <f>MIN(Table3[[#This Row],[Survivng t Years]]+$K$6,Qx!MaxAge)</f>
        <v>120</v>
      </c>
      <c r="L74">
        <f>VLOOKUP(Table3[[#This Row],[To Age]],$A$8:$G$128,L$6,FALSE)</f>
        <v>0</v>
      </c>
      <c r="M74">
        <f>VLOOKUP(Table3[[#This Row],[To Age2]],$A$8:$G$128,M$6,FALSE)</f>
        <v>0</v>
      </c>
      <c r="N74" t="str">
        <f t="shared" si="6"/>
        <v>P120,120</v>
      </c>
      <c r="O74">
        <f>Table3[[#This Row],[Px]]+Table3[[#This Row],[Py]]-Table3[[#This Row],[Px]]*Table3[[#This Row],[Py]]</f>
        <v>0</v>
      </c>
      <c r="P74" t="str">
        <f t="shared" si="7"/>
        <v>67 P55,65</v>
      </c>
      <c r="Q74">
        <f>PRODUCT($O$8:$O74)</f>
        <v>0</v>
      </c>
    </row>
    <row r="75" spans="1:17" x14ac:dyDescent="0.3">
      <c r="A75">
        <v>67</v>
      </c>
      <c r="B75">
        <v>7.0389999999999997</v>
      </c>
      <c r="C75">
        <v>9.0760000000000005</v>
      </c>
      <c r="D75">
        <f>Table2[[#This Row],[Fix]]/MAX(FIx)</f>
        <v>7.0390000000000001E-3</v>
      </c>
      <c r="E75">
        <f>Table2[[#This Row],[Mix]]/MAX(FIx)</f>
        <v>9.0760000000000007E-3</v>
      </c>
      <c r="F75">
        <f>1-Table2[[#This Row],[Fqx]]</f>
        <v>0.99296099999999998</v>
      </c>
      <c r="G75">
        <f>1-Table2[[#This Row],[Mqx]]</f>
        <v>0.99092400000000003</v>
      </c>
      <c r="I75">
        <f t="shared" si="8"/>
        <v>67</v>
      </c>
      <c r="J75">
        <f>MIN(Qx!MaxAge,Table3[[#This Row],[Survivng t Years]]+$J$6)</f>
        <v>120</v>
      </c>
      <c r="K75">
        <f>MIN(Table3[[#This Row],[Survivng t Years]]+$K$6,Qx!MaxAge)</f>
        <v>120</v>
      </c>
      <c r="L75">
        <f>VLOOKUP(Table3[[#This Row],[To Age]],$A$8:$G$128,L$6,FALSE)</f>
        <v>0</v>
      </c>
      <c r="M75">
        <f>VLOOKUP(Table3[[#This Row],[To Age2]],$A$8:$G$128,M$6,FALSE)</f>
        <v>0</v>
      </c>
      <c r="N75" t="str">
        <f t="shared" si="6"/>
        <v>P120,120</v>
      </c>
      <c r="O75">
        <f>Table3[[#This Row],[Px]]+Table3[[#This Row],[Py]]-Table3[[#This Row],[Px]]*Table3[[#This Row],[Py]]</f>
        <v>0</v>
      </c>
      <c r="P75" t="str">
        <f t="shared" si="7"/>
        <v>68 P55,65</v>
      </c>
      <c r="Q75">
        <f>PRODUCT($O$8:$O75)</f>
        <v>0</v>
      </c>
    </row>
    <row r="76" spans="1:17" x14ac:dyDescent="0.3">
      <c r="A76">
        <v>68</v>
      </c>
      <c r="B76">
        <v>7.6280000000000001</v>
      </c>
      <c r="C76">
        <v>9.7080000000000002</v>
      </c>
      <c r="D76">
        <f>Table2[[#This Row],[Fix]]/MAX(FIx)</f>
        <v>7.6280000000000002E-3</v>
      </c>
      <c r="E76">
        <f>Table2[[#This Row],[Mix]]/MAX(FIx)</f>
        <v>9.7079999999999996E-3</v>
      </c>
      <c r="F76">
        <f>1-Table2[[#This Row],[Fqx]]</f>
        <v>0.99237200000000003</v>
      </c>
      <c r="G76">
        <f>1-Table2[[#This Row],[Mqx]]</f>
        <v>0.99029199999999995</v>
      </c>
      <c r="I76">
        <f t="shared" si="8"/>
        <v>68</v>
      </c>
      <c r="J76">
        <f>MIN(Qx!MaxAge,Table3[[#This Row],[Survivng t Years]]+$J$6)</f>
        <v>120</v>
      </c>
      <c r="K76">
        <f>MIN(Table3[[#This Row],[Survivng t Years]]+$K$6,Qx!MaxAge)</f>
        <v>120</v>
      </c>
      <c r="L76">
        <f>VLOOKUP(Table3[[#This Row],[To Age]],$A$8:$G$128,L$6,FALSE)</f>
        <v>0</v>
      </c>
      <c r="M76">
        <f>VLOOKUP(Table3[[#This Row],[To Age2]],$A$8:$G$128,M$6,FALSE)</f>
        <v>0</v>
      </c>
      <c r="N76" t="str">
        <f t="shared" si="6"/>
        <v>P120,120</v>
      </c>
      <c r="O76">
        <f>Table3[[#This Row],[Px]]+Table3[[#This Row],[Py]]-Table3[[#This Row],[Px]]*Table3[[#This Row],[Py]]</f>
        <v>0</v>
      </c>
      <c r="P76" t="str">
        <f t="shared" si="7"/>
        <v>69 P55,65</v>
      </c>
      <c r="Q76">
        <f>PRODUCT($O$8:$O76)</f>
        <v>0</v>
      </c>
    </row>
    <row r="77" spans="1:17" x14ac:dyDescent="0.3">
      <c r="A77">
        <v>69</v>
      </c>
      <c r="B77">
        <v>8.3109999999999999</v>
      </c>
      <c r="C77">
        <v>10.462999999999999</v>
      </c>
      <c r="D77">
        <f>Table2[[#This Row],[Fix]]/MAX(FIx)</f>
        <v>8.3110000000000007E-3</v>
      </c>
      <c r="E77">
        <f>Table2[[#This Row],[Mix]]/MAX(FIx)</f>
        <v>1.0462999999999998E-2</v>
      </c>
      <c r="F77">
        <f>1-Table2[[#This Row],[Fqx]]</f>
        <v>0.99168900000000004</v>
      </c>
      <c r="G77">
        <f>1-Table2[[#This Row],[Mqx]]</f>
        <v>0.989537</v>
      </c>
      <c r="I77">
        <f t="shared" si="8"/>
        <v>69</v>
      </c>
      <c r="J77">
        <f>MIN(Qx!MaxAge,Table3[[#This Row],[Survivng t Years]]+$J$6)</f>
        <v>120</v>
      </c>
      <c r="K77">
        <f>MIN(Table3[[#This Row],[Survivng t Years]]+$K$6,Qx!MaxAge)</f>
        <v>120</v>
      </c>
      <c r="L77">
        <f>VLOOKUP(Table3[[#This Row],[To Age]],$A$8:$G$128,L$6,FALSE)</f>
        <v>0</v>
      </c>
      <c r="M77">
        <f>VLOOKUP(Table3[[#This Row],[To Age2]],$A$8:$G$128,M$6,FALSE)</f>
        <v>0</v>
      </c>
      <c r="N77" t="str">
        <f t="shared" si="6"/>
        <v>P120,120</v>
      </c>
      <c r="O77">
        <f>Table3[[#This Row],[Px]]+Table3[[#This Row],[Py]]-Table3[[#This Row],[Px]]*Table3[[#This Row],[Py]]</f>
        <v>0</v>
      </c>
      <c r="P77" t="str">
        <f t="shared" si="7"/>
        <v>70 P55,65</v>
      </c>
      <c r="Q77">
        <f>PRODUCT($O$8:$O77)</f>
        <v>0</v>
      </c>
    </row>
    <row r="78" spans="1:17" x14ac:dyDescent="0.3">
      <c r="A78">
        <v>70</v>
      </c>
      <c r="B78">
        <v>9.0739999999999998</v>
      </c>
      <c r="C78">
        <v>11.356999999999999</v>
      </c>
      <c r="D78">
        <f>Table2[[#This Row],[Fix]]/MAX(FIx)</f>
        <v>9.0740000000000005E-3</v>
      </c>
      <c r="E78">
        <f>Table2[[#This Row],[Mix]]/MAX(FIx)</f>
        <v>1.1356999999999999E-2</v>
      </c>
      <c r="F78">
        <f>1-Table2[[#This Row],[Fqx]]</f>
        <v>0.99092599999999997</v>
      </c>
      <c r="G78">
        <f>1-Table2[[#This Row],[Mqx]]</f>
        <v>0.98864300000000005</v>
      </c>
      <c r="I78">
        <f t="shared" si="8"/>
        <v>70</v>
      </c>
      <c r="J78">
        <f>MIN(Qx!MaxAge,Table3[[#This Row],[Survivng t Years]]+$J$6)</f>
        <v>120</v>
      </c>
      <c r="K78">
        <f>MIN(Table3[[#This Row],[Survivng t Years]]+$K$6,Qx!MaxAge)</f>
        <v>120</v>
      </c>
      <c r="L78">
        <f>VLOOKUP(Table3[[#This Row],[To Age]],$A$8:$G$128,L$6,FALSE)</f>
        <v>0</v>
      </c>
      <c r="M78">
        <f>VLOOKUP(Table3[[#This Row],[To Age2]],$A$8:$G$128,M$6,FALSE)</f>
        <v>0</v>
      </c>
      <c r="N78" t="str">
        <f t="shared" si="6"/>
        <v>P120,120</v>
      </c>
      <c r="O78">
        <f>Table3[[#This Row],[Px]]+Table3[[#This Row],[Py]]-Table3[[#This Row],[Px]]*Table3[[#This Row],[Py]]</f>
        <v>0</v>
      </c>
      <c r="P78" t="str">
        <f t="shared" si="7"/>
        <v>71 P55,65</v>
      </c>
      <c r="Q78">
        <f>PRODUCT($O$8:$O78)</f>
        <v>0</v>
      </c>
    </row>
    <row r="79" spans="1:17" x14ac:dyDescent="0.3">
      <c r="A79">
        <v>71</v>
      </c>
      <c r="B79">
        <v>9.91</v>
      </c>
      <c r="C79">
        <v>12.417999999999999</v>
      </c>
      <c r="D79">
        <f>Table2[[#This Row],[Fix]]/MAX(FIx)</f>
        <v>9.9100000000000004E-3</v>
      </c>
      <c r="E79">
        <f>Table2[[#This Row],[Mix]]/MAX(FIx)</f>
        <v>1.2417999999999998E-2</v>
      </c>
      <c r="F79">
        <f>1-Table2[[#This Row],[Fqx]]</f>
        <v>0.99009000000000003</v>
      </c>
      <c r="G79">
        <f>1-Table2[[#This Row],[Mqx]]</f>
        <v>0.98758199999999996</v>
      </c>
    </row>
    <row r="80" spans="1:17" x14ac:dyDescent="0.3">
      <c r="A80">
        <v>72</v>
      </c>
      <c r="B80">
        <v>10.827</v>
      </c>
      <c r="C80">
        <v>13.675000000000001</v>
      </c>
      <c r="D80">
        <f>Table2[[#This Row],[Fix]]/MAX(FIx)</f>
        <v>1.0827E-2</v>
      </c>
      <c r="E80">
        <f>Table2[[#This Row],[Mix]]/MAX(FIx)</f>
        <v>1.3675000000000001E-2</v>
      </c>
      <c r="F80">
        <f>1-Table2[[#This Row],[Fqx]]</f>
        <v>0.98917299999999997</v>
      </c>
      <c r="G80">
        <f>1-Table2[[#This Row],[Mqx]]</f>
        <v>0.98632500000000001</v>
      </c>
    </row>
    <row r="81" spans="1:7" x14ac:dyDescent="0.3">
      <c r="A81">
        <v>73</v>
      </c>
      <c r="B81">
        <v>11.839</v>
      </c>
      <c r="C81">
        <v>15.15</v>
      </c>
      <c r="D81">
        <f>Table2[[#This Row],[Fix]]/MAX(FIx)</f>
        <v>1.1839000000000001E-2</v>
      </c>
      <c r="E81">
        <f>Table2[[#This Row],[Mix]]/MAX(FIx)</f>
        <v>1.515E-2</v>
      </c>
      <c r="F81">
        <f>1-Table2[[#This Row],[Fqx]]</f>
        <v>0.98816099999999996</v>
      </c>
      <c r="G81">
        <f>1-Table2[[#This Row],[Mqx]]</f>
        <v>0.98485</v>
      </c>
    </row>
    <row r="82" spans="1:7" x14ac:dyDescent="0.3">
      <c r="A82">
        <v>74</v>
      </c>
      <c r="B82">
        <v>12.974</v>
      </c>
      <c r="C82">
        <v>16.86</v>
      </c>
      <c r="D82">
        <f>Table2[[#This Row],[Fix]]/MAX(FIx)</f>
        <v>1.2973999999999999E-2</v>
      </c>
      <c r="E82">
        <f>Table2[[#This Row],[Mix]]/MAX(FIx)</f>
        <v>1.686E-2</v>
      </c>
      <c r="F82">
        <f>1-Table2[[#This Row],[Fqx]]</f>
        <v>0.98702599999999996</v>
      </c>
      <c r="G82">
        <f>1-Table2[[#This Row],[Mqx]]</f>
        <v>0.98314000000000001</v>
      </c>
    </row>
    <row r="83" spans="1:7" x14ac:dyDescent="0.3">
      <c r="A83">
        <v>75</v>
      </c>
      <c r="B83">
        <v>14.282</v>
      </c>
      <c r="C83">
        <v>18.815000000000001</v>
      </c>
      <c r="D83">
        <f>Table2[[#This Row],[Fix]]/MAX(FIx)</f>
        <v>1.4282E-2</v>
      </c>
      <c r="E83">
        <f>Table2[[#This Row],[Mix]]/MAX(FIx)</f>
        <v>1.8815000000000002E-2</v>
      </c>
      <c r="F83">
        <f>1-Table2[[#This Row],[Fqx]]</f>
        <v>0.98571799999999998</v>
      </c>
      <c r="G83">
        <f>1-Table2[[#This Row],[Mqx]]</f>
        <v>0.98118499999999997</v>
      </c>
    </row>
    <row r="84" spans="1:7" x14ac:dyDescent="0.3">
      <c r="A84">
        <v>76</v>
      </c>
      <c r="B84">
        <v>15.798999999999999</v>
      </c>
      <c r="C84">
        <v>21.030999999999999</v>
      </c>
      <c r="D84">
        <f>Table2[[#This Row],[Fix]]/MAX(FIx)</f>
        <v>1.5799000000000001E-2</v>
      </c>
      <c r="E84">
        <f>Table2[[#This Row],[Mix]]/MAX(FIx)</f>
        <v>2.1030999999999998E-2</v>
      </c>
      <c r="F84">
        <f>1-Table2[[#This Row],[Fqx]]</f>
        <v>0.98420099999999999</v>
      </c>
      <c r="G84">
        <f>1-Table2[[#This Row],[Mqx]]</f>
        <v>0.97896899999999998</v>
      </c>
    </row>
    <row r="85" spans="1:7" x14ac:dyDescent="0.3">
      <c r="A85">
        <v>77</v>
      </c>
      <c r="B85">
        <v>17.55</v>
      </c>
      <c r="C85">
        <v>23.54</v>
      </c>
      <c r="D85">
        <f>Table2[[#This Row],[Fix]]/MAX(FIx)</f>
        <v>1.755E-2</v>
      </c>
      <c r="E85">
        <f>Table2[[#This Row],[Mix]]/MAX(FIx)</f>
        <v>2.3539999999999998E-2</v>
      </c>
      <c r="F85">
        <f>1-Table2[[#This Row],[Fqx]]</f>
        <v>0.98245000000000005</v>
      </c>
      <c r="G85">
        <f>1-Table2[[#This Row],[Mqx]]</f>
        <v>0.97645999999999999</v>
      </c>
    </row>
    <row r="86" spans="1:7" x14ac:dyDescent="0.3">
      <c r="A86">
        <v>78</v>
      </c>
      <c r="B86">
        <v>19.582000000000001</v>
      </c>
      <c r="C86">
        <v>26.375</v>
      </c>
      <c r="D86">
        <f>Table2[[#This Row],[Fix]]/MAX(FIx)</f>
        <v>1.9582000000000002E-2</v>
      </c>
      <c r="E86">
        <f>Table2[[#This Row],[Mix]]/MAX(FIx)</f>
        <v>2.6374999999999999E-2</v>
      </c>
      <c r="F86">
        <f>1-Table2[[#This Row],[Fqx]]</f>
        <v>0.98041800000000001</v>
      </c>
      <c r="G86">
        <f>1-Table2[[#This Row],[Mqx]]</f>
        <v>0.97362499999999996</v>
      </c>
    </row>
    <row r="87" spans="1:7" x14ac:dyDescent="0.3">
      <c r="A87">
        <v>79</v>
      </c>
      <c r="B87">
        <v>21.97</v>
      </c>
      <c r="C87">
        <v>29.571999999999999</v>
      </c>
      <c r="D87">
        <f>Table2[[#This Row],[Fix]]/MAX(FIx)</f>
        <v>2.197E-2</v>
      </c>
      <c r="E87">
        <f>Table2[[#This Row],[Mix]]/MAX(FIx)</f>
        <v>2.9571999999999998E-2</v>
      </c>
      <c r="F87">
        <f>1-Table2[[#This Row],[Fqx]]</f>
        <v>0.97802999999999995</v>
      </c>
      <c r="G87">
        <f>1-Table2[[#This Row],[Mqx]]</f>
        <v>0.97042799999999996</v>
      </c>
    </row>
    <row r="88" spans="1:7" x14ac:dyDescent="0.3">
      <c r="A88">
        <v>80</v>
      </c>
      <c r="B88">
        <v>24.821000000000002</v>
      </c>
      <c r="C88">
        <v>33.234000000000002</v>
      </c>
      <c r="D88">
        <f>Table2[[#This Row],[Fix]]/MAX(FIx)</f>
        <v>2.4821000000000003E-2</v>
      </c>
      <c r="E88">
        <f>Table2[[#This Row],[Mix]]/MAX(FIx)</f>
        <v>3.3234E-2</v>
      </c>
      <c r="F88">
        <f>1-Table2[[#This Row],[Fqx]]</f>
        <v>0.97517900000000002</v>
      </c>
      <c r="G88">
        <f>1-Table2[[#This Row],[Mqx]]</f>
        <v>0.96676600000000001</v>
      </c>
    </row>
    <row r="89" spans="1:7" x14ac:dyDescent="0.3">
      <c r="A89">
        <v>81</v>
      </c>
      <c r="B89">
        <v>28.350999999999999</v>
      </c>
      <c r="C89">
        <v>37.533000000000001</v>
      </c>
      <c r="D89">
        <f>Table2[[#This Row],[Fix]]/MAX(FIx)</f>
        <v>2.8350999999999998E-2</v>
      </c>
      <c r="E89">
        <f>Table2[[#This Row],[Mix]]/MAX(FIx)</f>
        <v>3.7533000000000004E-2</v>
      </c>
      <c r="F89">
        <f>1-Table2[[#This Row],[Fqx]]</f>
        <v>0.97164899999999998</v>
      </c>
      <c r="G89">
        <f>1-Table2[[#This Row],[Mqx]]</f>
        <v>0.96246699999999996</v>
      </c>
    </row>
    <row r="90" spans="1:7" x14ac:dyDescent="0.3">
      <c r="A90">
        <v>82</v>
      </c>
      <c r="B90">
        <v>32.509</v>
      </c>
      <c r="C90">
        <v>42.261000000000003</v>
      </c>
      <c r="D90">
        <f>Table2[[#This Row],[Fix]]/MAX(FIx)</f>
        <v>3.2509000000000003E-2</v>
      </c>
      <c r="E90">
        <f>Table2[[#This Row],[Mix]]/MAX(FIx)</f>
        <v>4.2261E-2</v>
      </c>
      <c r="F90">
        <f>1-Table2[[#This Row],[Fqx]]</f>
        <v>0.96749099999999999</v>
      </c>
      <c r="G90">
        <f>1-Table2[[#This Row],[Mqx]]</f>
        <v>0.95773900000000001</v>
      </c>
    </row>
    <row r="91" spans="1:7" x14ac:dyDescent="0.3">
      <c r="A91">
        <v>83</v>
      </c>
      <c r="B91">
        <v>37.329000000000001</v>
      </c>
      <c r="C91">
        <v>47.441000000000003</v>
      </c>
      <c r="D91">
        <f>Table2[[#This Row],[Fix]]/MAX(FIx)</f>
        <v>3.7329000000000001E-2</v>
      </c>
      <c r="E91">
        <f>Table2[[#This Row],[Mix]]/MAX(FIx)</f>
        <v>4.7441000000000004E-2</v>
      </c>
      <c r="F91">
        <f>1-Table2[[#This Row],[Fqx]]</f>
        <v>0.96267100000000005</v>
      </c>
      <c r="G91">
        <f>1-Table2[[#This Row],[Mqx]]</f>
        <v>0.95255900000000004</v>
      </c>
    </row>
    <row r="92" spans="1:7" x14ac:dyDescent="0.3">
      <c r="A92">
        <v>84</v>
      </c>
      <c r="B92">
        <v>42.83</v>
      </c>
      <c r="C92">
        <v>53.232999999999997</v>
      </c>
      <c r="D92">
        <f>Table2[[#This Row],[Fix]]/MAX(FIx)</f>
        <v>4.283E-2</v>
      </c>
      <c r="E92">
        <f>Table2[[#This Row],[Mix]]/MAX(FIx)</f>
        <v>5.3232999999999996E-2</v>
      </c>
      <c r="F92">
        <f>1-Table2[[#This Row],[Fqx]]</f>
        <v>0.95716999999999997</v>
      </c>
      <c r="G92">
        <f>1-Table2[[#This Row],[Mqx]]</f>
        <v>0.94676700000000003</v>
      </c>
    </row>
    <row r="93" spans="1:7" x14ac:dyDescent="0.3">
      <c r="A93">
        <v>85</v>
      </c>
      <c r="B93">
        <v>48.997</v>
      </c>
      <c r="C93">
        <v>59.854999999999997</v>
      </c>
      <c r="D93">
        <f>Table2[[#This Row],[Fix]]/MAX(FIx)</f>
        <v>4.8996999999999999E-2</v>
      </c>
      <c r="E93">
        <f>Table2[[#This Row],[Mix]]/MAX(FIx)</f>
        <v>5.9854999999999998E-2</v>
      </c>
      <c r="F93">
        <f>1-Table2[[#This Row],[Fqx]]</f>
        <v>0.95100300000000004</v>
      </c>
      <c r="G93">
        <f>1-Table2[[#This Row],[Mqx]]</f>
        <v>0.94014500000000001</v>
      </c>
    </row>
    <row r="94" spans="1:7" x14ac:dyDescent="0.3">
      <c r="A94">
        <v>86</v>
      </c>
      <c r="B94">
        <v>55.774000000000001</v>
      </c>
      <c r="C94">
        <v>67.513999999999996</v>
      </c>
      <c r="D94">
        <f>Table2[[#This Row],[Fix]]/MAX(FIx)</f>
        <v>5.5774000000000004E-2</v>
      </c>
      <c r="E94">
        <f>Table2[[#This Row],[Mix]]/MAX(FIx)</f>
        <v>6.7513999999999991E-2</v>
      </c>
      <c r="F94">
        <f>1-Table2[[#This Row],[Fqx]]</f>
        <v>0.94422600000000001</v>
      </c>
      <c r="G94">
        <f>1-Table2[[#This Row],[Mqx]]</f>
        <v>0.93248600000000004</v>
      </c>
    </row>
    <row r="95" spans="1:7" x14ac:dyDescent="0.3">
      <c r="A95">
        <v>87</v>
      </c>
      <c r="B95">
        <v>63.14</v>
      </c>
      <c r="C95">
        <v>76.34</v>
      </c>
      <c r="D95">
        <f>Table2[[#This Row],[Fix]]/MAX(FIx)</f>
        <v>6.3140000000000002E-2</v>
      </c>
      <c r="E95">
        <f>Table2[[#This Row],[Mix]]/MAX(FIx)</f>
        <v>7.6340000000000005E-2</v>
      </c>
      <c r="F95">
        <f>1-Table2[[#This Row],[Fqx]]</f>
        <v>0.93686000000000003</v>
      </c>
      <c r="G95">
        <f>1-Table2[[#This Row],[Mqx]]</f>
        <v>0.92366000000000004</v>
      </c>
    </row>
    <row r="96" spans="1:7" x14ac:dyDescent="0.3">
      <c r="A96">
        <v>88</v>
      </c>
      <c r="B96">
        <v>71.066000000000003</v>
      </c>
      <c r="C96">
        <v>86.388000000000005</v>
      </c>
      <c r="D96">
        <f>Table2[[#This Row],[Fix]]/MAX(FIx)</f>
        <v>7.1066000000000004E-2</v>
      </c>
      <c r="E96">
        <f>Table2[[#This Row],[Mix]]/MAX(FIx)</f>
        <v>8.6388000000000006E-2</v>
      </c>
      <c r="F96">
        <f>1-Table2[[#This Row],[Fqx]]</f>
        <v>0.92893400000000004</v>
      </c>
      <c r="G96">
        <f>1-Table2[[#This Row],[Mqx]]</f>
        <v>0.91361199999999998</v>
      </c>
    </row>
    <row r="97" spans="1:7" x14ac:dyDescent="0.3">
      <c r="A97">
        <v>89</v>
      </c>
      <c r="B97">
        <v>79.501999999999995</v>
      </c>
      <c r="C97">
        <v>97.634</v>
      </c>
      <c r="D97">
        <f>Table2[[#This Row],[Fix]]/MAX(FIx)</f>
        <v>7.9501999999999989E-2</v>
      </c>
      <c r="E97">
        <f>Table2[[#This Row],[Mix]]/MAX(FIx)</f>
        <v>9.7633999999999999E-2</v>
      </c>
      <c r="F97">
        <f>1-Table2[[#This Row],[Fqx]]</f>
        <v>0.92049800000000004</v>
      </c>
      <c r="G97">
        <f>1-Table2[[#This Row],[Mqx]]</f>
        <v>0.902366</v>
      </c>
    </row>
    <row r="98" spans="1:7" x14ac:dyDescent="0.3">
      <c r="A98">
        <v>90</v>
      </c>
      <c r="B98">
        <v>88.376999999999995</v>
      </c>
      <c r="C98">
        <v>109.99299999999999</v>
      </c>
      <c r="D98">
        <f>Table2[[#This Row],[Fix]]/MAX(FIx)</f>
        <v>8.8376999999999997E-2</v>
      </c>
      <c r="E98">
        <f>Table2[[#This Row],[Mix]]/MAX(FIx)</f>
        <v>0.10999299999999999</v>
      </c>
      <c r="F98">
        <f>1-Table2[[#This Row],[Fqx]]</f>
        <v>0.91162299999999996</v>
      </c>
      <c r="G98">
        <f>1-Table2[[#This Row],[Mqx]]</f>
        <v>0.89000699999999999</v>
      </c>
    </row>
    <row r="99" spans="1:7" x14ac:dyDescent="0.3">
      <c r="A99">
        <v>91</v>
      </c>
      <c r="B99">
        <v>97.491</v>
      </c>
      <c r="C99">
        <v>123.119</v>
      </c>
      <c r="D99">
        <f>Table2[[#This Row],[Fix]]/MAX(FIx)</f>
        <v>9.7490999999999994E-2</v>
      </c>
      <c r="E99">
        <f>Table2[[#This Row],[Mix]]/MAX(FIx)</f>
        <v>0.12311900000000001</v>
      </c>
      <c r="F99">
        <f>1-Table2[[#This Row],[Fqx]]</f>
        <v>0.90250900000000001</v>
      </c>
      <c r="G99">
        <f>1-Table2[[#This Row],[Mqx]]</f>
        <v>0.87688100000000002</v>
      </c>
    </row>
    <row r="100" spans="1:7" x14ac:dyDescent="0.3">
      <c r="A100">
        <v>92</v>
      </c>
      <c r="B100">
        <v>107.26900000000001</v>
      </c>
      <c r="C100">
        <v>137.16800000000001</v>
      </c>
      <c r="D100">
        <f>Table2[[#This Row],[Fix]]/MAX(FIx)</f>
        <v>0.107269</v>
      </c>
      <c r="E100">
        <f>Table2[[#This Row],[Mix]]/MAX(FIx)</f>
        <v>0.13716800000000001</v>
      </c>
      <c r="F100">
        <f>1-Table2[[#This Row],[Fqx]]</f>
        <v>0.89273099999999994</v>
      </c>
      <c r="G100">
        <f>1-Table2[[#This Row],[Mqx]]</f>
        <v>0.86283200000000004</v>
      </c>
    </row>
    <row r="101" spans="1:7" x14ac:dyDescent="0.3">
      <c r="A101">
        <v>93</v>
      </c>
      <c r="B101">
        <v>118.20099999999999</v>
      </c>
      <c r="C101">
        <v>152.17099999999999</v>
      </c>
      <c r="D101">
        <f>Table2[[#This Row],[Fix]]/MAX(FIx)</f>
        <v>0.11820099999999999</v>
      </c>
      <c r="E101">
        <f>Table2[[#This Row],[Mix]]/MAX(FIx)</f>
        <v>0.152171</v>
      </c>
      <c r="F101">
        <f>1-Table2[[#This Row],[Fqx]]</f>
        <v>0.881799</v>
      </c>
      <c r="G101">
        <f>1-Table2[[#This Row],[Mqx]]</f>
        <v>0.84782899999999994</v>
      </c>
    </row>
    <row r="102" spans="1:7" x14ac:dyDescent="0.3">
      <c r="A102">
        <v>94</v>
      </c>
      <c r="B102">
        <v>130.96899999999999</v>
      </c>
      <c r="C102">
        <v>168.19399999999999</v>
      </c>
      <c r="D102">
        <f>Table2[[#This Row],[Fix]]/MAX(FIx)</f>
        <v>0.130969</v>
      </c>
      <c r="E102">
        <f>Table2[[#This Row],[Mix]]/MAX(FIx)</f>
        <v>0.16819399999999998</v>
      </c>
      <c r="F102">
        <f>1-Table2[[#This Row],[Fqx]]</f>
        <v>0.869031</v>
      </c>
      <c r="G102">
        <f>1-Table2[[#This Row],[Mqx]]</f>
        <v>0.83180600000000005</v>
      </c>
    </row>
    <row r="103" spans="1:7" x14ac:dyDescent="0.3">
      <c r="A103">
        <v>95</v>
      </c>
      <c r="B103">
        <v>146.44900000000001</v>
      </c>
      <c r="C103">
        <v>185.26</v>
      </c>
      <c r="D103">
        <f>Table2[[#This Row],[Fix]]/MAX(FIx)</f>
        <v>0.14644900000000002</v>
      </c>
      <c r="E103">
        <f>Table2[[#This Row],[Mix]]/MAX(FIx)</f>
        <v>0.18525999999999998</v>
      </c>
      <c r="F103">
        <f>1-Table2[[#This Row],[Fqx]]</f>
        <v>0.85355099999999995</v>
      </c>
      <c r="G103">
        <f>1-Table2[[#This Row],[Mqx]]</f>
        <v>0.81474000000000002</v>
      </c>
    </row>
    <row r="104" spans="1:7" x14ac:dyDescent="0.3">
      <c r="A104">
        <v>96</v>
      </c>
      <c r="B104">
        <v>163.90799999999999</v>
      </c>
      <c r="C104">
        <v>197.322</v>
      </c>
      <c r="D104">
        <f>Table2[[#This Row],[Fix]]/MAX(FIx)</f>
        <v>0.163908</v>
      </c>
      <c r="E104">
        <f>Table2[[#This Row],[Mix]]/MAX(FIx)</f>
        <v>0.197322</v>
      </c>
      <c r="F104">
        <f>1-Table2[[#This Row],[Fqx]]</f>
        <v>0.83609200000000006</v>
      </c>
      <c r="G104">
        <f>1-Table2[[#This Row],[Mqx]]</f>
        <v>0.802678</v>
      </c>
    </row>
    <row r="105" spans="1:7" x14ac:dyDescent="0.3">
      <c r="A105">
        <v>97</v>
      </c>
      <c r="B105">
        <v>179.69499999999999</v>
      </c>
      <c r="C105">
        <v>214.751</v>
      </c>
      <c r="D105">
        <f>Table2[[#This Row],[Fix]]/MAX(FIx)</f>
        <v>0.17969499999999999</v>
      </c>
      <c r="E105">
        <f>Table2[[#This Row],[Mix]]/MAX(FIx)</f>
        <v>0.214751</v>
      </c>
      <c r="F105">
        <f>1-Table2[[#This Row],[Fqx]]</f>
        <v>0.82030500000000006</v>
      </c>
      <c r="G105">
        <f>1-Table2[[#This Row],[Mqx]]</f>
        <v>0.78524899999999997</v>
      </c>
    </row>
    <row r="106" spans="1:7" x14ac:dyDescent="0.3">
      <c r="A106">
        <v>98</v>
      </c>
      <c r="B106">
        <v>196.15100000000001</v>
      </c>
      <c r="C106">
        <v>232.50700000000001</v>
      </c>
      <c r="D106">
        <f>Table2[[#This Row],[Fix]]/MAX(FIx)</f>
        <v>0.19615100000000002</v>
      </c>
      <c r="E106">
        <f>Table2[[#This Row],[Mix]]/MAX(FIx)</f>
        <v>0.23250699999999999</v>
      </c>
      <c r="F106">
        <f>1-Table2[[#This Row],[Fqx]]</f>
        <v>0.80384900000000004</v>
      </c>
      <c r="G106">
        <f>1-Table2[[#This Row],[Mqx]]</f>
        <v>0.76749299999999998</v>
      </c>
    </row>
    <row r="107" spans="1:7" x14ac:dyDescent="0.3">
      <c r="A107">
        <v>99</v>
      </c>
      <c r="B107">
        <v>213.15</v>
      </c>
      <c r="C107">
        <v>250.39699999999999</v>
      </c>
      <c r="D107">
        <f>Table2[[#This Row],[Fix]]/MAX(FIx)</f>
        <v>0.21315000000000001</v>
      </c>
      <c r="E107">
        <f>Table2[[#This Row],[Mix]]/MAX(FIx)</f>
        <v>0.25039699999999998</v>
      </c>
      <c r="F107">
        <f>1-Table2[[#This Row],[Fqx]]</f>
        <v>0.78685000000000005</v>
      </c>
      <c r="G107">
        <f>1-Table2[[#This Row],[Mqx]]</f>
        <v>0.74960300000000002</v>
      </c>
    </row>
    <row r="108" spans="1:7" x14ac:dyDescent="0.3">
      <c r="A108">
        <v>100</v>
      </c>
      <c r="B108">
        <v>230.72200000000001</v>
      </c>
      <c r="C108">
        <v>268.60700000000003</v>
      </c>
      <c r="D108">
        <f>Table2[[#This Row],[Fix]]/MAX(FIx)</f>
        <v>0.23072200000000001</v>
      </c>
      <c r="E108">
        <f>Table2[[#This Row],[Mix]]/MAX(FIx)</f>
        <v>0.26860700000000004</v>
      </c>
      <c r="F108">
        <f>1-Table2[[#This Row],[Fqx]]</f>
        <v>0.76927800000000002</v>
      </c>
      <c r="G108">
        <f>1-Table2[[#This Row],[Mqx]]</f>
        <v>0.73139299999999996</v>
      </c>
    </row>
    <row r="109" spans="1:7" x14ac:dyDescent="0.3">
      <c r="A109">
        <v>101</v>
      </c>
      <c r="B109">
        <v>251.505</v>
      </c>
      <c r="C109">
        <v>290.01600000000002</v>
      </c>
      <c r="D109">
        <f>Table2[[#This Row],[Fix]]/MAX(FIx)</f>
        <v>0.25150499999999998</v>
      </c>
      <c r="E109">
        <f>Table2[[#This Row],[Mix]]/MAX(FIx)</f>
        <v>0.290016</v>
      </c>
      <c r="F109">
        <f>1-Table2[[#This Row],[Fqx]]</f>
        <v>0.74849500000000002</v>
      </c>
      <c r="G109">
        <f>1-Table2[[#This Row],[Mqx]]</f>
        <v>0.70998399999999995</v>
      </c>
    </row>
    <row r="110" spans="1:7" x14ac:dyDescent="0.3">
      <c r="A110">
        <v>102</v>
      </c>
      <c r="B110">
        <v>273.00700000000001</v>
      </c>
      <c r="C110">
        <v>311.84899999999999</v>
      </c>
      <c r="D110">
        <f>Table2[[#This Row],[Fix]]/MAX(FIx)</f>
        <v>0.273007</v>
      </c>
      <c r="E110">
        <f>Table2[[#This Row],[Mix]]/MAX(FIx)</f>
        <v>0.31184899999999999</v>
      </c>
      <c r="F110">
        <f>1-Table2[[#This Row],[Fqx]]</f>
        <v>0.726993</v>
      </c>
      <c r="G110">
        <f>1-Table2[[#This Row],[Mqx]]</f>
        <v>0.68815099999999996</v>
      </c>
    </row>
    <row r="111" spans="1:7" x14ac:dyDescent="0.3">
      <c r="A111">
        <v>103</v>
      </c>
      <c r="B111">
        <v>295.08600000000001</v>
      </c>
      <c r="C111">
        <v>333.96199999999999</v>
      </c>
      <c r="D111">
        <f>Table2[[#This Row],[Fix]]/MAX(FIx)</f>
        <v>0.29508600000000001</v>
      </c>
      <c r="E111">
        <f>Table2[[#This Row],[Mix]]/MAX(FIx)</f>
        <v>0.33396199999999998</v>
      </c>
      <c r="F111">
        <f>1-Table2[[#This Row],[Fqx]]</f>
        <v>0.70491400000000004</v>
      </c>
      <c r="G111">
        <f>1-Table2[[#This Row],[Mqx]]</f>
        <v>0.66603800000000002</v>
      </c>
    </row>
    <row r="112" spans="1:7" x14ac:dyDescent="0.3">
      <c r="A112">
        <v>104</v>
      </c>
      <c r="B112">
        <v>317.59100000000001</v>
      </c>
      <c r="C112">
        <v>356.20699999999999</v>
      </c>
      <c r="D112">
        <f>Table2[[#This Row],[Fix]]/MAX(FIx)</f>
        <v>0.31759100000000001</v>
      </c>
      <c r="E112">
        <f>Table2[[#This Row],[Mix]]/MAX(FIx)</f>
        <v>0.356207</v>
      </c>
      <c r="F112">
        <f>1-Table2[[#This Row],[Fqx]]</f>
        <v>0.68240900000000004</v>
      </c>
      <c r="G112">
        <f>1-Table2[[#This Row],[Mqx]]</f>
        <v>0.64379300000000006</v>
      </c>
    </row>
    <row r="113" spans="1:7" x14ac:dyDescent="0.3">
      <c r="A113">
        <v>105</v>
      </c>
      <c r="B113">
        <v>340.36200000000002</v>
      </c>
      <c r="C113">
        <v>380</v>
      </c>
      <c r="D113">
        <f>Table2[[#This Row],[Fix]]/MAX(FIx)</f>
        <v>0.340362</v>
      </c>
      <c r="E113">
        <f>Table2[[#This Row],[Mix]]/MAX(FIx)</f>
        <v>0.38</v>
      </c>
      <c r="F113">
        <f>1-Table2[[#This Row],[Fqx]]</f>
        <v>0.65963799999999995</v>
      </c>
      <c r="G113">
        <f>1-Table2[[#This Row],[Mqx]]</f>
        <v>0.62</v>
      </c>
    </row>
    <row r="114" spans="1:7" x14ac:dyDescent="0.3">
      <c r="A114">
        <v>106</v>
      </c>
      <c r="B114">
        <v>362.37099999999998</v>
      </c>
      <c r="C114">
        <v>400</v>
      </c>
      <c r="D114">
        <f>Table2[[#This Row],[Fix]]/MAX(FIx)</f>
        <v>0.362371</v>
      </c>
      <c r="E114">
        <f>Table2[[#This Row],[Mix]]/MAX(FIx)</f>
        <v>0.4</v>
      </c>
      <c r="F114">
        <f>1-Table2[[#This Row],[Fqx]]</f>
        <v>0.637629</v>
      </c>
      <c r="G114">
        <f>1-Table2[[#This Row],[Mqx]]</f>
        <v>0.6</v>
      </c>
    </row>
    <row r="115" spans="1:7" x14ac:dyDescent="0.3">
      <c r="A115">
        <v>107</v>
      </c>
      <c r="B115">
        <v>384.113</v>
      </c>
      <c r="C115">
        <v>400</v>
      </c>
      <c r="D115">
        <f>Table2[[#This Row],[Fix]]/MAX(FIx)</f>
        <v>0.38411299999999998</v>
      </c>
      <c r="E115">
        <f>Table2[[#This Row],[Mix]]/MAX(FIx)</f>
        <v>0.4</v>
      </c>
      <c r="F115">
        <f>1-Table2[[#This Row],[Fqx]]</f>
        <v>0.61588700000000007</v>
      </c>
      <c r="G115">
        <f>1-Table2[[#This Row],[Mqx]]</f>
        <v>0.6</v>
      </c>
    </row>
    <row r="116" spans="1:7" x14ac:dyDescent="0.3">
      <c r="A116">
        <v>108</v>
      </c>
      <c r="B116">
        <v>400</v>
      </c>
      <c r="C116">
        <v>400</v>
      </c>
      <c r="D116">
        <f>Table2[[#This Row],[Fix]]/MAX(FIx)</f>
        <v>0.4</v>
      </c>
      <c r="E116">
        <f>Table2[[#This Row],[Mix]]/MAX(FIx)</f>
        <v>0.4</v>
      </c>
      <c r="F116">
        <f>1-Table2[[#This Row],[Fqx]]</f>
        <v>0.6</v>
      </c>
      <c r="G116">
        <f>1-Table2[[#This Row],[Mqx]]</f>
        <v>0.6</v>
      </c>
    </row>
    <row r="117" spans="1:7" x14ac:dyDescent="0.3">
      <c r="A117">
        <v>109</v>
      </c>
      <c r="B117">
        <v>400</v>
      </c>
      <c r="C117">
        <v>400</v>
      </c>
      <c r="D117">
        <f>Table2[[#This Row],[Fix]]/MAX(FIx)</f>
        <v>0.4</v>
      </c>
      <c r="E117">
        <f>Table2[[#This Row],[Mix]]/MAX(FIx)</f>
        <v>0.4</v>
      </c>
      <c r="F117">
        <f>1-Table2[[#This Row],[Fqx]]</f>
        <v>0.6</v>
      </c>
      <c r="G117">
        <f>1-Table2[[#This Row],[Mqx]]</f>
        <v>0.6</v>
      </c>
    </row>
    <row r="118" spans="1:7" x14ac:dyDescent="0.3">
      <c r="A118">
        <v>110</v>
      </c>
      <c r="B118">
        <v>400</v>
      </c>
      <c r="C118">
        <v>400</v>
      </c>
      <c r="D118">
        <f>Table2[[#This Row],[Fix]]/MAX(FIx)</f>
        <v>0.4</v>
      </c>
      <c r="E118">
        <f>Table2[[#This Row],[Mix]]/MAX(FIx)</f>
        <v>0.4</v>
      </c>
      <c r="F118">
        <f>1-Table2[[#This Row],[Fqx]]</f>
        <v>0.6</v>
      </c>
      <c r="G118">
        <f>1-Table2[[#This Row],[Mqx]]</f>
        <v>0.6</v>
      </c>
    </row>
    <row r="119" spans="1:7" x14ac:dyDescent="0.3">
      <c r="A119">
        <v>111</v>
      </c>
      <c r="B119">
        <v>400</v>
      </c>
      <c r="C119">
        <v>400</v>
      </c>
      <c r="D119">
        <f>Table2[[#This Row],[Fix]]/MAX(FIx)</f>
        <v>0.4</v>
      </c>
      <c r="E119">
        <f>Table2[[#This Row],[Mix]]/MAX(FIx)</f>
        <v>0.4</v>
      </c>
      <c r="F119">
        <f>1-Table2[[#This Row],[Fqx]]</f>
        <v>0.6</v>
      </c>
      <c r="G119">
        <f>1-Table2[[#This Row],[Mqx]]</f>
        <v>0.6</v>
      </c>
    </row>
    <row r="120" spans="1:7" x14ac:dyDescent="0.3">
      <c r="A120">
        <v>112</v>
      </c>
      <c r="B120">
        <v>400</v>
      </c>
      <c r="C120">
        <v>400</v>
      </c>
      <c r="D120">
        <f>Table2[[#This Row],[Fix]]/MAX(FIx)</f>
        <v>0.4</v>
      </c>
      <c r="E120">
        <f>Table2[[#This Row],[Mix]]/MAX(FIx)</f>
        <v>0.4</v>
      </c>
      <c r="F120">
        <f>1-Table2[[#This Row],[Fqx]]</f>
        <v>0.6</v>
      </c>
      <c r="G120">
        <f>1-Table2[[#This Row],[Mqx]]</f>
        <v>0.6</v>
      </c>
    </row>
    <row r="121" spans="1:7" x14ac:dyDescent="0.3">
      <c r="A121">
        <v>113</v>
      </c>
      <c r="B121">
        <v>400</v>
      </c>
      <c r="C121">
        <v>400</v>
      </c>
      <c r="D121">
        <f>Table2[[#This Row],[Fix]]/MAX(FIx)</f>
        <v>0.4</v>
      </c>
      <c r="E121">
        <f>Table2[[#This Row],[Mix]]/MAX(FIx)</f>
        <v>0.4</v>
      </c>
      <c r="F121">
        <f>1-Table2[[#This Row],[Fqx]]</f>
        <v>0.6</v>
      </c>
      <c r="G121">
        <f>1-Table2[[#This Row],[Mqx]]</f>
        <v>0.6</v>
      </c>
    </row>
    <row r="122" spans="1:7" x14ac:dyDescent="0.3">
      <c r="A122">
        <v>114</v>
      </c>
      <c r="B122">
        <v>400</v>
      </c>
      <c r="C122">
        <v>400</v>
      </c>
      <c r="D122">
        <f>Table2[[#This Row],[Fix]]/MAX(FIx)</f>
        <v>0.4</v>
      </c>
      <c r="E122">
        <f>Table2[[#This Row],[Mix]]/MAX(FIx)</f>
        <v>0.4</v>
      </c>
      <c r="F122">
        <f>1-Table2[[#This Row],[Fqx]]</f>
        <v>0.6</v>
      </c>
      <c r="G122">
        <f>1-Table2[[#This Row],[Mqx]]</f>
        <v>0.6</v>
      </c>
    </row>
    <row r="123" spans="1:7" x14ac:dyDescent="0.3">
      <c r="A123">
        <v>115</v>
      </c>
      <c r="B123">
        <v>400</v>
      </c>
      <c r="C123">
        <v>400</v>
      </c>
      <c r="D123">
        <f>Table2[[#This Row],[Fix]]/MAX(FIx)</f>
        <v>0.4</v>
      </c>
      <c r="E123">
        <f>Table2[[#This Row],[Mix]]/MAX(FIx)</f>
        <v>0.4</v>
      </c>
      <c r="F123">
        <f>1-Table2[[#This Row],[Fqx]]</f>
        <v>0.6</v>
      </c>
      <c r="G123">
        <f>1-Table2[[#This Row],[Mqx]]</f>
        <v>0.6</v>
      </c>
    </row>
    <row r="124" spans="1:7" x14ac:dyDescent="0.3">
      <c r="A124">
        <v>116</v>
      </c>
      <c r="B124">
        <v>400</v>
      </c>
      <c r="C124">
        <v>400</v>
      </c>
      <c r="D124">
        <f>Table2[[#This Row],[Fix]]/MAX(FIx)</f>
        <v>0.4</v>
      </c>
      <c r="E124">
        <f>Table2[[#This Row],[Mix]]/MAX(FIx)</f>
        <v>0.4</v>
      </c>
      <c r="F124">
        <f>1-Table2[[#This Row],[Fqx]]</f>
        <v>0.6</v>
      </c>
      <c r="G124">
        <f>1-Table2[[#This Row],[Mqx]]</f>
        <v>0.6</v>
      </c>
    </row>
    <row r="125" spans="1:7" x14ac:dyDescent="0.3">
      <c r="A125">
        <v>117</v>
      </c>
      <c r="B125">
        <v>400</v>
      </c>
      <c r="C125">
        <v>400</v>
      </c>
      <c r="D125">
        <f>Table2[[#This Row],[Fix]]/MAX(FIx)</f>
        <v>0.4</v>
      </c>
      <c r="E125">
        <f>Table2[[#This Row],[Mix]]/MAX(FIx)</f>
        <v>0.4</v>
      </c>
      <c r="F125">
        <f>1-Table2[[#This Row],[Fqx]]</f>
        <v>0.6</v>
      </c>
      <c r="G125">
        <f>1-Table2[[#This Row],[Mqx]]</f>
        <v>0.6</v>
      </c>
    </row>
    <row r="126" spans="1:7" x14ac:dyDescent="0.3">
      <c r="A126">
        <v>118</v>
      </c>
      <c r="B126">
        <v>400</v>
      </c>
      <c r="C126">
        <v>400</v>
      </c>
      <c r="D126">
        <f>Table2[[#This Row],[Fix]]/MAX(FIx)</f>
        <v>0.4</v>
      </c>
      <c r="E126">
        <f>Table2[[#This Row],[Mix]]/MAX(FIx)</f>
        <v>0.4</v>
      </c>
      <c r="F126">
        <f>1-Table2[[#This Row],[Fqx]]</f>
        <v>0.6</v>
      </c>
      <c r="G126">
        <f>1-Table2[[#This Row],[Mqx]]</f>
        <v>0.6</v>
      </c>
    </row>
    <row r="127" spans="1:7" x14ac:dyDescent="0.3">
      <c r="A127">
        <v>119</v>
      </c>
      <c r="B127">
        <v>400</v>
      </c>
      <c r="C127">
        <v>400</v>
      </c>
      <c r="D127">
        <f>Table2[[#This Row],[Fix]]/MAX(FIx)</f>
        <v>0.4</v>
      </c>
      <c r="E127">
        <f>Table2[[#This Row],[Mix]]/MAX(FIx)</f>
        <v>0.4</v>
      </c>
      <c r="F127">
        <f>1-Table2[[#This Row],[Fqx]]</f>
        <v>0.6</v>
      </c>
      <c r="G127">
        <f>1-Table2[[#This Row],[Mqx]]</f>
        <v>0.6</v>
      </c>
    </row>
    <row r="128" spans="1:7" x14ac:dyDescent="0.3">
      <c r="A128">
        <v>120</v>
      </c>
      <c r="B128">
        <v>1000</v>
      </c>
      <c r="C128">
        <v>1000</v>
      </c>
      <c r="D128">
        <f>Table2[[#This Row],[Fix]]/MAX(FIx)</f>
        <v>1</v>
      </c>
      <c r="E128">
        <f>Table2[[#This Row],[Mix]]/MAX(FIx)</f>
        <v>1</v>
      </c>
      <c r="F128">
        <f>1-Table2[[#This Row],[Fqx]]</f>
        <v>0</v>
      </c>
      <c r="G128">
        <f>1-Table2[[#This Row],[Mqx]]</f>
        <v>0</v>
      </c>
    </row>
  </sheetData>
  <mergeCells count="1">
    <mergeCell ref="I3:Q3"/>
  </mergeCells>
  <pageMargins left="0.7" right="0.7" top="0.75" bottom="0.75" header="0.3" footer="0.3"/>
  <pageSetup orientation="portrait"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CA69E-9F78-4E3E-9DF9-D0EFBCD934B9}">
  <sheetPr>
    <tabColor rgb="FFFFFF00"/>
  </sheetPr>
  <dimension ref="A2:N101"/>
  <sheetViews>
    <sheetView zoomScale="90" zoomScaleNormal="90" workbookViewId="0">
      <pane xSplit="2" ySplit="2" topLeftCell="C3" activePane="bottomRight" state="frozen"/>
      <selection pane="topRight" activeCell="C1" sqref="C1"/>
      <selection pane="bottomLeft" activeCell="A3" sqref="A3"/>
      <selection pane="bottomRight" activeCell="H17" sqref="H17"/>
    </sheetView>
  </sheetViews>
  <sheetFormatPr defaultRowHeight="14.4" x14ac:dyDescent="0.3"/>
  <cols>
    <col min="2" max="2" width="21.5546875" bestFit="1" customWidth="1"/>
    <col min="3" max="3" width="75.5546875" bestFit="1" customWidth="1"/>
    <col min="4" max="4" width="46.109375" customWidth="1"/>
    <col min="5" max="5" width="49.88671875" customWidth="1"/>
    <col min="6" max="6" width="19.6640625" bestFit="1" customWidth="1"/>
    <col min="7" max="8" width="52.6640625" customWidth="1"/>
    <col min="9" max="9" width="18.109375" customWidth="1"/>
    <col min="10" max="10" width="37.5546875" customWidth="1"/>
    <col min="11" max="11" width="15" customWidth="1"/>
    <col min="12" max="12" width="14.21875" bestFit="1" customWidth="1"/>
    <col min="13" max="13" width="16.88671875" bestFit="1" customWidth="1"/>
    <col min="14" max="14" width="18" bestFit="1" customWidth="1"/>
  </cols>
  <sheetData>
    <row r="2" spans="1:14" ht="16.5" customHeight="1" x14ac:dyDescent="0.3">
      <c r="A2" s="105" t="s">
        <v>25</v>
      </c>
      <c r="B2" s="105" t="s">
        <v>26</v>
      </c>
      <c r="C2" s="106" t="s">
        <v>210</v>
      </c>
      <c r="D2" s="105" t="s">
        <v>209</v>
      </c>
      <c r="E2" s="105" t="s">
        <v>208</v>
      </c>
      <c r="F2" s="105" t="s">
        <v>207</v>
      </c>
      <c r="G2" s="105" t="s">
        <v>206</v>
      </c>
      <c r="H2" s="105" t="s">
        <v>220</v>
      </c>
      <c r="I2" s="105" t="s">
        <v>205</v>
      </c>
      <c r="J2" s="105" t="s">
        <v>204</v>
      </c>
      <c r="K2" s="105" t="s">
        <v>203</v>
      </c>
      <c r="L2" s="25" t="s">
        <v>217</v>
      </c>
      <c r="M2" s="105" t="s">
        <v>218</v>
      </c>
      <c r="N2" s="25" t="s">
        <v>219</v>
      </c>
    </row>
    <row r="3" spans="1:14" ht="57.6" x14ac:dyDescent="0.3">
      <c r="A3">
        <v>0</v>
      </c>
      <c r="B3" t="s">
        <v>41</v>
      </c>
      <c r="C3" t="s">
        <v>202</v>
      </c>
      <c r="D3" s="3" t="s">
        <v>201</v>
      </c>
      <c r="E3" s="3" t="s">
        <v>200</v>
      </c>
      <c r="F3" t="s">
        <v>196</v>
      </c>
      <c r="G3" t="s">
        <v>199</v>
      </c>
      <c r="H3" t="s">
        <v>199</v>
      </c>
      <c r="I3" s="9">
        <v>2313827.4812808409</v>
      </c>
      <c r="J3" s="9">
        <v>2313827.4812808409</v>
      </c>
      <c r="K3" s="9">
        <v>0</v>
      </c>
      <c r="L3" s="25">
        <v>692917.2635</v>
      </c>
      <c r="M3" s="25">
        <v>294858.40999999997</v>
      </c>
      <c r="N3" s="25">
        <v>398058.85350000003</v>
      </c>
    </row>
    <row r="4" spans="1:14" x14ac:dyDescent="0.3">
      <c r="A4">
        <v>1</v>
      </c>
      <c r="B4" t="s">
        <v>43</v>
      </c>
      <c r="D4" s="3"/>
      <c r="E4" s="3"/>
      <c r="F4" t="s">
        <v>154</v>
      </c>
      <c r="I4" s="9"/>
      <c r="J4" s="104"/>
      <c r="K4" s="9"/>
      <c r="L4" s="25"/>
      <c r="M4" s="25"/>
      <c r="N4" s="25"/>
    </row>
    <row r="5" spans="1:14" ht="115.2" x14ac:dyDescent="0.3">
      <c r="A5">
        <v>2</v>
      </c>
      <c r="B5" t="s">
        <v>44</v>
      </c>
      <c r="C5" t="s">
        <v>198</v>
      </c>
      <c r="D5" s="3" t="s">
        <v>197</v>
      </c>
      <c r="E5" s="3" t="s">
        <v>193</v>
      </c>
      <c r="F5" t="s">
        <v>196</v>
      </c>
      <c r="G5" s="3" t="s">
        <v>192</v>
      </c>
      <c r="H5" s="3" t="s">
        <v>221</v>
      </c>
      <c r="I5" s="9">
        <v>1578993.2281952591</v>
      </c>
      <c r="J5" s="104">
        <v>2313827.48128084</v>
      </c>
      <c r="K5" s="9">
        <v>-734834.25308558182</v>
      </c>
      <c r="L5" s="103">
        <v>466411.57559223135</v>
      </c>
      <c r="M5" s="103">
        <v>198473.01089031121</v>
      </c>
      <c r="N5" s="103">
        <v>267938.56470192014</v>
      </c>
    </row>
    <row r="6" spans="1:14" ht="115.2" x14ac:dyDescent="0.3">
      <c r="A6">
        <v>3</v>
      </c>
      <c r="B6" t="s">
        <v>45</v>
      </c>
      <c r="C6" t="s">
        <v>195</v>
      </c>
      <c r="D6" s="3" t="s">
        <v>194</v>
      </c>
      <c r="E6" s="3" t="s">
        <v>193</v>
      </c>
      <c r="F6" t="s">
        <v>154</v>
      </c>
      <c r="G6" s="3" t="s">
        <v>192</v>
      </c>
      <c r="H6" s="3" t="s">
        <v>222</v>
      </c>
      <c r="I6" s="9">
        <v>1578993.2281952591</v>
      </c>
      <c r="J6" s="104">
        <v>2313827.48128084</v>
      </c>
      <c r="K6" s="9">
        <v>-734834.25308558182</v>
      </c>
      <c r="L6" s="103">
        <v>467348.82281260635</v>
      </c>
      <c r="M6" s="103">
        <v>198871.8394947261</v>
      </c>
      <c r="N6" s="103">
        <v>268476.98331788025</v>
      </c>
    </row>
    <row r="7" spans="1:14" ht="86.4" x14ac:dyDescent="0.3">
      <c r="A7">
        <v>4</v>
      </c>
      <c r="B7" t="s">
        <v>46</v>
      </c>
      <c r="C7" t="s">
        <v>191</v>
      </c>
      <c r="D7" s="3" t="s">
        <v>190</v>
      </c>
      <c r="E7" s="3" t="s">
        <v>187</v>
      </c>
      <c r="F7" t="s">
        <v>154</v>
      </c>
      <c r="G7" s="3" t="s">
        <v>186</v>
      </c>
      <c r="H7" s="3" t="s">
        <v>223</v>
      </c>
      <c r="I7" s="9">
        <v>1578993.2281952591</v>
      </c>
      <c r="J7" s="104">
        <v>2313827.48128084</v>
      </c>
      <c r="K7" s="9">
        <v>-734834.25308558182</v>
      </c>
      <c r="L7" s="103">
        <v>714886.80385154055</v>
      </c>
      <c r="M7" s="103">
        <v>304207.15057512361</v>
      </c>
      <c r="N7" s="103">
        <v>410679.65327641694</v>
      </c>
    </row>
    <row r="8" spans="1:14" ht="86.4" x14ac:dyDescent="0.3">
      <c r="A8">
        <v>5</v>
      </c>
      <c r="B8" t="s">
        <v>47</v>
      </c>
      <c r="C8" t="s">
        <v>189</v>
      </c>
      <c r="D8" t="s">
        <v>188</v>
      </c>
      <c r="E8" s="3" t="s">
        <v>187</v>
      </c>
      <c r="F8" t="s">
        <v>154</v>
      </c>
      <c r="G8" s="3" t="s">
        <v>186</v>
      </c>
      <c r="H8" s="3" t="s">
        <v>224</v>
      </c>
      <c r="I8" s="9">
        <v>1578993.2281952591</v>
      </c>
      <c r="J8" s="104">
        <v>2313827.48128084</v>
      </c>
      <c r="K8" s="9">
        <v>-734834.25308558182</v>
      </c>
      <c r="L8" s="103">
        <v>746715.58137139131</v>
      </c>
      <c r="M8" s="103">
        <v>317751.31122186861</v>
      </c>
      <c r="N8" s="103">
        <v>428964.27014952269</v>
      </c>
    </row>
    <row r="9" spans="1:14" ht="57.6" x14ac:dyDescent="0.3">
      <c r="A9">
        <v>6</v>
      </c>
      <c r="B9" t="s">
        <v>48</v>
      </c>
      <c r="C9" t="s">
        <v>185</v>
      </c>
      <c r="D9" s="3" t="s">
        <v>184</v>
      </c>
      <c r="E9" s="3" t="s">
        <v>171</v>
      </c>
      <c r="F9" t="s">
        <v>154</v>
      </c>
      <c r="G9" s="3" t="s">
        <v>170</v>
      </c>
      <c r="I9" s="9">
        <v>1578993.2281952591</v>
      </c>
      <c r="J9" s="104">
        <v>2313827.48128084</v>
      </c>
      <c r="K9" s="9">
        <v>-734834.25308558182</v>
      </c>
      <c r="L9" s="103">
        <v>802946.47035407473</v>
      </c>
      <c r="M9" s="103">
        <v>341679.34908684029</v>
      </c>
      <c r="N9" s="103">
        <v>461267.12126723444</v>
      </c>
    </row>
    <row r="10" spans="1:14" ht="57.6" x14ac:dyDescent="0.3">
      <c r="A10">
        <v>7</v>
      </c>
      <c r="B10" t="s">
        <v>49</v>
      </c>
      <c r="C10" t="s">
        <v>183</v>
      </c>
      <c r="D10" s="3" t="s">
        <v>182</v>
      </c>
      <c r="E10" s="3" t="s">
        <v>181</v>
      </c>
      <c r="F10" t="s">
        <v>154</v>
      </c>
      <c r="G10" s="3" t="s">
        <v>180</v>
      </c>
      <c r="I10" s="9">
        <v>1578993.2281952591</v>
      </c>
      <c r="J10" s="104">
        <v>2313827.48128084</v>
      </c>
      <c r="K10" s="9">
        <v>-734834.25308558182</v>
      </c>
      <c r="L10" s="103">
        <v>528143.15433026559</v>
      </c>
      <c r="M10" s="103">
        <v>224741.76780011301</v>
      </c>
      <c r="N10" s="103">
        <v>303401.38653015258</v>
      </c>
    </row>
    <row r="11" spans="1:14" ht="72" x14ac:dyDescent="0.3">
      <c r="A11">
        <v>8</v>
      </c>
      <c r="B11" t="s">
        <v>50</v>
      </c>
      <c r="C11" t="s">
        <v>179</v>
      </c>
      <c r="D11" s="3" t="s">
        <v>178</v>
      </c>
      <c r="E11" s="3" t="s">
        <v>171</v>
      </c>
      <c r="F11" t="s">
        <v>154</v>
      </c>
      <c r="G11" s="3" t="s">
        <v>170</v>
      </c>
      <c r="H11" s="3" t="s">
        <v>225</v>
      </c>
      <c r="I11" s="9">
        <v>1578993.2281952591</v>
      </c>
      <c r="J11" s="104">
        <v>2313827.48128084</v>
      </c>
      <c r="K11" s="9">
        <v>-734834.25308558182</v>
      </c>
      <c r="L11" s="103">
        <v>668387.97651381325</v>
      </c>
      <c r="M11" s="103">
        <v>284420.41553779284</v>
      </c>
      <c r="N11" s="103">
        <v>383967.56097602041</v>
      </c>
    </row>
    <row r="12" spans="1:14" ht="72" x14ac:dyDescent="0.3">
      <c r="A12">
        <v>9</v>
      </c>
      <c r="B12" t="s">
        <v>51</v>
      </c>
      <c r="C12" t="s">
        <v>177</v>
      </c>
      <c r="D12" s="3" t="s">
        <v>176</v>
      </c>
      <c r="E12" s="3" t="s">
        <v>171</v>
      </c>
      <c r="F12" t="s">
        <v>154</v>
      </c>
      <c r="G12" s="3" t="s">
        <v>170</v>
      </c>
      <c r="H12" s="3" t="s">
        <v>226</v>
      </c>
      <c r="I12" s="9">
        <v>1578993.2281952591</v>
      </c>
      <c r="J12" s="104">
        <v>2313827.48128084</v>
      </c>
      <c r="K12" s="9">
        <v>-734834.25308558182</v>
      </c>
      <c r="L12" s="103">
        <v>711127.01880093664</v>
      </c>
      <c r="M12" s="103">
        <v>302607.24204295175</v>
      </c>
      <c r="N12" s="103">
        <v>408519.77675798489</v>
      </c>
    </row>
    <row r="13" spans="1:14" ht="72" x14ac:dyDescent="0.3">
      <c r="A13">
        <v>10</v>
      </c>
      <c r="B13" t="s">
        <v>52</v>
      </c>
      <c r="C13" t="s">
        <v>175</v>
      </c>
      <c r="D13" s="3" t="s">
        <v>174</v>
      </c>
      <c r="E13" s="3" t="s">
        <v>171</v>
      </c>
      <c r="F13" t="s">
        <v>154</v>
      </c>
      <c r="G13" s="3" t="s">
        <v>170</v>
      </c>
      <c r="H13" s="3" t="s">
        <v>227</v>
      </c>
      <c r="I13" s="9">
        <v>1578993.2281952591</v>
      </c>
      <c r="J13" s="104">
        <v>2313827.48128084</v>
      </c>
      <c r="K13" s="9">
        <v>-734834.25308558182</v>
      </c>
      <c r="L13" s="103">
        <v>666749.07160735386</v>
      </c>
      <c r="M13" s="103">
        <v>283723.00919461867</v>
      </c>
      <c r="N13" s="103">
        <v>383026.06241273519</v>
      </c>
    </row>
    <row r="14" spans="1:14" ht="15" customHeight="1" x14ac:dyDescent="0.3">
      <c r="A14">
        <v>11</v>
      </c>
      <c r="B14" t="s">
        <v>53</v>
      </c>
      <c r="C14" t="s">
        <v>173</v>
      </c>
      <c r="D14" s="3" t="s">
        <v>172</v>
      </c>
      <c r="E14" s="3" t="s">
        <v>171</v>
      </c>
      <c r="F14" t="s">
        <v>154</v>
      </c>
      <c r="G14" s="3" t="s">
        <v>170</v>
      </c>
      <c r="H14" s="3" t="s">
        <v>228</v>
      </c>
      <c r="I14" s="9">
        <v>1578993.2281952591</v>
      </c>
      <c r="J14" s="104">
        <v>2313827.48128084</v>
      </c>
      <c r="K14" s="9">
        <v>-734834.25308558182</v>
      </c>
      <c r="L14" s="103">
        <v>701615.53054639429</v>
      </c>
      <c r="M14" s="103">
        <v>298559.80023250822</v>
      </c>
      <c r="N14" s="103">
        <v>403055.73031388607</v>
      </c>
    </row>
    <row r="15" spans="1:14" ht="86.4" x14ac:dyDescent="0.3">
      <c r="A15">
        <v>12</v>
      </c>
      <c r="B15" t="s">
        <v>54</v>
      </c>
      <c r="C15" t="s">
        <v>169</v>
      </c>
      <c r="D15" s="3" t="s">
        <v>168</v>
      </c>
      <c r="E15" s="3" t="s">
        <v>165</v>
      </c>
      <c r="F15" t="s">
        <v>154</v>
      </c>
      <c r="G15" s="3" t="s">
        <v>164</v>
      </c>
      <c r="H15" s="3" t="s">
        <v>229</v>
      </c>
      <c r="I15" s="9">
        <v>1578993.2281952591</v>
      </c>
      <c r="J15" s="104">
        <v>2313827.48128084</v>
      </c>
      <c r="K15" s="9">
        <v>-734834.25308558182</v>
      </c>
      <c r="L15" s="103">
        <v>578962.36926438019</v>
      </c>
      <c r="M15" s="103">
        <v>246366.96564441707</v>
      </c>
      <c r="N15" s="103">
        <v>332595.40361996309</v>
      </c>
    </row>
    <row r="16" spans="1:14" ht="86.4" x14ac:dyDescent="0.3">
      <c r="A16">
        <v>13</v>
      </c>
      <c r="B16" t="s">
        <v>55</v>
      </c>
      <c r="C16" t="s">
        <v>167</v>
      </c>
      <c r="D16" s="3" t="s">
        <v>166</v>
      </c>
      <c r="E16" s="3" t="s">
        <v>165</v>
      </c>
      <c r="F16" t="s">
        <v>154</v>
      </c>
      <c r="G16" s="3" t="s">
        <v>164</v>
      </c>
      <c r="H16" s="3" t="s">
        <v>230</v>
      </c>
      <c r="I16" s="9">
        <v>1578993.2281952591</v>
      </c>
      <c r="J16" s="104">
        <v>2313827.48128084</v>
      </c>
      <c r="K16" s="9">
        <v>-734834.25308558182</v>
      </c>
      <c r="L16" s="103">
        <v>609167.47431027459</v>
      </c>
      <c r="M16" s="103">
        <v>259220.20183415941</v>
      </c>
      <c r="N16" s="103">
        <v>349947.27247611515</v>
      </c>
    </row>
    <row r="17" spans="1:14" ht="115.2" x14ac:dyDescent="0.3">
      <c r="A17">
        <v>14</v>
      </c>
      <c r="B17" t="s">
        <v>56</v>
      </c>
      <c r="C17" t="s">
        <v>163</v>
      </c>
      <c r="D17" s="3" t="s">
        <v>156</v>
      </c>
      <c r="E17" s="3" t="s">
        <v>162</v>
      </c>
      <c r="F17" t="s">
        <v>154</v>
      </c>
      <c r="G17" s="3" t="s">
        <v>161</v>
      </c>
      <c r="H17" s="3" t="s">
        <v>231</v>
      </c>
      <c r="I17" s="9">
        <v>1578993.2281952591</v>
      </c>
      <c r="J17" s="104">
        <v>2313827.48128084</v>
      </c>
      <c r="K17" s="9">
        <v>-734834.25308558182</v>
      </c>
      <c r="L17" s="103">
        <v>371584.28566603229</v>
      </c>
      <c r="M17" s="103">
        <v>158120.97262384353</v>
      </c>
      <c r="N17" s="103">
        <v>213463.31304218876</v>
      </c>
    </row>
    <row r="18" spans="1:14" ht="72" x14ac:dyDescent="0.3">
      <c r="A18">
        <v>15</v>
      </c>
      <c r="B18" t="s">
        <v>58</v>
      </c>
      <c r="C18" t="s">
        <v>160</v>
      </c>
      <c r="D18" s="3" t="s">
        <v>156</v>
      </c>
      <c r="E18" s="3" t="s">
        <v>159</v>
      </c>
      <c r="F18" t="s">
        <v>154</v>
      </c>
      <c r="G18" s="3" t="s">
        <v>158</v>
      </c>
      <c r="H18" s="3" t="s">
        <v>232</v>
      </c>
      <c r="I18" s="9">
        <v>1578993.2281952591</v>
      </c>
      <c r="J18" s="104">
        <v>2313827.48128084</v>
      </c>
      <c r="K18" s="9">
        <v>-734834.25308558182</v>
      </c>
      <c r="L18" s="103">
        <v>608172.43479037448</v>
      </c>
      <c r="M18" s="103">
        <v>258796.78076186148</v>
      </c>
      <c r="N18" s="103">
        <v>349375.654028513</v>
      </c>
    </row>
    <row r="19" spans="1:14" ht="72" x14ac:dyDescent="0.3">
      <c r="A19">
        <v>16</v>
      </c>
      <c r="B19" t="s">
        <v>59</v>
      </c>
      <c r="C19" t="s">
        <v>157</v>
      </c>
      <c r="D19" s="3" t="s">
        <v>156</v>
      </c>
      <c r="E19" s="3" t="s">
        <v>155</v>
      </c>
      <c r="F19" t="s">
        <v>154</v>
      </c>
      <c r="G19" s="3" t="s">
        <v>153</v>
      </c>
      <c r="H19" s="3" t="s">
        <v>232</v>
      </c>
      <c r="I19" s="9">
        <v>1578993.2281952591</v>
      </c>
      <c r="J19" s="104">
        <v>2313827.48128084</v>
      </c>
      <c r="K19" s="9">
        <v>-734834.25308558182</v>
      </c>
      <c r="L19" s="103">
        <v>641493.69404780085</v>
      </c>
      <c r="M19" s="103">
        <v>272976.04002034076</v>
      </c>
      <c r="N19" s="103">
        <v>368517.65402746008</v>
      </c>
    </row>
    <row r="20" spans="1:14" x14ac:dyDescent="0.3">
      <c r="A20" t="str">
        <f>IF(NOT(ISBLANK('[2]Test Cases'!A19)),'[2]Test Cases'!A19,"")</f>
        <v/>
      </c>
      <c r="B20" t="str">
        <f>IF(NOT(ISBLANK('[2]Test Cases'!B19)),'[2]Test Cases'!B19,"")</f>
        <v/>
      </c>
    </row>
    <row r="21" spans="1:14" x14ac:dyDescent="0.3">
      <c r="A21" t="str">
        <f>IF(NOT(ISBLANK('[2]Test Cases'!A20)),'[2]Test Cases'!A20,"")</f>
        <v/>
      </c>
      <c r="B21" t="str">
        <f>IF(NOT(ISBLANK('[2]Test Cases'!B20)),'[2]Test Cases'!B20,"")</f>
        <v/>
      </c>
    </row>
    <row r="22" spans="1:14" x14ac:dyDescent="0.3">
      <c r="A22" t="str">
        <f>IF(NOT(ISBLANK('[2]Test Cases'!A21)),'[2]Test Cases'!A21,"")</f>
        <v/>
      </c>
      <c r="B22" t="str">
        <f>IF(NOT(ISBLANK('[2]Test Cases'!B21)),'[2]Test Cases'!B21,"")</f>
        <v/>
      </c>
    </row>
    <row r="23" spans="1:14" x14ac:dyDescent="0.3">
      <c r="A23" t="str">
        <f>IF(NOT(ISBLANK('[2]Test Cases'!A22)),'[2]Test Cases'!A22,"")</f>
        <v/>
      </c>
      <c r="B23" t="str">
        <f>IF(NOT(ISBLANK('[2]Test Cases'!B22)),'[2]Test Cases'!B22,"")</f>
        <v/>
      </c>
    </row>
    <row r="24" spans="1:14" x14ac:dyDescent="0.3">
      <c r="A24" t="str">
        <f>IF(NOT(ISBLANK('[2]Test Cases'!A23)),'[2]Test Cases'!A23,"")</f>
        <v/>
      </c>
      <c r="B24" t="str">
        <f>IF(NOT(ISBLANK('[2]Test Cases'!B23)),'[2]Test Cases'!B23,"")</f>
        <v/>
      </c>
    </row>
    <row r="25" spans="1:14" x14ac:dyDescent="0.3">
      <c r="A25" t="str">
        <f>IF(NOT(ISBLANK('[2]Test Cases'!A24)),'[2]Test Cases'!A24,"")</f>
        <v/>
      </c>
      <c r="B25" t="str">
        <f>IF(NOT(ISBLANK('[2]Test Cases'!B24)),'[2]Test Cases'!B24,"")</f>
        <v/>
      </c>
    </row>
    <row r="26" spans="1:14" x14ac:dyDescent="0.3">
      <c r="A26" t="str">
        <f>IF(NOT(ISBLANK('[2]Test Cases'!A25)),'[2]Test Cases'!A25,"")</f>
        <v/>
      </c>
      <c r="B26" t="str">
        <f>IF(NOT(ISBLANK('[2]Test Cases'!B25)),'[2]Test Cases'!B25,"")</f>
        <v/>
      </c>
    </row>
    <row r="27" spans="1:14" x14ac:dyDescent="0.3">
      <c r="A27" t="str">
        <f>IF(NOT(ISBLANK('[2]Test Cases'!A26)),'[2]Test Cases'!A26,"")</f>
        <v/>
      </c>
      <c r="B27" t="str">
        <f>IF(NOT(ISBLANK('[2]Test Cases'!B26)),'[2]Test Cases'!B26,"")</f>
        <v/>
      </c>
    </row>
    <row r="28" spans="1:14" x14ac:dyDescent="0.3">
      <c r="A28" t="str">
        <f>IF(NOT(ISBLANK('[2]Test Cases'!A27)),'[2]Test Cases'!A27,"")</f>
        <v/>
      </c>
      <c r="B28" t="str">
        <f>IF(NOT(ISBLANK('[2]Test Cases'!B27)),'[2]Test Cases'!B27,"")</f>
        <v/>
      </c>
    </row>
    <row r="29" spans="1:14" x14ac:dyDescent="0.3">
      <c r="A29" t="str">
        <f>IF(NOT(ISBLANK('[2]Test Cases'!A28)),'[2]Test Cases'!A28,"")</f>
        <v/>
      </c>
      <c r="B29" t="str">
        <f>IF(NOT(ISBLANK('[2]Test Cases'!B28)),'[2]Test Cases'!B28,"")</f>
        <v/>
      </c>
    </row>
    <row r="30" spans="1:14" x14ac:dyDescent="0.3">
      <c r="A30" t="str">
        <f>IF(NOT(ISBLANK('[2]Test Cases'!A29)),'[2]Test Cases'!A29,"")</f>
        <v/>
      </c>
      <c r="B30" t="str">
        <f>IF(NOT(ISBLANK('[2]Test Cases'!B29)),'[2]Test Cases'!B29,"")</f>
        <v/>
      </c>
    </row>
    <row r="31" spans="1:14" x14ac:dyDescent="0.3">
      <c r="A31" t="str">
        <f>IF(NOT(ISBLANK('[2]Test Cases'!A30)),'[2]Test Cases'!A30,"")</f>
        <v/>
      </c>
      <c r="B31" t="str">
        <f>IF(NOT(ISBLANK('[2]Test Cases'!B30)),'[2]Test Cases'!B30,"")</f>
        <v/>
      </c>
    </row>
    <row r="32" spans="1:14" x14ac:dyDescent="0.3">
      <c r="A32" t="str">
        <f>IF(NOT(ISBLANK('[2]Test Cases'!A31)),'[2]Test Cases'!A31,"")</f>
        <v/>
      </c>
      <c r="B32" t="str">
        <f>IF(NOT(ISBLANK('[2]Test Cases'!B31)),'[2]Test Cases'!B31,"")</f>
        <v/>
      </c>
    </row>
    <row r="33" spans="1:2" x14ac:dyDescent="0.3">
      <c r="A33" t="str">
        <f>IF(NOT(ISBLANK('[2]Test Cases'!A32)),'[2]Test Cases'!A32,"")</f>
        <v/>
      </c>
      <c r="B33" t="str">
        <f>IF(NOT(ISBLANK('[2]Test Cases'!B32)),'[2]Test Cases'!B32,"")</f>
        <v/>
      </c>
    </row>
    <row r="34" spans="1:2" x14ac:dyDescent="0.3">
      <c r="A34" t="str">
        <f>IF(NOT(ISBLANK('[2]Test Cases'!A33)),'[2]Test Cases'!A33,"")</f>
        <v/>
      </c>
      <c r="B34" t="str">
        <f>IF(NOT(ISBLANK('[2]Test Cases'!B33)),'[2]Test Cases'!B33,"")</f>
        <v/>
      </c>
    </row>
    <row r="35" spans="1:2" x14ac:dyDescent="0.3">
      <c r="A35" t="str">
        <f>IF(NOT(ISBLANK('[2]Test Cases'!A34)),'[2]Test Cases'!A34,"")</f>
        <v/>
      </c>
      <c r="B35" t="str">
        <f>IF(NOT(ISBLANK('[2]Test Cases'!B34)),'[2]Test Cases'!B34,"")</f>
        <v/>
      </c>
    </row>
    <row r="36" spans="1:2" x14ac:dyDescent="0.3">
      <c r="A36" t="str">
        <f>IF(NOT(ISBLANK('[2]Test Cases'!A35)),'[2]Test Cases'!A35,"")</f>
        <v/>
      </c>
      <c r="B36" t="str">
        <f>IF(NOT(ISBLANK('[2]Test Cases'!B35)),'[2]Test Cases'!B35,"")</f>
        <v/>
      </c>
    </row>
    <row r="37" spans="1:2" x14ac:dyDescent="0.3">
      <c r="A37" t="str">
        <f>IF(NOT(ISBLANK('[2]Test Cases'!A36)),'[2]Test Cases'!A36,"")</f>
        <v/>
      </c>
      <c r="B37" t="str">
        <f>IF(NOT(ISBLANK('[2]Test Cases'!B36)),'[2]Test Cases'!B36,"")</f>
        <v/>
      </c>
    </row>
    <row r="38" spans="1:2" x14ac:dyDescent="0.3">
      <c r="A38" t="str">
        <f>IF(NOT(ISBLANK('[2]Test Cases'!A37)),'[2]Test Cases'!A37,"")</f>
        <v/>
      </c>
      <c r="B38" t="str">
        <f>IF(NOT(ISBLANK('[2]Test Cases'!B37)),'[2]Test Cases'!B37,"")</f>
        <v/>
      </c>
    </row>
    <row r="39" spans="1:2" x14ac:dyDescent="0.3">
      <c r="A39" t="str">
        <f>IF(NOT(ISBLANK('[2]Test Cases'!A38)),'[2]Test Cases'!A38,"")</f>
        <v/>
      </c>
      <c r="B39" t="str">
        <f>IF(NOT(ISBLANK('[2]Test Cases'!B38)),'[2]Test Cases'!B38,"")</f>
        <v/>
      </c>
    </row>
    <row r="40" spans="1:2" x14ac:dyDescent="0.3">
      <c r="A40" t="str">
        <f>IF(NOT(ISBLANK('[2]Test Cases'!A39)),'[2]Test Cases'!A39,"")</f>
        <v/>
      </c>
      <c r="B40" t="str">
        <f>IF(NOT(ISBLANK('[2]Test Cases'!B39)),'[2]Test Cases'!B39,"")</f>
        <v/>
      </c>
    </row>
    <row r="41" spans="1:2" x14ac:dyDescent="0.3">
      <c r="A41" t="str">
        <f>IF(NOT(ISBLANK('[2]Test Cases'!A40)),'[2]Test Cases'!A40,"")</f>
        <v/>
      </c>
      <c r="B41" t="str">
        <f>IF(NOT(ISBLANK('[2]Test Cases'!B40)),'[2]Test Cases'!B40,"")</f>
        <v/>
      </c>
    </row>
    <row r="42" spans="1:2" x14ac:dyDescent="0.3">
      <c r="A42" t="str">
        <f>IF(NOT(ISBLANK('[2]Test Cases'!A41)),'[2]Test Cases'!A41,"")</f>
        <v/>
      </c>
      <c r="B42" t="str">
        <f>IF(NOT(ISBLANK('[2]Test Cases'!B41)),'[2]Test Cases'!B41,"")</f>
        <v/>
      </c>
    </row>
    <row r="43" spans="1:2" x14ac:dyDescent="0.3">
      <c r="A43" t="str">
        <f>IF(NOT(ISBLANK('[2]Test Cases'!A42)),'[2]Test Cases'!A42,"")</f>
        <v/>
      </c>
      <c r="B43" t="str">
        <f>IF(NOT(ISBLANK('[2]Test Cases'!B42)),'[2]Test Cases'!B42,"")</f>
        <v/>
      </c>
    </row>
    <row r="44" spans="1:2" x14ac:dyDescent="0.3">
      <c r="A44" t="str">
        <f>IF(NOT(ISBLANK('[2]Test Cases'!A43)),'[2]Test Cases'!A43,"")</f>
        <v/>
      </c>
      <c r="B44" t="str">
        <f>IF(NOT(ISBLANK('[2]Test Cases'!B43)),'[2]Test Cases'!B43,"")</f>
        <v/>
      </c>
    </row>
    <row r="45" spans="1:2" x14ac:dyDescent="0.3">
      <c r="A45" t="str">
        <f>IF(NOT(ISBLANK('[2]Test Cases'!A44)),'[2]Test Cases'!A44,"")</f>
        <v/>
      </c>
      <c r="B45" t="str">
        <f>IF(NOT(ISBLANK('[2]Test Cases'!B44)),'[2]Test Cases'!B44,"")</f>
        <v/>
      </c>
    </row>
    <row r="46" spans="1:2" x14ac:dyDescent="0.3">
      <c r="A46" t="str">
        <f>IF(NOT(ISBLANK('[2]Test Cases'!A45)),'[2]Test Cases'!A45,"")</f>
        <v/>
      </c>
      <c r="B46" t="str">
        <f>IF(NOT(ISBLANK('[2]Test Cases'!B45)),'[2]Test Cases'!B45,"")</f>
        <v/>
      </c>
    </row>
    <row r="47" spans="1:2" x14ac:dyDescent="0.3">
      <c r="A47" t="str">
        <f>IF(NOT(ISBLANK('[2]Test Cases'!A46)),'[2]Test Cases'!A46,"")</f>
        <v/>
      </c>
      <c r="B47" t="str">
        <f>IF(NOT(ISBLANK('[2]Test Cases'!B46)),'[2]Test Cases'!B46,"")</f>
        <v/>
      </c>
    </row>
    <row r="48" spans="1:2" x14ac:dyDescent="0.3">
      <c r="A48" t="str">
        <f>IF(NOT(ISBLANK('[2]Test Cases'!A47)),'[2]Test Cases'!A47,"")</f>
        <v/>
      </c>
      <c r="B48" t="str">
        <f>IF(NOT(ISBLANK('[2]Test Cases'!B47)),'[2]Test Cases'!B47,"")</f>
        <v/>
      </c>
    </row>
    <row r="49" spans="1:2" x14ac:dyDescent="0.3">
      <c r="A49" t="str">
        <f>IF(NOT(ISBLANK('[2]Test Cases'!A48)),'[2]Test Cases'!A48,"")</f>
        <v/>
      </c>
      <c r="B49" t="str">
        <f>IF(NOT(ISBLANK('[2]Test Cases'!B48)),'[2]Test Cases'!B48,"")</f>
        <v/>
      </c>
    </row>
    <row r="50" spans="1:2" x14ac:dyDescent="0.3">
      <c r="A50" t="str">
        <f>IF(NOT(ISBLANK('[2]Test Cases'!A49)),'[2]Test Cases'!A49,"")</f>
        <v/>
      </c>
      <c r="B50" t="str">
        <f>IF(NOT(ISBLANK('[2]Test Cases'!B49)),'[2]Test Cases'!B49,"")</f>
        <v/>
      </c>
    </row>
    <row r="51" spans="1:2" x14ac:dyDescent="0.3">
      <c r="A51" t="str">
        <f>IF(NOT(ISBLANK('[2]Test Cases'!A50)),'[2]Test Cases'!A50,"")</f>
        <v/>
      </c>
      <c r="B51" t="str">
        <f>IF(NOT(ISBLANK('[2]Test Cases'!B50)),'[2]Test Cases'!B50,"")</f>
        <v/>
      </c>
    </row>
    <row r="52" spans="1:2" x14ac:dyDescent="0.3">
      <c r="A52" t="str">
        <f>IF(NOT(ISBLANK('[2]Test Cases'!A51)),'[2]Test Cases'!A51,"")</f>
        <v/>
      </c>
      <c r="B52" t="str">
        <f>IF(NOT(ISBLANK('[2]Test Cases'!B51)),'[2]Test Cases'!B51,"")</f>
        <v/>
      </c>
    </row>
    <row r="53" spans="1:2" x14ac:dyDescent="0.3">
      <c r="A53" t="str">
        <f>IF(NOT(ISBLANK('[2]Test Cases'!A52)),'[2]Test Cases'!A52,"")</f>
        <v/>
      </c>
      <c r="B53" t="str">
        <f>IF(NOT(ISBLANK('[2]Test Cases'!B52)),'[2]Test Cases'!B52,"")</f>
        <v/>
      </c>
    </row>
    <row r="54" spans="1:2" x14ac:dyDescent="0.3">
      <c r="A54" t="str">
        <f>IF(NOT(ISBLANK('[2]Test Cases'!A53)),'[2]Test Cases'!A53,"")</f>
        <v/>
      </c>
      <c r="B54" t="str">
        <f>IF(NOT(ISBLANK('[2]Test Cases'!B53)),'[2]Test Cases'!B53,"")</f>
        <v/>
      </c>
    </row>
    <row r="55" spans="1:2" x14ac:dyDescent="0.3">
      <c r="A55" t="str">
        <f>IF(NOT(ISBLANK('[2]Test Cases'!A54)),'[2]Test Cases'!A54,"")</f>
        <v/>
      </c>
      <c r="B55" t="str">
        <f>IF(NOT(ISBLANK('[2]Test Cases'!B54)),'[2]Test Cases'!B54,"")</f>
        <v/>
      </c>
    </row>
    <row r="56" spans="1:2" x14ac:dyDescent="0.3">
      <c r="A56" t="str">
        <f>IF(NOT(ISBLANK('[2]Test Cases'!A55)),'[2]Test Cases'!A55,"")</f>
        <v/>
      </c>
      <c r="B56" t="str">
        <f>IF(NOT(ISBLANK('[2]Test Cases'!B55)),'[2]Test Cases'!B55,"")</f>
        <v/>
      </c>
    </row>
    <row r="57" spans="1:2" x14ac:dyDescent="0.3">
      <c r="A57" t="str">
        <f>IF(NOT(ISBLANK('[2]Test Cases'!A56)),'[2]Test Cases'!A56,"")</f>
        <v/>
      </c>
      <c r="B57" t="str">
        <f>IF(NOT(ISBLANK('[2]Test Cases'!B56)),'[2]Test Cases'!B56,"")</f>
        <v/>
      </c>
    </row>
    <row r="58" spans="1:2" x14ac:dyDescent="0.3">
      <c r="A58" t="str">
        <f>IF(NOT(ISBLANK('[2]Test Cases'!A57)),'[2]Test Cases'!A57,"")</f>
        <v/>
      </c>
      <c r="B58" t="str">
        <f>IF(NOT(ISBLANK('[2]Test Cases'!B57)),'[2]Test Cases'!B57,"")</f>
        <v/>
      </c>
    </row>
    <row r="59" spans="1:2" x14ac:dyDescent="0.3">
      <c r="A59" t="str">
        <f>IF(NOT(ISBLANK('[2]Test Cases'!A58)),'[2]Test Cases'!A58,"")</f>
        <v/>
      </c>
      <c r="B59" t="str">
        <f>IF(NOT(ISBLANK('[2]Test Cases'!B58)),'[2]Test Cases'!B58,"")</f>
        <v/>
      </c>
    </row>
    <row r="60" spans="1:2" x14ac:dyDescent="0.3">
      <c r="A60" t="str">
        <f>IF(NOT(ISBLANK('[2]Test Cases'!A59)),'[2]Test Cases'!A59,"")</f>
        <v/>
      </c>
      <c r="B60" t="str">
        <f>IF(NOT(ISBLANK('[2]Test Cases'!B59)),'[2]Test Cases'!B59,"")</f>
        <v/>
      </c>
    </row>
    <row r="61" spans="1:2" x14ac:dyDescent="0.3">
      <c r="A61" t="str">
        <f>IF(NOT(ISBLANK('[2]Test Cases'!A60)),'[2]Test Cases'!A60,"")</f>
        <v/>
      </c>
      <c r="B61" t="str">
        <f>IF(NOT(ISBLANK('[2]Test Cases'!B60)),'[2]Test Cases'!B60,"")</f>
        <v/>
      </c>
    </row>
    <row r="62" spans="1:2" x14ac:dyDescent="0.3">
      <c r="A62" t="str">
        <f>IF(NOT(ISBLANK('[2]Test Cases'!A61)),'[2]Test Cases'!A61,"")</f>
        <v/>
      </c>
      <c r="B62" t="str">
        <f>IF(NOT(ISBLANK('[2]Test Cases'!B61)),'[2]Test Cases'!B61,"")</f>
        <v/>
      </c>
    </row>
    <row r="63" spans="1:2" x14ac:dyDescent="0.3">
      <c r="A63" t="str">
        <f>IF(NOT(ISBLANK('[2]Test Cases'!A62)),'[2]Test Cases'!A62,"")</f>
        <v/>
      </c>
      <c r="B63" t="str">
        <f>IF(NOT(ISBLANK('[2]Test Cases'!B62)),'[2]Test Cases'!B62,"")</f>
        <v/>
      </c>
    </row>
    <row r="64" spans="1:2" x14ac:dyDescent="0.3">
      <c r="A64" t="str">
        <f>IF(NOT(ISBLANK('[2]Test Cases'!A63)),'[2]Test Cases'!A63,"")</f>
        <v/>
      </c>
      <c r="B64" t="str">
        <f>IF(NOT(ISBLANK('[2]Test Cases'!B63)),'[2]Test Cases'!B63,"")</f>
        <v/>
      </c>
    </row>
    <row r="65" spans="1:2" x14ac:dyDescent="0.3">
      <c r="A65" t="str">
        <f>IF(NOT(ISBLANK('[2]Test Cases'!A64)),'[2]Test Cases'!A64,"")</f>
        <v/>
      </c>
      <c r="B65" t="str">
        <f>IF(NOT(ISBLANK('[2]Test Cases'!B64)),'[2]Test Cases'!B64,"")</f>
        <v/>
      </c>
    </row>
    <row r="66" spans="1:2" x14ac:dyDescent="0.3">
      <c r="A66" t="str">
        <f>IF(NOT(ISBLANK('[2]Test Cases'!A65)),'[2]Test Cases'!A65,"")</f>
        <v/>
      </c>
      <c r="B66" t="str">
        <f>IF(NOT(ISBLANK('[2]Test Cases'!B65)),'[2]Test Cases'!B65,"")</f>
        <v/>
      </c>
    </row>
    <row r="67" spans="1:2" x14ac:dyDescent="0.3">
      <c r="A67" t="str">
        <f>IF(NOT(ISBLANK('[2]Test Cases'!A66)),'[2]Test Cases'!A66,"")</f>
        <v/>
      </c>
      <c r="B67" t="str">
        <f>IF(NOT(ISBLANK('[2]Test Cases'!B66)),'[2]Test Cases'!B66,"")</f>
        <v/>
      </c>
    </row>
    <row r="68" spans="1:2" x14ac:dyDescent="0.3">
      <c r="A68" t="str">
        <f>IF(NOT(ISBLANK('[2]Test Cases'!A67)),'[2]Test Cases'!A67,"")</f>
        <v/>
      </c>
      <c r="B68" t="str">
        <f>IF(NOT(ISBLANK('[2]Test Cases'!B67)),'[2]Test Cases'!B67,"")</f>
        <v/>
      </c>
    </row>
    <row r="69" spans="1:2" x14ac:dyDescent="0.3">
      <c r="A69" t="str">
        <f>IF(NOT(ISBLANK('[2]Test Cases'!A68)),'[2]Test Cases'!A68,"")</f>
        <v/>
      </c>
      <c r="B69" t="str">
        <f>IF(NOT(ISBLANK('[2]Test Cases'!B68)),'[2]Test Cases'!B68,"")</f>
        <v/>
      </c>
    </row>
    <row r="70" spans="1:2" x14ac:dyDescent="0.3">
      <c r="A70" t="str">
        <f>IF(NOT(ISBLANK('[2]Test Cases'!A69)),'[2]Test Cases'!A69,"")</f>
        <v/>
      </c>
      <c r="B70" t="str">
        <f>IF(NOT(ISBLANK('[2]Test Cases'!B69)),'[2]Test Cases'!B69,"")</f>
        <v/>
      </c>
    </row>
    <row r="71" spans="1:2" x14ac:dyDescent="0.3">
      <c r="A71" t="str">
        <f>IF(NOT(ISBLANK('[2]Test Cases'!A70)),'[2]Test Cases'!A70,"")</f>
        <v/>
      </c>
      <c r="B71" t="str">
        <f>IF(NOT(ISBLANK('[2]Test Cases'!B70)),'[2]Test Cases'!B70,"")</f>
        <v/>
      </c>
    </row>
    <row r="72" spans="1:2" x14ac:dyDescent="0.3">
      <c r="A72" t="str">
        <f>IF(NOT(ISBLANK('[2]Test Cases'!A71)),'[2]Test Cases'!A71,"")</f>
        <v/>
      </c>
      <c r="B72" t="str">
        <f>IF(NOT(ISBLANK('[2]Test Cases'!B71)),'[2]Test Cases'!B71,"")</f>
        <v/>
      </c>
    </row>
    <row r="73" spans="1:2" x14ac:dyDescent="0.3">
      <c r="A73" t="str">
        <f>IF(NOT(ISBLANK('[2]Test Cases'!A72)),'[2]Test Cases'!A72,"")</f>
        <v/>
      </c>
      <c r="B73" t="str">
        <f>IF(NOT(ISBLANK('[2]Test Cases'!B72)),'[2]Test Cases'!B72,"")</f>
        <v/>
      </c>
    </row>
    <row r="74" spans="1:2" x14ac:dyDescent="0.3">
      <c r="A74" t="str">
        <f>IF(NOT(ISBLANK('[2]Test Cases'!A73)),'[2]Test Cases'!A73,"")</f>
        <v/>
      </c>
      <c r="B74" t="str">
        <f>IF(NOT(ISBLANK('[2]Test Cases'!B73)),'[2]Test Cases'!B73,"")</f>
        <v/>
      </c>
    </row>
    <row r="75" spans="1:2" x14ac:dyDescent="0.3">
      <c r="A75" t="str">
        <f>IF(NOT(ISBLANK('[2]Test Cases'!A74)),'[2]Test Cases'!A74,"")</f>
        <v/>
      </c>
      <c r="B75" t="str">
        <f>IF(NOT(ISBLANK('[2]Test Cases'!B74)),'[2]Test Cases'!B74,"")</f>
        <v/>
      </c>
    </row>
    <row r="76" spans="1:2" x14ac:dyDescent="0.3">
      <c r="A76" t="str">
        <f>IF(NOT(ISBLANK('[2]Test Cases'!A75)),'[2]Test Cases'!A75,"")</f>
        <v/>
      </c>
      <c r="B76" t="str">
        <f>IF(NOT(ISBLANK('[2]Test Cases'!B75)),'[2]Test Cases'!B75,"")</f>
        <v/>
      </c>
    </row>
    <row r="77" spans="1:2" x14ac:dyDescent="0.3">
      <c r="A77" t="str">
        <f>IF(NOT(ISBLANK('[2]Test Cases'!A76)),'[2]Test Cases'!A76,"")</f>
        <v/>
      </c>
      <c r="B77" t="str">
        <f>IF(NOT(ISBLANK('[2]Test Cases'!B76)),'[2]Test Cases'!B76,"")</f>
        <v/>
      </c>
    </row>
    <row r="78" spans="1:2" x14ac:dyDescent="0.3">
      <c r="A78" t="str">
        <f>IF(NOT(ISBLANK('[2]Test Cases'!A77)),'[2]Test Cases'!A77,"")</f>
        <v/>
      </c>
      <c r="B78" t="str">
        <f>IF(NOT(ISBLANK('[2]Test Cases'!B77)),'[2]Test Cases'!B77,"")</f>
        <v/>
      </c>
    </row>
    <row r="79" spans="1:2" x14ac:dyDescent="0.3">
      <c r="A79" t="str">
        <f>IF(NOT(ISBLANK('[2]Test Cases'!A78)),'[2]Test Cases'!A78,"")</f>
        <v/>
      </c>
      <c r="B79" t="str">
        <f>IF(NOT(ISBLANK('[2]Test Cases'!B78)),'[2]Test Cases'!B78,"")</f>
        <v/>
      </c>
    </row>
    <row r="80" spans="1:2" x14ac:dyDescent="0.3">
      <c r="A80" t="str">
        <f>IF(NOT(ISBLANK('[2]Test Cases'!A79)),'[2]Test Cases'!A79,"")</f>
        <v/>
      </c>
      <c r="B80" t="str">
        <f>IF(NOT(ISBLANK('[2]Test Cases'!B79)),'[2]Test Cases'!B79,"")</f>
        <v/>
      </c>
    </row>
    <row r="81" spans="1:2" x14ac:dyDescent="0.3">
      <c r="A81" t="str">
        <f>IF(NOT(ISBLANK('[2]Test Cases'!A80)),'[2]Test Cases'!A80,"")</f>
        <v/>
      </c>
      <c r="B81" t="str">
        <f>IF(NOT(ISBLANK('[2]Test Cases'!B80)),'[2]Test Cases'!B80,"")</f>
        <v/>
      </c>
    </row>
    <row r="82" spans="1:2" x14ac:dyDescent="0.3">
      <c r="A82" t="str">
        <f>IF(NOT(ISBLANK('[2]Test Cases'!A81)),'[2]Test Cases'!A81,"")</f>
        <v/>
      </c>
      <c r="B82" t="str">
        <f>IF(NOT(ISBLANK('[2]Test Cases'!B81)),'[2]Test Cases'!B81,"")</f>
        <v/>
      </c>
    </row>
    <row r="83" spans="1:2" x14ac:dyDescent="0.3">
      <c r="A83" t="str">
        <f>IF(NOT(ISBLANK('[2]Test Cases'!A82)),'[2]Test Cases'!A82,"")</f>
        <v/>
      </c>
      <c r="B83" t="str">
        <f>IF(NOT(ISBLANK('[2]Test Cases'!B82)),'[2]Test Cases'!B82,"")</f>
        <v/>
      </c>
    </row>
    <row r="84" spans="1:2" x14ac:dyDescent="0.3">
      <c r="A84" t="str">
        <f>IF(NOT(ISBLANK('[2]Test Cases'!A83)),'[2]Test Cases'!A83,"")</f>
        <v/>
      </c>
      <c r="B84" t="str">
        <f>IF(NOT(ISBLANK('[2]Test Cases'!B83)),'[2]Test Cases'!B83,"")</f>
        <v/>
      </c>
    </row>
    <row r="85" spans="1:2" x14ac:dyDescent="0.3">
      <c r="A85" t="str">
        <f>IF(NOT(ISBLANK('[2]Test Cases'!A84)),'[2]Test Cases'!A84,"")</f>
        <v/>
      </c>
      <c r="B85" t="str">
        <f>IF(NOT(ISBLANK('[2]Test Cases'!B84)),'[2]Test Cases'!B84,"")</f>
        <v/>
      </c>
    </row>
    <row r="86" spans="1:2" x14ac:dyDescent="0.3">
      <c r="A86" t="str">
        <f>IF(NOT(ISBLANK('[2]Test Cases'!A85)),'[2]Test Cases'!A85,"")</f>
        <v/>
      </c>
      <c r="B86" t="str">
        <f>IF(NOT(ISBLANK('[2]Test Cases'!B85)),'[2]Test Cases'!B85,"")</f>
        <v/>
      </c>
    </row>
    <row r="87" spans="1:2" x14ac:dyDescent="0.3">
      <c r="A87" t="str">
        <f>IF(NOT(ISBLANK('[2]Test Cases'!A86)),'[2]Test Cases'!A86,"")</f>
        <v/>
      </c>
      <c r="B87" t="str">
        <f>IF(NOT(ISBLANK('[2]Test Cases'!B86)),'[2]Test Cases'!B86,"")</f>
        <v/>
      </c>
    </row>
    <row r="88" spans="1:2" x14ac:dyDescent="0.3">
      <c r="A88" t="str">
        <f>IF(NOT(ISBLANK('[2]Test Cases'!A87)),'[2]Test Cases'!A87,"")</f>
        <v/>
      </c>
      <c r="B88" t="str">
        <f>IF(NOT(ISBLANK('[2]Test Cases'!B87)),'[2]Test Cases'!B87,"")</f>
        <v/>
      </c>
    </row>
    <row r="89" spans="1:2" x14ac:dyDescent="0.3">
      <c r="A89" t="str">
        <f>IF(NOT(ISBLANK('[2]Test Cases'!A88)),'[2]Test Cases'!A88,"")</f>
        <v/>
      </c>
      <c r="B89" t="str">
        <f>IF(NOT(ISBLANK('[2]Test Cases'!B88)),'[2]Test Cases'!B88,"")</f>
        <v/>
      </c>
    </row>
    <row r="90" spans="1:2" x14ac:dyDescent="0.3">
      <c r="A90" t="str">
        <f>IF(NOT(ISBLANK('[2]Test Cases'!A89)),'[2]Test Cases'!A89,"")</f>
        <v/>
      </c>
      <c r="B90" t="str">
        <f>IF(NOT(ISBLANK('[2]Test Cases'!B89)),'[2]Test Cases'!B89,"")</f>
        <v/>
      </c>
    </row>
    <row r="91" spans="1:2" x14ac:dyDescent="0.3">
      <c r="A91" t="str">
        <f>IF(NOT(ISBLANK('[2]Test Cases'!A90)),'[2]Test Cases'!A90,"")</f>
        <v/>
      </c>
      <c r="B91" t="str">
        <f>IF(NOT(ISBLANK('[2]Test Cases'!B90)),'[2]Test Cases'!B90,"")</f>
        <v/>
      </c>
    </row>
    <row r="92" spans="1:2" x14ac:dyDescent="0.3">
      <c r="A92" t="str">
        <f>IF(NOT(ISBLANK('[2]Test Cases'!A91)),'[2]Test Cases'!A91,"")</f>
        <v/>
      </c>
      <c r="B92" t="str">
        <f>IF(NOT(ISBLANK('[2]Test Cases'!B91)),'[2]Test Cases'!B91,"")</f>
        <v/>
      </c>
    </row>
    <row r="93" spans="1:2" x14ac:dyDescent="0.3">
      <c r="A93" t="str">
        <f>IF(NOT(ISBLANK('[2]Test Cases'!A92)),'[2]Test Cases'!A92,"")</f>
        <v/>
      </c>
      <c r="B93" t="str">
        <f>IF(NOT(ISBLANK('[2]Test Cases'!B92)),'[2]Test Cases'!B92,"")</f>
        <v/>
      </c>
    </row>
    <row r="94" spans="1:2" x14ac:dyDescent="0.3">
      <c r="A94" t="str">
        <f>IF(NOT(ISBLANK('[2]Test Cases'!A93)),'[2]Test Cases'!A93,"")</f>
        <v/>
      </c>
      <c r="B94" t="str">
        <f>IF(NOT(ISBLANK('[2]Test Cases'!B93)),'[2]Test Cases'!B93,"")</f>
        <v/>
      </c>
    </row>
    <row r="95" spans="1:2" x14ac:dyDescent="0.3">
      <c r="A95" t="str">
        <f>IF(NOT(ISBLANK('[2]Test Cases'!A94)),'[2]Test Cases'!A94,"")</f>
        <v/>
      </c>
      <c r="B95" t="str">
        <f>IF(NOT(ISBLANK('[2]Test Cases'!B94)),'[2]Test Cases'!B94,"")</f>
        <v/>
      </c>
    </row>
    <row r="96" spans="1:2" x14ac:dyDescent="0.3">
      <c r="A96" t="str">
        <f>IF(NOT(ISBLANK('[2]Test Cases'!A95)),'[2]Test Cases'!A95,"")</f>
        <v/>
      </c>
      <c r="B96" t="str">
        <f>IF(NOT(ISBLANK('[2]Test Cases'!B95)),'[2]Test Cases'!B95,"")</f>
        <v/>
      </c>
    </row>
    <row r="97" spans="1:2" x14ac:dyDescent="0.3">
      <c r="A97" t="str">
        <f>IF(NOT(ISBLANK('[2]Test Cases'!A96)),'[2]Test Cases'!A96,"")</f>
        <v/>
      </c>
      <c r="B97" t="str">
        <f>IF(NOT(ISBLANK('[2]Test Cases'!B96)),'[2]Test Cases'!B96,"")</f>
        <v/>
      </c>
    </row>
    <row r="98" spans="1:2" x14ac:dyDescent="0.3">
      <c r="A98" t="str">
        <f>IF(NOT(ISBLANK('[2]Test Cases'!A97)),'[2]Test Cases'!A97,"")</f>
        <v/>
      </c>
      <c r="B98" t="str">
        <f>IF(NOT(ISBLANK('[2]Test Cases'!B97)),'[2]Test Cases'!B97,"")</f>
        <v/>
      </c>
    </row>
    <row r="99" spans="1:2" x14ac:dyDescent="0.3">
      <c r="A99" t="str">
        <f>IF(NOT(ISBLANK('[2]Test Cases'!A98)),'[2]Test Cases'!A98,"")</f>
        <v/>
      </c>
      <c r="B99" t="str">
        <f>IF(NOT(ISBLANK('[2]Test Cases'!B98)),'[2]Test Cases'!B98,"")</f>
        <v/>
      </c>
    </row>
    <row r="100" spans="1:2" x14ac:dyDescent="0.3">
      <c r="A100" t="str">
        <f>IF(NOT(ISBLANK('[2]Test Cases'!A99)),'[2]Test Cases'!A99,"")</f>
        <v/>
      </c>
      <c r="B100" t="str">
        <f>IF(NOT(ISBLANK('[2]Test Cases'!B99)),'[2]Test Cases'!B99,"")</f>
        <v/>
      </c>
    </row>
    <row r="101" spans="1:2" x14ac:dyDescent="0.3">
      <c r="A101" t="str">
        <f>IF(NOT(ISBLANK('[2]Test Cases'!A100)),'[2]Test Cases'!A100,"")</f>
        <v/>
      </c>
      <c r="B101" t="str">
        <f>IF(NOT(ISBLANK('[2]Test Cases'!B100)),'[2]Test Cases'!B100,"")</f>
        <v/>
      </c>
    </row>
  </sheetData>
  <conditionalFormatting sqref="I3:K19">
    <cfRule type="expression" dxfId="0" priority="1">
      <formula>$K3&lt;&gt;0</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99A03-6499-4CCB-A955-23DD31FE7F37}">
  <dimension ref="A1:B23"/>
  <sheetViews>
    <sheetView topLeftCell="A16" workbookViewId="0">
      <selection activeCell="A19" sqref="A19"/>
    </sheetView>
  </sheetViews>
  <sheetFormatPr defaultRowHeight="14.4" x14ac:dyDescent="0.3"/>
  <cols>
    <col min="1" max="1" width="49.109375" customWidth="1"/>
  </cols>
  <sheetData>
    <row r="1" spans="1:2" x14ac:dyDescent="0.3">
      <c r="A1" s="109" t="s">
        <v>212</v>
      </c>
      <c r="B1" s="25"/>
    </row>
    <row r="2" spans="1:2" x14ac:dyDescent="0.3">
      <c r="A2" s="107" t="s">
        <v>145</v>
      </c>
    </row>
    <row r="3" spans="1:2" x14ac:dyDescent="0.3">
      <c r="A3" s="27" t="s">
        <v>138</v>
      </c>
    </row>
    <row r="4" spans="1:2" x14ac:dyDescent="0.3">
      <c r="A4" s="27" t="s">
        <v>213</v>
      </c>
    </row>
    <row r="5" spans="1:2" x14ac:dyDescent="0.3">
      <c r="A5" s="27" t="s">
        <v>214</v>
      </c>
    </row>
    <row r="6" spans="1:2" x14ac:dyDescent="0.3">
      <c r="A6" s="27" t="s">
        <v>141</v>
      </c>
    </row>
    <row r="7" spans="1:2" x14ac:dyDescent="0.3">
      <c r="A7" s="27" t="s">
        <v>142</v>
      </c>
    </row>
    <row r="8" spans="1:2" x14ac:dyDescent="0.3">
      <c r="A8" s="27" t="s">
        <v>143</v>
      </c>
    </row>
    <row r="9" spans="1:2" x14ac:dyDescent="0.3">
      <c r="A9" s="27" t="s">
        <v>144</v>
      </c>
    </row>
    <row r="10" spans="1:2" x14ac:dyDescent="0.3">
      <c r="A10" s="27" t="s">
        <v>150</v>
      </c>
    </row>
    <row r="12" spans="1:2" x14ac:dyDescent="0.3">
      <c r="A12" s="109" t="s">
        <v>215</v>
      </c>
    </row>
    <row r="13" spans="1:2" ht="105" customHeight="1" x14ac:dyDescent="0.3">
      <c r="A13" s="108" t="s">
        <v>216</v>
      </c>
    </row>
    <row r="15" spans="1:2" x14ac:dyDescent="0.3">
      <c r="A15" s="109" t="s">
        <v>265</v>
      </c>
    </row>
    <row r="16" spans="1:2" ht="158.4" x14ac:dyDescent="0.3">
      <c r="A16" s="108" t="s">
        <v>266</v>
      </c>
    </row>
    <row r="18" spans="1:1" x14ac:dyDescent="0.3">
      <c r="A18" s="109" t="s">
        <v>264</v>
      </c>
    </row>
    <row r="19" spans="1:1" ht="129.6" x14ac:dyDescent="0.3">
      <c r="A19" s="108" t="s">
        <v>269</v>
      </c>
    </row>
    <row r="22" spans="1:1" x14ac:dyDescent="0.3">
      <c r="A22" s="109" t="s">
        <v>267</v>
      </c>
    </row>
    <row r="23" spans="1:1" ht="57.6" x14ac:dyDescent="0.3">
      <c r="A23" s="108" t="s">
        <v>268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9BD55-8DF3-4B0B-9E37-555BFF70DC86}">
  <dimension ref="A1:F3"/>
  <sheetViews>
    <sheetView workbookViewId="0">
      <selection activeCell="B2" sqref="B2"/>
    </sheetView>
  </sheetViews>
  <sheetFormatPr defaultRowHeight="14.4" x14ac:dyDescent="0.3"/>
  <sheetData>
    <row r="1" spans="1:6" ht="103.2" thickBot="1" x14ac:dyDescent="0.35">
      <c r="A1" s="159" t="s">
        <v>270</v>
      </c>
      <c r="B1" s="160" t="s">
        <v>271</v>
      </c>
      <c r="C1" s="160" t="s">
        <v>272</v>
      </c>
      <c r="D1" s="160" t="s">
        <v>273</v>
      </c>
      <c r="E1" s="161" t="s">
        <v>274</v>
      </c>
      <c r="F1" s="162" t="s">
        <v>275</v>
      </c>
    </row>
    <row r="2" spans="1:6" ht="36.6" thickBot="1" x14ac:dyDescent="0.35">
      <c r="A2" s="163" t="s">
        <v>276</v>
      </c>
      <c r="B2" s="164">
        <v>1.2500000000000001E-2</v>
      </c>
      <c r="C2" s="164">
        <v>2.5000000000000001E-2</v>
      </c>
      <c r="D2" s="164">
        <v>6.0000000000000001E-3</v>
      </c>
      <c r="E2" s="165">
        <v>4.0000000000000001E-3</v>
      </c>
      <c r="F2" s="166">
        <v>2.5000000000000001E-3</v>
      </c>
    </row>
    <row r="3" spans="1:6" ht="36.6" thickBot="1" x14ac:dyDescent="0.35">
      <c r="A3" s="163" t="s">
        <v>277</v>
      </c>
      <c r="B3" s="164">
        <v>1.2500000000000001E-2</v>
      </c>
      <c r="C3" s="164">
        <v>2.5000000000000001E-2</v>
      </c>
      <c r="D3" s="164">
        <v>6.0000000000000001E-3</v>
      </c>
      <c r="E3" s="165">
        <v>4.0000000000000001E-3</v>
      </c>
      <c r="F3" s="166">
        <v>2.5000000000000001E-3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ADF81-2178-483C-847C-22FA91BE042C}">
  <dimension ref="A1:K6157"/>
  <sheetViews>
    <sheetView topLeftCell="B4332" workbookViewId="0">
      <selection activeCell="D5" sqref="D5"/>
    </sheetView>
  </sheetViews>
  <sheetFormatPr defaultRowHeight="14.4" x14ac:dyDescent="0.3"/>
  <cols>
    <col min="1" max="1" width="13.88671875" style="158" bestFit="1" customWidth="1"/>
    <col min="2" max="2" width="10.6640625" style="158" bestFit="1" customWidth="1"/>
    <col min="3" max="3" width="9.6640625" style="158" bestFit="1" customWidth="1"/>
    <col min="4" max="4" width="9.6640625" style="158" customWidth="1"/>
    <col min="5" max="5" width="8.88671875" style="158"/>
    <col min="6" max="6" width="10.6640625" style="158" bestFit="1" customWidth="1"/>
    <col min="7" max="7" width="9.6640625" style="158" bestFit="1" customWidth="1"/>
    <col min="8" max="11" width="8.88671875" style="158"/>
  </cols>
  <sheetData>
    <row r="1" spans="1:11" x14ac:dyDescent="0.3">
      <c r="B1" s="157">
        <v>5</v>
      </c>
      <c r="C1" s="157">
        <v>4</v>
      </c>
    </row>
    <row r="2" spans="1:11" x14ac:dyDescent="0.3">
      <c r="B2" s="25" t="s">
        <v>284</v>
      </c>
      <c r="C2" s="25" t="s">
        <v>285</v>
      </c>
    </row>
    <row r="3" spans="1:11" x14ac:dyDescent="0.3">
      <c r="A3" s="158" t="s">
        <v>278</v>
      </c>
      <c r="B3" s="43">
        <v>10226</v>
      </c>
      <c r="C3" s="43">
        <v>44211</v>
      </c>
      <c r="D3" s="43"/>
      <c r="F3" s="157" t="s">
        <v>286</v>
      </c>
      <c r="G3" s="157">
        <v>19018</v>
      </c>
      <c r="H3" s="157">
        <v>5743</v>
      </c>
      <c r="I3" s="157">
        <v>4052</v>
      </c>
      <c r="J3" s="157">
        <v>524</v>
      </c>
      <c r="K3" s="157">
        <v>2</v>
      </c>
    </row>
    <row r="4" spans="1:11" x14ac:dyDescent="0.3">
      <c r="A4" s="158" t="s">
        <v>279</v>
      </c>
      <c r="B4" s="43">
        <v>29588</v>
      </c>
      <c r="C4" s="43">
        <v>44215</v>
      </c>
      <c r="D4" s="43"/>
      <c r="F4" s="25" t="s">
        <v>287</v>
      </c>
      <c r="G4" s="168" t="s">
        <v>278</v>
      </c>
      <c r="H4" s="25" t="s">
        <v>279</v>
      </c>
      <c r="I4" s="25" t="s">
        <v>280</v>
      </c>
      <c r="J4" s="25" t="s">
        <v>281</v>
      </c>
      <c r="K4" s="169" t="s">
        <v>282</v>
      </c>
    </row>
    <row r="5" spans="1:11" x14ac:dyDescent="0.3">
      <c r="A5" s="158" t="s">
        <v>280</v>
      </c>
      <c r="B5" s="43">
        <v>32030</v>
      </c>
      <c r="C5" s="43">
        <v>44215</v>
      </c>
      <c r="D5" s="43"/>
      <c r="F5" s="43">
        <v>37893</v>
      </c>
      <c r="G5" s="44">
        <v>1006.580017</v>
      </c>
      <c r="H5" s="44">
        <v>514.20001200000002</v>
      </c>
      <c r="I5" s="44">
        <v>492.709991</v>
      </c>
      <c r="J5" s="44">
        <v>39.5</v>
      </c>
      <c r="K5" s="44">
        <v>102.16999800000001</v>
      </c>
    </row>
    <row r="6" spans="1:11" x14ac:dyDescent="0.3">
      <c r="A6" s="158" t="s">
        <v>281</v>
      </c>
      <c r="B6" s="43">
        <v>37130</v>
      </c>
      <c r="C6" s="43">
        <v>44215</v>
      </c>
      <c r="D6" s="43"/>
      <c r="F6" s="43">
        <v>37894</v>
      </c>
      <c r="G6" s="44">
        <v>995.96997099999999</v>
      </c>
      <c r="H6" s="44">
        <v>510.42001299999998</v>
      </c>
      <c r="I6" s="44">
        <v>487.67999300000002</v>
      </c>
      <c r="J6" s="44">
        <v>39</v>
      </c>
      <c r="K6" s="44">
        <v>102.699997</v>
      </c>
    </row>
    <row r="7" spans="1:11" x14ac:dyDescent="0.3">
      <c r="A7" s="158" t="s">
        <v>282</v>
      </c>
      <c r="B7" s="43">
        <v>37893</v>
      </c>
      <c r="C7" s="43">
        <v>44215</v>
      </c>
      <c r="D7" s="43"/>
      <c r="F7" s="43">
        <v>37895</v>
      </c>
      <c r="G7" s="44">
        <v>1018.219971</v>
      </c>
      <c r="H7" s="44">
        <v>521.39001499999995</v>
      </c>
      <c r="I7" s="44">
        <v>500.32000699999998</v>
      </c>
      <c r="J7" s="44">
        <v>40.279998999999997</v>
      </c>
      <c r="K7" s="44">
        <v>102.650002</v>
      </c>
    </row>
    <row r="8" spans="1:11" x14ac:dyDescent="0.3">
      <c r="A8" s="25" t="s">
        <v>283</v>
      </c>
      <c r="B8" s="167">
        <v>37893</v>
      </c>
      <c r="C8" s="167">
        <v>44211</v>
      </c>
      <c r="D8" s="167"/>
      <c r="F8" s="43">
        <v>37896</v>
      </c>
      <c r="G8" s="44">
        <v>1020.23999</v>
      </c>
      <c r="H8" s="44">
        <v>523.71002199999998</v>
      </c>
      <c r="I8" s="44">
        <v>503.20001200000002</v>
      </c>
      <c r="J8" s="44">
        <v>40.216667000000001</v>
      </c>
      <c r="K8" s="44">
        <v>102.489998</v>
      </c>
    </row>
    <row r="9" spans="1:11" x14ac:dyDescent="0.3">
      <c r="F9" s="43">
        <v>37897</v>
      </c>
      <c r="G9" s="44">
        <v>1029.849976</v>
      </c>
      <c r="H9" s="44">
        <v>530.60998500000005</v>
      </c>
      <c r="I9" s="44">
        <v>512.28002900000001</v>
      </c>
      <c r="J9" s="44">
        <v>40.803333000000002</v>
      </c>
      <c r="K9" s="44">
        <v>101.75</v>
      </c>
    </row>
    <row r="10" spans="1:11" x14ac:dyDescent="0.3">
      <c r="F10" s="43">
        <v>37900</v>
      </c>
      <c r="G10" s="44">
        <v>1034.349976</v>
      </c>
      <c r="H10" s="44">
        <v>532.90997300000004</v>
      </c>
      <c r="I10" s="44">
        <v>516.71997099999999</v>
      </c>
      <c r="J10" s="44">
        <v>41.23</v>
      </c>
      <c r="K10" s="44">
        <v>101.900002</v>
      </c>
    </row>
    <row r="11" spans="1:11" x14ac:dyDescent="0.3">
      <c r="F11" s="43">
        <v>37901</v>
      </c>
      <c r="G11" s="44">
        <v>1039.25</v>
      </c>
      <c r="H11" s="44">
        <v>536.01000999999997</v>
      </c>
      <c r="I11" s="44">
        <v>520.77002000000005</v>
      </c>
      <c r="J11" s="44">
        <v>41.166668000000001</v>
      </c>
      <c r="K11" s="44">
        <v>101.550003</v>
      </c>
    </row>
    <row r="12" spans="1:11" x14ac:dyDescent="0.3">
      <c r="F12" s="43">
        <v>37902</v>
      </c>
      <c r="G12" s="44">
        <v>1033.780029</v>
      </c>
      <c r="H12" s="44">
        <v>534.34997599999997</v>
      </c>
      <c r="I12" s="44">
        <v>515.67999299999997</v>
      </c>
      <c r="J12" s="44">
        <v>40.996665999999998</v>
      </c>
      <c r="K12" s="44">
        <v>101.800003</v>
      </c>
    </row>
    <row r="13" spans="1:11" x14ac:dyDescent="0.3">
      <c r="F13" s="43">
        <v>37903</v>
      </c>
      <c r="G13" s="44">
        <v>1038.7299800000001</v>
      </c>
      <c r="H13" s="44">
        <v>537.21002199999998</v>
      </c>
      <c r="I13" s="44">
        <v>521.34002699999996</v>
      </c>
      <c r="J13" s="44">
        <v>41.279998999999997</v>
      </c>
      <c r="K13" s="44">
        <v>101.44000200000001</v>
      </c>
    </row>
    <row r="14" spans="1:11" x14ac:dyDescent="0.3">
      <c r="F14" s="43">
        <v>37904</v>
      </c>
      <c r="G14" s="44">
        <v>1038.0600589999999</v>
      </c>
      <c r="H14" s="44">
        <v>537.30999799999995</v>
      </c>
      <c r="I14" s="44">
        <v>519.05999799999995</v>
      </c>
      <c r="J14" s="44">
        <v>41.453335000000003</v>
      </c>
      <c r="K14" s="44">
        <v>102</v>
      </c>
    </row>
    <row r="15" spans="1:11" x14ac:dyDescent="0.3">
      <c r="F15" s="43">
        <v>37907</v>
      </c>
      <c r="G15" s="44">
        <v>1045.349976</v>
      </c>
      <c r="H15" s="44">
        <v>543.45001200000002</v>
      </c>
      <c r="I15" s="44">
        <v>527.57000700000003</v>
      </c>
      <c r="J15" s="44">
        <v>41.863334999999999</v>
      </c>
      <c r="K15" s="44">
        <v>101.550003</v>
      </c>
    </row>
    <row r="16" spans="1:11" x14ac:dyDescent="0.3">
      <c r="F16" s="43">
        <v>37908</v>
      </c>
      <c r="G16" s="44">
        <v>1049.4799800000001</v>
      </c>
      <c r="H16" s="44">
        <v>544.919983</v>
      </c>
      <c r="I16" s="44">
        <v>531.84002699999996</v>
      </c>
      <c r="J16" s="44">
        <v>42.083331999999999</v>
      </c>
      <c r="K16" s="44">
        <v>101.349998</v>
      </c>
    </row>
    <row r="17" spans="6:11" x14ac:dyDescent="0.3">
      <c r="F17" s="43">
        <v>37909</v>
      </c>
      <c r="G17" s="44">
        <v>1046.76001</v>
      </c>
      <c r="H17" s="44">
        <v>540.71002199999998</v>
      </c>
      <c r="I17" s="44">
        <v>527.34997599999997</v>
      </c>
      <c r="J17" s="44">
        <v>41.683334000000002</v>
      </c>
      <c r="K17" s="44">
        <v>101.099998</v>
      </c>
    </row>
    <row r="18" spans="6:11" x14ac:dyDescent="0.3">
      <c r="F18" s="43">
        <v>37910</v>
      </c>
      <c r="G18" s="44">
        <v>1050.0699460000001</v>
      </c>
      <c r="H18" s="44">
        <v>543.40997300000004</v>
      </c>
      <c r="I18" s="44">
        <v>529.64001499999995</v>
      </c>
      <c r="J18" s="44">
        <v>41.933334000000002</v>
      </c>
      <c r="K18" s="44">
        <v>100.83000199999999</v>
      </c>
    </row>
    <row r="19" spans="6:11" x14ac:dyDescent="0.3">
      <c r="F19" s="43">
        <v>37911</v>
      </c>
      <c r="G19" s="44">
        <v>1039.3199460000001</v>
      </c>
      <c r="H19" s="44">
        <v>536</v>
      </c>
      <c r="I19" s="44">
        <v>520.35998500000005</v>
      </c>
      <c r="J19" s="44">
        <v>41.716667000000001</v>
      </c>
      <c r="K19" s="44">
        <v>101.30999799999999</v>
      </c>
    </row>
    <row r="20" spans="6:11" x14ac:dyDescent="0.3">
      <c r="F20" s="43">
        <v>37914</v>
      </c>
      <c r="G20" s="44">
        <v>1044.6800539999999</v>
      </c>
      <c r="H20" s="44">
        <v>538.01000999999997</v>
      </c>
      <c r="I20" s="44">
        <v>521.44000200000005</v>
      </c>
      <c r="J20" s="44">
        <v>42.163333999999999</v>
      </c>
      <c r="K20" s="44">
        <v>101.25</v>
      </c>
    </row>
    <row r="21" spans="6:11" x14ac:dyDescent="0.3">
      <c r="F21" s="43">
        <v>37915</v>
      </c>
      <c r="G21" s="44">
        <v>1046.030029</v>
      </c>
      <c r="H21" s="44">
        <v>540.71997099999999</v>
      </c>
      <c r="I21" s="44">
        <v>525.53002900000001</v>
      </c>
      <c r="J21" s="44">
        <v>42.02</v>
      </c>
      <c r="K21" s="44">
        <v>101.449997</v>
      </c>
    </row>
    <row r="22" spans="6:11" x14ac:dyDescent="0.3">
      <c r="F22" s="43">
        <v>37916</v>
      </c>
      <c r="G22" s="44">
        <v>1030.3599850000001</v>
      </c>
      <c r="H22" s="44">
        <v>532.919983</v>
      </c>
      <c r="I22" s="44">
        <v>513.15002400000003</v>
      </c>
      <c r="J22" s="44">
        <v>41.610000999999997</v>
      </c>
      <c r="K22" s="44">
        <v>101.900002</v>
      </c>
    </row>
    <row r="23" spans="6:11" x14ac:dyDescent="0.3">
      <c r="F23" s="43">
        <v>37917</v>
      </c>
      <c r="G23" s="44">
        <v>1033.7700199999999</v>
      </c>
      <c r="H23" s="44">
        <v>532.96997099999999</v>
      </c>
      <c r="I23" s="44">
        <v>510.48998999999998</v>
      </c>
      <c r="J23" s="44">
        <v>41.083331999999999</v>
      </c>
      <c r="K23" s="44">
        <v>101.650002</v>
      </c>
    </row>
    <row r="24" spans="6:11" x14ac:dyDescent="0.3">
      <c r="F24" s="43">
        <v>37918</v>
      </c>
      <c r="G24" s="44">
        <v>1028.910034</v>
      </c>
      <c r="H24" s="44">
        <v>532.169983</v>
      </c>
      <c r="I24" s="44">
        <v>506.42999300000002</v>
      </c>
      <c r="J24" s="44">
        <v>41.163333999999999</v>
      </c>
      <c r="K24" s="44">
        <v>102.150002</v>
      </c>
    </row>
    <row r="25" spans="6:11" x14ac:dyDescent="0.3">
      <c r="F25" s="43">
        <v>37921</v>
      </c>
      <c r="G25" s="44">
        <v>1031.130005</v>
      </c>
      <c r="H25" s="44">
        <v>537.01000999999997</v>
      </c>
      <c r="I25" s="44">
        <v>515.34997599999997</v>
      </c>
      <c r="J25" s="44">
        <v>41.346668000000001</v>
      </c>
      <c r="K25" s="44">
        <v>101.949997</v>
      </c>
    </row>
    <row r="26" spans="6:11" x14ac:dyDescent="0.3">
      <c r="F26" s="43">
        <v>37922</v>
      </c>
      <c r="G26" s="44">
        <v>1046.790039</v>
      </c>
      <c r="H26" s="44">
        <v>544.90997300000004</v>
      </c>
      <c r="I26" s="44">
        <v>525.84997599999997</v>
      </c>
      <c r="J26" s="44">
        <v>41.833331999999999</v>
      </c>
      <c r="K26" s="44">
        <v>102.349998</v>
      </c>
    </row>
    <row r="27" spans="6:11" x14ac:dyDescent="0.3">
      <c r="F27" s="43">
        <v>37923</v>
      </c>
      <c r="G27" s="44">
        <v>1048.1099850000001</v>
      </c>
      <c r="H27" s="44">
        <v>547.47997999999995</v>
      </c>
      <c r="I27" s="44">
        <v>531.80999799999995</v>
      </c>
      <c r="J27" s="44">
        <v>41.783332999999999</v>
      </c>
      <c r="K27" s="44">
        <v>101.900002</v>
      </c>
    </row>
    <row r="28" spans="6:11" x14ac:dyDescent="0.3">
      <c r="F28" s="43">
        <v>37924</v>
      </c>
      <c r="G28" s="44">
        <v>1046.9399410000001</v>
      </c>
      <c r="H28" s="44">
        <v>547.35998500000005</v>
      </c>
      <c r="I28" s="44">
        <v>530.36999500000002</v>
      </c>
      <c r="J28" s="44">
        <v>41.830002</v>
      </c>
      <c r="K28" s="44">
        <v>101.900002</v>
      </c>
    </row>
    <row r="29" spans="6:11" x14ac:dyDescent="0.3">
      <c r="F29" s="43">
        <v>37925</v>
      </c>
      <c r="G29" s="44">
        <v>1050.709961</v>
      </c>
      <c r="H29" s="44">
        <v>548.52002000000005</v>
      </c>
      <c r="I29" s="44">
        <v>528.21997099999999</v>
      </c>
      <c r="J29" s="44">
        <v>41.533332999999999</v>
      </c>
      <c r="K29" s="44">
        <v>101.739998</v>
      </c>
    </row>
    <row r="30" spans="6:11" x14ac:dyDescent="0.3">
      <c r="F30" s="43">
        <v>37928</v>
      </c>
      <c r="G30" s="44">
        <v>1059.0200199999999</v>
      </c>
      <c r="H30" s="44">
        <v>555</v>
      </c>
      <c r="I30" s="44">
        <v>537.84002699999996</v>
      </c>
      <c r="J30" s="44">
        <v>41.743332000000002</v>
      </c>
      <c r="K30" s="44">
        <v>101.199997</v>
      </c>
    </row>
    <row r="31" spans="6:11" x14ac:dyDescent="0.3">
      <c r="F31" s="43">
        <v>37929</v>
      </c>
      <c r="G31" s="44">
        <v>1053.25</v>
      </c>
      <c r="H31" s="44">
        <v>553.82000700000003</v>
      </c>
      <c r="I31" s="44">
        <v>538.86999500000002</v>
      </c>
      <c r="J31" s="44">
        <v>41.973331000000002</v>
      </c>
      <c r="K31" s="44">
        <v>101.400002</v>
      </c>
    </row>
    <row r="32" spans="6:11" x14ac:dyDescent="0.3">
      <c r="F32" s="43">
        <v>37930</v>
      </c>
      <c r="G32" s="44">
        <v>1051.8100589999999</v>
      </c>
      <c r="H32" s="44">
        <v>555.73999000000003</v>
      </c>
      <c r="I32" s="44">
        <v>538.90997300000004</v>
      </c>
      <c r="J32" s="44">
        <v>41.733333999999999</v>
      </c>
      <c r="K32" s="44">
        <v>101.400002</v>
      </c>
    </row>
    <row r="33" spans="6:11" x14ac:dyDescent="0.3">
      <c r="F33" s="43">
        <v>37931</v>
      </c>
      <c r="G33" s="44">
        <v>1058.0500489999999</v>
      </c>
      <c r="H33" s="44">
        <v>560.36999500000002</v>
      </c>
      <c r="I33" s="44">
        <v>542.94000200000005</v>
      </c>
      <c r="J33" s="44">
        <v>41.366664999999998</v>
      </c>
      <c r="K33" s="44">
        <v>100.849998</v>
      </c>
    </row>
    <row r="34" spans="6:11" x14ac:dyDescent="0.3">
      <c r="F34" s="43">
        <v>37932</v>
      </c>
      <c r="G34" s="44">
        <v>1053.209961</v>
      </c>
      <c r="H34" s="44">
        <v>559.82000700000003</v>
      </c>
      <c r="I34" s="44">
        <v>542.96002199999998</v>
      </c>
      <c r="J34" s="44">
        <v>41.75</v>
      </c>
      <c r="K34" s="44">
        <v>100.900002</v>
      </c>
    </row>
    <row r="35" spans="6:11" x14ac:dyDescent="0.3">
      <c r="F35" s="43">
        <v>37935</v>
      </c>
      <c r="G35" s="44">
        <v>1047.1099850000001</v>
      </c>
      <c r="H35" s="44">
        <v>552.96997099999999</v>
      </c>
      <c r="I35" s="44">
        <v>533.21002199999998</v>
      </c>
      <c r="J35" s="44">
        <v>41.403331999999999</v>
      </c>
      <c r="K35" s="44">
        <v>101.089996</v>
      </c>
    </row>
    <row r="36" spans="6:11" x14ac:dyDescent="0.3">
      <c r="F36" s="43">
        <v>37936</v>
      </c>
      <c r="G36" s="44">
        <v>1046.5699460000001</v>
      </c>
      <c r="H36" s="44">
        <v>551.54998799999998</v>
      </c>
      <c r="I36" s="44">
        <v>528.57000700000003</v>
      </c>
      <c r="J36" s="44">
        <v>41.246665999999998</v>
      </c>
      <c r="K36" s="44">
        <v>100.910004</v>
      </c>
    </row>
    <row r="37" spans="6:11" x14ac:dyDescent="0.3">
      <c r="F37" s="43">
        <v>37937</v>
      </c>
      <c r="G37" s="44">
        <v>1058.530029</v>
      </c>
      <c r="H37" s="44">
        <v>561.59997599999997</v>
      </c>
      <c r="I37" s="44">
        <v>540.65997300000004</v>
      </c>
      <c r="J37" s="44">
        <v>42.106667000000002</v>
      </c>
      <c r="K37" s="44">
        <v>101.099998</v>
      </c>
    </row>
    <row r="38" spans="6:11" x14ac:dyDescent="0.3">
      <c r="F38" s="43">
        <v>37938</v>
      </c>
      <c r="G38" s="44">
        <v>1058.410034</v>
      </c>
      <c r="H38" s="44">
        <v>562.89001499999995</v>
      </c>
      <c r="I38" s="44">
        <v>541.20001200000002</v>
      </c>
      <c r="J38" s="44">
        <v>42.346668000000001</v>
      </c>
      <c r="K38" s="44">
        <v>101.839996</v>
      </c>
    </row>
    <row r="39" spans="6:11" x14ac:dyDescent="0.3">
      <c r="F39" s="43">
        <v>37939</v>
      </c>
      <c r="G39" s="44">
        <v>1050.349976</v>
      </c>
      <c r="H39" s="44">
        <v>557.169983</v>
      </c>
      <c r="I39" s="44">
        <v>532.96002199999998</v>
      </c>
      <c r="J39" s="44">
        <v>42.060001</v>
      </c>
      <c r="K39" s="44">
        <v>101.91999800000001</v>
      </c>
    </row>
    <row r="40" spans="6:11" x14ac:dyDescent="0.3">
      <c r="F40" s="43">
        <v>37942</v>
      </c>
      <c r="G40" s="44">
        <v>1043.630005</v>
      </c>
      <c r="H40" s="44">
        <v>552.79998799999998</v>
      </c>
      <c r="I40" s="44">
        <v>526.21002199999998</v>
      </c>
      <c r="J40" s="44">
        <v>41.336666000000001</v>
      </c>
      <c r="K40" s="44">
        <v>102.349998</v>
      </c>
    </row>
    <row r="41" spans="6:11" x14ac:dyDescent="0.3">
      <c r="F41" s="43">
        <v>37943</v>
      </c>
      <c r="G41" s="44">
        <v>1034.150024</v>
      </c>
      <c r="H41" s="44">
        <v>547.09002699999996</v>
      </c>
      <c r="I41" s="44">
        <v>521.67999299999997</v>
      </c>
      <c r="J41" s="44">
        <v>41.5</v>
      </c>
      <c r="K41" s="44">
        <v>102.300003</v>
      </c>
    </row>
    <row r="42" spans="6:11" x14ac:dyDescent="0.3">
      <c r="F42" s="43">
        <v>37944</v>
      </c>
      <c r="G42" s="44">
        <v>1042.4399410000001</v>
      </c>
      <c r="H42" s="44">
        <v>549.26000999999997</v>
      </c>
      <c r="I42" s="44">
        <v>525.61999500000002</v>
      </c>
      <c r="J42" s="44">
        <v>41.599997999999999</v>
      </c>
      <c r="K42" s="44">
        <v>101.82</v>
      </c>
    </row>
    <row r="43" spans="6:11" x14ac:dyDescent="0.3">
      <c r="F43" s="43">
        <v>37945</v>
      </c>
      <c r="G43" s="44">
        <v>1033.650024</v>
      </c>
      <c r="H43" s="44">
        <v>546.28997800000002</v>
      </c>
      <c r="I43" s="44">
        <v>523.080017</v>
      </c>
      <c r="J43" s="44">
        <v>41.333331999999999</v>
      </c>
      <c r="K43" s="44">
        <v>102.16999800000001</v>
      </c>
    </row>
    <row r="44" spans="6:11" x14ac:dyDescent="0.3">
      <c r="F44" s="43">
        <v>37946</v>
      </c>
      <c r="G44" s="44">
        <v>1035.280029</v>
      </c>
      <c r="H44" s="44">
        <v>548.330017</v>
      </c>
      <c r="I44" s="44">
        <v>525.92999299999997</v>
      </c>
      <c r="J44" s="44">
        <v>41.779998999999997</v>
      </c>
      <c r="K44" s="44">
        <v>102.279999</v>
      </c>
    </row>
    <row r="45" spans="6:11" x14ac:dyDescent="0.3">
      <c r="F45" s="43">
        <v>37949</v>
      </c>
      <c r="G45" s="44">
        <v>1052.079956</v>
      </c>
      <c r="H45" s="44">
        <v>559.76000999999997</v>
      </c>
      <c r="I45" s="44">
        <v>539.51000999999997</v>
      </c>
      <c r="J45" s="44">
        <v>42.093333999999999</v>
      </c>
      <c r="K45" s="44">
        <v>101.849998</v>
      </c>
    </row>
    <row r="46" spans="6:11" x14ac:dyDescent="0.3">
      <c r="F46" s="43">
        <v>37950</v>
      </c>
      <c r="G46" s="44">
        <v>1053.8900149999999</v>
      </c>
      <c r="H46" s="44">
        <v>563.45001200000002</v>
      </c>
      <c r="I46" s="44">
        <v>543.17999299999997</v>
      </c>
      <c r="J46" s="44">
        <v>42.16</v>
      </c>
      <c r="K46" s="44">
        <v>102.25</v>
      </c>
    </row>
    <row r="47" spans="6:11" x14ac:dyDescent="0.3">
      <c r="F47" s="43">
        <v>37951</v>
      </c>
      <c r="G47" s="44">
        <v>1058.4499510000001</v>
      </c>
      <c r="H47" s="44">
        <v>565.32000700000003</v>
      </c>
      <c r="I47" s="44">
        <v>545.30999799999995</v>
      </c>
      <c r="J47" s="44">
        <v>42.516666000000001</v>
      </c>
      <c r="K47" s="44">
        <v>101.879997</v>
      </c>
    </row>
    <row r="48" spans="6:11" x14ac:dyDescent="0.3">
      <c r="F48" s="43">
        <v>37953</v>
      </c>
      <c r="G48" s="44">
        <v>1058.1999510000001</v>
      </c>
      <c r="H48" s="44">
        <v>567</v>
      </c>
      <c r="I48" s="44">
        <v>546.51000999999997</v>
      </c>
      <c r="J48" s="44">
        <v>42.583331999999999</v>
      </c>
      <c r="K48" s="44">
        <v>101.720001</v>
      </c>
    </row>
    <row r="49" spans="6:11" x14ac:dyDescent="0.3">
      <c r="F49" s="43">
        <v>37956</v>
      </c>
      <c r="G49" s="44">
        <v>1070.119995</v>
      </c>
      <c r="H49" s="44">
        <v>575.830017</v>
      </c>
      <c r="I49" s="44">
        <v>554.59002699999996</v>
      </c>
      <c r="J49" s="44">
        <v>43.426665999999997</v>
      </c>
      <c r="K49" s="44">
        <v>101.16999800000001</v>
      </c>
    </row>
    <row r="50" spans="6:11" x14ac:dyDescent="0.3">
      <c r="F50" s="43">
        <v>37957</v>
      </c>
      <c r="G50" s="44">
        <v>1066.619995</v>
      </c>
      <c r="H50" s="44">
        <v>574.71002199999998</v>
      </c>
      <c r="I50" s="44">
        <v>553.59997599999997</v>
      </c>
      <c r="J50" s="44">
        <v>43.529998999999997</v>
      </c>
      <c r="K50" s="44">
        <v>101.139999</v>
      </c>
    </row>
    <row r="51" spans="6:11" x14ac:dyDescent="0.3">
      <c r="F51" s="43">
        <v>37958</v>
      </c>
      <c r="G51" s="44">
        <v>1064.7299800000001</v>
      </c>
      <c r="H51" s="44">
        <v>569.25</v>
      </c>
      <c r="I51" s="44">
        <v>545.19000200000005</v>
      </c>
      <c r="J51" s="44">
        <v>43.616664999999998</v>
      </c>
      <c r="K51" s="44">
        <v>101.239998</v>
      </c>
    </row>
    <row r="52" spans="6:11" x14ac:dyDescent="0.3">
      <c r="F52" s="43">
        <v>37959</v>
      </c>
      <c r="G52" s="44">
        <v>1069.719971</v>
      </c>
      <c r="H52" s="44">
        <v>567.26000999999997</v>
      </c>
      <c r="I52" s="44">
        <v>544.15002400000003</v>
      </c>
      <c r="J52" s="44">
        <v>43.716667000000001</v>
      </c>
      <c r="K52" s="44">
        <v>101.389999</v>
      </c>
    </row>
    <row r="53" spans="6:11" x14ac:dyDescent="0.3">
      <c r="F53" s="43">
        <v>37960</v>
      </c>
      <c r="G53" s="44">
        <v>1061.5</v>
      </c>
      <c r="H53" s="44">
        <v>562.28997800000002</v>
      </c>
      <c r="I53" s="44">
        <v>539.01000999999997</v>
      </c>
      <c r="J53" s="44">
        <v>43.403331999999999</v>
      </c>
      <c r="K53" s="44">
        <v>101.900002</v>
      </c>
    </row>
    <row r="54" spans="6:11" x14ac:dyDescent="0.3">
      <c r="F54" s="43">
        <v>37963</v>
      </c>
      <c r="G54" s="44">
        <v>1069.3000489999999</v>
      </c>
      <c r="H54" s="44">
        <v>566.65997300000004</v>
      </c>
      <c r="I54" s="44">
        <v>543.03997800000002</v>
      </c>
      <c r="J54" s="44">
        <v>43.766666000000001</v>
      </c>
      <c r="K54" s="44">
        <v>101.900002</v>
      </c>
    </row>
    <row r="55" spans="6:11" x14ac:dyDescent="0.3">
      <c r="F55" s="43">
        <v>37964</v>
      </c>
      <c r="G55" s="44">
        <v>1060.1800539999999</v>
      </c>
      <c r="H55" s="44">
        <v>559.09002699999996</v>
      </c>
      <c r="I55" s="44">
        <v>534.53997800000002</v>
      </c>
      <c r="J55" s="44">
        <v>43.583331999999999</v>
      </c>
      <c r="K55" s="44">
        <v>101.33000199999999</v>
      </c>
    </row>
    <row r="56" spans="6:11" x14ac:dyDescent="0.3">
      <c r="F56" s="43">
        <v>37965</v>
      </c>
      <c r="G56" s="44">
        <v>1059.0500489999999</v>
      </c>
      <c r="H56" s="44">
        <v>555.28002900000001</v>
      </c>
      <c r="I56" s="44">
        <v>528.48999000000003</v>
      </c>
      <c r="J56" s="44">
        <v>43.27</v>
      </c>
      <c r="K56" s="44">
        <v>101.730003</v>
      </c>
    </row>
    <row r="57" spans="6:11" x14ac:dyDescent="0.3">
      <c r="F57" s="43">
        <v>37966</v>
      </c>
      <c r="G57" s="44">
        <v>1071.209961</v>
      </c>
      <c r="H57" s="44">
        <v>564.46997099999999</v>
      </c>
      <c r="I57" s="44">
        <v>542.919983</v>
      </c>
      <c r="J57" s="44">
        <v>43.75</v>
      </c>
      <c r="K57" s="44">
        <v>102.089996</v>
      </c>
    </row>
    <row r="58" spans="6:11" x14ac:dyDescent="0.3">
      <c r="F58" s="43">
        <v>37967</v>
      </c>
      <c r="G58" s="44">
        <v>1074.1400149999999</v>
      </c>
      <c r="H58" s="44">
        <v>565.84002699999996</v>
      </c>
      <c r="I58" s="44">
        <v>547.59002699999996</v>
      </c>
      <c r="J58" s="44">
        <v>43.893332999999998</v>
      </c>
      <c r="K58" s="44">
        <v>102.150002</v>
      </c>
    </row>
    <row r="59" spans="6:11" x14ac:dyDescent="0.3">
      <c r="F59" s="43">
        <v>37970</v>
      </c>
      <c r="G59" s="44">
        <v>1068.040039</v>
      </c>
      <c r="H59" s="44">
        <v>558.46997099999999</v>
      </c>
      <c r="I59" s="44">
        <v>535.25</v>
      </c>
      <c r="J59" s="44">
        <v>43.599997999999999</v>
      </c>
      <c r="K59" s="44">
        <v>102.089996</v>
      </c>
    </row>
    <row r="60" spans="6:11" x14ac:dyDescent="0.3">
      <c r="F60" s="43">
        <v>37971</v>
      </c>
      <c r="G60" s="44">
        <v>1075.130005</v>
      </c>
      <c r="H60" s="44">
        <v>558.65997300000004</v>
      </c>
      <c r="I60" s="44">
        <v>537.73999000000003</v>
      </c>
      <c r="J60" s="44">
        <v>44</v>
      </c>
      <c r="K60" s="44">
        <v>102.150002</v>
      </c>
    </row>
    <row r="61" spans="6:11" x14ac:dyDescent="0.3">
      <c r="F61" s="43">
        <v>37972</v>
      </c>
      <c r="G61" s="44">
        <v>1076.4799800000001</v>
      </c>
      <c r="H61" s="44">
        <v>560.14001499999995</v>
      </c>
      <c r="I61" s="44">
        <v>538.71997099999999</v>
      </c>
      <c r="J61" s="44">
        <v>43.896667000000001</v>
      </c>
      <c r="K61" s="44">
        <v>102.400002</v>
      </c>
    </row>
    <row r="62" spans="6:11" x14ac:dyDescent="0.3">
      <c r="F62" s="43">
        <v>37973</v>
      </c>
      <c r="G62" s="44">
        <v>1089.1800539999999</v>
      </c>
      <c r="H62" s="44">
        <v>568.54998799999998</v>
      </c>
      <c r="I62" s="44">
        <v>546.90002400000003</v>
      </c>
      <c r="J62" s="44">
        <v>44.549999</v>
      </c>
      <c r="K62" s="44">
        <v>102.550003</v>
      </c>
    </row>
    <row r="63" spans="6:11" x14ac:dyDescent="0.3">
      <c r="F63" s="43">
        <v>37974</v>
      </c>
      <c r="G63" s="44">
        <v>1088.660034</v>
      </c>
      <c r="H63" s="44">
        <v>568.080017</v>
      </c>
      <c r="I63" s="44">
        <v>546.88000499999998</v>
      </c>
      <c r="J63" s="44">
        <v>44.299999</v>
      </c>
      <c r="K63" s="44">
        <v>102.599998</v>
      </c>
    </row>
    <row r="64" spans="6:11" x14ac:dyDescent="0.3">
      <c r="F64" s="43">
        <v>37977</v>
      </c>
      <c r="G64" s="44">
        <v>1092.9399410000001</v>
      </c>
      <c r="H64" s="44">
        <v>570.65997300000004</v>
      </c>
      <c r="I64" s="44">
        <v>549.36999500000002</v>
      </c>
      <c r="J64" s="44">
        <v>44.066665999999998</v>
      </c>
      <c r="K64" s="44">
        <v>102.550003</v>
      </c>
    </row>
    <row r="65" spans="6:11" x14ac:dyDescent="0.3">
      <c r="F65" s="43">
        <v>37978</v>
      </c>
      <c r="G65" s="44">
        <v>1096.0200199999999</v>
      </c>
      <c r="H65" s="44">
        <v>572.77002000000005</v>
      </c>
      <c r="I65" s="44">
        <v>555.03002900000001</v>
      </c>
      <c r="J65" s="44">
        <v>44.16</v>
      </c>
      <c r="K65" s="44">
        <v>102.150002</v>
      </c>
    </row>
    <row r="66" spans="6:11" x14ac:dyDescent="0.3">
      <c r="F66" s="43">
        <v>37979</v>
      </c>
      <c r="G66" s="44">
        <v>1094.040039</v>
      </c>
      <c r="H66" s="44">
        <v>571.95001200000002</v>
      </c>
      <c r="I66" s="44">
        <v>552.34997599999997</v>
      </c>
      <c r="J66" s="44">
        <v>44.266666000000001</v>
      </c>
      <c r="K66" s="44">
        <v>102.230003</v>
      </c>
    </row>
    <row r="67" spans="6:11" x14ac:dyDescent="0.3">
      <c r="F67" s="43">
        <v>37981</v>
      </c>
      <c r="G67" s="44">
        <v>1095.8900149999999</v>
      </c>
      <c r="H67" s="44">
        <v>572.5</v>
      </c>
      <c r="I67" s="44">
        <v>554.90002400000003</v>
      </c>
      <c r="J67" s="44">
        <v>44.186667999999997</v>
      </c>
      <c r="K67" s="44">
        <v>102.739998</v>
      </c>
    </row>
    <row r="68" spans="6:11" x14ac:dyDescent="0.3">
      <c r="F68" s="43">
        <v>37984</v>
      </c>
      <c r="G68" s="44">
        <v>1109.4799800000001</v>
      </c>
      <c r="H68" s="44">
        <v>579.29998799999998</v>
      </c>
      <c r="I68" s="44">
        <v>563.88000499999998</v>
      </c>
      <c r="J68" s="44">
        <v>44.93</v>
      </c>
      <c r="K68" s="44">
        <v>102.489998</v>
      </c>
    </row>
    <row r="69" spans="6:11" x14ac:dyDescent="0.3">
      <c r="F69" s="43">
        <v>37985</v>
      </c>
      <c r="G69" s="44">
        <v>1109.6400149999999</v>
      </c>
      <c r="H69" s="44">
        <v>579.46997099999999</v>
      </c>
      <c r="I69" s="44">
        <v>565.46997099999999</v>
      </c>
      <c r="J69" s="44">
        <v>45.016666000000001</v>
      </c>
      <c r="K69" s="44">
        <v>102.300003</v>
      </c>
    </row>
    <row r="70" spans="6:11" x14ac:dyDescent="0.3">
      <c r="F70" s="43">
        <v>37986</v>
      </c>
      <c r="G70" s="44">
        <v>1111.920044</v>
      </c>
      <c r="H70" s="44">
        <v>576.01000999999997</v>
      </c>
      <c r="I70" s="44">
        <v>556.90997300000004</v>
      </c>
      <c r="J70" s="44">
        <v>45.593333999999999</v>
      </c>
      <c r="K70" s="44">
        <v>102.150002</v>
      </c>
    </row>
    <row r="71" spans="6:11" x14ac:dyDescent="0.3">
      <c r="F71" s="43">
        <v>37988</v>
      </c>
      <c r="G71" s="44">
        <v>1108.4799800000001</v>
      </c>
      <c r="H71" s="44">
        <v>575.90997300000004</v>
      </c>
      <c r="I71" s="44">
        <v>560.84997599999997</v>
      </c>
      <c r="J71" s="44">
        <v>45.716667000000001</v>
      </c>
      <c r="K71" s="44">
        <v>101.57</v>
      </c>
    </row>
    <row r="72" spans="6:11" x14ac:dyDescent="0.3">
      <c r="F72" s="43">
        <v>37991</v>
      </c>
      <c r="G72" s="44">
        <v>1122.219971</v>
      </c>
      <c r="H72" s="44">
        <v>580.60998500000005</v>
      </c>
      <c r="I72" s="44">
        <v>568.919983</v>
      </c>
      <c r="J72" s="44">
        <v>46.596668000000001</v>
      </c>
      <c r="K72" s="44">
        <v>101.69000200000001</v>
      </c>
    </row>
    <row r="73" spans="6:11" x14ac:dyDescent="0.3">
      <c r="F73" s="43">
        <v>37992</v>
      </c>
      <c r="G73" s="44">
        <v>1123.670044</v>
      </c>
      <c r="H73" s="44">
        <v>581.85998500000005</v>
      </c>
      <c r="I73" s="44">
        <v>569.89001499999995</v>
      </c>
      <c r="J73" s="44">
        <v>46.666668000000001</v>
      </c>
      <c r="K73" s="44">
        <v>102.150002</v>
      </c>
    </row>
    <row r="74" spans="6:11" x14ac:dyDescent="0.3">
      <c r="F74" s="43">
        <v>37993</v>
      </c>
      <c r="G74" s="44">
        <v>1126.329956</v>
      </c>
      <c r="H74" s="44">
        <v>583.98999000000003</v>
      </c>
      <c r="I74" s="44">
        <v>574.61999500000002</v>
      </c>
      <c r="J74" s="44">
        <v>46.200001</v>
      </c>
      <c r="K74" s="44">
        <v>102.379997</v>
      </c>
    </row>
    <row r="75" spans="6:11" x14ac:dyDescent="0.3">
      <c r="F75" s="43">
        <v>37994</v>
      </c>
      <c r="G75" s="44">
        <v>1131.920044</v>
      </c>
      <c r="H75" s="44">
        <v>585.11999500000002</v>
      </c>
      <c r="I75" s="44">
        <v>579.61999500000002</v>
      </c>
      <c r="J75" s="44">
        <v>46.863334999999999</v>
      </c>
      <c r="K75" s="44">
        <v>102.349998</v>
      </c>
    </row>
    <row r="76" spans="6:11" x14ac:dyDescent="0.3">
      <c r="F76" s="43">
        <v>37995</v>
      </c>
      <c r="G76" s="44">
        <v>1121.8599850000001</v>
      </c>
      <c r="H76" s="44">
        <v>584.71002199999998</v>
      </c>
      <c r="I76" s="44">
        <v>575.20001200000002</v>
      </c>
      <c r="J76" s="44">
        <v>46.566665999999998</v>
      </c>
      <c r="K76" s="44">
        <v>103.199997</v>
      </c>
    </row>
    <row r="77" spans="6:11" x14ac:dyDescent="0.3">
      <c r="F77" s="43">
        <v>37998</v>
      </c>
      <c r="G77" s="44">
        <v>1127.2299800000001</v>
      </c>
      <c r="H77" s="44">
        <v>587.85998500000005</v>
      </c>
      <c r="I77" s="44">
        <v>583.01000999999997</v>
      </c>
      <c r="J77" s="44">
        <v>46.553333000000002</v>
      </c>
      <c r="K77" s="44">
        <v>102.910004</v>
      </c>
    </row>
    <row r="78" spans="6:11" x14ac:dyDescent="0.3">
      <c r="F78" s="43">
        <v>37999</v>
      </c>
      <c r="G78" s="44">
        <v>1121.219971</v>
      </c>
      <c r="H78" s="44">
        <v>584.21002199999998</v>
      </c>
      <c r="I78" s="44">
        <v>581.15997300000004</v>
      </c>
      <c r="J78" s="44">
        <v>46.283332999999999</v>
      </c>
      <c r="K78" s="44">
        <v>103.150002</v>
      </c>
    </row>
    <row r="79" spans="6:11" x14ac:dyDescent="0.3">
      <c r="F79" s="43">
        <v>38000</v>
      </c>
      <c r="G79" s="44">
        <v>1130.5200199999999</v>
      </c>
      <c r="H79" s="44">
        <v>587.86999500000002</v>
      </c>
      <c r="I79" s="44">
        <v>586.11999500000002</v>
      </c>
      <c r="J79" s="44">
        <v>46.683334000000002</v>
      </c>
      <c r="K79" s="44">
        <v>103.139999</v>
      </c>
    </row>
    <row r="80" spans="6:11" x14ac:dyDescent="0.3">
      <c r="F80" s="43">
        <v>38001</v>
      </c>
      <c r="G80" s="44">
        <v>1132.0500489999999</v>
      </c>
      <c r="H80" s="44">
        <v>589.44000200000005</v>
      </c>
      <c r="I80" s="44">
        <v>586.35998500000005</v>
      </c>
      <c r="J80" s="44">
        <v>46.400002000000001</v>
      </c>
      <c r="K80" s="44">
        <v>103.269997</v>
      </c>
    </row>
    <row r="81" spans="6:11" x14ac:dyDescent="0.3">
      <c r="F81" s="43">
        <v>38002</v>
      </c>
      <c r="G81" s="44">
        <v>1139.829956</v>
      </c>
      <c r="H81" s="44">
        <v>593.76000999999997</v>
      </c>
      <c r="I81" s="44">
        <v>590.40997300000004</v>
      </c>
      <c r="J81" s="44">
        <v>46.233333999999999</v>
      </c>
      <c r="K81" s="44">
        <v>103.19000200000001</v>
      </c>
    </row>
    <row r="82" spans="6:11" x14ac:dyDescent="0.3">
      <c r="F82" s="43">
        <v>38006</v>
      </c>
      <c r="G82" s="44">
        <v>1138.7700199999999</v>
      </c>
      <c r="H82" s="44">
        <v>598.70001200000002</v>
      </c>
      <c r="I82" s="44">
        <v>597.97997999999995</v>
      </c>
      <c r="J82" s="44">
        <v>46.733333999999999</v>
      </c>
      <c r="K82" s="44">
        <v>103.099998</v>
      </c>
    </row>
    <row r="83" spans="6:11" x14ac:dyDescent="0.3">
      <c r="F83" s="43">
        <v>38007</v>
      </c>
      <c r="G83" s="44">
        <v>1147.619995</v>
      </c>
      <c r="H83" s="44">
        <v>600.61999500000002</v>
      </c>
      <c r="I83" s="44">
        <v>597.47997999999995</v>
      </c>
      <c r="J83" s="44">
        <v>47.299999</v>
      </c>
      <c r="K83" s="44">
        <v>103.16999800000001</v>
      </c>
    </row>
    <row r="84" spans="6:11" x14ac:dyDescent="0.3">
      <c r="F84" s="43">
        <v>38008</v>
      </c>
      <c r="G84" s="44">
        <v>1143.9399410000001</v>
      </c>
      <c r="H84" s="44">
        <v>598.21002199999998</v>
      </c>
      <c r="I84" s="44">
        <v>591.72997999999995</v>
      </c>
      <c r="J84" s="44">
        <v>47.330002</v>
      </c>
      <c r="K84" s="44">
        <v>103.349998</v>
      </c>
    </row>
    <row r="85" spans="6:11" x14ac:dyDescent="0.3">
      <c r="F85" s="43">
        <v>38009</v>
      </c>
      <c r="G85" s="44">
        <v>1141.5500489999999</v>
      </c>
      <c r="H85" s="44">
        <v>598.84997599999997</v>
      </c>
      <c r="I85" s="44">
        <v>596.14001499999995</v>
      </c>
      <c r="J85" s="44">
        <v>46.823334000000003</v>
      </c>
      <c r="K85" s="44">
        <v>103.099998</v>
      </c>
    </row>
    <row r="86" spans="6:11" x14ac:dyDescent="0.3">
      <c r="F86" s="43">
        <v>38012</v>
      </c>
      <c r="G86" s="44">
        <v>1155.369995</v>
      </c>
      <c r="H86" s="44">
        <v>602.86999500000002</v>
      </c>
      <c r="I86" s="44">
        <v>601.5</v>
      </c>
      <c r="J86" s="44">
        <v>46.973331000000002</v>
      </c>
      <c r="K86" s="44">
        <v>102.699997</v>
      </c>
    </row>
    <row r="87" spans="6:11" x14ac:dyDescent="0.3">
      <c r="F87" s="43">
        <v>38013</v>
      </c>
      <c r="G87" s="44">
        <v>1144.0500489999999</v>
      </c>
      <c r="H87" s="44">
        <v>598.65002400000003</v>
      </c>
      <c r="I87" s="44">
        <v>595.169983</v>
      </c>
      <c r="J87" s="44">
        <v>46.766666000000001</v>
      </c>
      <c r="K87" s="44">
        <v>102.849998</v>
      </c>
    </row>
    <row r="88" spans="6:11" x14ac:dyDescent="0.3">
      <c r="F88" s="43">
        <v>38014</v>
      </c>
      <c r="G88" s="44">
        <v>1128.4799800000001</v>
      </c>
      <c r="H88" s="44">
        <v>589.27002000000005</v>
      </c>
      <c r="I88" s="44">
        <v>583.90997300000004</v>
      </c>
      <c r="J88" s="44">
        <v>46.166668000000001</v>
      </c>
      <c r="K88" s="44">
        <v>102.639999</v>
      </c>
    </row>
    <row r="89" spans="6:11" x14ac:dyDescent="0.3">
      <c r="F89" s="43">
        <v>38015</v>
      </c>
      <c r="G89" s="44">
        <v>1134.1099850000001</v>
      </c>
      <c r="H89" s="44">
        <v>587.61999500000002</v>
      </c>
      <c r="I89" s="44">
        <v>579.85998500000005</v>
      </c>
      <c r="J89" s="44">
        <v>46.226664999999997</v>
      </c>
      <c r="K89" s="44">
        <v>102.400002</v>
      </c>
    </row>
    <row r="90" spans="6:11" x14ac:dyDescent="0.3">
      <c r="F90" s="43">
        <v>38016</v>
      </c>
      <c r="G90" s="44">
        <v>1131.130005</v>
      </c>
      <c r="H90" s="44">
        <v>588.05999799999995</v>
      </c>
      <c r="I90" s="44">
        <v>580.76000999999997</v>
      </c>
      <c r="J90" s="44">
        <v>46.106667000000002</v>
      </c>
      <c r="K90" s="44">
        <v>102.599998</v>
      </c>
    </row>
    <row r="91" spans="6:11" x14ac:dyDescent="0.3">
      <c r="F91" s="43">
        <v>38019</v>
      </c>
      <c r="G91" s="44">
        <v>1135.26001</v>
      </c>
      <c r="H91" s="44">
        <v>588.669983</v>
      </c>
      <c r="I91" s="44">
        <v>580.53997800000002</v>
      </c>
      <c r="J91" s="44">
        <v>46</v>
      </c>
      <c r="K91" s="44">
        <v>102.349998</v>
      </c>
    </row>
    <row r="92" spans="6:11" x14ac:dyDescent="0.3">
      <c r="F92" s="43">
        <v>38020</v>
      </c>
      <c r="G92" s="44">
        <v>1136.030029</v>
      </c>
      <c r="H92" s="44">
        <v>587.39001499999995</v>
      </c>
      <c r="I92" s="44">
        <v>579.15002400000003</v>
      </c>
      <c r="J92" s="44">
        <v>46.083331999999999</v>
      </c>
      <c r="K92" s="44">
        <v>102.629997</v>
      </c>
    </row>
    <row r="93" spans="6:11" x14ac:dyDescent="0.3">
      <c r="F93" s="43">
        <v>38021</v>
      </c>
      <c r="G93" s="44">
        <v>1126.5200199999999</v>
      </c>
      <c r="H93" s="44">
        <v>581.63000499999998</v>
      </c>
      <c r="I93" s="44">
        <v>564.03002900000001</v>
      </c>
      <c r="J93" s="44">
        <v>45.583331999999999</v>
      </c>
      <c r="K93" s="44">
        <v>102.639999</v>
      </c>
    </row>
    <row r="94" spans="6:11" x14ac:dyDescent="0.3">
      <c r="F94" s="43">
        <v>38022</v>
      </c>
      <c r="G94" s="44">
        <v>1128.589966</v>
      </c>
      <c r="H94" s="44">
        <v>584.13000499999998</v>
      </c>
      <c r="I94" s="44">
        <v>569.53997800000002</v>
      </c>
      <c r="J94" s="44">
        <v>45.773335000000003</v>
      </c>
      <c r="K94" s="44">
        <v>102.349998</v>
      </c>
    </row>
    <row r="95" spans="6:11" x14ac:dyDescent="0.3">
      <c r="F95" s="43">
        <v>38023</v>
      </c>
      <c r="G95" s="44">
        <v>1142.76001</v>
      </c>
      <c r="H95" s="44">
        <v>594.40997300000004</v>
      </c>
      <c r="I95" s="44">
        <v>584.07000700000003</v>
      </c>
      <c r="J95" s="44">
        <v>46.636665000000001</v>
      </c>
      <c r="K95" s="44">
        <v>102.769997</v>
      </c>
    </row>
    <row r="96" spans="6:11" x14ac:dyDescent="0.3">
      <c r="F96" s="43">
        <v>38026</v>
      </c>
      <c r="G96" s="44">
        <v>1139.8100589999999</v>
      </c>
      <c r="H96" s="44">
        <v>596.78002900000001</v>
      </c>
      <c r="I96" s="44">
        <v>585.48999000000003</v>
      </c>
      <c r="J96" s="44">
        <v>46.93</v>
      </c>
      <c r="K96" s="44">
        <v>102.839996</v>
      </c>
    </row>
    <row r="97" spans="6:11" x14ac:dyDescent="0.3">
      <c r="F97" s="43">
        <v>38027</v>
      </c>
      <c r="G97" s="44">
        <v>1145.540039</v>
      </c>
      <c r="H97" s="44">
        <v>600.28002900000001</v>
      </c>
      <c r="I97" s="44">
        <v>592.830017</v>
      </c>
      <c r="J97" s="44">
        <v>47.133335000000002</v>
      </c>
      <c r="K97" s="44">
        <v>102.620003</v>
      </c>
    </row>
    <row r="98" spans="6:11" x14ac:dyDescent="0.3">
      <c r="F98" s="43">
        <v>38028</v>
      </c>
      <c r="G98" s="44">
        <v>1157.76001</v>
      </c>
      <c r="H98" s="44">
        <v>605.73999000000003</v>
      </c>
      <c r="I98" s="44">
        <v>597.07000700000003</v>
      </c>
      <c r="J98" s="44">
        <v>47.666668000000001</v>
      </c>
      <c r="K98" s="44">
        <v>103.019997</v>
      </c>
    </row>
    <row r="99" spans="6:11" x14ac:dyDescent="0.3">
      <c r="F99" s="43">
        <v>38029</v>
      </c>
      <c r="G99" s="44">
        <v>1152.1099850000001</v>
      </c>
      <c r="H99" s="44">
        <v>605.03002900000001</v>
      </c>
      <c r="I99" s="44">
        <v>592.75</v>
      </c>
      <c r="J99" s="44">
        <v>47.25</v>
      </c>
      <c r="K99" s="44">
        <v>103.029999</v>
      </c>
    </row>
    <row r="100" spans="6:11" x14ac:dyDescent="0.3">
      <c r="F100" s="43">
        <v>38030</v>
      </c>
      <c r="G100" s="44">
        <v>1145.8100589999999</v>
      </c>
      <c r="H100" s="44">
        <v>602.32000700000003</v>
      </c>
      <c r="I100" s="44">
        <v>585.14001499999995</v>
      </c>
      <c r="J100" s="44">
        <v>47.189999</v>
      </c>
      <c r="K100" s="44">
        <v>103.489998</v>
      </c>
    </row>
    <row r="101" spans="6:11" x14ac:dyDescent="0.3">
      <c r="F101" s="43">
        <v>38034</v>
      </c>
      <c r="G101" s="44">
        <v>1156.98999</v>
      </c>
      <c r="H101" s="44">
        <v>608.40002400000003</v>
      </c>
      <c r="I101" s="44">
        <v>594.47997999999995</v>
      </c>
      <c r="J101" s="44">
        <v>48.099997999999999</v>
      </c>
      <c r="K101" s="44">
        <v>103.239998</v>
      </c>
    </row>
    <row r="102" spans="6:11" x14ac:dyDescent="0.3">
      <c r="F102" s="43">
        <v>38035</v>
      </c>
      <c r="G102" s="44">
        <v>1151.8199460000001</v>
      </c>
      <c r="H102" s="44">
        <v>605.77002000000005</v>
      </c>
      <c r="I102" s="44">
        <v>591.47997999999995</v>
      </c>
      <c r="J102" s="44">
        <v>47.433334000000002</v>
      </c>
      <c r="K102" s="44">
        <v>103.160004</v>
      </c>
    </row>
    <row r="103" spans="6:11" x14ac:dyDescent="0.3">
      <c r="F103" s="43">
        <v>38036</v>
      </c>
      <c r="G103" s="44">
        <v>1147.0600589999999</v>
      </c>
      <c r="H103" s="44">
        <v>600.34002699999996</v>
      </c>
      <c r="I103" s="44">
        <v>582.59002699999996</v>
      </c>
      <c r="J103" s="44">
        <v>47.75</v>
      </c>
      <c r="K103" s="44">
        <v>103.269997</v>
      </c>
    </row>
    <row r="104" spans="6:11" x14ac:dyDescent="0.3">
      <c r="F104" s="43">
        <v>38037</v>
      </c>
      <c r="G104" s="44">
        <v>1144.1099850000001</v>
      </c>
      <c r="H104" s="44">
        <v>596.59002699999996</v>
      </c>
      <c r="I104" s="44">
        <v>579.89001499999995</v>
      </c>
      <c r="J104" s="44">
        <v>47.166668000000001</v>
      </c>
      <c r="K104" s="44">
        <v>102.949997</v>
      </c>
    </row>
    <row r="105" spans="6:11" x14ac:dyDescent="0.3">
      <c r="F105" s="43">
        <v>38040</v>
      </c>
      <c r="G105" s="44">
        <v>1140.98999</v>
      </c>
      <c r="H105" s="44">
        <v>589.53997800000002</v>
      </c>
      <c r="I105" s="44">
        <v>570.20001200000002</v>
      </c>
      <c r="J105" s="44">
        <v>47.299999</v>
      </c>
      <c r="K105" s="44">
        <v>103.230003</v>
      </c>
    </row>
    <row r="106" spans="6:11" x14ac:dyDescent="0.3">
      <c r="F106" s="43">
        <v>38041</v>
      </c>
      <c r="G106" s="44">
        <v>1139.089966</v>
      </c>
      <c r="H106" s="44">
        <v>590.5</v>
      </c>
      <c r="I106" s="44">
        <v>571.86999500000002</v>
      </c>
      <c r="J106" s="44">
        <v>47.116664999999998</v>
      </c>
      <c r="K106" s="44">
        <v>103.139999</v>
      </c>
    </row>
    <row r="107" spans="6:11" x14ac:dyDescent="0.3">
      <c r="F107" s="43">
        <v>38042</v>
      </c>
      <c r="G107" s="44">
        <v>1143.670044</v>
      </c>
      <c r="H107" s="44">
        <v>594.15997300000004</v>
      </c>
      <c r="I107" s="44">
        <v>579.03997800000002</v>
      </c>
      <c r="J107" s="44">
        <v>46.766666000000001</v>
      </c>
      <c r="K107" s="44">
        <v>103.379997</v>
      </c>
    </row>
    <row r="108" spans="6:11" x14ac:dyDescent="0.3">
      <c r="F108" s="43">
        <v>38043</v>
      </c>
      <c r="G108" s="44">
        <v>1144.910034</v>
      </c>
      <c r="H108" s="44">
        <v>599.17999299999997</v>
      </c>
      <c r="I108" s="44">
        <v>583.85998500000005</v>
      </c>
      <c r="J108" s="44">
        <v>46.783332999999999</v>
      </c>
      <c r="K108" s="44">
        <v>103.209999</v>
      </c>
    </row>
    <row r="109" spans="6:11" x14ac:dyDescent="0.3">
      <c r="F109" s="43">
        <v>38044</v>
      </c>
      <c r="G109" s="44">
        <v>1144.9399410000001</v>
      </c>
      <c r="H109" s="44">
        <v>601.51000999999997</v>
      </c>
      <c r="I109" s="44">
        <v>585.55999799999995</v>
      </c>
      <c r="J109" s="44">
        <v>47.166668000000001</v>
      </c>
      <c r="K109" s="44">
        <v>103.489998</v>
      </c>
    </row>
    <row r="110" spans="6:11" x14ac:dyDescent="0.3">
      <c r="F110" s="43">
        <v>38047</v>
      </c>
      <c r="G110" s="44">
        <v>1155.969971</v>
      </c>
      <c r="H110" s="44">
        <v>611.21002199999998</v>
      </c>
      <c r="I110" s="44">
        <v>594.77002000000005</v>
      </c>
      <c r="J110" s="44">
        <v>47.799999</v>
      </c>
      <c r="K110" s="44">
        <v>103.290001</v>
      </c>
    </row>
    <row r="111" spans="6:11" x14ac:dyDescent="0.3">
      <c r="F111" s="43">
        <v>38048</v>
      </c>
      <c r="G111" s="44">
        <v>1149.099976</v>
      </c>
      <c r="H111" s="44">
        <v>609.03002900000001</v>
      </c>
      <c r="I111" s="44">
        <v>591.05999799999995</v>
      </c>
      <c r="J111" s="44">
        <v>47.033332999999999</v>
      </c>
      <c r="K111" s="44">
        <v>102.93</v>
      </c>
    </row>
    <row r="112" spans="6:11" x14ac:dyDescent="0.3">
      <c r="F112" s="43">
        <v>38049</v>
      </c>
      <c r="G112" s="44">
        <v>1151.030029</v>
      </c>
      <c r="H112" s="44">
        <v>608.71997099999999</v>
      </c>
      <c r="I112" s="44">
        <v>591.32000700000003</v>
      </c>
      <c r="J112" s="44">
        <v>46.933334000000002</v>
      </c>
      <c r="K112" s="44">
        <v>102.82</v>
      </c>
    </row>
    <row r="113" spans="6:11" x14ac:dyDescent="0.3">
      <c r="F113" s="43">
        <v>38050</v>
      </c>
      <c r="G113" s="44">
        <v>1154.869995</v>
      </c>
      <c r="H113" s="44">
        <v>612.09002699999996</v>
      </c>
      <c r="I113" s="44">
        <v>598.38000499999998</v>
      </c>
      <c r="J113" s="44">
        <v>47.083331999999999</v>
      </c>
      <c r="K113" s="44">
        <v>103.07</v>
      </c>
    </row>
    <row r="114" spans="6:11" x14ac:dyDescent="0.3">
      <c r="F114" s="43">
        <v>38051</v>
      </c>
      <c r="G114" s="44">
        <v>1156.8599850000001</v>
      </c>
      <c r="H114" s="44">
        <v>615.919983</v>
      </c>
      <c r="I114" s="44">
        <v>599.53997800000002</v>
      </c>
      <c r="J114" s="44">
        <v>47.633335000000002</v>
      </c>
      <c r="K114" s="44">
        <v>103.83000199999999</v>
      </c>
    </row>
    <row r="115" spans="6:11" x14ac:dyDescent="0.3">
      <c r="F115" s="43">
        <v>38054</v>
      </c>
      <c r="G115" s="44">
        <v>1147.1999510000001</v>
      </c>
      <c r="H115" s="44">
        <v>609.96997099999999</v>
      </c>
      <c r="I115" s="44">
        <v>592.51000999999997</v>
      </c>
      <c r="J115" s="44">
        <v>47.326667999999998</v>
      </c>
      <c r="K115" s="44">
        <v>104.18</v>
      </c>
    </row>
    <row r="116" spans="6:11" x14ac:dyDescent="0.3">
      <c r="F116" s="43">
        <v>38055</v>
      </c>
      <c r="G116" s="44">
        <v>1140.579956</v>
      </c>
      <c r="H116" s="44">
        <v>605.17999299999997</v>
      </c>
      <c r="I116" s="44">
        <v>585.95001200000002</v>
      </c>
      <c r="J116" s="44">
        <v>47</v>
      </c>
      <c r="K116" s="44">
        <v>104.33000199999999</v>
      </c>
    </row>
    <row r="117" spans="6:11" x14ac:dyDescent="0.3">
      <c r="F117" s="43">
        <v>38056</v>
      </c>
      <c r="G117" s="44">
        <v>1123.8900149999999</v>
      </c>
      <c r="H117" s="44">
        <v>594.71997099999999</v>
      </c>
      <c r="I117" s="44">
        <v>575.01000999999997</v>
      </c>
      <c r="J117" s="44">
        <v>46.246665999999998</v>
      </c>
      <c r="K117" s="44">
        <v>104.209999</v>
      </c>
    </row>
    <row r="118" spans="6:11" x14ac:dyDescent="0.3">
      <c r="F118" s="43">
        <v>38057</v>
      </c>
      <c r="G118" s="44">
        <v>1106.780029</v>
      </c>
      <c r="H118" s="44">
        <v>588.22997999999995</v>
      </c>
      <c r="I118" s="44">
        <v>568.73999000000003</v>
      </c>
      <c r="J118" s="44">
        <v>45.496665999999998</v>
      </c>
      <c r="K118" s="44">
        <v>104.44000200000001</v>
      </c>
    </row>
    <row r="119" spans="6:11" x14ac:dyDescent="0.3">
      <c r="F119" s="43">
        <v>38058</v>
      </c>
      <c r="G119" s="44">
        <v>1120.5699460000001</v>
      </c>
      <c r="H119" s="44">
        <v>597.59997599999997</v>
      </c>
      <c r="I119" s="44">
        <v>582.84002699999996</v>
      </c>
      <c r="J119" s="44">
        <v>45.896667000000001</v>
      </c>
      <c r="K119" s="44">
        <v>104.120003</v>
      </c>
    </row>
    <row r="120" spans="6:11" x14ac:dyDescent="0.3">
      <c r="F120" s="43">
        <v>38061</v>
      </c>
      <c r="G120" s="44">
        <v>1104.48999</v>
      </c>
      <c r="H120" s="44">
        <v>587.52002000000005</v>
      </c>
      <c r="I120" s="44">
        <v>566.95001200000002</v>
      </c>
      <c r="J120" s="44">
        <v>45.116664999999998</v>
      </c>
      <c r="K120" s="44">
        <v>104.139999</v>
      </c>
    </row>
    <row r="121" spans="6:11" x14ac:dyDescent="0.3">
      <c r="F121" s="43">
        <v>38062</v>
      </c>
      <c r="G121" s="44">
        <v>1110.6999510000001</v>
      </c>
      <c r="H121" s="44">
        <v>588.26000999999997</v>
      </c>
      <c r="I121" s="44">
        <v>566.64001499999995</v>
      </c>
      <c r="J121" s="44">
        <v>45.533332999999999</v>
      </c>
      <c r="K121" s="44">
        <v>104.389999</v>
      </c>
    </row>
    <row r="122" spans="6:11" x14ac:dyDescent="0.3">
      <c r="F122" s="43">
        <v>38063</v>
      </c>
      <c r="G122" s="44">
        <v>1123.75</v>
      </c>
      <c r="H122" s="44">
        <v>596.13000499999998</v>
      </c>
      <c r="I122" s="44">
        <v>578.57000700000003</v>
      </c>
      <c r="J122" s="44">
        <v>46.483333999999999</v>
      </c>
      <c r="K122" s="44">
        <v>104.339996</v>
      </c>
    </row>
    <row r="123" spans="6:11" x14ac:dyDescent="0.3">
      <c r="F123" s="43">
        <v>38064</v>
      </c>
      <c r="G123" s="44">
        <v>1122.3199460000001</v>
      </c>
      <c r="H123" s="44">
        <v>593.95001200000002</v>
      </c>
      <c r="I123" s="44">
        <v>574.54998799999998</v>
      </c>
      <c r="J123" s="44">
        <v>46.466667000000001</v>
      </c>
      <c r="K123" s="44">
        <v>104.239998</v>
      </c>
    </row>
    <row r="124" spans="6:11" x14ac:dyDescent="0.3">
      <c r="F124" s="43">
        <v>38065</v>
      </c>
      <c r="G124" s="44">
        <v>1109.780029</v>
      </c>
      <c r="H124" s="44">
        <v>589.580017</v>
      </c>
      <c r="I124" s="44">
        <v>570.73999000000003</v>
      </c>
      <c r="J124" s="44">
        <v>45.866664999999998</v>
      </c>
      <c r="K124" s="44">
        <v>104.129997</v>
      </c>
    </row>
    <row r="125" spans="6:11" x14ac:dyDescent="0.3">
      <c r="F125" s="43">
        <v>38068</v>
      </c>
      <c r="G125" s="44">
        <v>1095.400024</v>
      </c>
      <c r="H125" s="44">
        <v>580.919983</v>
      </c>
      <c r="I125" s="44">
        <v>558.98999000000003</v>
      </c>
      <c r="J125" s="44">
        <v>45.27</v>
      </c>
      <c r="K125" s="44">
        <v>104.400002</v>
      </c>
    </row>
    <row r="126" spans="6:11" x14ac:dyDescent="0.3">
      <c r="F126" s="43">
        <v>38069</v>
      </c>
      <c r="G126" s="44">
        <v>1093.9499510000001</v>
      </c>
      <c r="H126" s="44">
        <v>580.919983</v>
      </c>
      <c r="I126" s="44">
        <v>560.919983</v>
      </c>
      <c r="J126" s="44">
        <v>45.616664999999998</v>
      </c>
      <c r="K126" s="44">
        <v>104.410004</v>
      </c>
    </row>
    <row r="127" spans="6:11" x14ac:dyDescent="0.3">
      <c r="F127" s="43">
        <v>38070</v>
      </c>
      <c r="G127" s="44">
        <v>1091.329956</v>
      </c>
      <c r="H127" s="44">
        <v>577.86999500000002</v>
      </c>
      <c r="I127" s="44">
        <v>557.63000499999998</v>
      </c>
      <c r="J127" s="44">
        <v>45.436667999999997</v>
      </c>
      <c r="K127" s="44">
        <v>104.470001</v>
      </c>
    </row>
    <row r="128" spans="6:11" x14ac:dyDescent="0.3">
      <c r="F128" s="43">
        <v>38071</v>
      </c>
      <c r="G128" s="44">
        <v>1109.1899410000001</v>
      </c>
      <c r="H128" s="44">
        <v>588.34002699999996</v>
      </c>
      <c r="I128" s="44">
        <v>571.53002900000001</v>
      </c>
      <c r="J128" s="44">
        <v>46.299999</v>
      </c>
      <c r="K128" s="44">
        <v>104.410004</v>
      </c>
    </row>
    <row r="129" spans="6:11" x14ac:dyDescent="0.3">
      <c r="F129" s="43">
        <v>38072</v>
      </c>
      <c r="G129" s="44">
        <v>1108.0600589999999</v>
      </c>
      <c r="H129" s="44">
        <v>589.14001499999995</v>
      </c>
      <c r="I129" s="44">
        <v>572.919983</v>
      </c>
      <c r="J129" s="44">
        <v>46.099997999999999</v>
      </c>
      <c r="K129" s="44">
        <v>104.050003</v>
      </c>
    </row>
    <row r="130" spans="6:11" x14ac:dyDescent="0.3">
      <c r="F130" s="43">
        <v>38075</v>
      </c>
      <c r="G130" s="44">
        <v>1122.469971</v>
      </c>
      <c r="H130" s="44">
        <v>597.25</v>
      </c>
      <c r="I130" s="44">
        <v>583.39001499999995</v>
      </c>
      <c r="J130" s="44">
        <v>46.766666000000001</v>
      </c>
      <c r="K130" s="44">
        <v>103.860001</v>
      </c>
    </row>
    <row r="131" spans="6:11" x14ac:dyDescent="0.3">
      <c r="F131" s="43">
        <v>38076</v>
      </c>
      <c r="G131" s="44">
        <v>1127</v>
      </c>
      <c r="H131" s="44">
        <v>600.98999000000003</v>
      </c>
      <c r="I131" s="44">
        <v>589.40002400000003</v>
      </c>
      <c r="J131" s="44">
        <v>46.866664999999998</v>
      </c>
      <c r="K131" s="44">
        <v>103.449997</v>
      </c>
    </row>
    <row r="132" spans="6:11" x14ac:dyDescent="0.3">
      <c r="F132" s="43">
        <v>38077</v>
      </c>
      <c r="G132" s="44">
        <v>1126.209961</v>
      </c>
      <c r="H132" s="44">
        <v>603.55999799999995</v>
      </c>
      <c r="I132" s="44">
        <v>590.30999799999995</v>
      </c>
      <c r="J132" s="44">
        <v>47.200001</v>
      </c>
      <c r="K132" s="44">
        <v>103.949997</v>
      </c>
    </row>
    <row r="133" spans="6:11" x14ac:dyDescent="0.3">
      <c r="F133" s="43">
        <v>38078</v>
      </c>
      <c r="G133" s="44">
        <v>1132.170044</v>
      </c>
      <c r="H133" s="44">
        <v>608.59002699999996</v>
      </c>
      <c r="I133" s="44">
        <v>595.32000700000003</v>
      </c>
      <c r="J133" s="44">
        <v>47.826667999999998</v>
      </c>
      <c r="K133" s="44">
        <v>103.739998</v>
      </c>
    </row>
    <row r="134" spans="6:11" x14ac:dyDescent="0.3">
      <c r="F134" s="43">
        <v>38079</v>
      </c>
      <c r="G134" s="44">
        <v>1141.8100589999999</v>
      </c>
      <c r="H134" s="44">
        <v>611.75</v>
      </c>
      <c r="I134" s="44">
        <v>603.45001200000002</v>
      </c>
      <c r="J134" s="44">
        <v>47.963332999999999</v>
      </c>
      <c r="K134" s="44">
        <v>102.790001</v>
      </c>
    </row>
    <row r="135" spans="6:11" x14ac:dyDescent="0.3">
      <c r="F135" s="43">
        <v>38082</v>
      </c>
      <c r="G135" s="44">
        <v>1150.5699460000001</v>
      </c>
      <c r="H135" s="44">
        <v>616.70001200000002</v>
      </c>
      <c r="I135" s="44">
        <v>606.39001499999995</v>
      </c>
      <c r="J135" s="44">
        <v>47.963332999999999</v>
      </c>
      <c r="K135" s="44">
        <v>102.160004</v>
      </c>
    </row>
    <row r="136" spans="6:11" x14ac:dyDescent="0.3">
      <c r="F136" s="43">
        <v>38083</v>
      </c>
      <c r="G136" s="44">
        <v>1148.160034</v>
      </c>
      <c r="H136" s="44">
        <v>613.53997800000002</v>
      </c>
      <c r="I136" s="44">
        <v>599.330017</v>
      </c>
      <c r="J136" s="44">
        <v>47.816665999999998</v>
      </c>
      <c r="K136" s="44">
        <v>102.449997</v>
      </c>
    </row>
    <row r="137" spans="6:11" x14ac:dyDescent="0.3">
      <c r="F137" s="43">
        <v>38084</v>
      </c>
      <c r="G137" s="44">
        <v>1140.530029</v>
      </c>
      <c r="H137" s="44">
        <v>613.67999299999997</v>
      </c>
      <c r="I137" s="44">
        <v>601.64001499999995</v>
      </c>
      <c r="J137" s="44">
        <v>47.889999000000003</v>
      </c>
      <c r="K137" s="44">
        <v>102.199997</v>
      </c>
    </row>
    <row r="138" spans="6:11" x14ac:dyDescent="0.3">
      <c r="F138" s="43">
        <v>38085</v>
      </c>
      <c r="G138" s="44">
        <v>1139.3199460000001</v>
      </c>
      <c r="H138" s="44">
        <v>610.44000200000005</v>
      </c>
      <c r="I138" s="44">
        <v>597.88000499999998</v>
      </c>
      <c r="J138" s="44">
        <v>47.790000999999997</v>
      </c>
      <c r="K138" s="44">
        <v>102.260002</v>
      </c>
    </row>
    <row r="139" spans="6:11" x14ac:dyDescent="0.3">
      <c r="F139" s="43">
        <v>38089</v>
      </c>
      <c r="G139" s="44">
        <v>1145.1999510000001</v>
      </c>
      <c r="H139" s="44">
        <v>612.01000999999997</v>
      </c>
      <c r="I139" s="44">
        <v>599.65002400000003</v>
      </c>
      <c r="J139" s="44">
        <v>48.099997999999999</v>
      </c>
      <c r="K139" s="44">
        <v>102.230003</v>
      </c>
    </row>
    <row r="140" spans="6:11" x14ac:dyDescent="0.3">
      <c r="F140" s="43">
        <v>38090</v>
      </c>
      <c r="G140" s="44">
        <v>1129.4399410000001</v>
      </c>
      <c r="H140" s="44">
        <v>601.19000200000005</v>
      </c>
      <c r="I140" s="44">
        <v>585.830017</v>
      </c>
      <c r="J140" s="44">
        <v>47.483333999999999</v>
      </c>
      <c r="K140" s="44">
        <v>102.050003</v>
      </c>
    </row>
    <row r="141" spans="6:11" x14ac:dyDescent="0.3">
      <c r="F141" s="43">
        <v>38091</v>
      </c>
      <c r="G141" s="44">
        <v>1128.170044</v>
      </c>
      <c r="H141" s="44">
        <v>598.52002000000005</v>
      </c>
      <c r="I141" s="44">
        <v>582.02002000000005</v>
      </c>
      <c r="J141" s="44">
        <v>46.993332000000002</v>
      </c>
      <c r="K141" s="44">
        <v>101.75</v>
      </c>
    </row>
    <row r="142" spans="6:11" x14ac:dyDescent="0.3">
      <c r="F142" s="43">
        <v>38092</v>
      </c>
      <c r="G142" s="44">
        <v>1128.839966</v>
      </c>
      <c r="H142" s="44">
        <v>597.45001200000002</v>
      </c>
      <c r="I142" s="44">
        <v>580.29998799999998</v>
      </c>
      <c r="J142" s="44">
        <v>46.666668000000001</v>
      </c>
      <c r="K142" s="44">
        <v>101.599998</v>
      </c>
    </row>
    <row r="143" spans="6:11" x14ac:dyDescent="0.3">
      <c r="F143" s="43">
        <v>38093</v>
      </c>
      <c r="G143" s="44">
        <v>1134.6099850000001</v>
      </c>
      <c r="H143" s="44">
        <v>600.61999500000002</v>
      </c>
      <c r="I143" s="44">
        <v>583.36999500000002</v>
      </c>
      <c r="J143" s="44">
        <v>47.166668000000001</v>
      </c>
      <c r="K143" s="44">
        <v>101.879997</v>
      </c>
    </row>
    <row r="144" spans="6:11" x14ac:dyDescent="0.3">
      <c r="F144" s="43">
        <v>38096</v>
      </c>
      <c r="G144" s="44">
        <v>1135.8199460000001</v>
      </c>
      <c r="H144" s="44">
        <v>602.89001499999995</v>
      </c>
      <c r="I144" s="44">
        <v>586.95001200000002</v>
      </c>
      <c r="J144" s="44">
        <v>47.216667000000001</v>
      </c>
      <c r="K144" s="44">
        <v>101.75</v>
      </c>
    </row>
    <row r="145" spans="6:11" x14ac:dyDescent="0.3">
      <c r="F145" s="43">
        <v>38097</v>
      </c>
      <c r="G145" s="44">
        <v>1118.150024</v>
      </c>
      <c r="H145" s="44">
        <v>594.40997300000004</v>
      </c>
      <c r="I145" s="44">
        <v>575.80999799999995</v>
      </c>
      <c r="J145" s="44">
        <v>46.566665999999998</v>
      </c>
      <c r="K145" s="44">
        <v>101.41999800000001</v>
      </c>
    </row>
    <row r="146" spans="6:11" x14ac:dyDescent="0.3">
      <c r="F146" s="43">
        <v>38098</v>
      </c>
      <c r="G146" s="44">
        <v>1124.089966</v>
      </c>
      <c r="H146" s="44">
        <v>599.90002400000003</v>
      </c>
      <c r="I146" s="44">
        <v>583.21997099999999</v>
      </c>
      <c r="J146" s="44">
        <v>46.883335000000002</v>
      </c>
      <c r="K146" s="44">
        <v>101.18</v>
      </c>
    </row>
    <row r="147" spans="6:11" x14ac:dyDescent="0.3">
      <c r="F147" s="43">
        <v>38099</v>
      </c>
      <c r="G147" s="44">
        <v>1139.9300539999999</v>
      </c>
      <c r="H147" s="44">
        <v>610.02002000000005</v>
      </c>
      <c r="I147" s="44">
        <v>593.23999000000003</v>
      </c>
      <c r="J147" s="44">
        <v>47.216667000000001</v>
      </c>
      <c r="K147" s="44">
        <v>101.550003</v>
      </c>
    </row>
    <row r="148" spans="6:11" x14ac:dyDescent="0.3">
      <c r="F148" s="43">
        <v>38100</v>
      </c>
      <c r="G148" s="44">
        <v>1140.599976</v>
      </c>
      <c r="H148" s="44">
        <v>607.80999799999995</v>
      </c>
      <c r="I148" s="44">
        <v>590.71002199999998</v>
      </c>
      <c r="J148" s="44">
        <v>47.150002000000001</v>
      </c>
      <c r="K148" s="44">
        <v>101.349998</v>
      </c>
    </row>
    <row r="149" spans="6:11" x14ac:dyDescent="0.3">
      <c r="F149" s="43">
        <v>38103</v>
      </c>
      <c r="G149" s="44">
        <v>1135.530029</v>
      </c>
      <c r="H149" s="44">
        <v>605.27002000000005</v>
      </c>
      <c r="I149" s="44">
        <v>589.45001200000002</v>
      </c>
      <c r="J149" s="44">
        <v>47.136665000000001</v>
      </c>
      <c r="K149" s="44">
        <v>101.32</v>
      </c>
    </row>
    <row r="150" spans="6:11" x14ac:dyDescent="0.3">
      <c r="F150" s="43">
        <v>38104</v>
      </c>
      <c r="G150" s="44">
        <v>1138.1099850000001</v>
      </c>
      <c r="H150" s="44">
        <v>606.38000499999998</v>
      </c>
      <c r="I150" s="44">
        <v>590.76000999999997</v>
      </c>
      <c r="J150" s="44">
        <v>47.183334000000002</v>
      </c>
      <c r="K150" s="44">
        <v>101.57</v>
      </c>
    </row>
    <row r="151" spans="6:11" x14ac:dyDescent="0.3">
      <c r="F151" s="43">
        <v>38105</v>
      </c>
      <c r="G151" s="44">
        <v>1122.410034</v>
      </c>
      <c r="H151" s="44">
        <v>596.85998500000005</v>
      </c>
      <c r="I151" s="44">
        <v>577.05999799999995</v>
      </c>
      <c r="J151" s="44">
        <v>46.313332000000003</v>
      </c>
      <c r="K151" s="44">
        <v>101.099998</v>
      </c>
    </row>
    <row r="152" spans="6:11" x14ac:dyDescent="0.3">
      <c r="F152" s="43">
        <v>38106</v>
      </c>
      <c r="G152" s="44">
        <v>1113.8900149999999</v>
      </c>
      <c r="H152" s="44">
        <v>587.85998500000005</v>
      </c>
      <c r="I152" s="44">
        <v>567.25</v>
      </c>
      <c r="J152" s="44">
        <v>45.816665999999998</v>
      </c>
      <c r="K152" s="44">
        <v>100.80999799999999</v>
      </c>
    </row>
    <row r="153" spans="6:11" x14ac:dyDescent="0.3">
      <c r="F153" s="43">
        <v>38107</v>
      </c>
      <c r="G153" s="44">
        <v>1107.3000489999999</v>
      </c>
      <c r="H153" s="44">
        <v>583.28997800000002</v>
      </c>
      <c r="I153" s="44">
        <v>559.79998799999998</v>
      </c>
      <c r="J153" s="44">
        <v>45.599997999999999</v>
      </c>
      <c r="K153" s="44">
        <v>100.779999</v>
      </c>
    </row>
    <row r="154" spans="6:11" x14ac:dyDescent="0.3">
      <c r="F154" s="43">
        <v>38110</v>
      </c>
      <c r="G154" s="44">
        <v>1117.48999</v>
      </c>
      <c r="H154" s="44">
        <v>588.69000200000005</v>
      </c>
      <c r="I154" s="44">
        <v>565.47997999999995</v>
      </c>
      <c r="J154" s="44">
        <v>46.066665999999998</v>
      </c>
      <c r="K154" s="44">
        <v>100.360001</v>
      </c>
    </row>
    <row r="155" spans="6:11" x14ac:dyDescent="0.3">
      <c r="F155" s="43">
        <v>38111</v>
      </c>
      <c r="G155" s="44">
        <v>1119.5500489999999</v>
      </c>
      <c r="H155" s="44">
        <v>590.04998799999998</v>
      </c>
      <c r="I155" s="44">
        <v>569.64001499999995</v>
      </c>
      <c r="J155" s="44">
        <v>46.653331999999999</v>
      </c>
      <c r="K155" s="44">
        <v>100.540001</v>
      </c>
    </row>
    <row r="156" spans="6:11" x14ac:dyDescent="0.3">
      <c r="F156" s="43">
        <v>38112</v>
      </c>
      <c r="G156" s="44">
        <v>1121.530029</v>
      </c>
      <c r="H156" s="44">
        <v>592.90997300000004</v>
      </c>
      <c r="I156" s="44">
        <v>570.05999799999995</v>
      </c>
      <c r="J156" s="44">
        <v>47.166668000000001</v>
      </c>
      <c r="K156" s="44">
        <v>100.410004</v>
      </c>
    </row>
    <row r="157" spans="6:11" x14ac:dyDescent="0.3">
      <c r="F157" s="43">
        <v>38113</v>
      </c>
      <c r="G157" s="44">
        <v>1113.98999</v>
      </c>
      <c r="H157" s="44">
        <v>585.84997599999997</v>
      </c>
      <c r="I157" s="44">
        <v>563.09002699999996</v>
      </c>
      <c r="J157" s="44">
        <v>46.166668000000001</v>
      </c>
      <c r="K157" s="44">
        <v>100.099998</v>
      </c>
    </row>
    <row r="158" spans="6:11" x14ac:dyDescent="0.3">
      <c r="F158" s="43">
        <v>38114</v>
      </c>
      <c r="G158" s="44">
        <v>1098.6999510000001</v>
      </c>
      <c r="H158" s="44">
        <v>573.28002900000001</v>
      </c>
      <c r="I158" s="44">
        <v>548.55999799999995</v>
      </c>
      <c r="J158" s="44">
        <v>44.916668000000001</v>
      </c>
      <c r="K158" s="44">
        <v>99.25</v>
      </c>
    </row>
    <row r="159" spans="6:11" x14ac:dyDescent="0.3">
      <c r="F159" s="43">
        <v>38117</v>
      </c>
      <c r="G159" s="44">
        <v>1087.119995</v>
      </c>
      <c r="H159" s="44">
        <v>563.57000700000003</v>
      </c>
      <c r="I159" s="44">
        <v>537.85998500000005</v>
      </c>
      <c r="J159" s="44">
        <v>43.766666000000001</v>
      </c>
      <c r="K159" s="44">
        <v>99.099997999999999</v>
      </c>
    </row>
    <row r="160" spans="6:11" x14ac:dyDescent="0.3">
      <c r="F160" s="43">
        <v>38118</v>
      </c>
      <c r="G160" s="44">
        <v>1095.4499510000001</v>
      </c>
      <c r="H160" s="44">
        <v>570.94000200000005</v>
      </c>
      <c r="I160" s="44">
        <v>548.669983</v>
      </c>
      <c r="J160" s="44">
        <v>44.083331999999999</v>
      </c>
      <c r="K160" s="44">
        <v>99.349997999999999</v>
      </c>
    </row>
    <row r="161" spans="6:11" x14ac:dyDescent="0.3">
      <c r="F161" s="43">
        <v>38119</v>
      </c>
      <c r="G161" s="44">
        <v>1097.280029</v>
      </c>
      <c r="H161" s="44">
        <v>569.330017</v>
      </c>
      <c r="I161" s="44">
        <v>548.98999000000003</v>
      </c>
      <c r="J161" s="44">
        <v>44.366664999999998</v>
      </c>
      <c r="K161" s="44">
        <v>99.209998999999996</v>
      </c>
    </row>
    <row r="162" spans="6:11" x14ac:dyDescent="0.3">
      <c r="F162" s="43">
        <v>38120</v>
      </c>
      <c r="G162" s="44">
        <v>1096.4399410000001</v>
      </c>
      <c r="H162" s="44">
        <v>570</v>
      </c>
      <c r="I162" s="44">
        <v>547.169983</v>
      </c>
      <c r="J162" s="44">
        <v>43.900002000000001</v>
      </c>
      <c r="K162" s="44">
        <v>99.190002000000007</v>
      </c>
    </row>
    <row r="163" spans="6:11" x14ac:dyDescent="0.3">
      <c r="F163" s="43">
        <v>38121</v>
      </c>
      <c r="G163" s="44">
        <v>1095.6999510000001</v>
      </c>
      <c r="H163" s="44">
        <v>568.25</v>
      </c>
      <c r="I163" s="44">
        <v>543.76000999999997</v>
      </c>
      <c r="J163" s="44">
        <v>43.863334999999999</v>
      </c>
      <c r="K163" s="44">
        <v>99.209998999999996</v>
      </c>
    </row>
    <row r="164" spans="6:11" x14ac:dyDescent="0.3">
      <c r="F164" s="43">
        <v>38124</v>
      </c>
      <c r="G164" s="44">
        <v>1084.099976</v>
      </c>
      <c r="H164" s="44">
        <v>561.57000700000003</v>
      </c>
      <c r="I164" s="44">
        <v>535.34002699999996</v>
      </c>
      <c r="J164" s="44">
        <v>43.383335000000002</v>
      </c>
      <c r="K164" s="44">
        <v>99.709998999999996</v>
      </c>
    </row>
    <row r="165" spans="6:11" x14ac:dyDescent="0.3">
      <c r="F165" s="43">
        <v>38125</v>
      </c>
      <c r="G165" s="44">
        <v>1091.48999</v>
      </c>
      <c r="H165" s="44">
        <v>566.69000200000005</v>
      </c>
      <c r="I165" s="44">
        <v>542.55999799999995</v>
      </c>
      <c r="J165" s="44">
        <v>43.843333999999999</v>
      </c>
      <c r="K165" s="44">
        <v>99.760002</v>
      </c>
    </row>
    <row r="166" spans="6:11" x14ac:dyDescent="0.3">
      <c r="F166" s="43">
        <v>38126</v>
      </c>
      <c r="G166" s="44">
        <v>1088.6800539999999</v>
      </c>
      <c r="H166" s="44">
        <v>565.13000499999998</v>
      </c>
      <c r="I166" s="44">
        <v>540.85998500000005</v>
      </c>
      <c r="J166" s="44">
        <v>44.276668999999998</v>
      </c>
      <c r="K166" s="44">
        <v>99.589995999999999</v>
      </c>
    </row>
    <row r="167" spans="6:11" x14ac:dyDescent="0.3">
      <c r="F167" s="43">
        <v>38127</v>
      </c>
      <c r="G167" s="44">
        <v>1089.1899410000001</v>
      </c>
      <c r="H167" s="44">
        <v>565.34997599999997</v>
      </c>
      <c r="I167" s="44">
        <v>540.75</v>
      </c>
      <c r="J167" s="44">
        <v>44.333331999999999</v>
      </c>
      <c r="K167" s="44">
        <v>99.860000999999997</v>
      </c>
    </row>
    <row r="168" spans="6:11" x14ac:dyDescent="0.3">
      <c r="F168" s="43">
        <v>38128</v>
      </c>
      <c r="G168" s="44">
        <v>1093.5600589999999</v>
      </c>
      <c r="H168" s="44">
        <v>568.169983</v>
      </c>
      <c r="I168" s="44">
        <v>545.80999799999995</v>
      </c>
      <c r="J168" s="44">
        <v>44.66</v>
      </c>
      <c r="K168" s="44">
        <v>99.699996999999996</v>
      </c>
    </row>
    <row r="169" spans="6:11" x14ac:dyDescent="0.3">
      <c r="F169" s="43">
        <v>38131</v>
      </c>
      <c r="G169" s="44">
        <v>1095.410034</v>
      </c>
      <c r="H169" s="44">
        <v>574.04998799999998</v>
      </c>
      <c r="I169" s="44">
        <v>551.71997099999999</v>
      </c>
      <c r="J169" s="44">
        <v>44.946666999999998</v>
      </c>
      <c r="K169" s="44">
        <v>99.779999000000004</v>
      </c>
    </row>
    <row r="170" spans="6:11" x14ac:dyDescent="0.3">
      <c r="F170" s="43">
        <v>38132</v>
      </c>
      <c r="G170" s="44">
        <v>1113.0500489999999</v>
      </c>
      <c r="H170" s="44">
        <v>585.10998500000005</v>
      </c>
      <c r="I170" s="44">
        <v>565.39001499999995</v>
      </c>
      <c r="J170" s="44">
        <v>45.616664999999998</v>
      </c>
      <c r="K170" s="44">
        <v>99.75</v>
      </c>
    </row>
    <row r="171" spans="6:11" x14ac:dyDescent="0.3">
      <c r="F171" s="43">
        <v>38133</v>
      </c>
      <c r="G171" s="44">
        <v>1114.9399410000001</v>
      </c>
      <c r="H171" s="44">
        <v>588.580017</v>
      </c>
      <c r="I171" s="44">
        <v>567.77002000000005</v>
      </c>
      <c r="J171" s="44">
        <v>45.533332999999999</v>
      </c>
      <c r="K171" s="44">
        <v>100</v>
      </c>
    </row>
    <row r="172" spans="6:11" x14ac:dyDescent="0.3">
      <c r="F172" s="43">
        <v>38134</v>
      </c>
      <c r="G172" s="44">
        <v>1121.280029</v>
      </c>
      <c r="H172" s="44">
        <v>591.73999000000003</v>
      </c>
      <c r="I172" s="44">
        <v>568.55999799999995</v>
      </c>
      <c r="J172" s="44">
        <v>46.400002000000001</v>
      </c>
      <c r="K172" s="44">
        <v>100.480003</v>
      </c>
    </row>
    <row r="173" spans="6:11" x14ac:dyDescent="0.3">
      <c r="F173" s="43">
        <v>38135</v>
      </c>
      <c r="G173" s="44">
        <v>1120.6800539999999</v>
      </c>
      <c r="H173" s="44">
        <v>594.70001200000002</v>
      </c>
      <c r="I173" s="44">
        <v>568.28002900000001</v>
      </c>
      <c r="J173" s="44">
        <v>46.119999</v>
      </c>
      <c r="K173" s="44">
        <v>100.129997</v>
      </c>
    </row>
    <row r="174" spans="6:11" x14ac:dyDescent="0.3">
      <c r="F174" s="43">
        <v>38139</v>
      </c>
      <c r="G174" s="44">
        <v>1121.1999510000001</v>
      </c>
      <c r="H174" s="44">
        <v>596.57000700000003</v>
      </c>
      <c r="I174" s="44">
        <v>572.48999000000003</v>
      </c>
      <c r="J174" s="44">
        <v>46.23</v>
      </c>
      <c r="K174" s="44">
        <v>99.699996999999996</v>
      </c>
    </row>
    <row r="175" spans="6:11" x14ac:dyDescent="0.3">
      <c r="F175" s="43">
        <v>38140</v>
      </c>
      <c r="G175" s="44">
        <v>1124.98999</v>
      </c>
      <c r="H175" s="44">
        <v>596.47997999999995</v>
      </c>
      <c r="I175" s="44">
        <v>573.55999799999995</v>
      </c>
      <c r="J175" s="44">
        <v>46.363334999999999</v>
      </c>
      <c r="K175" s="44">
        <v>99.739998</v>
      </c>
    </row>
    <row r="176" spans="6:11" x14ac:dyDescent="0.3">
      <c r="F176" s="43">
        <v>38141</v>
      </c>
      <c r="G176" s="44">
        <v>1116.6400149999999</v>
      </c>
      <c r="H176" s="44">
        <v>588.13000499999998</v>
      </c>
      <c r="I176" s="44">
        <v>562.44000200000005</v>
      </c>
      <c r="J176" s="44">
        <v>45.916668000000001</v>
      </c>
      <c r="K176" s="44">
        <v>99.699996999999996</v>
      </c>
    </row>
    <row r="177" spans="6:11" x14ac:dyDescent="0.3">
      <c r="F177" s="43">
        <v>38142</v>
      </c>
      <c r="G177" s="44">
        <v>1122.5</v>
      </c>
      <c r="H177" s="44">
        <v>592.28997800000002</v>
      </c>
      <c r="I177" s="44">
        <v>567.75</v>
      </c>
      <c r="J177" s="44">
        <v>46.466667000000001</v>
      </c>
      <c r="K177" s="44">
        <v>99.489998</v>
      </c>
    </row>
    <row r="178" spans="6:11" x14ac:dyDescent="0.3">
      <c r="F178" s="43">
        <v>38145</v>
      </c>
      <c r="G178" s="44">
        <v>1140.420044</v>
      </c>
      <c r="H178" s="44">
        <v>602.34002699999996</v>
      </c>
      <c r="I178" s="44">
        <v>578.90002400000003</v>
      </c>
      <c r="J178" s="44">
        <v>47.493332000000002</v>
      </c>
      <c r="K178" s="44">
        <v>99.589995999999999</v>
      </c>
    </row>
    <row r="179" spans="6:11" x14ac:dyDescent="0.3">
      <c r="F179" s="43">
        <v>38146</v>
      </c>
      <c r="G179" s="44">
        <v>1142.1800539999999</v>
      </c>
      <c r="H179" s="44">
        <v>601.17999299999997</v>
      </c>
      <c r="I179" s="44">
        <v>577.90997300000004</v>
      </c>
      <c r="J179" s="44">
        <v>47.226664999999997</v>
      </c>
      <c r="K179" s="44">
        <v>99.349997999999999</v>
      </c>
    </row>
    <row r="180" spans="6:11" x14ac:dyDescent="0.3">
      <c r="F180" s="43">
        <v>38147</v>
      </c>
      <c r="G180" s="44">
        <v>1131.329956</v>
      </c>
      <c r="H180" s="44">
        <v>593.82000700000003</v>
      </c>
      <c r="I180" s="44">
        <v>568.580017</v>
      </c>
      <c r="J180" s="44">
        <v>46.416668000000001</v>
      </c>
      <c r="K180" s="44">
        <v>99.379997000000003</v>
      </c>
    </row>
    <row r="181" spans="6:11" x14ac:dyDescent="0.3">
      <c r="F181" s="43">
        <v>38148</v>
      </c>
      <c r="G181" s="44">
        <v>1136.469971</v>
      </c>
      <c r="H181" s="44">
        <v>595.34002699999996</v>
      </c>
      <c r="I181" s="44">
        <v>569.11999500000002</v>
      </c>
      <c r="J181" s="44">
        <v>46.966667000000001</v>
      </c>
      <c r="K181" s="44">
        <v>99.279999000000004</v>
      </c>
    </row>
    <row r="182" spans="6:11" x14ac:dyDescent="0.3">
      <c r="F182" s="43">
        <v>38152</v>
      </c>
      <c r="G182" s="44">
        <v>1125.290039</v>
      </c>
      <c r="H182" s="44">
        <v>586.80999799999995</v>
      </c>
      <c r="I182" s="44">
        <v>557.669983</v>
      </c>
      <c r="J182" s="44">
        <v>45.836666000000001</v>
      </c>
      <c r="K182" s="44">
        <v>99</v>
      </c>
    </row>
    <row r="183" spans="6:11" x14ac:dyDescent="0.3">
      <c r="F183" s="43">
        <v>38153</v>
      </c>
      <c r="G183" s="44">
        <v>1132.01001</v>
      </c>
      <c r="H183" s="44">
        <v>594.169983</v>
      </c>
      <c r="I183" s="44">
        <v>567.919983</v>
      </c>
      <c r="J183" s="44">
        <v>46.650002000000001</v>
      </c>
      <c r="K183" s="44">
        <v>99.839995999999999</v>
      </c>
    </row>
    <row r="184" spans="6:11" x14ac:dyDescent="0.3">
      <c r="F184" s="43">
        <v>38154</v>
      </c>
      <c r="G184" s="44">
        <v>1133.5600589999999</v>
      </c>
      <c r="H184" s="44">
        <v>595.26000999999997</v>
      </c>
      <c r="I184" s="44">
        <v>570.07000700000003</v>
      </c>
      <c r="J184" s="44">
        <v>46.633335000000002</v>
      </c>
      <c r="K184" s="44">
        <v>99.639999000000003</v>
      </c>
    </row>
    <row r="185" spans="6:11" x14ac:dyDescent="0.3">
      <c r="F185" s="43">
        <v>38155</v>
      </c>
      <c r="G185" s="44">
        <v>1132.0500489999999</v>
      </c>
      <c r="H185" s="44">
        <v>594.84002699999996</v>
      </c>
      <c r="I185" s="44">
        <v>569.57000700000003</v>
      </c>
      <c r="J185" s="44">
        <v>46.933334000000002</v>
      </c>
      <c r="K185" s="44">
        <v>99.75</v>
      </c>
    </row>
    <row r="186" spans="6:11" x14ac:dyDescent="0.3">
      <c r="F186" s="43">
        <v>38156</v>
      </c>
      <c r="G186" s="44">
        <v>1135.0200199999999</v>
      </c>
      <c r="H186" s="44">
        <v>594.88000499999998</v>
      </c>
      <c r="I186" s="44">
        <v>570.53997800000002</v>
      </c>
      <c r="J186" s="44">
        <v>47.016666000000001</v>
      </c>
      <c r="K186" s="44">
        <v>99.900002000000001</v>
      </c>
    </row>
    <row r="187" spans="6:11" x14ac:dyDescent="0.3">
      <c r="F187" s="43">
        <v>38159</v>
      </c>
      <c r="G187" s="44">
        <v>1130.3000489999999</v>
      </c>
      <c r="H187" s="44">
        <v>593.28997800000002</v>
      </c>
      <c r="I187" s="44">
        <v>568.73999000000003</v>
      </c>
      <c r="J187" s="44">
        <v>46.849997999999999</v>
      </c>
      <c r="K187" s="44">
        <v>100.029999</v>
      </c>
    </row>
    <row r="188" spans="6:11" x14ac:dyDescent="0.3">
      <c r="F188" s="43">
        <v>38160</v>
      </c>
      <c r="G188" s="44">
        <v>1134.410034</v>
      </c>
      <c r="H188" s="44">
        <v>596.60998500000005</v>
      </c>
      <c r="I188" s="44">
        <v>571.89001499999995</v>
      </c>
      <c r="J188" s="44">
        <v>46.869999</v>
      </c>
      <c r="K188" s="44">
        <v>99.989998</v>
      </c>
    </row>
    <row r="189" spans="6:11" x14ac:dyDescent="0.3">
      <c r="F189" s="43">
        <v>38161</v>
      </c>
      <c r="G189" s="44">
        <v>1144.0600589999999</v>
      </c>
      <c r="H189" s="44">
        <v>601.95001200000002</v>
      </c>
      <c r="I189" s="44">
        <v>580.15002400000003</v>
      </c>
      <c r="J189" s="44">
        <v>47.166668000000001</v>
      </c>
      <c r="K189" s="44">
        <v>99.910004000000001</v>
      </c>
    </row>
    <row r="190" spans="6:11" x14ac:dyDescent="0.3">
      <c r="F190" s="43">
        <v>38162</v>
      </c>
      <c r="G190" s="44">
        <v>1140.650024</v>
      </c>
      <c r="H190" s="44">
        <v>601.01000999999997</v>
      </c>
      <c r="I190" s="44">
        <v>579.04998799999998</v>
      </c>
      <c r="J190" s="44">
        <v>47.349997999999999</v>
      </c>
      <c r="K190" s="44">
        <v>100.290001</v>
      </c>
    </row>
    <row r="191" spans="6:11" x14ac:dyDescent="0.3">
      <c r="F191" s="43">
        <v>38163</v>
      </c>
      <c r="G191" s="44">
        <v>1134.4300539999999</v>
      </c>
      <c r="H191" s="44">
        <v>603.76000999999997</v>
      </c>
      <c r="I191" s="44">
        <v>587.70001200000002</v>
      </c>
      <c r="J191" s="44">
        <v>47.176665999999997</v>
      </c>
      <c r="K191" s="44">
        <v>100.260002</v>
      </c>
    </row>
    <row r="192" spans="6:11" x14ac:dyDescent="0.3">
      <c r="F192" s="43">
        <v>38166</v>
      </c>
      <c r="G192" s="44">
        <v>1133.349976</v>
      </c>
      <c r="H192" s="44">
        <v>600.59002699999996</v>
      </c>
      <c r="I192" s="44">
        <v>584.09997599999997</v>
      </c>
      <c r="J192" s="44">
        <v>47.466667000000001</v>
      </c>
      <c r="K192" s="44">
        <v>99.93</v>
      </c>
    </row>
    <row r="193" spans="6:11" x14ac:dyDescent="0.3">
      <c r="F193" s="43">
        <v>38167</v>
      </c>
      <c r="G193" s="44">
        <v>1136.1999510000001</v>
      </c>
      <c r="H193" s="44">
        <v>602.28997800000002</v>
      </c>
      <c r="I193" s="44">
        <v>587.830017</v>
      </c>
      <c r="J193" s="44">
        <v>47.366664999999998</v>
      </c>
      <c r="K193" s="44">
        <v>99.75</v>
      </c>
    </row>
    <row r="194" spans="6:11" x14ac:dyDescent="0.3">
      <c r="F194" s="43">
        <v>38168</v>
      </c>
      <c r="G194" s="44">
        <v>1140.839966</v>
      </c>
      <c r="H194" s="44">
        <v>607.69000200000005</v>
      </c>
      <c r="I194" s="44">
        <v>591.52002000000005</v>
      </c>
      <c r="J194" s="44">
        <v>47.666668000000001</v>
      </c>
      <c r="K194" s="44">
        <v>100.540001</v>
      </c>
    </row>
    <row r="195" spans="6:11" x14ac:dyDescent="0.3">
      <c r="F195" s="43">
        <v>38169</v>
      </c>
      <c r="G195" s="44">
        <v>1128.9399410000001</v>
      </c>
      <c r="H195" s="44">
        <v>600.09002699999996</v>
      </c>
      <c r="I195" s="44">
        <v>582.42999299999997</v>
      </c>
      <c r="J195" s="44">
        <v>47.066665999999998</v>
      </c>
      <c r="K195" s="44">
        <v>100.349998</v>
      </c>
    </row>
    <row r="196" spans="6:11" x14ac:dyDescent="0.3">
      <c r="F196" s="43">
        <v>38170</v>
      </c>
      <c r="G196" s="44">
        <v>1125.380005</v>
      </c>
      <c r="H196" s="44">
        <v>598.80999799999995</v>
      </c>
      <c r="I196" s="44">
        <v>582.71997099999999</v>
      </c>
      <c r="J196" s="44">
        <v>47.330002</v>
      </c>
      <c r="K196" s="44">
        <v>100.989998</v>
      </c>
    </row>
    <row r="197" spans="6:11" x14ac:dyDescent="0.3">
      <c r="F197" s="43">
        <v>38174</v>
      </c>
      <c r="G197" s="44">
        <v>1116.209961</v>
      </c>
      <c r="H197" s="44">
        <v>590.580017</v>
      </c>
      <c r="I197" s="44">
        <v>572.40997300000004</v>
      </c>
      <c r="J197" s="44">
        <v>46.549999</v>
      </c>
      <c r="K197" s="44">
        <v>100.91999800000001</v>
      </c>
    </row>
    <row r="198" spans="6:11" x14ac:dyDescent="0.3">
      <c r="F198" s="43">
        <v>38175</v>
      </c>
      <c r="G198" s="44">
        <v>1118.329956</v>
      </c>
      <c r="H198" s="44">
        <v>592.21997099999999</v>
      </c>
      <c r="I198" s="44">
        <v>572.03002900000001</v>
      </c>
      <c r="J198" s="44">
        <v>47.099997999999999</v>
      </c>
      <c r="K198" s="44">
        <v>100.860001</v>
      </c>
    </row>
    <row r="199" spans="6:11" x14ac:dyDescent="0.3">
      <c r="F199" s="43">
        <v>38176</v>
      </c>
      <c r="G199" s="44">
        <v>1109.1099850000001</v>
      </c>
      <c r="H199" s="44">
        <v>585</v>
      </c>
      <c r="I199" s="44">
        <v>560.71002199999998</v>
      </c>
      <c r="J199" s="44">
        <v>46.799999</v>
      </c>
      <c r="K199" s="44">
        <v>100.970001</v>
      </c>
    </row>
    <row r="200" spans="6:11" x14ac:dyDescent="0.3">
      <c r="F200" s="43">
        <v>38177</v>
      </c>
      <c r="G200" s="44">
        <v>1112.8100589999999</v>
      </c>
      <c r="H200" s="44">
        <v>587.86999500000002</v>
      </c>
      <c r="I200" s="44">
        <v>563.72997999999995</v>
      </c>
      <c r="J200" s="44">
        <v>47.196666999999998</v>
      </c>
      <c r="K200" s="44">
        <v>100.66999800000001</v>
      </c>
    </row>
    <row r="201" spans="6:11" x14ac:dyDescent="0.3">
      <c r="F201" s="43">
        <v>38180</v>
      </c>
      <c r="G201" s="44">
        <v>1114.349976</v>
      </c>
      <c r="H201" s="44">
        <v>586.34997599999997</v>
      </c>
      <c r="I201" s="44">
        <v>562.23999000000003</v>
      </c>
      <c r="J201" s="44">
        <v>47.333331999999999</v>
      </c>
      <c r="K201" s="44">
        <v>100.970001</v>
      </c>
    </row>
    <row r="202" spans="6:11" x14ac:dyDescent="0.3">
      <c r="F202" s="43">
        <v>38181</v>
      </c>
      <c r="G202" s="44">
        <v>1115.1400149999999</v>
      </c>
      <c r="H202" s="44">
        <v>586.92999299999997</v>
      </c>
      <c r="I202" s="44">
        <v>562.69000200000005</v>
      </c>
      <c r="J202" s="44">
        <v>47.099997999999999</v>
      </c>
      <c r="K202" s="44">
        <v>100.860001</v>
      </c>
    </row>
    <row r="203" spans="6:11" x14ac:dyDescent="0.3">
      <c r="F203" s="43">
        <v>38182</v>
      </c>
      <c r="G203" s="44">
        <v>1111.469971</v>
      </c>
      <c r="H203" s="44">
        <v>584.96002199999998</v>
      </c>
      <c r="I203" s="44">
        <v>559.73999000000003</v>
      </c>
      <c r="J203" s="44">
        <v>46.833331999999999</v>
      </c>
      <c r="K203" s="44">
        <v>100.91999800000001</v>
      </c>
    </row>
    <row r="204" spans="6:11" x14ac:dyDescent="0.3">
      <c r="F204" s="43">
        <v>38183</v>
      </c>
      <c r="G204" s="44">
        <v>1106.6899410000001</v>
      </c>
      <c r="H204" s="44">
        <v>587.96997099999999</v>
      </c>
      <c r="I204" s="44">
        <v>562.15997300000004</v>
      </c>
      <c r="J204" s="44">
        <v>46.25</v>
      </c>
      <c r="K204" s="44">
        <v>100.730003</v>
      </c>
    </row>
    <row r="205" spans="6:11" x14ac:dyDescent="0.3">
      <c r="F205" s="43">
        <v>38184</v>
      </c>
      <c r="G205" s="44">
        <v>1101.3900149999999</v>
      </c>
      <c r="H205" s="44">
        <v>583.86999500000002</v>
      </c>
      <c r="I205" s="44">
        <v>555.47997999999995</v>
      </c>
      <c r="J205" s="44">
        <v>46.623333000000002</v>
      </c>
      <c r="K205" s="44">
        <v>101.400002</v>
      </c>
    </row>
    <row r="206" spans="6:11" x14ac:dyDescent="0.3">
      <c r="F206" s="43">
        <v>38187</v>
      </c>
      <c r="G206" s="44">
        <v>1100.900024</v>
      </c>
      <c r="H206" s="44">
        <v>584.419983</v>
      </c>
      <c r="I206" s="44">
        <v>554.72997999999995</v>
      </c>
      <c r="J206" s="44">
        <v>46.66</v>
      </c>
      <c r="K206" s="44">
        <v>101.25</v>
      </c>
    </row>
    <row r="207" spans="6:11" x14ac:dyDescent="0.3">
      <c r="F207" s="43">
        <v>38188</v>
      </c>
      <c r="G207" s="44">
        <v>1108.670044</v>
      </c>
      <c r="H207" s="44">
        <v>591.32000700000003</v>
      </c>
      <c r="I207" s="44">
        <v>564.19000200000005</v>
      </c>
      <c r="J207" s="44">
        <v>46.683334000000002</v>
      </c>
      <c r="K207" s="44">
        <v>100.980003</v>
      </c>
    </row>
    <row r="208" spans="6:11" x14ac:dyDescent="0.3">
      <c r="F208" s="43">
        <v>38189</v>
      </c>
      <c r="G208" s="44">
        <v>1093.880005</v>
      </c>
      <c r="H208" s="44">
        <v>579.22997999999995</v>
      </c>
      <c r="I208" s="44">
        <v>548.57000700000003</v>
      </c>
      <c r="J208" s="44">
        <v>45.669998</v>
      </c>
      <c r="K208" s="44">
        <v>100.739998</v>
      </c>
    </row>
    <row r="209" spans="6:11" x14ac:dyDescent="0.3">
      <c r="F209" s="43">
        <v>38190</v>
      </c>
      <c r="G209" s="44">
        <v>1096.839966</v>
      </c>
      <c r="H209" s="44">
        <v>578.09997599999997</v>
      </c>
      <c r="I209" s="44">
        <v>546.52002000000005</v>
      </c>
      <c r="J209" s="44">
        <v>45.916668000000001</v>
      </c>
      <c r="K209" s="44">
        <v>100.959999</v>
      </c>
    </row>
    <row r="210" spans="6:11" x14ac:dyDescent="0.3">
      <c r="F210" s="43">
        <v>38191</v>
      </c>
      <c r="G210" s="44">
        <v>1086.1999510000001</v>
      </c>
      <c r="H210" s="44">
        <v>571.34997599999997</v>
      </c>
      <c r="I210" s="44">
        <v>539.22997999999995</v>
      </c>
      <c r="J210" s="44">
        <v>45.07</v>
      </c>
      <c r="K210" s="44">
        <v>101.19000200000001</v>
      </c>
    </row>
    <row r="211" spans="6:11" x14ac:dyDescent="0.3">
      <c r="F211" s="43">
        <v>38194</v>
      </c>
      <c r="G211" s="44">
        <v>1084.0699460000001</v>
      </c>
      <c r="H211" s="44">
        <v>566.39001499999995</v>
      </c>
      <c r="I211" s="44">
        <v>533.48999000000003</v>
      </c>
      <c r="J211" s="44">
        <v>45.07</v>
      </c>
      <c r="K211" s="44">
        <v>100.720001</v>
      </c>
    </row>
    <row r="212" spans="6:11" x14ac:dyDescent="0.3">
      <c r="F212" s="43">
        <v>38195</v>
      </c>
      <c r="G212" s="44">
        <v>1094.829956</v>
      </c>
      <c r="H212" s="44">
        <v>574.02002000000005</v>
      </c>
      <c r="I212" s="44">
        <v>544.60998500000005</v>
      </c>
      <c r="J212" s="44">
        <v>45.349997999999999</v>
      </c>
      <c r="K212" s="44">
        <v>100.489998</v>
      </c>
    </row>
    <row r="213" spans="6:11" x14ac:dyDescent="0.3">
      <c r="F213" s="43">
        <v>38196</v>
      </c>
      <c r="G213" s="44">
        <v>1095.420044</v>
      </c>
      <c r="H213" s="44">
        <v>571.02002000000005</v>
      </c>
      <c r="I213" s="44">
        <v>541.20001200000002</v>
      </c>
      <c r="J213" s="44">
        <v>45.41</v>
      </c>
      <c r="K213" s="44">
        <v>100.639999</v>
      </c>
    </row>
    <row r="214" spans="6:11" x14ac:dyDescent="0.3">
      <c r="F214" s="43">
        <v>38197</v>
      </c>
      <c r="G214" s="44">
        <v>1100.4300539999999</v>
      </c>
      <c r="H214" s="44">
        <v>578.44000200000005</v>
      </c>
      <c r="I214" s="44">
        <v>549.830017</v>
      </c>
      <c r="J214" s="44">
        <v>45.466667000000001</v>
      </c>
      <c r="K214" s="44">
        <v>100.410004</v>
      </c>
    </row>
    <row r="215" spans="6:11" x14ac:dyDescent="0.3">
      <c r="F215" s="43">
        <v>38198</v>
      </c>
      <c r="G215" s="44">
        <v>1101.719971</v>
      </c>
      <c r="H215" s="44">
        <v>578.90002400000003</v>
      </c>
      <c r="I215" s="44">
        <v>551.28997800000002</v>
      </c>
      <c r="J215" s="44">
        <v>45.633335000000002</v>
      </c>
      <c r="K215" s="44">
        <v>101.150002</v>
      </c>
    </row>
    <row r="216" spans="6:11" x14ac:dyDescent="0.3">
      <c r="F216" s="43">
        <v>38201</v>
      </c>
      <c r="G216" s="44">
        <v>1106.619995</v>
      </c>
      <c r="H216" s="44">
        <v>579.78997800000002</v>
      </c>
      <c r="I216" s="44">
        <v>551.92999299999997</v>
      </c>
      <c r="J216" s="44">
        <v>45.849997999999999</v>
      </c>
      <c r="K216" s="44">
        <v>100.800003</v>
      </c>
    </row>
    <row r="217" spans="6:11" x14ac:dyDescent="0.3">
      <c r="F217" s="43">
        <v>38202</v>
      </c>
      <c r="G217" s="44">
        <v>1099.6899410000001</v>
      </c>
      <c r="H217" s="44">
        <v>573.47997999999995</v>
      </c>
      <c r="I217" s="44">
        <v>543.63000499999998</v>
      </c>
      <c r="J217" s="44">
        <v>45.549999</v>
      </c>
      <c r="K217" s="44">
        <v>100.94000200000001</v>
      </c>
    </row>
    <row r="218" spans="6:11" x14ac:dyDescent="0.3">
      <c r="F218" s="43">
        <v>38203</v>
      </c>
      <c r="G218" s="44">
        <v>1098.630005</v>
      </c>
      <c r="H218" s="44">
        <v>571.46997099999999</v>
      </c>
      <c r="I218" s="44">
        <v>542.669983</v>
      </c>
      <c r="J218" s="44">
        <v>45.543334999999999</v>
      </c>
      <c r="K218" s="44">
        <v>101.160004</v>
      </c>
    </row>
    <row r="219" spans="6:11" x14ac:dyDescent="0.3">
      <c r="F219" s="43">
        <v>38204</v>
      </c>
      <c r="G219" s="44">
        <v>1080.6999510000001</v>
      </c>
      <c r="H219" s="44">
        <v>560.70001200000002</v>
      </c>
      <c r="I219" s="44">
        <v>532.35998500000005</v>
      </c>
      <c r="J219" s="44">
        <v>44.866664999999998</v>
      </c>
      <c r="K219" s="44">
        <v>101.230003</v>
      </c>
    </row>
    <row r="220" spans="6:11" x14ac:dyDescent="0.3">
      <c r="F220" s="43">
        <v>38205</v>
      </c>
      <c r="G220" s="44">
        <v>1063.969971</v>
      </c>
      <c r="H220" s="44">
        <v>551.51000999999997</v>
      </c>
      <c r="I220" s="44">
        <v>519.65002400000003</v>
      </c>
      <c r="J220" s="44">
        <v>44.799999</v>
      </c>
      <c r="K220" s="44">
        <v>101.879997</v>
      </c>
    </row>
    <row r="221" spans="6:11" x14ac:dyDescent="0.3">
      <c r="F221" s="43">
        <v>38208</v>
      </c>
      <c r="G221" s="44">
        <v>1065.219971</v>
      </c>
      <c r="H221" s="44">
        <v>552.419983</v>
      </c>
      <c r="I221" s="44">
        <v>518.38000499999998</v>
      </c>
      <c r="J221" s="44">
        <v>44.75</v>
      </c>
      <c r="K221" s="44">
        <v>101.949997</v>
      </c>
    </row>
    <row r="222" spans="6:11" x14ac:dyDescent="0.3">
      <c r="F222" s="43">
        <v>38209</v>
      </c>
      <c r="G222" s="44">
        <v>1079.040039</v>
      </c>
      <c r="H222" s="44">
        <v>561.34002699999996</v>
      </c>
      <c r="I222" s="44">
        <v>529.830017</v>
      </c>
      <c r="J222" s="44">
        <v>45.116664999999998</v>
      </c>
      <c r="K222" s="44">
        <v>101.68</v>
      </c>
    </row>
    <row r="223" spans="6:11" x14ac:dyDescent="0.3">
      <c r="F223" s="43">
        <v>38210</v>
      </c>
      <c r="G223" s="44">
        <v>1075.790039</v>
      </c>
      <c r="H223" s="44">
        <v>557.77002000000005</v>
      </c>
      <c r="I223" s="44">
        <v>526.63000499999998</v>
      </c>
      <c r="J223" s="44">
        <v>44.966667000000001</v>
      </c>
      <c r="K223" s="44">
        <v>101.75</v>
      </c>
    </row>
    <row r="224" spans="6:11" x14ac:dyDescent="0.3">
      <c r="F224" s="43">
        <v>38211</v>
      </c>
      <c r="G224" s="44">
        <v>1063.2299800000001</v>
      </c>
      <c r="H224" s="44">
        <v>549.92999299999997</v>
      </c>
      <c r="I224" s="44">
        <v>517.09997599999997</v>
      </c>
      <c r="J224" s="44">
        <v>44.466667000000001</v>
      </c>
      <c r="K224" s="44">
        <v>101.959999</v>
      </c>
    </row>
    <row r="225" spans="6:11" x14ac:dyDescent="0.3">
      <c r="F225" s="43">
        <v>38212</v>
      </c>
      <c r="G225" s="44">
        <v>1064.8000489999999</v>
      </c>
      <c r="H225" s="44">
        <v>549.51000999999997</v>
      </c>
      <c r="I225" s="44">
        <v>517.39001499999995</v>
      </c>
      <c r="J225" s="44">
        <v>44.733333999999999</v>
      </c>
      <c r="K225" s="44">
        <v>102.160004</v>
      </c>
    </row>
    <row r="226" spans="6:11" x14ac:dyDescent="0.3">
      <c r="F226" s="43">
        <v>38215</v>
      </c>
      <c r="G226" s="44">
        <v>1079.339966</v>
      </c>
      <c r="H226" s="44">
        <v>558.580017</v>
      </c>
      <c r="I226" s="44">
        <v>528.05999799999995</v>
      </c>
      <c r="J226" s="44">
        <v>45.183334000000002</v>
      </c>
      <c r="K226" s="44">
        <v>102.040001</v>
      </c>
    </row>
    <row r="227" spans="6:11" x14ac:dyDescent="0.3">
      <c r="F227" s="43">
        <v>38216</v>
      </c>
      <c r="G227" s="44">
        <v>1081.709961</v>
      </c>
      <c r="H227" s="44">
        <v>561.11999500000002</v>
      </c>
      <c r="I227" s="44">
        <v>530</v>
      </c>
      <c r="J227" s="44">
        <v>45.216667000000001</v>
      </c>
      <c r="K227" s="44">
        <v>102.339996</v>
      </c>
    </row>
    <row r="228" spans="6:11" x14ac:dyDescent="0.3">
      <c r="F228" s="43">
        <v>38217</v>
      </c>
      <c r="G228" s="44">
        <v>1095.170044</v>
      </c>
      <c r="H228" s="44">
        <v>569.330017</v>
      </c>
      <c r="I228" s="44">
        <v>541.60998500000005</v>
      </c>
      <c r="J228" s="44">
        <v>45.560001</v>
      </c>
      <c r="K228" s="44">
        <v>102.010002</v>
      </c>
    </row>
    <row r="229" spans="6:11" x14ac:dyDescent="0.3">
      <c r="F229" s="43">
        <v>38218</v>
      </c>
      <c r="G229" s="44">
        <v>1091.2299800000001</v>
      </c>
      <c r="H229" s="44">
        <v>565.48999000000003</v>
      </c>
      <c r="I229" s="44">
        <v>537.44000200000005</v>
      </c>
      <c r="J229" s="44">
        <v>45.453335000000003</v>
      </c>
      <c r="K229" s="44">
        <v>102.349998</v>
      </c>
    </row>
    <row r="230" spans="6:11" x14ac:dyDescent="0.3">
      <c r="F230" s="43">
        <v>38219</v>
      </c>
      <c r="G230" s="44">
        <v>1098.349976</v>
      </c>
      <c r="H230" s="44">
        <v>572.96002199999998</v>
      </c>
      <c r="I230" s="44">
        <v>547.919983</v>
      </c>
      <c r="J230" s="44">
        <v>45.666668000000001</v>
      </c>
      <c r="K230" s="44">
        <v>102.050003</v>
      </c>
    </row>
    <row r="231" spans="6:11" x14ac:dyDescent="0.3">
      <c r="F231" s="43">
        <v>38222</v>
      </c>
      <c r="G231" s="44">
        <v>1095.6800539999999</v>
      </c>
      <c r="H231" s="44">
        <v>569.76000999999997</v>
      </c>
      <c r="I231" s="44">
        <v>543.46997099999999</v>
      </c>
      <c r="J231" s="44">
        <v>45.296664999999997</v>
      </c>
      <c r="K231" s="44">
        <v>102.08000199999999</v>
      </c>
    </row>
    <row r="232" spans="6:11" x14ac:dyDescent="0.3">
      <c r="F232" s="43">
        <v>38223</v>
      </c>
      <c r="G232" s="44">
        <v>1096.1899410000001</v>
      </c>
      <c r="H232" s="44">
        <v>570.65997300000004</v>
      </c>
      <c r="I232" s="44">
        <v>545.01000999999997</v>
      </c>
      <c r="J232" s="44">
        <v>45.286667000000001</v>
      </c>
      <c r="K232" s="44">
        <v>102.089996</v>
      </c>
    </row>
    <row r="233" spans="6:11" x14ac:dyDescent="0.3">
      <c r="F233" s="43">
        <v>38224</v>
      </c>
      <c r="G233" s="44">
        <v>1104.959961</v>
      </c>
      <c r="H233" s="44">
        <v>575.92999299999997</v>
      </c>
      <c r="I233" s="44">
        <v>550.14001499999995</v>
      </c>
      <c r="J233" s="44">
        <v>45.766666000000001</v>
      </c>
      <c r="K233" s="44">
        <v>102.099998</v>
      </c>
    </row>
    <row r="234" spans="6:11" x14ac:dyDescent="0.3">
      <c r="F234" s="43">
        <v>38225</v>
      </c>
      <c r="G234" s="44">
        <v>1105.089966</v>
      </c>
      <c r="H234" s="44">
        <v>576.14001499999995</v>
      </c>
      <c r="I234" s="44">
        <v>547.25</v>
      </c>
      <c r="J234" s="44">
        <v>45.799999</v>
      </c>
      <c r="K234" s="44">
        <v>102.290001</v>
      </c>
    </row>
    <row r="235" spans="6:11" x14ac:dyDescent="0.3">
      <c r="F235" s="43">
        <v>38226</v>
      </c>
      <c r="G235" s="44">
        <v>1107.7700199999999</v>
      </c>
      <c r="H235" s="44">
        <v>578.92999299999997</v>
      </c>
      <c r="I235" s="44">
        <v>551.669983</v>
      </c>
      <c r="J235" s="44">
        <v>45.916668000000001</v>
      </c>
      <c r="K235" s="44">
        <v>102.360001</v>
      </c>
    </row>
    <row r="236" spans="6:11" x14ac:dyDescent="0.3">
      <c r="F236" s="43">
        <v>38229</v>
      </c>
      <c r="G236" s="44">
        <v>1099.150024</v>
      </c>
      <c r="H236" s="44">
        <v>572.21997099999999</v>
      </c>
      <c r="I236" s="44">
        <v>544.55999799999995</v>
      </c>
      <c r="J236" s="44">
        <v>45.75</v>
      </c>
      <c r="K236" s="44">
        <v>102.459999</v>
      </c>
    </row>
    <row r="237" spans="6:11" x14ac:dyDescent="0.3">
      <c r="F237" s="43">
        <v>38230</v>
      </c>
      <c r="G237" s="44">
        <v>1104.23999</v>
      </c>
      <c r="H237" s="44">
        <v>576.61999500000002</v>
      </c>
      <c r="I237" s="44">
        <v>547.92999299999997</v>
      </c>
      <c r="J237" s="44">
        <v>46.176665999999997</v>
      </c>
      <c r="K237" s="44">
        <v>102.459999</v>
      </c>
    </row>
    <row r="238" spans="6:11" x14ac:dyDescent="0.3">
      <c r="F238" s="43">
        <v>38231</v>
      </c>
      <c r="G238" s="44">
        <v>1105.910034</v>
      </c>
      <c r="H238" s="44">
        <v>581.36999500000002</v>
      </c>
      <c r="I238" s="44">
        <v>552.46002199999998</v>
      </c>
      <c r="J238" s="44">
        <v>46.216667000000001</v>
      </c>
      <c r="K238" s="44">
        <v>102.510002</v>
      </c>
    </row>
    <row r="239" spans="6:11" x14ac:dyDescent="0.3">
      <c r="F239" s="43">
        <v>38232</v>
      </c>
      <c r="G239" s="44">
        <v>1118.3100589999999</v>
      </c>
      <c r="H239" s="44">
        <v>586.57000700000003</v>
      </c>
      <c r="I239" s="44">
        <v>559.78002900000001</v>
      </c>
      <c r="J239" s="44">
        <v>46.700001</v>
      </c>
      <c r="K239" s="44">
        <v>102.099998</v>
      </c>
    </row>
    <row r="240" spans="6:11" x14ac:dyDescent="0.3">
      <c r="F240" s="43">
        <v>38233</v>
      </c>
      <c r="G240" s="44">
        <v>1113.630005</v>
      </c>
      <c r="H240" s="44">
        <v>583.80999799999995</v>
      </c>
      <c r="I240" s="44">
        <v>556.23999000000003</v>
      </c>
      <c r="J240" s="44">
        <v>46.080002</v>
      </c>
      <c r="K240" s="44">
        <v>102.050003</v>
      </c>
    </row>
    <row r="241" spans="6:11" x14ac:dyDescent="0.3">
      <c r="F241" s="43">
        <v>38237</v>
      </c>
      <c r="G241" s="44">
        <v>1121.3000489999999</v>
      </c>
      <c r="H241" s="44">
        <v>588.15997300000004</v>
      </c>
      <c r="I241" s="44">
        <v>562.92999299999997</v>
      </c>
      <c r="J241" s="44">
        <v>46.723331000000002</v>
      </c>
      <c r="K241" s="44">
        <v>102.040001</v>
      </c>
    </row>
    <row r="242" spans="6:11" x14ac:dyDescent="0.3">
      <c r="F242" s="43">
        <v>38238</v>
      </c>
      <c r="G242" s="44">
        <v>1116.2700199999999</v>
      </c>
      <c r="H242" s="44">
        <v>582.53997800000002</v>
      </c>
      <c r="I242" s="44">
        <v>557.78997800000002</v>
      </c>
      <c r="J242" s="44">
        <v>46.700001</v>
      </c>
      <c r="K242" s="44">
        <v>102.349998</v>
      </c>
    </row>
    <row r="243" spans="6:11" x14ac:dyDescent="0.3">
      <c r="F243" s="43">
        <v>38239</v>
      </c>
      <c r="G243" s="44">
        <v>1118.380005</v>
      </c>
      <c r="H243" s="44">
        <v>586.67999299999997</v>
      </c>
      <c r="I243" s="44">
        <v>566.17999299999997</v>
      </c>
      <c r="J243" s="44">
        <v>46.549999</v>
      </c>
      <c r="K243" s="44">
        <v>102.25</v>
      </c>
    </row>
    <row r="244" spans="6:11" x14ac:dyDescent="0.3">
      <c r="F244" s="43">
        <v>38240</v>
      </c>
      <c r="G244" s="44">
        <v>1123.920044</v>
      </c>
      <c r="H244" s="44">
        <v>589.04998799999998</v>
      </c>
      <c r="I244" s="44">
        <v>569.90997300000004</v>
      </c>
      <c r="J244" s="44">
        <v>46.900002000000001</v>
      </c>
      <c r="K244" s="44">
        <v>102.470001</v>
      </c>
    </row>
    <row r="245" spans="6:11" x14ac:dyDescent="0.3">
      <c r="F245" s="43">
        <v>38243</v>
      </c>
      <c r="G245" s="44">
        <v>1125.8199460000001</v>
      </c>
      <c r="H245" s="44">
        <v>592.70001200000002</v>
      </c>
      <c r="I245" s="44">
        <v>573.09997599999997</v>
      </c>
      <c r="J245" s="44">
        <v>47.066665999999998</v>
      </c>
      <c r="K245" s="44">
        <v>102.57</v>
      </c>
    </row>
    <row r="246" spans="6:11" x14ac:dyDescent="0.3">
      <c r="F246" s="43">
        <v>38244</v>
      </c>
      <c r="G246" s="44">
        <v>1128.329956</v>
      </c>
      <c r="H246" s="44">
        <v>591.28002900000001</v>
      </c>
      <c r="I246" s="44">
        <v>570.96002199999998</v>
      </c>
      <c r="J246" s="44">
        <v>47.183334000000002</v>
      </c>
      <c r="K246" s="44">
        <v>102.68</v>
      </c>
    </row>
    <row r="247" spans="6:11" x14ac:dyDescent="0.3">
      <c r="F247" s="43">
        <v>38245</v>
      </c>
      <c r="G247" s="44">
        <v>1120.369995</v>
      </c>
      <c r="H247" s="44">
        <v>588.10998500000005</v>
      </c>
      <c r="I247" s="44">
        <v>568.52002000000005</v>
      </c>
      <c r="J247" s="44">
        <v>46.506667999999998</v>
      </c>
      <c r="K247" s="44">
        <v>102.620003</v>
      </c>
    </row>
    <row r="248" spans="6:11" x14ac:dyDescent="0.3">
      <c r="F248" s="43">
        <v>38246</v>
      </c>
      <c r="G248" s="44">
        <v>1123.5</v>
      </c>
      <c r="H248" s="44">
        <v>592.169983</v>
      </c>
      <c r="I248" s="44">
        <v>574.53997800000002</v>
      </c>
      <c r="J248" s="44">
        <v>46.813332000000003</v>
      </c>
      <c r="K248" s="44">
        <v>102.93</v>
      </c>
    </row>
    <row r="249" spans="6:11" x14ac:dyDescent="0.3">
      <c r="F249" s="43">
        <v>38247</v>
      </c>
      <c r="G249" s="44">
        <v>1128.5500489999999</v>
      </c>
      <c r="H249" s="44">
        <v>592.09997599999997</v>
      </c>
      <c r="I249" s="44">
        <v>573.169983</v>
      </c>
      <c r="J249" s="44">
        <v>46.966667000000001</v>
      </c>
      <c r="K249" s="44">
        <v>102.5</v>
      </c>
    </row>
    <row r="250" spans="6:11" x14ac:dyDescent="0.3">
      <c r="F250" s="43">
        <v>38250</v>
      </c>
      <c r="G250" s="44">
        <v>1122.1999510000001</v>
      </c>
      <c r="H250" s="44">
        <v>589.419983</v>
      </c>
      <c r="I250" s="44">
        <v>570.73999000000003</v>
      </c>
      <c r="J250" s="44">
        <v>46.673332000000002</v>
      </c>
      <c r="K250" s="44">
        <v>102.94000200000001</v>
      </c>
    </row>
    <row r="251" spans="6:11" x14ac:dyDescent="0.3">
      <c r="F251" s="43">
        <v>38251</v>
      </c>
      <c r="G251" s="44">
        <v>1129.3000489999999</v>
      </c>
      <c r="H251" s="44">
        <v>594.32000700000003</v>
      </c>
      <c r="I251" s="44">
        <v>576.919983</v>
      </c>
      <c r="J251" s="44">
        <v>47.403331999999999</v>
      </c>
      <c r="K251" s="44">
        <v>102.910004</v>
      </c>
    </row>
    <row r="252" spans="6:11" x14ac:dyDescent="0.3">
      <c r="F252" s="43">
        <v>38252</v>
      </c>
      <c r="G252" s="44">
        <v>1113.5600589999999</v>
      </c>
      <c r="H252" s="44">
        <v>587.11999500000002</v>
      </c>
      <c r="I252" s="44">
        <v>565.89001499999995</v>
      </c>
      <c r="J252" s="44">
        <v>46.633335000000002</v>
      </c>
      <c r="K252" s="44">
        <v>103.25</v>
      </c>
    </row>
    <row r="253" spans="6:11" x14ac:dyDescent="0.3">
      <c r="F253" s="43">
        <v>38253</v>
      </c>
      <c r="G253" s="44">
        <v>1108.3599850000001</v>
      </c>
      <c r="H253" s="44">
        <v>585.28997800000002</v>
      </c>
      <c r="I253" s="44">
        <v>565.79998799999998</v>
      </c>
      <c r="J253" s="44">
        <v>46.506667999999998</v>
      </c>
      <c r="K253" s="44">
        <v>102.94000200000001</v>
      </c>
    </row>
    <row r="254" spans="6:11" x14ac:dyDescent="0.3">
      <c r="F254" s="43">
        <v>38254</v>
      </c>
      <c r="G254" s="44">
        <v>1110.1099850000001</v>
      </c>
      <c r="H254" s="44">
        <v>588.5</v>
      </c>
      <c r="I254" s="44">
        <v>565.96997099999999</v>
      </c>
      <c r="J254" s="44">
        <v>46.566665999999998</v>
      </c>
      <c r="K254" s="44">
        <v>102.970001</v>
      </c>
    </row>
    <row r="255" spans="6:11" x14ac:dyDescent="0.3">
      <c r="F255" s="43">
        <v>38257</v>
      </c>
      <c r="G255" s="44">
        <v>1103.5200199999999</v>
      </c>
      <c r="H255" s="44">
        <v>582.76000999999997</v>
      </c>
      <c r="I255" s="44">
        <v>558.35998500000005</v>
      </c>
      <c r="J255" s="44">
        <v>46.333331999999999</v>
      </c>
      <c r="K255" s="44">
        <v>102.94000200000001</v>
      </c>
    </row>
    <row r="256" spans="6:11" x14ac:dyDescent="0.3">
      <c r="F256" s="43">
        <v>38258</v>
      </c>
      <c r="G256" s="44">
        <v>1110.0600589999999</v>
      </c>
      <c r="H256" s="44">
        <v>586.77002000000005</v>
      </c>
      <c r="I256" s="44">
        <v>565.65997300000004</v>
      </c>
      <c r="J256" s="44">
        <v>46.786667000000001</v>
      </c>
      <c r="K256" s="44">
        <v>103.110001</v>
      </c>
    </row>
    <row r="257" spans="6:11" x14ac:dyDescent="0.3">
      <c r="F257" s="43">
        <v>38259</v>
      </c>
      <c r="G257" s="44">
        <v>1114.8000489999999</v>
      </c>
      <c r="H257" s="44">
        <v>589.02002000000005</v>
      </c>
      <c r="I257" s="44">
        <v>571.07000700000003</v>
      </c>
      <c r="J257" s="44">
        <v>46.966667000000001</v>
      </c>
      <c r="K257" s="44">
        <v>102.519997</v>
      </c>
    </row>
    <row r="258" spans="6:11" x14ac:dyDescent="0.3">
      <c r="F258" s="43">
        <v>38260</v>
      </c>
      <c r="G258" s="44">
        <v>1114.579956</v>
      </c>
      <c r="H258" s="44">
        <v>593.20001200000002</v>
      </c>
      <c r="I258" s="44">
        <v>572.94000200000005</v>
      </c>
      <c r="J258" s="44">
        <v>47.133335000000002</v>
      </c>
      <c r="K258" s="44">
        <v>102.66999800000001</v>
      </c>
    </row>
    <row r="259" spans="6:11" x14ac:dyDescent="0.3">
      <c r="F259" s="43">
        <v>38261</v>
      </c>
      <c r="G259" s="44">
        <v>1131.5</v>
      </c>
      <c r="H259" s="44">
        <v>601.78997800000002</v>
      </c>
      <c r="I259" s="44">
        <v>585.03002900000001</v>
      </c>
      <c r="J259" s="44">
        <v>47.866664999999998</v>
      </c>
      <c r="K259" s="44">
        <v>102.16999800000001</v>
      </c>
    </row>
    <row r="260" spans="6:11" x14ac:dyDescent="0.3">
      <c r="F260" s="43">
        <v>38264</v>
      </c>
      <c r="G260" s="44">
        <v>1135.170044</v>
      </c>
      <c r="H260" s="44">
        <v>603.61999500000002</v>
      </c>
      <c r="I260" s="44">
        <v>589.09002699999996</v>
      </c>
      <c r="J260" s="44">
        <v>47.939999</v>
      </c>
      <c r="K260" s="44">
        <v>102.199997</v>
      </c>
    </row>
    <row r="261" spans="6:11" x14ac:dyDescent="0.3">
      <c r="F261" s="43">
        <v>38265</v>
      </c>
      <c r="G261" s="44">
        <v>1134.4799800000001</v>
      </c>
      <c r="H261" s="44">
        <v>602.11999500000002</v>
      </c>
      <c r="I261" s="44">
        <v>587.34002699999996</v>
      </c>
      <c r="J261" s="44">
        <v>47.966667000000001</v>
      </c>
      <c r="K261" s="44">
        <v>102.19000200000001</v>
      </c>
    </row>
    <row r="262" spans="6:11" x14ac:dyDescent="0.3">
      <c r="F262" s="43">
        <v>38266</v>
      </c>
      <c r="G262" s="44">
        <v>1142.0500489999999</v>
      </c>
      <c r="H262" s="44">
        <v>605.90002400000003</v>
      </c>
      <c r="I262" s="44">
        <v>592.65997300000004</v>
      </c>
      <c r="J262" s="44">
        <v>48.146667000000001</v>
      </c>
      <c r="K262" s="44">
        <v>102</v>
      </c>
    </row>
    <row r="263" spans="6:11" x14ac:dyDescent="0.3">
      <c r="F263" s="43">
        <v>38267</v>
      </c>
      <c r="G263" s="44">
        <v>1130.650024</v>
      </c>
      <c r="H263" s="44">
        <v>598.330017</v>
      </c>
      <c r="I263" s="44">
        <v>582.59997599999997</v>
      </c>
      <c r="J263" s="44">
        <v>47.816665999999998</v>
      </c>
      <c r="K263" s="44">
        <v>102</v>
      </c>
    </row>
    <row r="264" spans="6:11" x14ac:dyDescent="0.3">
      <c r="F264" s="43">
        <v>38268</v>
      </c>
      <c r="G264" s="44">
        <v>1122.1400149999999</v>
      </c>
      <c r="H264" s="44">
        <v>594.15997300000004</v>
      </c>
      <c r="I264" s="44">
        <v>575.65002400000003</v>
      </c>
      <c r="J264" s="44">
        <v>48.150002000000001</v>
      </c>
      <c r="K264" s="44">
        <v>102.5</v>
      </c>
    </row>
    <row r="265" spans="6:11" x14ac:dyDescent="0.3">
      <c r="F265" s="43">
        <v>38271</v>
      </c>
      <c r="G265" s="44">
        <v>1124.3900149999999</v>
      </c>
      <c r="H265" s="44">
        <v>594.30999799999995</v>
      </c>
      <c r="I265" s="44">
        <v>577.55999799999995</v>
      </c>
      <c r="J265" s="44">
        <v>48.266666000000001</v>
      </c>
      <c r="K265" s="44">
        <v>102.599998</v>
      </c>
    </row>
    <row r="266" spans="6:11" x14ac:dyDescent="0.3">
      <c r="F266" s="43">
        <v>38272</v>
      </c>
      <c r="G266" s="44">
        <v>1121.839966</v>
      </c>
      <c r="H266" s="44">
        <v>592.46002199999998</v>
      </c>
      <c r="I266" s="44">
        <v>576.71002199999998</v>
      </c>
      <c r="J266" s="44">
        <v>47.716667000000001</v>
      </c>
      <c r="K266" s="44">
        <v>102.5</v>
      </c>
    </row>
    <row r="267" spans="6:11" x14ac:dyDescent="0.3">
      <c r="F267" s="43">
        <v>38273</v>
      </c>
      <c r="G267" s="44">
        <v>1113.650024</v>
      </c>
      <c r="H267" s="44">
        <v>587.42999299999997</v>
      </c>
      <c r="I267" s="44">
        <v>569.419983</v>
      </c>
      <c r="J267" s="44">
        <v>47.383335000000002</v>
      </c>
      <c r="K267" s="44">
        <v>102.650002</v>
      </c>
    </row>
    <row r="268" spans="6:11" x14ac:dyDescent="0.3">
      <c r="F268" s="43">
        <v>38274</v>
      </c>
      <c r="G268" s="44">
        <v>1103.290039</v>
      </c>
      <c r="H268" s="44">
        <v>583</v>
      </c>
      <c r="I268" s="44">
        <v>564.88000499999998</v>
      </c>
      <c r="J268" s="44">
        <v>47.133335000000002</v>
      </c>
      <c r="K268" s="44">
        <v>103.139999</v>
      </c>
    </row>
    <row r="269" spans="6:11" x14ac:dyDescent="0.3">
      <c r="F269" s="43">
        <v>38275</v>
      </c>
      <c r="G269" s="44">
        <v>1108.1999510000001</v>
      </c>
      <c r="H269" s="44">
        <v>585.26000999999997</v>
      </c>
      <c r="I269" s="44">
        <v>569.419983</v>
      </c>
      <c r="J269" s="44">
        <v>47.669998</v>
      </c>
      <c r="K269" s="44">
        <v>102.949997</v>
      </c>
    </row>
    <row r="270" spans="6:11" x14ac:dyDescent="0.3">
      <c r="F270" s="43">
        <v>38278</v>
      </c>
      <c r="G270" s="44">
        <v>1114.0200199999999</v>
      </c>
      <c r="H270" s="44">
        <v>588.14001499999995</v>
      </c>
      <c r="I270" s="44">
        <v>572.03002900000001</v>
      </c>
      <c r="J270" s="44">
        <v>47.860000999999997</v>
      </c>
      <c r="K270" s="44">
        <v>102.860001</v>
      </c>
    </row>
    <row r="271" spans="6:11" x14ac:dyDescent="0.3">
      <c r="F271" s="43">
        <v>38279</v>
      </c>
      <c r="G271" s="44">
        <v>1103.2299800000001</v>
      </c>
      <c r="H271" s="44">
        <v>583.85998500000005</v>
      </c>
      <c r="I271" s="44">
        <v>566.669983</v>
      </c>
      <c r="J271" s="44">
        <v>47.766666000000001</v>
      </c>
      <c r="K271" s="44">
        <v>102.910004</v>
      </c>
    </row>
    <row r="272" spans="6:11" x14ac:dyDescent="0.3">
      <c r="F272" s="43">
        <v>38280</v>
      </c>
      <c r="G272" s="44">
        <v>1103.660034</v>
      </c>
      <c r="H272" s="44">
        <v>586.42999299999997</v>
      </c>
      <c r="I272" s="44">
        <v>570.13000499999998</v>
      </c>
      <c r="J272" s="44">
        <v>47.950001</v>
      </c>
      <c r="K272" s="44">
        <v>103.269997</v>
      </c>
    </row>
    <row r="273" spans="6:11" x14ac:dyDescent="0.3">
      <c r="F273" s="43">
        <v>38281</v>
      </c>
      <c r="G273" s="44">
        <v>1106.48999</v>
      </c>
      <c r="H273" s="44">
        <v>592.09002699999996</v>
      </c>
      <c r="I273" s="44">
        <v>576.65997300000004</v>
      </c>
      <c r="J273" s="44">
        <v>48.23</v>
      </c>
      <c r="K273" s="44">
        <v>103.010002</v>
      </c>
    </row>
    <row r="274" spans="6:11" x14ac:dyDescent="0.3">
      <c r="F274" s="43">
        <v>38282</v>
      </c>
      <c r="G274" s="44">
        <v>1095.73999</v>
      </c>
      <c r="H274" s="44">
        <v>586.72997999999995</v>
      </c>
      <c r="I274" s="44">
        <v>567.78002900000001</v>
      </c>
      <c r="J274" s="44">
        <v>47.933334000000002</v>
      </c>
      <c r="K274" s="44">
        <v>103.260002</v>
      </c>
    </row>
    <row r="275" spans="6:11" x14ac:dyDescent="0.3">
      <c r="F275" s="43">
        <v>38285</v>
      </c>
      <c r="G275" s="44">
        <v>1094.8000489999999</v>
      </c>
      <c r="H275" s="44">
        <v>588.44000200000005</v>
      </c>
      <c r="I275" s="44">
        <v>571.669983</v>
      </c>
      <c r="J275" s="44">
        <v>47.883335000000002</v>
      </c>
      <c r="K275" s="44">
        <v>103.379997</v>
      </c>
    </row>
    <row r="276" spans="6:11" x14ac:dyDescent="0.3">
      <c r="F276" s="43">
        <v>38286</v>
      </c>
      <c r="G276" s="44">
        <v>1111.089966</v>
      </c>
      <c r="H276" s="44">
        <v>592.52002000000005</v>
      </c>
      <c r="I276" s="44">
        <v>577.60998500000005</v>
      </c>
      <c r="J276" s="44">
        <v>48.150002000000001</v>
      </c>
      <c r="K276" s="44">
        <v>103.08000199999999</v>
      </c>
    </row>
    <row r="277" spans="6:11" x14ac:dyDescent="0.3">
      <c r="F277" s="43">
        <v>38287</v>
      </c>
      <c r="G277" s="44">
        <v>1125.400024</v>
      </c>
      <c r="H277" s="44">
        <v>601.60998500000005</v>
      </c>
      <c r="I277" s="44">
        <v>587.17999299999997</v>
      </c>
      <c r="J277" s="44">
        <v>48.650002000000001</v>
      </c>
      <c r="K277" s="44">
        <v>102.849998</v>
      </c>
    </row>
    <row r="278" spans="6:11" x14ac:dyDescent="0.3">
      <c r="F278" s="43">
        <v>38288</v>
      </c>
      <c r="G278" s="44">
        <v>1127.4399410000001</v>
      </c>
      <c r="H278" s="44">
        <v>600.90002400000003</v>
      </c>
      <c r="I278" s="44">
        <v>585.63000499999998</v>
      </c>
      <c r="J278" s="44">
        <v>48.783332999999999</v>
      </c>
      <c r="K278" s="44">
        <v>102.970001</v>
      </c>
    </row>
    <row r="279" spans="6:11" x14ac:dyDescent="0.3">
      <c r="F279" s="43">
        <v>38289</v>
      </c>
      <c r="G279" s="44">
        <v>1130.1999510000001</v>
      </c>
      <c r="H279" s="44">
        <v>602.21997099999999</v>
      </c>
      <c r="I279" s="44">
        <v>583.78997800000002</v>
      </c>
      <c r="J279" s="44">
        <v>48.783332999999999</v>
      </c>
      <c r="K279" s="44">
        <v>103.239998</v>
      </c>
    </row>
    <row r="280" spans="6:11" x14ac:dyDescent="0.3">
      <c r="F280" s="43">
        <v>38292</v>
      </c>
      <c r="G280" s="44">
        <v>1130.51001</v>
      </c>
      <c r="H280" s="44">
        <v>602.25</v>
      </c>
      <c r="I280" s="44">
        <v>587</v>
      </c>
      <c r="J280" s="44">
        <v>48.866664999999998</v>
      </c>
      <c r="K280" s="44">
        <v>102.739998</v>
      </c>
    </row>
    <row r="281" spans="6:11" x14ac:dyDescent="0.3">
      <c r="F281" s="43">
        <v>38293</v>
      </c>
      <c r="G281" s="44">
        <v>1130.5600589999999</v>
      </c>
      <c r="H281" s="44">
        <v>601.52002000000005</v>
      </c>
      <c r="I281" s="44">
        <v>585.44000200000005</v>
      </c>
      <c r="J281" s="44">
        <v>49.246665999999998</v>
      </c>
      <c r="K281" s="44">
        <v>102.650002</v>
      </c>
    </row>
    <row r="282" spans="6:11" x14ac:dyDescent="0.3">
      <c r="F282" s="43">
        <v>38294</v>
      </c>
      <c r="G282" s="44">
        <v>1143.1999510000001</v>
      </c>
      <c r="H282" s="44">
        <v>609.60998500000005</v>
      </c>
      <c r="I282" s="44">
        <v>595.330017</v>
      </c>
      <c r="J282" s="44">
        <v>49.830002</v>
      </c>
      <c r="K282" s="44">
        <v>102.870003</v>
      </c>
    </row>
    <row r="283" spans="6:11" x14ac:dyDescent="0.3">
      <c r="F283" s="43">
        <v>38295</v>
      </c>
      <c r="G283" s="44">
        <v>1161.670044</v>
      </c>
      <c r="H283" s="44">
        <v>618.330017</v>
      </c>
      <c r="I283" s="44">
        <v>602.13000499999998</v>
      </c>
      <c r="J283" s="44">
        <v>50.526668999999998</v>
      </c>
      <c r="K283" s="44">
        <v>102.779999</v>
      </c>
    </row>
    <row r="284" spans="6:11" x14ac:dyDescent="0.3">
      <c r="F284" s="43">
        <v>38296</v>
      </c>
      <c r="G284" s="44">
        <v>1166.170044</v>
      </c>
      <c r="H284" s="44">
        <v>619.97997999999995</v>
      </c>
      <c r="I284" s="44">
        <v>604.28997800000002</v>
      </c>
      <c r="J284" s="44">
        <v>50.763331999999998</v>
      </c>
      <c r="K284" s="44">
        <v>102.519997</v>
      </c>
    </row>
    <row r="285" spans="6:11" x14ac:dyDescent="0.3">
      <c r="F285" s="43">
        <v>38299</v>
      </c>
      <c r="G285" s="44">
        <v>1164.8900149999999</v>
      </c>
      <c r="H285" s="44">
        <v>617.65997300000004</v>
      </c>
      <c r="I285" s="44">
        <v>602.080017</v>
      </c>
      <c r="J285" s="44">
        <v>50.41</v>
      </c>
      <c r="K285" s="44">
        <v>102.150002</v>
      </c>
    </row>
    <row r="286" spans="6:11" x14ac:dyDescent="0.3">
      <c r="F286" s="43">
        <v>38300</v>
      </c>
      <c r="G286" s="44">
        <v>1164.079956</v>
      </c>
      <c r="H286" s="44">
        <v>619.84002699999996</v>
      </c>
      <c r="I286" s="44">
        <v>606.64001499999995</v>
      </c>
      <c r="J286" s="44">
        <v>50.283332999999999</v>
      </c>
      <c r="K286" s="44">
        <v>102.389999</v>
      </c>
    </row>
    <row r="287" spans="6:11" x14ac:dyDescent="0.3">
      <c r="F287" s="43">
        <v>38301</v>
      </c>
      <c r="G287" s="44">
        <v>1162.910034</v>
      </c>
      <c r="H287" s="44">
        <v>621.30999799999995</v>
      </c>
      <c r="I287" s="44">
        <v>609.60998500000005</v>
      </c>
      <c r="J287" s="44">
        <v>50.186667999999997</v>
      </c>
      <c r="K287" s="44">
        <v>102.269997</v>
      </c>
    </row>
    <row r="288" spans="6:11" x14ac:dyDescent="0.3">
      <c r="F288" s="43">
        <v>38302</v>
      </c>
      <c r="G288" s="44">
        <v>1173.4799800000001</v>
      </c>
      <c r="H288" s="44">
        <v>627.28002900000001</v>
      </c>
      <c r="I288" s="44">
        <v>616.29998799999998</v>
      </c>
      <c r="J288" s="44">
        <v>50.733333999999999</v>
      </c>
      <c r="K288" s="44">
        <v>102.370003</v>
      </c>
    </row>
    <row r="289" spans="6:11" x14ac:dyDescent="0.3">
      <c r="F289" s="43">
        <v>38303</v>
      </c>
      <c r="G289" s="44">
        <v>1184.170044</v>
      </c>
      <c r="H289" s="44">
        <v>634.28002900000001</v>
      </c>
      <c r="I289" s="44">
        <v>621.97997999999995</v>
      </c>
      <c r="J289" s="44">
        <v>51.333331999999999</v>
      </c>
      <c r="K289" s="44">
        <v>102.489998</v>
      </c>
    </row>
    <row r="290" spans="6:11" x14ac:dyDescent="0.3">
      <c r="F290" s="43">
        <v>38306</v>
      </c>
      <c r="G290" s="44">
        <v>1183.8100589999999</v>
      </c>
      <c r="H290" s="44">
        <v>633.75</v>
      </c>
      <c r="I290" s="44">
        <v>623.85998500000005</v>
      </c>
      <c r="J290" s="44">
        <v>51.383335000000002</v>
      </c>
      <c r="K290" s="44">
        <v>102.540001</v>
      </c>
    </row>
    <row r="291" spans="6:11" x14ac:dyDescent="0.3">
      <c r="F291" s="43">
        <v>38307</v>
      </c>
      <c r="G291" s="44">
        <v>1175.4300539999999</v>
      </c>
      <c r="H291" s="44">
        <v>629.919983</v>
      </c>
      <c r="I291" s="44">
        <v>617.89001499999995</v>
      </c>
      <c r="J291" s="44">
        <v>50.950001</v>
      </c>
      <c r="K291" s="44">
        <v>102.44000200000001</v>
      </c>
    </row>
    <row r="292" spans="6:11" x14ac:dyDescent="0.3">
      <c r="F292" s="43">
        <v>38308</v>
      </c>
      <c r="G292" s="44">
        <v>1181.9399410000001</v>
      </c>
      <c r="H292" s="44">
        <v>635.04998799999998</v>
      </c>
      <c r="I292" s="44">
        <v>622.96997099999999</v>
      </c>
      <c r="J292" s="44">
        <v>51.599997999999999</v>
      </c>
      <c r="K292" s="44">
        <v>102.699997</v>
      </c>
    </row>
    <row r="293" spans="6:11" x14ac:dyDescent="0.3">
      <c r="F293" s="43">
        <v>38309</v>
      </c>
      <c r="G293" s="44">
        <v>1183.5500489999999</v>
      </c>
      <c r="H293" s="44">
        <v>634.61999500000002</v>
      </c>
      <c r="I293" s="44">
        <v>622.05999799999995</v>
      </c>
      <c r="J293" s="44">
        <v>51.483333999999999</v>
      </c>
      <c r="K293" s="44">
        <v>102.739998</v>
      </c>
    </row>
    <row r="294" spans="6:11" x14ac:dyDescent="0.3">
      <c r="F294" s="43">
        <v>38310</v>
      </c>
      <c r="G294" s="44">
        <v>1170.339966</v>
      </c>
      <c r="H294" s="44">
        <v>627.22997999999995</v>
      </c>
      <c r="I294" s="44">
        <v>613.44000200000005</v>
      </c>
      <c r="J294" s="44">
        <v>51.150002000000001</v>
      </c>
      <c r="K294" s="44">
        <v>102.529999</v>
      </c>
    </row>
    <row r="295" spans="6:11" x14ac:dyDescent="0.3">
      <c r="F295" s="43">
        <v>38313</v>
      </c>
      <c r="G295" s="44">
        <v>1177.23999</v>
      </c>
      <c r="H295" s="44">
        <v>631.97997999999995</v>
      </c>
      <c r="I295" s="44">
        <v>621.52002000000005</v>
      </c>
      <c r="J295" s="44">
        <v>51.299999</v>
      </c>
      <c r="K295" s="44">
        <v>102.69000200000001</v>
      </c>
    </row>
    <row r="296" spans="6:11" x14ac:dyDescent="0.3">
      <c r="F296" s="43">
        <v>38314</v>
      </c>
      <c r="G296" s="44">
        <v>1176.9399410000001</v>
      </c>
      <c r="H296" s="44">
        <v>634.51000999999997</v>
      </c>
      <c r="I296" s="44">
        <v>624.53002900000001</v>
      </c>
      <c r="J296" s="44">
        <v>51.400002000000001</v>
      </c>
      <c r="K296" s="44">
        <v>102.629997</v>
      </c>
    </row>
    <row r="297" spans="6:11" x14ac:dyDescent="0.3">
      <c r="F297" s="43">
        <v>38315</v>
      </c>
      <c r="G297" s="44">
        <v>1181.76001</v>
      </c>
      <c r="H297" s="44">
        <v>639.95001200000002</v>
      </c>
      <c r="I297" s="44">
        <v>629.5</v>
      </c>
      <c r="J297" s="44">
        <v>51.633335000000002</v>
      </c>
      <c r="K297" s="44">
        <v>102.730003</v>
      </c>
    </row>
    <row r="298" spans="6:11" x14ac:dyDescent="0.3">
      <c r="F298" s="43">
        <v>38317</v>
      </c>
      <c r="G298" s="44">
        <v>1182.650024</v>
      </c>
      <c r="H298" s="44">
        <v>640.42999299999997</v>
      </c>
      <c r="I298" s="44">
        <v>631.15997300000004</v>
      </c>
      <c r="J298" s="44">
        <v>51.933334000000002</v>
      </c>
      <c r="K298" s="44">
        <v>102.43</v>
      </c>
    </row>
    <row r="299" spans="6:11" x14ac:dyDescent="0.3">
      <c r="F299" s="43">
        <v>38320</v>
      </c>
      <c r="G299" s="44">
        <v>1178.5699460000001</v>
      </c>
      <c r="H299" s="44">
        <v>639.03002900000001</v>
      </c>
      <c r="I299" s="44">
        <v>634.46002199999998</v>
      </c>
      <c r="J299" s="44">
        <v>52.099997999999999</v>
      </c>
      <c r="K299" s="44">
        <v>102.150002</v>
      </c>
    </row>
    <row r="300" spans="6:11" x14ac:dyDescent="0.3">
      <c r="F300" s="43">
        <v>38321</v>
      </c>
      <c r="G300" s="44">
        <v>1173.8199460000001</v>
      </c>
      <c r="H300" s="44">
        <v>637.27002000000005</v>
      </c>
      <c r="I300" s="44">
        <v>633.77002000000005</v>
      </c>
      <c r="J300" s="44">
        <v>51.75</v>
      </c>
      <c r="K300" s="44">
        <v>102.199997</v>
      </c>
    </row>
    <row r="301" spans="6:11" x14ac:dyDescent="0.3">
      <c r="F301" s="43">
        <v>38322</v>
      </c>
      <c r="G301" s="44">
        <v>1191.369995</v>
      </c>
      <c r="H301" s="44">
        <v>645.67999299999997</v>
      </c>
      <c r="I301" s="44">
        <v>643.67999299999997</v>
      </c>
      <c r="J301" s="44">
        <v>52.650002000000001</v>
      </c>
      <c r="K301" s="44">
        <v>101.510002</v>
      </c>
    </row>
    <row r="302" spans="6:11" x14ac:dyDescent="0.3">
      <c r="F302" s="43">
        <v>38323</v>
      </c>
      <c r="G302" s="44">
        <v>1190.329956</v>
      </c>
      <c r="H302" s="44">
        <v>643.07000700000003</v>
      </c>
      <c r="I302" s="44">
        <v>642.51000999999997</v>
      </c>
      <c r="J302" s="44">
        <v>52.566665999999998</v>
      </c>
      <c r="K302" s="44">
        <v>101.699997</v>
      </c>
    </row>
    <row r="303" spans="6:11" x14ac:dyDescent="0.3">
      <c r="F303" s="43">
        <v>38324</v>
      </c>
      <c r="G303" s="44">
        <v>1191.170044</v>
      </c>
      <c r="H303" s="44">
        <v>644.830017</v>
      </c>
      <c r="I303" s="44">
        <v>642.21002199999998</v>
      </c>
      <c r="J303" s="44">
        <v>52.880001</v>
      </c>
      <c r="K303" s="44">
        <v>102.290001</v>
      </c>
    </row>
    <row r="304" spans="6:11" x14ac:dyDescent="0.3">
      <c r="F304" s="43">
        <v>38327</v>
      </c>
      <c r="G304" s="44">
        <v>1190.25</v>
      </c>
      <c r="H304" s="44">
        <v>642.96002199999998</v>
      </c>
      <c r="I304" s="44">
        <v>639.03002900000001</v>
      </c>
      <c r="J304" s="44">
        <v>52.556666999999997</v>
      </c>
      <c r="K304" s="44">
        <v>102.400002</v>
      </c>
    </row>
    <row r="305" spans="6:11" x14ac:dyDescent="0.3">
      <c r="F305" s="43">
        <v>38328</v>
      </c>
      <c r="G305" s="44">
        <v>1177.0699460000001</v>
      </c>
      <c r="H305" s="44">
        <v>633.919983</v>
      </c>
      <c r="I305" s="44">
        <v>625.5</v>
      </c>
      <c r="J305" s="44">
        <v>52.27</v>
      </c>
      <c r="K305" s="44">
        <v>102.540001</v>
      </c>
    </row>
    <row r="306" spans="6:11" x14ac:dyDescent="0.3">
      <c r="F306" s="43">
        <v>38329</v>
      </c>
      <c r="G306" s="44">
        <v>1182.8100589999999</v>
      </c>
      <c r="H306" s="44">
        <v>637.71002199999998</v>
      </c>
      <c r="I306" s="44">
        <v>631.15002400000003</v>
      </c>
      <c r="J306" s="44">
        <v>52.233333999999999</v>
      </c>
      <c r="K306" s="44">
        <v>102.889999</v>
      </c>
    </row>
    <row r="307" spans="6:11" x14ac:dyDescent="0.3">
      <c r="F307" s="43">
        <v>38330</v>
      </c>
      <c r="G307" s="44">
        <v>1189.23999</v>
      </c>
      <c r="H307" s="44">
        <v>640.5</v>
      </c>
      <c r="I307" s="44">
        <v>629.19000200000005</v>
      </c>
      <c r="J307" s="44">
        <v>52.016666000000001</v>
      </c>
      <c r="K307" s="44">
        <v>102.75</v>
      </c>
    </row>
    <row r="308" spans="6:11" x14ac:dyDescent="0.3">
      <c r="F308" s="43">
        <v>38331</v>
      </c>
      <c r="G308" s="44">
        <v>1188</v>
      </c>
      <c r="H308" s="44">
        <v>641.29998799999998</v>
      </c>
      <c r="I308" s="44">
        <v>632.23999000000003</v>
      </c>
      <c r="J308" s="44">
        <v>51.506667999999998</v>
      </c>
      <c r="K308" s="44">
        <v>102.620003</v>
      </c>
    </row>
    <row r="309" spans="6:11" x14ac:dyDescent="0.3">
      <c r="F309" s="43">
        <v>38334</v>
      </c>
      <c r="G309" s="44">
        <v>1198.6800539999999</v>
      </c>
      <c r="H309" s="44">
        <v>645.79998799999998</v>
      </c>
      <c r="I309" s="44">
        <v>638.03002900000001</v>
      </c>
      <c r="J309" s="44">
        <v>52.283332999999999</v>
      </c>
      <c r="K309" s="44">
        <v>102.769997</v>
      </c>
    </row>
    <row r="310" spans="6:11" x14ac:dyDescent="0.3">
      <c r="F310" s="43">
        <v>38335</v>
      </c>
      <c r="G310" s="44">
        <v>1203.380005</v>
      </c>
      <c r="H310" s="44">
        <v>651.830017</v>
      </c>
      <c r="I310" s="44">
        <v>643.53997800000002</v>
      </c>
      <c r="J310" s="44">
        <v>52.299999</v>
      </c>
      <c r="K310" s="44">
        <v>102.870003</v>
      </c>
    </row>
    <row r="311" spans="6:11" x14ac:dyDescent="0.3">
      <c r="F311" s="43">
        <v>38336</v>
      </c>
      <c r="G311" s="44">
        <v>1205.719971</v>
      </c>
      <c r="H311" s="44">
        <v>655.90002400000003</v>
      </c>
      <c r="I311" s="44">
        <v>648.60998500000005</v>
      </c>
      <c r="J311" s="44">
        <v>52.616664999999998</v>
      </c>
      <c r="K311" s="44">
        <v>103.099998</v>
      </c>
    </row>
    <row r="312" spans="6:11" x14ac:dyDescent="0.3">
      <c r="F312" s="43">
        <v>38337</v>
      </c>
      <c r="G312" s="44">
        <v>1203.209961</v>
      </c>
      <c r="H312" s="44">
        <v>651.88000499999998</v>
      </c>
      <c r="I312" s="44">
        <v>642.22997999999995</v>
      </c>
      <c r="J312" s="44">
        <v>52.283332999999999</v>
      </c>
      <c r="K312" s="44">
        <v>102.699997</v>
      </c>
    </row>
    <row r="313" spans="6:11" x14ac:dyDescent="0.3">
      <c r="F313" s="43">
        <v>38338</v>
      </c>
      <c r="G313" s="44">
        <v>1194.1999510000001</v>
      </c>
      <c r="H313" s="44">
        <v>651.65997300000004</v>
      </c>
      <c r="I313" s="44">
        <v>642.080017</v>
      </c>
      <c r="J313" s="44">
        <v>52.133335000000002</v>
      </c>
      <c r="K313" s="44">
        <v>102.449997</v>
      </c>
    </row>
    <row r="314" spans="6:11" x14ac:dyDescent="0.3">
      <c r="F314" s="43">
        <v>38341</v>
      </c>
      <c r="G314" s="44">
        <v>1194.650024</v>
      </c>
      <c r="H314" s="44">
        <v>648.71997099999999</v>
      </c>
      <c r="I314" s="44">
        <v>638.04998799999998</v>
      </c>
      <c r="J314" s="44">
        <v>52.610000999999997</v>
      </c>
      <c r="K314" s="44">
        <v>102.550003</v>
      </c>
    </row>
    <row r="315" spans="6:11" x14ac:dyDescent="0.3">
      <c r="F315" s="43">
        <v>38342</v>
      </c>
      <c r="G315" s="44">
        <v>1205.4499510000001</v>
      </c>
      <c r="H315" s="44">
        <v>655.5</v>
      </c>
      <c r="I315" s="44">
        <v>646.20001200000002</v>
      </c>
      <c r="J315" s="44">
        <v>52.98</v>
      </c>
      <c r="K315" s="44">
        <v>102.550003</v>
      </c>
    </row>
    <row r="316" spans="6:11" x14ac:dyDescent="0.3">
      <c r="F316" s="43">
        <v>38343</v>
      </c>
      <c r="G316" s="44">
        <v>1209.5699460000001</v>
      </c>
      <c r="H316" s="44">
        <v>657.65002400000003</v>
      </c>
      <c r="I316" s="44">
        <v>648.46002199999998</v>
      </c>
      <c r="J316" s="44">
        <v>53.060001</v>
      </c>
      <c r="K316" s="44">
        <v>102.769997</v>
      </c>
    </row>
    <row r="317" spans="6:11" x14ac:dyDescent="0.3">
      <c r="F317" s="43">
        <v>38344</v>
      </c>
      <c r="G317" s="44">
        <v>1210.130005</v>
      </c>
      <c r="H317" s="44">
        <v>658.40997300000004</v>
      </c>
      <c r="I317" s="44">
        <v>649.36999500000002</v>
      </c>
      <c r="J317" s="44">
        <v>52.599997999999999</v>
      </c>
      <c r="K317" s="44">
        <v>102.82</v>
      </c>
    </row>
    <row r="318" spans="6:11" x14ac:dyDescent="0.3">
      <c r="F318" s="43">
        <v>38348</v>
      </c>
      <c r="G318" s="44">
        <v>1204.920044</v>
      </c>
      <c r="H318" s="44">
        <v>654.45001200000002</v>
      </c>
      <c r="I318" s="44">
        <v>644.34002699999996</v>
      </c>
      <c r="J318" s="44">
        <v>53.013331999999998</v>
      </c>
      <c r="K318" s="44">
        <v>102.43</v>
      </c>
    </row>
    <row r="319" spans="6:11" x14ac:dyDescent="0.3">
      <c r="F319" s="43">
        <v>38349</v>
      </c>
      <c r="G319" s="44">
        <v>1213.540039</v>
      </c>
      <c r="H319" s="44">
        <v>662.45001200000002</v>
      </c>
      <c r="I319" s="44">
        <v>654.57000700000003</v>
      </c>
      <c r="J319" s="44">
        <v>53.366664999999998</v>
      </c>
      <c r="K319" s="44">
        <v>102.379997</v>
      </c>
    </row>
    <row r="320" spans="6:11" x14ac:dyDescent="0.3">
      <c r="F320" s="43">
        <v>38350</v>
      </c>
      <c r="G320" s="44">
        <v>1213.4499510000001</v>
      </c>
      <c r="H320" s="44">
        <v>662.96997099999999</v>
      </c>
      <c r="I320" s="44">
        <v>653.34002699999996</v>
      </c>
      <c r="J320" s="44">
        <v>53.110000999999997</v>
      </c>
      <c r="K320" s="44">
        <v>102.360001</v>
      </c>
    </row>
    <row r="321" spans="6:11" x14ac:dyDescent="0.3">
      <c r="F321" s="43">
        <v>38351</v>
      </c>
      <c r="G321" s="44">
        <v>1213.5500489999999</v>
      </c>
      <c r="H321" s="44">
        <v>664.5</v>
      </c>
      <c r="I321" s="44">
        <v>653.05999799999995</v>
      </c>
      <c r="J321" s="44">
        <v>53.116664999999998</v>
      </c>
      <c r="K321" s="44">
        <v>102.57</v>
      </c>
    </row>
    <row r="322" spans="6:11" x14ac:dyDescent="0.3">
      <c r="F322" s="43">
        <v>38352</v>
      </c>
      <c r="G322" s="44">
        <v>1211.920044</v>
      </c>
      <c r="H322" s="44">
        <v>663.30999799999995</v>
      </c>
      <c r="I322" s="44">
        <v>651.57000700000003</v>
      </c>
      <c r="J322" s="44">
        <v>53.416668000000001</v>
      </c>
      <c r="K322" s="44">
        <v>102.400002</v>
      </c>
    </row>
    <row r="323" spans="6:11" x14ac:dyDescent="0.3">
      <c r="F323" s="43">
        <v>38355</v>
      </c>
      <c r="G323" s="44">
        <v>1202.079956</v>
      </c>
      <c r="H323" s="44">
        <v>652.169983</v>
      </c>
      <c r="I323" s="44">
        <v>640.44000200000005</v>
      </c>
      <c r="J323" s="44">
        <v>53.033332999999999</v>
      </c>
      <c r="K323" s="44">
        <v>102.400002</v>
      </c>
    </row>
    <row r="324" spans="6:11" x14ac:dyDescent="0.3">
      <c r="F324" s="43">
        <v>38356</v>
      </c>
      <c r="G324" s="44">
        <v>1188.0500489999999</v>
      </c>
      <c r="H324" s="44">
        <v>642.02002000000005</v>
      </c>
      <c r="I324" s="44">
        <v>628.53997800000002</v>
      </c>
      <c r="J324" s="44">
        <v>52.016666000000001</v>
      </c>
      <c r="K324" s="44">
        <v>102.300003</v>
      </c>
    </row>
    <row r="325" spans="6:11" x14ac:dyDescent="0.3">
      <c r="F325" s="43">
        <v>38357</v>
      </c>
      <c r="G325" s="44">
        <v>1183.73999</v>
      </c>
      <c r="H325" s="44">
        <v>635.07000700000003</v>
      </c>
      <c r="I325" s="44">
        <v>617.47997999999995</v>
      </c>
      <c r="J325" s="44">
        <v>51.983333999999999</v>
      </c>
      <c r="K325" s="44">
        <v>102.260002</v>
      </c>
    </row>
    <row r="326" spans="6:11" x14ac:dyDescent="0.3">
      <c r="F326" s="43">
        <v>38358</v>
      </c>
      <c r="G326" s="44">
        <v>1187.8900149999999</v>
      </c>
      <c r="H326" s="44">
        <v>638.01000999999997</v>
      </c>
      <c r="I326" s="44">
        <v>619.82000700000003</v>
      </c>
      <c r="J326" s="44">
        <v>51.983333999999999</v>
      </c>
      <c r="K326" s="44">
        <v>102.33000199999999</v>
      </c>
    </row>
    <row r="327" spans="6:11" x14ac:dyDescent="0.3">
      <c r="F327" s="43">
        <v>38359</v>
      </c>
      <c r="G327" s="44">
        <v>1186.1899410000001</v>
      </c>
      <c r="H327" s="44">
        <v>634.72997999999995</v>
      </c>
      <c r="I327" s="44">
        <v>613.21002199999998</v>
      </c>
      <c r="J327" s="44">
        <v>51.75</v>
      </c>
      <c r="K327" s="44">
        <v>102.300003</v>
      </c>
    </row>
    <row r="328" spans="6:11" x14ac:dyDescent="0.3">
      <c r="F328" s="43">
        <v>38362</v>
      </c>
      <c r="G328" s="44">
        <v>1190.25</v>
      </c>
      <c r="H328" s="44">
        <v>638.35998500000005</v>
      </c>
      <c r="I328" s="44">
        <v>617.73999000000003</v>
      </c>
      <c r="J328" s="44">
        <v>51.983333999999999</v>
      </c>
      <c r="K328" s="44">
        <v>102.25</v>
      </c>
    </row>
    <row r="329" spans="6:11" x14ac:dyDescent="0.3">
      <c r="F329" s="43">
        <v>38363</v>
      </c>
      <c r="G329" s="44">
        <v>1182.98999</v>
      </c>
      <c r="H329" s="44">
        <v>634.52002000000005</v>
      </c>
      <c r="I329" s="44">
        <v>611.53002900000001</v>
      </c>
      <c r="J329" s="44">
        <v>51.883335000000002</v>
      </c>
      <c r="K329" s="44">
        <v>102.389999</v>
      </c>
    </row>
    <row r="330" spans="6:11" x14ac:dyDescent="0.3">
      <c r="F330" s="43">
        <v>38364</v>
      </c>
      <c r="G330" s="44">
        <v>1187.6999510000001</v>
      </c>
      <c r="H330" s="44">
        <v>636.04998799999998</v>
      </c>
      <c r="I330" s="44">
        <v>613.19000200000005</v>
      </c>
      <c r="J330" s="44">
        <v>52.299999</v>
      </c>
      <c r="K330" s="44">
        <v>102.540001</v>
      </c>
    </row>
    <row r="331" spans="6:11" x14ac:dyDescent="0.3">
      <c r="F331" s="43">
        <v>38365</v>
      </c>
      <c r="G331" s="44">
        <v>1177.4499510000001</v>
      </c>
      <c r="H331" s="44">
        <v>634.85998500000005</v>
      </c>
      <c r="I331" s="44">
        <v>610.13000499999998</v>
      </c>
      <c r="J331" s="44">
        <v>51.849997999999999</v>
      </c>
      <c r="K331" s="44">
        <v>102.790001</v>
      </c>
    </row>
    <row r="332" spans="6:11" x14ac:dyDescent="0.3">
      <c r="F332" s="43">
        <v>38366</v>
      </c>
      <c r="G332" s="44">
        <v>1184.5200199999999</v>
      </c>
      <c r="H332" s="44">
        <v>640.38000499999998</v>
      </c>
      <c r="I332" s="44">
        <v>617.47997999999995</v>
      </c>
      <c r="J332" s="44">
        <v>52.099997999999999</v>
      </c>
      <c r="K332" s="44">
        <v>102.41999800000001</v>
      </c>
    </row>
    <row r="333" spans="6:11" x14ac:dyDescent="0.3">
      <c r="F333" s="43">
        <v>38370</v>
      </c>
      <c r="G333" s="44">
        <v>1195.9799800000001</v>
      </c>
      <c r="H333" s="44">
        <v>646.26000999999997</v>
      </c>
      <c r="I333" s="44">
        <v>624.86999500000002</v>
      </c>
      <c r="J333" s="44">
        <v>52.139999000000003</v>
      </c>
      <c r="K333" s="44">
        <v>102.69000200000001</v>
      </c>
    </row>
    <row r="334" spans="6:11" x14ac:dyDescent="0.3">
      <c r="F334" s="43">
        <v>38371</v>
      </c>
      <c r="G334" s="44">
        <v>1184.630005</v>
      </c>
      <c r="H334" s="44">
        <v>640.40997300000004</v>
      </c>
      <c r="I334" s="44">
        <v>617.90997300000004</v>
      </c>
      <c r="J334" s="44">
        <v>51.599997999999999</v>
      </c>
      <c r="K334" s="44">
        <v>102.839996</v>
      </c>
    </row>
    <row r="335" spans="6:11" x14ac:dyDescent="0.3">
      <c r="F335" s="43">
        <v>38372</v>
      </c>
      <c r="G335" s="44">
        <v>1175.410034</v>
      </c>
      <c r="H335" s="44">
        <v>637.27002000000005</v>
      </c>
      <c r="I335" s="44">
        <v>612.34002699999996</v>
      </c>
      <c r="J335" s="44">
        <v>51.256667999999998</v>
      </c>
      <c r="K335" s="44">
        <v>102.980003</v>
      </c>
    </row>
    <row r="336" spans="6:11" x14ac:dyDescent="0.3">
      <c r="F336" s="43">
        <v>38373</v>
      </c>
      <c r="G336" s="44">
        <v>1167.869995</v>
      </c>
      <c r="H336" s="44">
        <v>633.73999000000003</v>
      </c>
      <c r="I336" s="44">
        <v>611.080017</v>
      </c>
      <c r="J336" s="44">
        <v>51.459999000000003</v>
      </c>
      <c r="K336" s="44">
        <v>103.029999</v>
      </c>
    </row>
    <row r="337" spans="6:11" x14ac:dyDescent="0.3">
      <c r="F337" s="43">
        <v>38376</v>
      </c>
      <c r="G337" s="44">
        <v>1163.75</v>
      </c>
      <c r="H337" s="44">
        <v>629.90997300000004</v>
      </c>
      <c r="I337" s="44">
        <v>604.53002900000001</v>
      </c>
      <c r="J337" s="44">
        <v>51.549999</v>
      </c>
      <c r="K337" s="44">
        <v>103.050003</v>
      </c>
    </row>
    <row r="338" spans="6:11" x14ac:dyDescent="0.3">
      <c r="F338" s="43">
        <v>38377</v>
      </c>
      <c r="G338" s="44">
        <v>1168.410034</v>
      </c>
      <c r="H338" s="44">
        <v>631.21997099999999</v>
      </c>
      <c r="I338" s="44">
        <v>606.5</v>
      </c>
      <c r="J338" s="44">
        <v>51.566665999999998</v>
      </c>
      <c r="K338" s="44">
        <v>102.870003</v>
      </c>
    </row>
    <row r="339" spans="6:11" x14ac:dyDescent="0.3">
      <c r="F339" s="43">
        <v>38378</v>
      </c>
      <c r="G339" s="44">
        <v>1174.0699460000001</v>
      </c>
      <c r="H339" s="44">
        <v>637.64001499999995</v>
      </c>
      <c r="I339" s="44">
        <v>616.57000700000003</v>
      </c>
      <c r="J339" s="44">
        <v>52.189999</v>
      </c>
      <c r="K339" s="44">
        <v>102.82</v>
      </c>
    </row>
    <row r="340" spans="6:11" x14ac:dyDescent="0.3">
      <c r="F340" s="43">
        <v>38379</v>
      </c>
      <c r="G340" s="44">
        <v>1174.5500489999999</v>
      </c>
      <c r="H340" s="44">
        <v>639.65002400000003</v>
      </c>
      <c r="I340" s="44">
        <v>616.90002400000003</v>
      </c>
      <c r="J340" s="44">
        <v>52.266666000000001</v>
      </c>
      <c r="K340" s="44">
        <v>102.68</v>
      </c>
    </row>
    <row r="341" spans="6:11" x14ac:dyDescent="0.3">
      <c r="F341" s="43">
        <v>38380</v>
      </c>
      <c r="G341" s="44">
        <v>1171.3599850000001</v>
      </c>
      <c r="H341" s="44">
        <v>636.65997300000004</v>
      </c>
      <c r="I341" s="44">
        <v>613</v>
      </c>
      <c r="J341" s="44">
        <v>52.150002000000001</v>
      </c>
      <c r="K341" s="44">
        <v>103.029999</v>
      </c>
    </row>
    <row r="342" spans="6:11" x14ac:dyDescent="0.3">
      <c r="F342" s="43">
        <v>38383</v>
      </c>
      <c r="G342" s="44">
        <v>1181.2700199999999</v>
      </c>
      <c r="H342" s="44">
        <v>645.96997099999999</v>
      </c>
      <c r="I342" s="44">
        <v>624.02002000000005</v>
      </c>
      <c r="J342" s="44">
        <v>52.400002000000001</v>
      </c>
      <c r="K342" s="44">
        <v>102.900002</v>
      </c>
    </row>
    <row r="343" spans="6:11" x14ac:dyDescent="0.3">
      <c r="F343" s="43">
        <v>38384</v>
      </c>
      <c r="G343" s="44">
        <v>1189.410034</v>
      </c>
      <c r="H343" s="44">
        <v>650.82000700000003</v>
      </c>
      <c r="I343" s="44">
        <v>628.14001499999995</v>
      </c>
      <c r="J343" s="44">
        <v>52.726664999999997</v>
      </c>
      <c r="K343" s="44">
        <v>102.699997</v>
      </c>
    </row>
    <row r="344" spans="6:11" x14ac:dyDescent="0.3">
      <c r="F344" s="43">
        <v>38385</v>
      </c>
      <c r="G344" s="44">
        <v>1193.1899410000001</v>
      </c>
      <c r="H344" s="44">
        <v>654.080017</v>
      </c>
      <c r="I344" s="44">
        <v>631.97997999999995</v>
      </c>
      <c r="J344" s="44">
        <v>52.799999</v>
      </c>
      <c r="K344" s="44">
        <v>102.779999</v>
      </c>
    </row>
    <row r="345" spans="6:11" x14ac:dyDescent="0.3">
      <c r="F345" s="43">
        <v>38386</v>
      </c>
      <c r="G345" s="44">
        <v>1189.8900149999999</v>
      </c>
      <c r="H345" s="44">
        <v>652.75</v>
      </c>
      <c r="I345" s="44">
        <v>629.32000700000003</v>
      </c>
      <c r="J345" s="44">
        <v>52.513331999999998</v>
      </c>
      <c r="K345" s="44">
        <v>102.650002</v>
      </c>
    </row>
    <row r="346" spans="6:11" x14ac:dyDescent="0.3">
      <c r="F346" s="43">
        <v>38387</v>
      </c>
      <c r="G346" s="44">
        <v>1203.030029</v>
      </c>
      <c r="H346" s="44">
        <v>661.70001200000002</v>
      </c>
      <c r="I346" s="44">
        <v>637.44000200000005</v>
      </c>
      <c r="J346" s="44">
        <v>52.783332999999999</v>
      </c>
      <c r="K346" s="44">
        <v>103.08000199999999</v>
      </c>
    </row>
    <row r="347" spans="6:11" x14ac:dyDescent="0.3">
      <c r="F347" s="43">
        <v>38390</v>
      </c>
      <c r="G347" s="44">
        <v>1201.719971</v>
      </c>
      <c r="H347" s="44">
        <v>660.34997599999997</v>
      </c>
      <c r="I347" s="44">
        <v>636.61999500000002</v>
      </c>
      <c r="J347" s="44">
        <v>52.450001</v>
      </c>
      <c r="K347" s="44">
        <v>103.099998</v>
      </c>
    </row>
    <row r="348" spans="6:11" x14ac:dyDescent="0.3">
      <c r="F348" s="43">
        <v>38391</v>
      </c>
      <c r="G348" s="44">
        <v>1202.3000489999999</v>
      </c>
      <c r="H348" s="44">
        <v>662.40002400000003</v>
      </c>
      <c r="I348" s="44">
        <v>638.71997099999999</v>
      </c>
      <c r="J348" s="44">
        <v>52.450001</v>
      </c>
      <c r="K348" s="44">
        <v>103.160004</v>
      </c>
    </row>
    <row r="349" spans="6:11" x14ac:dyDescent="0.3">
      <c r="F349" s="43">
        <v>38392</v>
      </c>
      <c r="G349" s="44">
        <v>1191.98999</v>
      </c>
      <c r="H349" s="44">
        <v>653.65997300000004</v>
      </c>
      <c r="I349" s="44">
        <v>625.71002199999998</v>
      </c>
      <c r="J349" s="44">
        <v>52.316665999999998</v>
      </c>
      <c r="K349" s="44">
        <v>103.44000200000001</v>
      </c>
    </row>
    <row r="350" spans="6:11" x14ac:dyDescent="0.3">
      <c r="F350" s="43">
        <v>38393</v>
      </c>
      <c r="G350" s="44">
        <v>1197.01001</v>
      </c>
      <c r="H350" s="44">
        <v>655.92999299999997</v>
      </c>
      <c r="I350" s="44">
        <v>626.80999799999995</v>
      </c>
      <c r="J350" s="44">
        <v>52.860000999999997</v>
      </c>
      <c r="K350" s="44">
        <v>102.910004</v>
      </c>
    </row>
    <row r="351" spans="6:11" x14ac:dyDescent="0.3">
      <c r="F351" s="43">
        <v>38394</v>
      </c>
      <c r="G351" s="44">
        <v>1205.3000489999999</v>
      </c>
      <c r="H351" s="44">
        <v>662.65997300000004</v>
      </c>
      <c r="I351" s="44">
        <v>634.76000999999997</v>
      </c>
      <c r="J351" s="44">
        <v>53.226664999999997</v>
      </c>
      <c r="K351" s="44">
        <v>103.050003</v>
      </c>
    </row>
    <row r="352" spans="6:11" x14ac:dyDescent="0.3">
      <c r="F352" s="43">
        <v>38397</v>
      </c>
      <c r="G352" s="44">
        <v>1206.1400149999999</v>
      </c>
      <c r="H352" s="44">
        <v>662.77002000000005</v>
      </c>
      <c r="I352" s="44">
        <v>635.02002000000005</v>
      </c>
      <c r="J352" s="44">
        <v>53.639999000000003</v>
      </c>
      <c r="K352" s="44">
        <v>103.07</v>
      </c>
    </row>
    <row r="353" spans="6:11" x14ac:dyDescent="0.3">
      <c r="F353" s="43">
        <v>38398</v>
      </c>
      <c r="G353" s="44">
        <v>1210.119995</v>
      </c>
      <c r="H353" s="44">
        <v>664.17999299999997</v>
      </c>
      <c r="I353" s="44">
        <v>634.94000200000005</v>
      </c>
      <c r="J353" s="44">
        <v>54</v>
      </c>
      <c r="K353" s="44">
        <v>102.870003</v>
      </c>
    </row>
    <row r="354" spans="6:11" x14ac:dyDescent="0.3">
      <c r="F354" s="43">
        <v>38399</v>
      </c>
      <c r="G354" s="44">
        <v>1210.339966</v>
      </c>
      <c r="H354" s="44">
        <v>667.07000700000003</v>
      </c>
      <c r="I354" s="44">
        <v>638.84997599999997</v>
      </c>
      <c r="J354" s="44">
        <v>53.523335000000003</v>
      </c>
      <c r="K354" s="44">
        <v>102.75</v>
      </c>
    </row>
    <row r="355" spans="6:11" x14ac:dyDescent="0.3">
      <c r="F355" s="43">
        <v>38400</v>
      </c>
      <c r="G355" s="44">
        <v>1200.75</v>
      </c>
      <c r="H355" s="44">
        <v>662.09002699999996</v>
      </c>
      <c r="I355" s="44">
        <v>631.14001499999995</v>
      </c>
      <c r="J355" s="44">
        <v>53.633335000000002</v>
      </c>
      <c r="K355" s="44">
        <v>102.699997</v>
      </c>
    </row>
    <row r="356" spans="6:11" x14ac:dyDescent="0.3">
      <c r="F356" s="43">
        <v>38401</v>
      </c>
      <c r="G356" s="44">
        <v>1201.589966</v>
      </c>
      <c r="H356" s="44">
        <v>661.34997599999997</v>
      </c>
      <c r="I356" s="44">
        <v>630.13000499999998</v>
      </c>
      <c r="J356" s="44">
        <v>53.900002000000001</v>
      </c>
      <c r="K356" s="44">
        <v>102.730003</v>
      </c>
    </row>
    <row r="357" spans="6:11" x14ac:dyDescent="0.3">
      <c r="F357" s="43">
        <v>38405</v>
      </c>
      <c r="G357" s="44">
        <v>1184.160034</v>
      </c>
      <c r="H357" s="44">
        <v>650.61999500000002</v>
      </c>
      <c r="I357" s="44">
        <v>617.92999299999997</v>
      </c>
      <c r="J357" s="44">
        <v>53.773335000000003</v>
      </c>
      <c r="K357" s="44">
        <v>102.44000200000001</v>
      </c>
    </row>
    <row r="358" spans="6:11" x14ac:dyDescent="0.3">
      <c r="F358" s="43">
        <v>38406</v>
      </c>
      <c r="G358" s="44">
        <v>1190.8000489999999</v>
      </c>
      <c r="H358" s="44">
        <v>654.25</v>
      </c>
      <c r="I358" s="44">
        <v>620.53997800000002</v>
      </c>
      <c r="J358" s="44">
        <v>53.799999</v>
      </c>
      <c r="K358" s="44">
        <v>102.489998</v>
      </c>
    </row>
    <row r="359" spans="6:11" x14ac:dyDescent="0.3">
      <c r="F359" s="43">
        <v>38407</v>
      </c>
      <c r="G359" s="44">
        <v>1200.1999510000001</v>
      </c>
      <c r="H359" s="44">
        <v>662.39001499999995</v>
      </c>
      <c r="I359" s="44">
        <v>627.55999799999995</v>
      </c>
      <c r="J359" s="44">
        <v>53.883335000000002</v>
      </c>
      <c r="K359" s="44">
        <v>102.389999</v>
      </c>
    </row>
    <row r="360" spans="6:11" x14ac:dyDescent="0.3">
      <c r="F360" s="43">
        <v>38408</v>
      </c>
      <c r="G360" s="44">
        <v>1211.369995</v>
      </c>
      <c r="H360" s="44">
        <v>670.32000700000003</v>
      </c>
      <c r="I360" s="44">
        <v>637.53002900000001</v>
      </c>
      <c r="J360" s="44">
        <v>54.509998000000003</v>
      </c>
      <c r="K360" s="44">
        <v>102.480003</v>
      </c>
    </row>
    <row r="361" spans="6:11" x14ac:dyDescent="0.3">
      <c r="F361" s="43">
        <v>38411</v>
      </c>
      <c r="G361" s="44">
        <v>1203.599976</v>
      </c>
      <c r="H361" s="44">
        <v>666.84997599999997</v>
      </c>
      <c r="I361" s="44">
        <v>634.05999799999995</v>
      </c>
      <c r="J361" s="44">
        <v>54.383335000000002</v>
      </c>
      <c r="K361" s="44">
        <v>102.209999</v>
      </c>
    </row>
    <row r="362" spans="6:11" x14ac:dyDescent="0.3">
      <c r="F362" s="43">
        <v>38412</v>
      </c>
      <c r="G362" s="44">
        <v>1210.410034</v>
      </c>
      <c r="H362" s="44">
        <v>672.47997999999995</v>
      </c>
      <c r="I362" s="44">
        <v>638.53002900000001</v>
      </c>
      <c r="J362" s="44">
        <v>54.683334000000002</v>
      </c>
      <c r="K362" s="44">
        <v>101.849998</v>
      </c>
    </row>
    <row r="363" spans="6:11" x14ac:dyDescent="0.3">
      <c r="F363" s="43">
        <v>38413</v>
      </c>
      <c r="G363" s="44">
        <v>1210.079956</v>
      </c>
      <c r="H363" s="44">
        <v>672.10998500000005</v>
      </c>
      <c r="I363" s="44">
        <v>637.330017</v>
      </c>
      <c r="J363" s="44">
        <v>54.273335000000003</v>
      </c>
      <c r="K363" s="44">
        <v>101.720001</v>
      </c>
    </row>
    <row r="364" spans="6:11" x14ac:dyDescent="0.3">
      <c r="F364" s="43">
        <v>38414</v>
      </c>
      <c r="G364" s="44">
        <v>1210.469971</v>
      </c>
      <c r="H364" s="44">
        <v>671.69000200000005</v>
      </c>
      <c r="I364" s="44">
        <v>638.28997800000002</v>
      </c>
      <c r="J364" s="44">
        <v>54.299999</v>
      </c>
      <c r="K364" s="44">
        <v>101.800003</v>
      </c>
    </row>
    <row r="365" spans="6:11" x14ac:dyDescent="0.3">
      <c r="F365" s="43">
        <v>38415</v>
      </c>
      <c r="G365" s="44">
        <v>1222.119995</v>
      </c>
      <c r="H365" s="44">
        <v>679.05999799999995</v>
      </c>
      <c r="I365" s="44">
        <v>644.95001200000002</v>
      </c>
      <c r="J365" s="44">
        <v>55.25</v>
      </c>
      <c r="K365" s="44">
        <v>102.089996</v>
      </c>
    </row>
    <row r="366" spans="6:11" x14ac:dyDescent="0.3">
      <c r="F366" s="43">
        <v>38418</v>
      </c>
      <c r="G366" s="44">
        <v>1225.3100589999999</v>
      </c>
      <c r="H366" s="44">
        <v>682.419983</v>
      </c>
      <c r="I366" s="44">
        <v>643.85998500000005</v>
      </c>
      <c r="J366" s="44">
        <v>55.016666000000001</v>
      </c>
      <c r="K366" s="44">
        <v>102.120003</v>
      </c>
    </row>
    <row r="367" spans="6:11" x14ac:dyDescent="0.3">
      <c r="F367" s="43">
        <v>38419</v>
      </c>
      <c r="G367" s="44">
        <v>1219.4300539999999</v>
      </c>
      <c r="H367" s="44">
        <v>677.03997800000002</v>
      </c>
      <c r="I367" s="44">
        <v>637.97997999999995</v>
      </c>
      <c r="J367" s="44">
        <v>55.166668000000001</v>
      </c>
      <c r="K367" s="44">
        <v>101.900002</v>
      </c>
    </row>
    <row r="368" spans="6:11" x14ac:dyDescent="0.3">
      <c r="F368" s="43">
        <v>38420</v>
      </c>
      <c r="G368" s="44">
        <v>1207.01001</v>
      </c>
      <c r="H368" s="44">
        <v>669.72997999999995</v>
      </c>
      <c r="I368" s="44">
        <v>631.080017</v>
      </c>
      <c r="J368" s="44">
        <v>54.916668000000001</v>
      </c>
      <c r="K368" s="44">
        <v>101.279999</v>
      </c>
    </row>
    <row r="369" spans="6:11" x14ac:dyDescent="0.3">
      <c r="F369" s="43">
        <v>38421</v>
      </c>
      <c r="G369" s="44">
        <v>1209.25</v>
      </c>
      <c r="H369" s="44">
        <v>668.669983</v>
      </c>
      <c r="I369" s="44">
        <v>626.94000200000005</v>
      </c>
      <c r="J369" s="44">
        <v>55.096668000000001</v>
      </c>
      <c r="K369" s="44">
        <v>101.160004</v>
      </c>
    </row>
    <row r="370" spans="6:11" x14ac:dyDescent="0.3">
      <c r="F370" s="43">
        <v>38422</v>
      </c>
      <c r="G370" s="44">
        <v>1200.079956</v>
      </c>
      <c r="H370" s="44">
        <v>668.5</v>
      </c>
      <c r="I370" s="44">
        <v>626.84002699999996</v>
      </c>
      <c r="J370" s="44">
        <v>55.083331999999999</v>
      </c>
      <c r="K370" s="44">
        <v>101.239998</v>
      </c>
    </row>
    <row r="371" spans="6:11" x14ac:dyDescent="0.3">
      <c r="F371" s="43">
        <v>38425</v>
      </c>
      <c r="G371" s="44">
        <v>1206.829956</v>
      </c>
      <c r="H371" s="44">
        <v>673.51000999999997</v>
      </c>
      <c r="I371" s="44">
        <v>630.29998799999998</v>
      </c>
      <c r="J371" s="44">
        <v>54.906666000000001</v>
      </c>
      <c r="K371" s="44">
        <v>101.199997</v>
      </c>
    </row>
    <row r="372" spans="6:11" x14ac:dyDescent="0.3">
      <c r="F372" s="43">
        <v>38426</v>
      </c>
      <c r="G372" s="44">
        <v>1197.75</v>
      </c>
      <c r="H372" s="44">
        <v>670.46002199999998</v>
      </c>
      <c r="I372" s="44">
        <v>626.82000700000003</v>
      </c>
      <c r="J372" s="44">
        <v>54.566665999999998</v>
      </c>
      <c r="K372" s="44">
        <v>101.220001</v>
      </c>
    </row>
    <row r="373" spans="6:11" x14ac:dyDescent="0.3">
      <c r="F373" s="43">
        <v>38427</v>
      </c>
      <c r="G373" s="44">
        <v>1188.0699460000001</v>
      </c>
      <c r="H373" s="44">
        <v>664.63000499999998</v>
      </c>
      <c r="I373" s="44">
        <v>622.919983</v>
      </c>
      <c r="J373" s="44">
        <v>54.630001</v>
      </c>
      <c r="K373" s="44">
        <v>101.290001</v>
      </c>
    </row>
    <row r="374" spans="6:11" x14ac:dyDescent="0.3">
      <c r="F374" s="43">
        <v>38428</v>
      </c>
      <c r="G374" s="44">
        <v>1190.209961</v>
      </c>
      <c r="H374" s="44">
        <v>666</v>
      </c>
      <c r="I374" s="44">
        <v>625.46002199999998</v>
      </c>
      <c r="J374" s="44">
        <v>54.566665999999998</v>
      </c>
      <c r="K374" s="44">
        <v>101.269997</v>
      </c>
    </row>
    <row r="375" spans="6:11" x14ac:dyDescent="0.3">
      <c r="F375" s="43">
        <v>38429</v>
      </c>
      <c r="G375" s="44">
        <v>1189.650024</v>
      </c>
      <c r="H375" s="44">
        <v>663.38000499999998</v>
      </c>
      <c r="I375" s="44">
        <v>622.57000700000003</v>
      </c>
      <c r="J375" s="44">
        <v>54.456665000000001</v>
      </c>
      <c r="K375" s="44">
        <v>101.199997</v>
      </c>
    </row>
    <row r="376" spans="6:11" x14ac:dyDescent="0.3">
      <c r="F376" s="43">
        <v>38432</v>
      </c>
      <c r="G376" s="44">
        <v>1183.780029</v>
      </c>
      <c r="H376" s="44">
        <v>662.17999299999997</v>
      </c>
      <c r="I376" s="44">
        <v>621.57000700000003</v>
      </c>
      <c r="J376" s="44">
        <v>54.086666000000001</v>
      </c>
      <c r="K376" s="44">
        <v>101.199997</v>
      </c>
    </row>
    <row r="377" spans="6:11" x14ac:dyDescent="0.3">
      <c r="F377" s="43">
        <v>38433</v>
      </c>
      <c r="G377" s="44">
        <v>1171.709961</v>
      </c>
      <c r="H377" s="44">
        <v>658.95001200000002</v>
      </c>
      <c r="I377" s="44">
        <v>618.580017</v>
      </c>
      <c r="J377" s="44">
        <v>53.466667000000001</v>
      </c>
      <c r="K377" s="44">
        <v>100.650002</v>
      </c>
    </row>
    <row r="378" spans="6:11" x14ac:dyDescent="0.3">
      <c r="F378" s="43">
        <v>38434</v>
      </c>
      <c r="G378" s="44">
        <v>1172.530029</v>
      </c>
      <c r="H378" s="44">
        <v>654.15997300000004</v>
      </c>
      <c r="I378" s="44">
        <v>612.05999799999995</v>
      </c>
      <c r="J378" s="44">
        <v>53.110000999999997</v>
      </c>
      <c r="K378" s="44">
        <v>100.779999</v>
      </c>
    </row>
    <row r="379" spans="6:11" x14ac:dyDescent="0.3">
      <c r="F379" s="43">
        <v>38435</v>
      </c>
      <c r="G379" s="44">
        <v>1171.420044</v>
      </c>
      <c r="H379" s="44">
        <v>655.23999000000003</v>
      </c>
      <c r="I379" s="44">
        <v>615.27002000000005</v>
      </c>
      <c r="J379" s="44">
        <v>53.099997999999999</v>
      </c>
      <c r="K379" s="44">
        <v>100.839996</v>
      </c>
    </row>
    <row r="380" spans="6:11" x14ac:dyDescent="0.3">
      <c r="F380" s="43">
        <v>38439</v>
      </c>
      <c r="G380" s="44">
        <v>1174.280029</v>
      </c>
      <c r="H380" s="44">
        <v>655.65997300000004</v>
      </c>
      <c r="I380" s="44">
        <v>615.11999500000002</v>
      </c>
      <c r="J380" s="44">
        <v>53.099997999999999</v>
      </c>
      <c r="K380" s="44">
        <v>100.639999</v>
      </c>
    </row>
    <row r="381" spans="6:11" x14ac:dyDescent="0.3">
      <c r="F381" s="43">
        <v>38440</v>
      </c>
      <c r="G381" s="44">
        <v>1165.3599850000001</v>
      </c>
      <c r="H381" s="44">
        <v>648.28997800000002</v>
      </c>
      <c r="I381" s="44">
        <v>604.63000499999998</v>
      </c>
      <c r="J381" s="44">
        <v>52.549999</v>
      </c>
      <c r="K381" s="44">
        <v>100.58000199999999</v>
      </c>
    </row>
    <row r="382" spans="6:11" x14ac:dyDescent="0.3">
      <c r="F382" s="43">
        <v>38441</v>
      </c>
      <c r="G382" s="44">
        <v>1181.410034</v>
      </c>
      <c r="H382" s="44">
        <v>656.30999799999995</v>
      </c>
      <c r="I382" s="44">
        <v>614.90002400000003</v>
      </c>
      <c r="J382" s="44">
        <v>52.98</v>
      </c>
      <c r="K382" s="44">
        <v>100.879997</v>
      </c>
    </row>
    <row r="383" spans="6:11" x14ac:dyDescent="0.3">
      <c r="F383" s="43">
        <v>38442</v>
      </c>
      <c r="G383" s="44">
        <v>1180.589966</v>
      </c>
      <c r="H383" s="44">
        <v>658.86999500000002</v>
      </c>
      <c r="I383" s="44">
        <v>615.07000700000003</v>
      </c>
      <c r="J383" s="44">
        <v>52.956665000000001</v>
      </c>
      <c r="K383" s="44">
        <v>100.93</v>
      </c>
    </row>
    <row r="384" spans="6:11" x14ac:dyDescent="0.3">
      <c r="F384" s="43">
        <v>38443</v>
      </c>
      <c r="G384" s="44">
        <v>1172.920044</v>
      </c>
      <c r="H384" s="44">
        <v>656.669983</v>
      </c>
      <c r="I384" s="44">
        <v>611.54998799999998</v>
      </c>
      <c r="J384" s="44">
        <v>52.833331999999999</v>
      </c>
      <c r="K384" s="44">
        <v>101.18</v>
      </c>
    </row>
    <row r="385" spans="6:11" x14ac:dyDescent="0.3">
      <c r="F385" s="43">
        <v>38446</v>
      </c>
      <c r="G385" s="44">
        <v>1176.119995</v>
      </c>
      <c r="H385" s="44">
        <v>657.55999799999995</v>
      </c>
      <c r="I385" s="44">
        <v>613.76000999999997</v>
      </c>
      <c r="J385" s="44">
        <v>52.849997999999999</v>
      </c>
      <c r="K385" s="44">
        <v>101.05999799999999</v>
      </c>
    </row>
    <row r="386" spans="6:11" x14ac:dyDescent="0.3">
      <c r="F386" s="43">
        <v>38447</v>
      </c>
      <c r="G386" s="44">
        <v>1181.3900149999999</v>
      </c>
      <c r="H386" s="44">
        <v>658.25</v>
      </c>
      <c r="I386" s="44">
        <v>614.5</v>
      </c>
      <c r="J386" s="44">
        <v>53.133335000000002</v>
      </c>
      <c r="K386" s="44">
        <v>100.860001</v>
      </c>
    </row>
    <row r="387" spans="6:11" x14ac:dyDescent="0.3">
      <c r="F387" s="43">
        <v>38448</v>
      </c>
      <c r="G387" s="44">
        <v>1184.0699460000001</v>
      </c>
      <c r="H387" s="44">
        <v>659.44000200000005</v>
      </c>
      <c r="I387" s="44">
        <v>616.21002199999998</v>
      </c>
      <c r="J387" s="44">
        <v>53.283332999999999</v>
      </c>
      <c r="K387" s="44">
        <v>101.120003</v>
      </c>
    </row>
    <row r="388" spans="6:11" x14ac:dyDescent="0.3">
      <c r="F388" s="43">
        <v>38449</v>
      </c>
      <c r="G388" s="44">
        <v>1191.1400149999999</v>
      </c>
      <c r="H388" s="44">
        <v>662.419983</v>
      </c>
      <c r="I388" s="44">
        <v>619.76000999999997</v>
      </c>
      <c r="J388" s="44">
        <v>53.5</v>
      </c>
      <c r="K388" s="44">
        <v>101</v>
      </c>
    </row>
    <row r="389" spans="6:11" x14ac:dyDescent="0.3">
      <c r="F389" s="43">
        <v>38450</v>
      </c>
      <c r="G389" s="44">
        <v>1181.1999510000001</v>
      </c>
      <c r="H389" s="44">
        <v>655.57000700000003</v>
      </c>
      <c r="I389" s="44">
        <v>610.75</v>
      </c>
      <c r="J389" s="44">
        <v>53.5</v>
      </c>
      <c r="K389" s="44">
        <v>101</v>
      </c>
    </row>
    <row r="390" spans="6:11" x14ac:dyDescent="0.3">
      <c r="F390" s="43">
        <v>38453</v>
      </c>
      <c r="G390" s="44">
        <v>1181.209961</v>
      </c>
      <c r="H390" s="44">
        <v>653.26000999999997</v>
      </c>
      <c r="I390" s="44">
        <v>607.169983</v>
      </c>
      <c r="J390" s="44">
        <v>53.700001</v>
      </c>
      <c r="K390" s="44">
        <v>101.19000200000001</v>
      </c>
    </row>
    <row r="391" spans="6:11" x14ac:dyDescent="0.3">
      <c r="F391" s="43">
        <v>38454</v>
      </c>
      <c r="G391" s="44">
        <v>1187.76001</v>
      </c>
      <c r="H391" s="44">
        <v>656.53002900000001</v>
      </c>
      <c r="I391" s="44">
        <v>613.03002900000001</v>
      </c>
      <c r="J391" s="44">
        <v>53.833331999999999</v>
      </c>
      <c r="K391" s="44">
        <v>101.470001</v>
      </c>
    </row>
    <row r="392" spans="6:11" x14ac:dyDescent="0.3">
      <c r="F392" s="43">
        <v>38455</v>
      </c>
      <c r="G392" s="44">
        <v>1173.790039</v>
      </c>
      <c r="H392" s="44">
        <v>647.69000200000005</v>
      </c>
      <c r="I392" s="44">
        <v>602.53997800000002</v>
      </c>
      <c r="J392" s="44">
        <v>53.266666000000001</v>
      </c>
      <c r="K392" s="44">
        <v>101.610001</v>
      </c>
    </row>
    <row r="393" spans="6:11" x14ac:dyDescent="0.3">
      <c r="F393" s="43">
        <v>38456</v>
      </c>
      <c r="G393" s="44">
        <v>1162.0500489999999</v>
      </c>
      <c r="H393" s="44">
        <v>638.40997300000004</v>
      </c>
      <c r="I393" s="44">
        <v>591.94000200000005</v>
      </c>
      <c r="J393" s="44">
        <v>52.566665999999998</v>
      </c>
      <c r="K393" s="44">
        <v>101.699997</v>
      </c>
    </row>
    <row r="394" spans="6:11" x14ac:dyDescent="0.3">
      <c r="F394" s="43">
        <v>38457</v>
      </c>
      <c r="G394" s="44">
        <v>1142.619995</v>
      </c>
      <c r="H394" s="44">
        <v>627.38000499999998</v>
      </c>
      <c r="I394" s="44">
        <v>580.78002900000001</v>
      </c>
      <c r="J394" s="44">
        <v>51.923332000000002</v>
      </c>
      <c r="K394" s="44">
        <v>102.05999799999999</v>
      </c>
    </row>
    <row r="395" spans="6:11" x14ac:dyDescent="0.3">
      <c r="F395" s="43">
        <v>38460</v>
      </c>
      <c r="G395" s="44">
        <v>1145.9799800000001</v>
      </c>
      <c r="H395" s="44">
        <v>631.25</v>
      </c>
      <c r="I395" s="44">
        <v>585.330017</v>
      </c>
      <c r="J395" s="44">
        <v>51.733333999999999</v>
      </c>
      <c r="K395" s="44">
        <v>101.94000200000001</v>
      </c>
    </row>
    <row r="396" spans="6:11" x14ac:dyDescent="0.3">
      <c r="F396" s="43">
        <v>38461</v>
      </c>
      <c r="G396" s="44">
        <v>1152.780029</v>
      </c>
      <c r="H396" s="44">
        <v>639.20001200000002</v>
      </c>
      <c r="I396" s="44">
        <v>594.94000200000005</v>
      </c>
      <c r="J396" s="44">
        <v>52.419998</v>
      </c>
      <c r="K396" s="44">
        <v>102.07</v>
      </c>
    </row>
    <row r="397" spans="6:11" x14ac:dyDescent="0.3">
      <c r="F397" s="43">
        <v>38462</v>
      </c>
      <c r="G397" s="44">
        <v>1137.5</v>
      </c>
      <c r="H397" s="44">
        <v>629.09997599999997</v>
      </c>
      <c r="I397" s="44">
        <v>584.96002199999998</v>
      </c>
      <c r="J397" s="44">
        <v>51.75</v>
      </c>
      <c r="K397" s="44">
        <v>102.139999</v>
      </c>
    </row>
    <row r="398" spans="6:11" x14ac:dyDescent="0.3">
      <c r="F398" s="43">
        <v>38463</v>
      </c>
      <c r="G398" s="44">
        <v>1159.9499510000001</v>
      </c>
      <c r="H398" s="44">
        <v>640.38000499999998</v>
      </c>
      <c r="I398" s="44">
        <v>598.97997999999995</v>
      </c>
      <c r="J398" s="44">
        <v>52.686667999999997</v>
      </c>
      <c r="K398" s="44">
        <v>101.889999</v>
      </c>
    </row>
    <row r="399" spans="6:11" x14ac:dyDescent="0.3">
      <c r="F399" s="43">
        <v>38464</v>
      </c>
      <c r="G399" s="44">
        <v>1152.119995</v>
      </c>
      <c r="H399" s="44">
        <v>634.53997800000002</v>
      </c>
      <c r="I399" s="44">
        <v>589.53002900000001</v>
      </c>
      <c r="J399" s="44">
        <v>52.5</v>
      </c>
      <c r="K399" s="44">
        <v>102.099998</v>
      </c>
    </row>
    <row r="400" spans="6:11" x14ac:dyDescent="0.3">
      <c r="F400" s="43">
        <v>38467</v>
      </c>
      <c r="G400" s="44">
        <v>1162.099976</v>
      </c>
      <c r="H400" s="44">
        <v>642.70001200000002</v>
      </c>
      <c r="I400" s="44">
        <v>596.44000200000005</v>
      </c>
      <c r="J400" s="44">
        <v>52.776668999999998</v>
      </c>
      <c r="K400" s="44">
        <v>102.05999799999999</v>
      </c>
    </row>
    <row r="401" spans="6:11" x14ac:dyDescent="0.3">
      <c r="F401" s="43">
        <v>38468</v>
      </c>
      <c r="G401" s="44">
        <v>1151.829956</v>
      </c>
      <c r="H401" s="44">
        <v>636.10998500000005</v>
      </c>
      <c r="I401" s="44">
        <v>587.65997300000004</v>
      </c>
      <c r="J401" s="44">
        <v>52.116664999999998</v>
      </c>
      <c r="K401" s="44">
        <v>101.80999799999999</v>
      </c>
    </row>
    <row r="402" spans="6:11" x14ac:dyDescent="0.3">
      <c r="F402" s="43">
        <v>38469</v>
      </c>
      <c r="G402" s="44">
        <v>1156.380005</v>
      </c>
      <c r="H402" s="44">
        <v>636.51000999999997</v>
      </c>
      <c r="I402" s="44">
        <v>587.14001499999995</v>
      </c>
      <c r="J402" s="44">
        <v>51.976664999999997</v>
      </c>
      <c r="K402" s="44">
        <v>102.230003</v>
      </c>
    </row>
    <row r="403" spans="6:11" x14ac:dyDescent="0.3">
      <c r="F403" s="43">
        <v>38470</v>
      </c>
      <c r="G403" s="44">
        <v>1143.219971</v>
      </c>
      <c r="H403" s="44">
        <v>628.22997999999995</v>
      </c>
      <c r="I403" s="44">
        <v>575.02002000000005</v>
      </c>
      <c r="J403" s="44">
        <v>51.276668999999998</v>
      </c>
      <c r="K403" s="44">
        <v>102.489998</v>
      </c>
    </row>
    <row r="404" spans="6:11" x14ac:dyDescent="0.3">
      <c r="F404" s="43">
        <v>38471</v>
      </c>
      <c r="G404" s="44">
        <v>1156.849976</v>
      </c>
      <c r="H404" s="44">
        <v>632.76000999999997</v>
      </c>
      <c r="I404" s="44">
        <v>579.38000499999998</v>
      </c>
      <c r="J404" s="44">
        <v>52.099997999999999</v>
      </c>
      <c r="K404" s="44">
        <v>102.32</v>
      </c>
    </row>
    <row r="405" spans="6:11" x14ac:dyDescent="0.3">
      <c r="F405" s="43">
        <v>38474</v>
      </c>
      <c r="G405" s="44">
        <v>1162.160034</v>
      </c>
      <c r="H405" s="44">
        <v>637.48999000000003</v>
      </c>
      <c r="I405" s="44">
        <v>585.85998500000005</v>
      </c>
      <c r="J405" s="44">
        <v>52.083331999999999</v>
      </c>
      <c r="K405" s="44">
        <v>101.989998</v>
      </c>
    </row>
    <row r="406" spans="6:11" x14ac:dyDescent="0.3">
      <c r="F406" s="43">
        <v>38475</v>
      </c>
      <c r="G406" s="44">
        <v>1161.170044</v>
      </c>
      <c r="H406" s="44">
        <v>635.29998799999998</v>
      </c>
      <c r="I406" s="44">
        <v>584.47997999999995</v>
      </c>
      <c r="J406" s="44">
        <v>52.196666999999998</v>
      </c>
      <c r="K406" s="44">
        <v>101.91999800000001</v>
      </c>
    </row>
    <row r="407" spans="6:11" x14ac:dyDescent="0.3">
      <c r="F407" s="43">
        <v>38476</v>
      </c>
      <c r="G407" s="44">
        <v>1175.650024</v>
      </c>
      <c r="H407" s="44">
        <v>643.84997599999997</v>
      </c>
      <c r="I407" s="44">
        <v>595.21997099999999</v>
      </c>
      <c r="J407" s="44">
        <v>52.816665999999998</v>
      </c>
      <c r="K407" s="44">
        <v>102.029999</v>
      </c>
    </row>
    <row r="408" spans="6:11" x14ac:dyDescent="0.3">
      <c r="F408" s="43">
        <v>38477</v>
      </c>
      <c r="G408" s="44">
        <v>1172.630005</v>
      </c>
      <c r="H408" s="44">
        <v>645.36999500000002</v>
      </c>
      <c r="I408" s="44">
        <v>595.64001499999995</v>
      </c>
      <c r="J408" s="44">
        <v>52.893332999999998</v>
      </c>
      <c r="K408" s="44">
        <v>102.099998</v>
      </c>
    </row>
    <row r="409" spans="6:11" x14ac:dyDescent="0.3">
      <c r="F409" s="43">
        <v>38478</v>
      </c>
      <c r="G409" s="44">
        <v>1171.349976</v>
      </c>
      <c r="H409" s="44">
        <v>647.25</v>
      </c>
      <c r="I409" s="44">
        <v>596.52002000000005</v>
      </c>
      <c r="J409" s="44">
        <v>52.663333999999999</v>
      </c>
      <c r="K409" s="44">
        <v>101.720001</v>
      </c>
    </row>
    <row r="410" spans="6:11" x14ac:dyDescent="0.3">
      <c r="F410" s="43">
        <v>38481</v>
      </c>
      <c r="G410" s="44">
        <v>1178.839966</v>
      </c>
      <c r="H410" s="44">
        <v>650.77002000000005</v>
      </c>
      <c r="I410" s="44">
        <v>602.90997300000004</v>
      </c>
      <c r="J410" s="44">
        <v>52.783332999999999</v>
      </c>
      <c r="K410" s="44">
        <v>101.639999</v>
      </c>
    </row>
    <row r="411" spans="6:11" x14ac:dyDescent="0.3">
      <c r="F411" s="43">
        <v>38482</v>
      </c>
      <c r="G411" s="44">
        <v>1166.219971</v>
      </c>
      <c r="H411" s="44">
        <v>646.20001200000002</v>
      </c>
      <c r="I411" s="44">
        <v>595.03997800000002</v>
      </c>
      <c r="J411" s="44">
        <v>52.049999</v>
      </c>
      <c r="K411" s="44">
        <v>101.75</v>
      </c>
    </row>
    <row r="412" spans="6:11" x14ac:dyDescent="0.3">
      <c r="F412" s="43">
        <v>38483</v>
      </c>
      <c r="G412" s="44">
        <v>1171.1099850000001</v>
      </c>
      <c r="H412" s="44">
        <v>648.78002900000001</v>
      </c>
      <c r="I412" s="44">
        <v>595.57000700000003</v>
      </c>
      <c r="J412" s="44">
        <v>52.283332999999999</v>
      </c>
      <c r="K412" s="44">
        <v>101.91999800000001</v>
      </c>
    </row>
    <row r="413" spans="6:11" x14ac:dyDescent="0.3">
      <c r="F413" s="43">
        <v>38484</v>
      </c>
      <c r="G413" s="44">
        <v>1159.3599850000001</v>
      </c>
      <c r="H413" s="44">
        <v>639.79998799999998</v>
      </c>
      <c r="I413" s="44">
        <v>586.89001499999995</v>
      </c>
      <c r="J413" s="44">
        <v>51.633335000000002</v>
      </c>
      <c r="K413" s="44">
        <v>102.160004</v>
      </c>
    </row>
    <row r="414" spans="6:11" x14ac:dyDescent="0.3">
      <c r="F414" s="43">
        <v>38485</v>
      </c>
      <c r="G414" s="44">
        <v>1154.0500489999999</v>
      </c>
      <c r="H414" s="44">
        <v>636.05999799999995</v>
      </c>
      <c r="I414" s="44">
        <v>582.02002000000005</v>
      </c>
      <c r="J414" s="44">
        <v>51.333331999999999</v>
      </c>
      <c r="K414" s="44">
        <v>102.260002</v>
      </c>
    </row>
    <row r="415" spans="6:11" x14ac:dyDescent="0.3">
      <c r="F415" s="43">
        <v>38488</v>
      </c>
      <c r="G415" s="44">
        <v>1165.6899410000001</v>
      </c>
      <c r="H415" s="44">
        <v>644.419983</v>
      </c>
      <c r="I415" s="44">
        <v>591.71002199999998</v>
      </c>
      <c r="J415" s="44">
        <v>51.540000999999997</v>
      </c>
      <c r="K415" s="44">
        <v>102.110001</v>
      </c>
    </row>
    <row r="416" spans="6:11" x14ac:dyDescent="0.3">
      <c r="F416" s="43">
        <v>38489</v>
      </c>
      <c r="G416" s="44">
        <v>1173.8000489999999</v>
      </c>
      <c r="H416" s="44">
        <v>649.94000200000005</v>
      </c>
      <c r="I416" s="44">
        <v>595.27002000000005</v>
      </c>
      <c r="J416" s="44">
        <v>51.533332999999999</v>
      </c>
      <c r="K416" s="44">
        <v>102.230003</v>
      </c>
    </row>
    <row r="417" spans="6:11" x14ac:dyDescent="0.3">
      <c r="F417" s="43">
        <v>38490</v>
      </c>
      <c r="G417" s="44">
        <v>1185.5600589999999</v>
      </c>
      <c r="H417" s="44">
        <v>660.22997999999995</v>
      </c>
      <c r="I417" s="44">
        <v>607.88000499999998</v>
      </c>
      <c r="J417" s="44">
        <v>52.116664999999998</v>
      </c>
      <c r="K417" s="44">
        <v>102.5</v>
      </c>
    </row>
    <row r="418" spans="6:11" x14ac:dyDescent="0.3">
      <c r="F418" s="43">
        <v>38491</v>
      </c>
      <c r="G418" s="44">
        <v>1191.079956</v>
      </c>
      <c r="H418" s="44">
        <v>663.14001499999995</v>
      </c>
      <c r="I418" s="44">
        <v>610.46002199999998</v>
      </c>
      <c r="J418" s="44">
        <v>52.153331999999999</v>
      </c>
      <c r="K418" s="44">
        <v>102.25</v>
      </c>
    </row>
    <row r="419" spans="6:11" x14ac:dyDescent="0.3">
      <c r="F419" s="43">
        <v>38492</v>
      </c>
      <c r="G419" s="44">
        <v>1189.280029</v>
      </c>
      <c r="H419" s="44">
        <v>662.92999299999997</v>
      </c>
      <c r="I419" s="44">
        <v>609.40997300000004</v>
      </c>
      <c r="J419" s="44">
        <v>51.933334000000002</v>
      </c>
      <c r="K419" s="44">
        <v>102.129997</v>
      </c>
    </row>
    <row r="420" spans="6:11" x14ac:dyDescent="0.3">
      <c r="F420" s="43">
        <v>38495</v>
      </c>
      <c r="G420" s="44">
        <v>1193.8599850000001</v>
      </c>
      <c r="H420" s="44">
        <v>667.15002400000003</v>
      </c>
      <c r="I420" s="44">
        <v>612.86999500000002</v>
      </c>
      <c r="J420" s="44">
        <v>52.363334999999999</v>
      </c>
      <c r="K420" s="44">
        <v>102.470001</v>
      </c>
    </row>
    <row r="421" spans="6:11" x14ac:dyDescent="0.3">
      <c r="F421" s="43">
        <v>38496</v>
      </c>
      <c r="G421" s="44">
        <v>1194.0699460000001</v>
      </c>
      <c r="H421" s="44">
        <v>666.669983</v>
      </c>
      <c r="I421" s="44">
        <v>612.95001200000002</v>
      </c>
      <c r="J421" s="44">
        <v>52.226664999999997</v>
      </c>
      <c r="K421" s="44">
        <v>102.650002</v>
      </c>
    </row>
    <row r="422" spans="6:11" x14ac:dyDescent="0.3">
      <c r="F422" s="43">
        <v>38497</v>
      </c>
      <c r="G422" s="44">
        <v>1190.01001</v>
      </c>
      <c r="H422" s="44">
        <v>661.46002199999998</v>
      </c>
      <c r="I422" s="44">
        <v>606.40002400000003</v>
      </c>
      <c r="J422" s="44">
        <v>52.083331999999999</v>
      </c>
      <c r="K422" s="44">
        <v>102.629997</v>
      </c>
    </row>
    <row r="423" spans="6:11" x14ac:dyDescent="0.3">
      <c r="F423" s="43">
        <v>38498</v>
      </c>
      <c r="G423" s="44">
        <v>1197.619995</v>
      </c>
      <c r="H423" s="44">
        <v>667.97997999999995</v>
      </c>
      <c r="I423" s="44">
        <v>614.70001200000002</v>
      </c>
      <c r="J423" s="44">
        <v>52.116664999999998</v>
      </c>
      <c r="K423" s="44">
        <v>102.620003</v>
      </c>
    </row>
    <row r="424" spans="6:11" x14ac:dyDescent="0.3">
      <c r="F424" s="43">
        <v>38499</v>
      </c>
      <c r="G424" s="44">
        <v>1198.780029</v>
      </c>
      <c r="H424" s="44">
        <v>669.94000200000005</v>
      </c>
      <c r="I424" s="44">
        <v>616.90002400000003</v>
      </c>
      <c r="J424" s="44">
        <v>52.333331999999999</v>
      </c>
      <c r="K424" s="44">
        <v>102.550003</v>
      </c>
    </row>
    <row r="425" spans="6:11" x14ac:dyDescent="0.3">
      <c r="F425" s="43">
        <v>38503</v>
      </c>
      <c r="G425" s="44">
        <v>1191.5</v>
      </c>
      <c r="H425" s="44">
        <v>670.04998799999998</v>
      </c>
      <c r="I425" s="44">
        <v>616.71002199999998</v>
      </c>
      <c r="J425" s="44">
        <v>51.650002000000001</v>
      </c>
      <c r="K425" s="44">
        <v>102.83000199999999</v>
      </c>
    </row>
    <row r="426" spans="6:11" x14ac:dyDescent="0.3">
      <c r="F426" s="43">
        <v>38504</v>
      </c>
      <c r="G426" s="44">
        <v>1202.219971</v>
      </c>
      <c r="H426" s="44">
        <v>675.48999000000003</v>
      </c>
      <c r="I426" s="44">
        <v>623.73999000000003</v>
      </c>
      <c r="J426" s="44">
        <v>51.963332999999999</v>
      </c>
      <c r="K426" s="44">
        <v>103.239998</v>
      </c>
    </row>
    <row r="427" spans="6:11" x14ac:dyDescent="0.3">
      <c r="F427" s="43">
        <v>38505</v>
      </c>
      <c r="G427" s="44">
        <v>1204.290039</v>
      </c>
      <c r="H427" s="44">
        <v>678.28002900000001</v>
      </c>
      <c r="I427" s="44">
        <v>625.23999000000003</v>
      </c>
      <c r="J427" s="44">
        <v>52.406666000000001</v>
      </c>
      <c r="K427" s="44">
        <v>103.16999800000001</v>
      </c>
    </row>
    <row r="428" spans="6:11" x14ac:dyDescent="0.3">
      <c r="F428" s="43">
        <v>38506</v>
      </c>
      <c r="G428" s="44">
        <v>1196.0200199999999</v>
      </c>
      <c r="H428" s="44">
        <v>674.580017</v>
      </c>
      <c r="I428" s="44">
        <v>620.29998799999998</v>
      </c>
      <c r="J428" s="44">
        <v>51.916668000000001</v>
      </c>
      <c r="K428" s="44">
        <v>102.910004</v>
      </c>
    </row>
    <row r="429" spans="6:11" x14ac:dyDescent="0.3">
      <c r="F429" s="43">
        <v>38509</v>
      </c>
      <c r="G429" s="44">
        <v>1197.51001</v>
      </c>
      <c r="H429" s="44">
        <v>677.15997300000004</v>
      </c>
      <c r="I429" s="44">
        <v>622.94000200000005</v>
      </c>
      <c r="J429" s="44">
        <v>52.259998000000003</v>
      </c>
      <c r="K429" s="44">
        <v>102.93</v>
      </c>
    </row>
    <row r="430" spans="6:11" x14ac:dyDescent="0.3">
      <c r="F430" s="43">
        <v>38510</v>
      </c>
      <c r="G430" s="44">
        <v>1197.26001</v>
      </c>
      <c r="H430" s="44">
        <v>677.39001499999995</v>
      </c>
      <c r="I430" s="44">
        <v>623.78002900000001</v>
      </c>
      <c r="J430" s="44">
        <v>52.526668999999998</v>
      </c>
      <c r="K430" s="44">
        <v>103.199997</v>
      </c>
    </row>
    <row r="431" spans="6:11" x14ac:dyDescent="0.3">
      <c r="F431" s="43">
        <v>38511</v>
      </c>
      <c r="G431" s="44">
        <v>1194.670044</v>
      </c>
      <c r="H431" s="44">
        <v>674.35998500000005</v>
      </c>
      <c r="I431" s="44">
        <v>620.46997099999999</v>
      </c>
      <c r="J431" s="44">
        <v>52.333331999999999</v>
      </c>
      <c r="K431" s="44">
        <v>103.010002</v>
      </c>
    </row>
    <row r="432" spans="6:11" x14ac:dyDescent="0.3">
      <c r="F432" s="43">
        <v>38512</v>
      </c>
      <c r="G432" s="44">
        <v>1200.9300539999999</v>
      </c>
      <c r="H432" s="44">
        <v>679.65002400000003</v>
      </c>
      <c r="I432" s="44">
        <v>626.22997999999995</v>
      </c>
      <c r="J432" s="44">
        <v>52.540000999999997</v>
      </c>
      <c r="K432" s="44">
        <v>103</v>
      </c>
    </row>
    <row r="433" spans="6:11" x14ac:dyDescent="0.3">
      <c r="F433" s="43">
        <v>38513</v>
      </c>
      <c r="G433" s="44">
        <v>1198.1099850000001</v>
      </c>
      <c r="H433" s="44">
        <v>679.05999799999995</v>
      </c>
      <c r="I433" s="44">
        <v>626.330017</v>
      </c>
      <c r="J433" s="44">
        <v>52.34</v>
      </c>
      <c r="K433" s="44">
        <v>102.599998</v>
      </c>
    </row>
    <row r="434" spans="6:11" x14ac:dyDescent="0.3">
      <c r="F434" s="43">
        <v>38516</v>
      </c>
      <c r="G434" s="44">
        <v>1200.8199460000001</v>
      </c>
      <c r="H434" s="44">
        <v>681.75</v>
      </c>
      <c r="I434" s="44">
        <v>629.02002000000005</v>
      </c>
      <c r="J434" s="44">
        <v>52.16</v>
      </c>
      <c r="K434" s="44">
        <v>102.510002</v>
      </c>
    </row>
    <row r="435" spans="6:11" x14ac:dyDescent="0.3">
      <c r="F435" s="43">
        <v>38517</v>
      </c>
      <c r="G435" s="44">
        <v>1203.910034</v>
      </c>
      <c r="H435" s="44">
        <v>684.13000499999998</v>
      </c>
      <c r="I435" s="44">
        <v>634.39001499999995</v>
      </c>
      <c r="J435" s="44">
        <v>52.099997999999999</v>
      </c>
      <c r="K435" s="44">
        <v>102.379997</v>
      </c>
    </row>
    <row r="436" spans="6:11" x14ac:dyDescent="0.3">
      <c r="F436" s="43">
        <v>38518</v>
      </c>
      <c r="G436" s="44">
        <v>1206.579956</v>
      </c>
      <c r="H436" s="44">
        <v>686.19000200000005</v>
      </c>
      <c r="I436" s="44">
        <v>637.19000200000005</v>
      </c>
      <c r="J436" s="44">
        <v>52.41</v>
      </c>
      <c r="K436" s="44">
        <v>102.32</v>
      </c>
    </row>
    <row r="437" spans="6:11" x14ac:dyDescent="0.3">
      <c r="F437" s="43">
        <v>38519</v>
      </c>
      <c r="G437" s="44">
        <v>1210.959961</v>
      </c>
      <c r="H437" s="44">
        <v>692.11999500000002</v>
      </c>
      <c r="I437" s="44">
        <v>644.03002900000001</v>
      </c>
      <c r="J437" s="44">
        <v>52.580002</v>
      </c>
      <c r="K437" s="44">
        <v>102.629997</v>
      </c>
    </row>
    <row r="438" spans="6:11" x14ac:dyDescent="0.3">
      <c r="F438" s="43">
        <v>38520</v>
      </c>
      <c r="G438" s="44">
        <v>1216.959961</v>
      </c>
      <c r="H438" s="44">
        <v>693.27002000000005</v>
      </c>
      <c r="I438" s="44">
        <v>644.19000200000005</v>
      </c>
      <c r="J438" s="44">
        <v>53.369999</v>
      </c>
      <c r="K438" s="44">
        <v>102.629997</v>
      </c>
    </row>
    <row r="439" spans="6:11" x14ac:dyDescent="0.3">
      <c r="F439" s="43">
        <v>38523</v>
      </c>
      <c r="G439" s="44">
        <v>1216.099976</v>
      </c>
      <c r="H439" s="44">
        <v>691.09002699999996</v>
      </c>
      <c r="I439" s="44">
        <v>641.84002699999996</v>
      </c>
      <c r="J439" s="44">
        <v>52.869999</v>
      </c>
      <c r="K439" s="44">
        <v>102.400002</v>
      </c>
    </row>
    <row r="440" spans="6:11" x14ac:dyDescent="0.3">
      <c r="F440" s="43">
        <v>38524</v>
      </c>
      <c r="G440" s="44">
        <v>1213.6099850000001</v>
      </c>
      <c r="H440" s="44">
        <v>688.88000499999998</v>
      </c>
      <c r="I440" s="44">
        <v>641.03997800000002</v>
      </c>
      <c r="J440" s="44">
        <v>53.27</v>
      </c>
      <c r="K440" s="44">
        <v>102.82</v>
      </c>
    </row>
    <row r="441" spans="6:11" x14ac:dyDescent="0.3">
      <c r="F441" s="43">
        <v>38525</v>
      </c>
      <c r="G441" s="44">
        <v>1213.880005</v>
      </c>
      <c r="H441" s="44">
        <v>689.52002000000005</v>
      </c>
      <c r="I441" s="44">
        <v>643.45001200000002</v>
      </c>
      <c r="J441" s="44">
        <v>53.110000999999997</v>
      </c>
      <c r="K441" s="44">
        <v>103.260002</v>
      </c>
    </row>
    <row r="442" spans="6:11" x14ac:dyDescent="0.3">
      <c r="F442" s="43">
        <v>38526</v>
      </c>
      <c r="G442" s="44">
        <v>1200.7299800000001</v>
      </c>
      <c r="H442" s="44">
        <v>683.32000700000003</v>
      </c>
      <c r="I442" s="44">
        <v>634.11999500000002</v>
      </c>
      <c r="J442" s="44">
        <v>52.509998000000003</v>
      </c>
      <c r="K442" s="44">
        <v>103.160004</v>
      </c>
    </row>
    <row r="443" spans="6:11" x14ac:dyDescent="0.3">
      <c r="F443" s="43">
        <v>38527</v>
      </c>
      <c r="G443" s="44">
        <v>1191.5699460000001</v>
      </c>
      <c r="H443" s="44">
        <v>676.42999299999997</v>
      </c>
      <c r="I443" s="44">
        <v>630.40997300000004</v>
      </c>
      <c r="J443" s="44">
        <v>52.5</v>
      </c>
      <c r="K443" s="44">
        <v>103.32</v>
      </c>
    </row>
    <row r="444" spans="6:11" x14ac:dyDescent="0.3">
      <c r="F444" s="43">
        <v>38530</v>
      </c>
      <c r="G444" s="44">
        <v>1190.6899410000001</v>
      </c>
      <c r="H444" s="44">
        <v>677.580017</v>
      </c>
      <c r="I444" s="44">
        <v>628.30999799999995</v>
      </c>
      <c r="J444" s="44">
        <v>52.380001</v>
      </c>
      <c r="K444" s="44">
        <v>103.400002</v>
      </c>
    </row>
    <row r="445" spans="6:11" x14ac:dyDescent="0.3">
      <c r="F445" s="43">
        <v>38531</v>
      </c>
      <c r="G445" s="44">
        <v>1201.5699460000001</v>
      </c>
      <c r="H445" s="44">
        <v>686.01000999999997</v>
      </c>
      <c r="I445" s="44">
        <v>641.47997999999995</v>
      </c>
      <c r="J445" s="44">
        <v>52.68</v>
      </c>
      <c r="K445" s="44">
        <v>103.099998</v>
      </c>
    </row>
    <row r="446" spans="6:11" x14ac:dyDescent="0.3">
      <c r="F446" s="43">
        <v>38532</v>
      </c>
      <c r="G446" s="44">
        <v>1199.849976</v>
      </c>
      <c r="H446" s="44">
        <v>687.78002900000001</v>
      </c>
      <c r="I446" s="44">
        <v>642.76000999999997</v>
      </c>
      <c r="J446" s="44">
        <v>52.459999000000003</v>
      </c>
      <c r="K446" s="44">
        <v>103.050003</v>
      </c>
    </row>
    <row r="447" spans="6:11" x14ac:dyDescent="0.3">
      <c r="F447" s="43">
        <v>38533</v>
      </c>
      <c r="G447" s="44">
        <v>1191.329956</v>
      </c>
      <c r="H447" s="44">
        <v>684.94000200000005</v>
      </c>
      <c r="I447" s="44">
        <v>639.65997300000004</v>
      </c>
      <c r="J447" s="44">
        <v>52.389999000000003</v>
      </c>
      <c r="K447" s="44">
        <v>103.379997</v>
      </c>
    </row>
    <row r="448" spans="6:11" x14ac:dyDescent="0.3">
      <c r="F448" s="43">
        <v>38534</v>
      </c>
      <c r="G448" s="44">
        <v>1194.4399410000001</v>
      </c>
      <c r="H448" s="44">
        <v>689.88000499999998</v>
      </c>
      <c r="I448" s="44">
        <v>643.03997800000002</v>
      </c>
      <c r="J448" s="44">
        <v>52.32</v>
      </c>
      <c r="K448" s="44">
        <v>102.68</v>
      </c>
    </row>
    <row r="449" spans="6:11" x14ac:dyDescent="0.3">
      <c r="F449" s="43">
        <v>38538</v>
      </c>
      <c r="G449" s="44">
        <v>1204.98999</v>
      </c>
      <c r="H449" s="44">
        <v>696.53002900000001</v>
      </c>
      <c r="I449" s="44">
        <v>653.22997999999995</v>
      </c>
      <c r="J449" s="44">
        <v>52.380001</v>
      </c>
      <c r="K449" s="44">
        <v>102.300003</v>
      </c>
    </row>
    <row r="450" spans="6:11" x14ac:dyDescent="0.3">
      <c r="F450" s="43">
        <v>38539</v>
      </c>
      <c r="G450" s="44">
        <v>1194.9399410000001</v>
      </c>
      <c r="H450" s="44">
        <v>692.03002900000001</v>
      </c>
      <c r="I450" s="44">
        <v>648.27002000000005</v>
      </c>
      <c r="J450" s="44">
        <v>52.240001999999997</v>
      </c>
      <c r="K450" s="44">
        <v>102.459999</v>
      </c>
    </row>
    <row r="451" spans="6:11" x14ac:dyDescent="0.3">
      <c r="F451" s="43">
        <v>38540</v>
      </c>
      <c r="G451" s="44">
        <v>1197.869995</v>
      </c>
      <c r="H451" s="44">
        <v>694.59002699999996</v>
      </c>
      <c r="I451" s="44">
        <v>649.29998799999998</v>
      </c>
      <c r="J451" s="44">
        <v>51.950001</v>
      </c>
      <c r="K451" s="44">
        <v>102.589996</v>
      </c>
    </row>
    <row r="452" spans="6:11" x14ac:dyDescent="0.3">
      <c r="F452" s="43">
        <v>38541</v>
      </c>
      <c r="G452" s="44">
        <v>1211.8599850000001</v>
      </c>
      <c r="H452" s="44">
        <v>702.830017</v>
      </c>
      <c r="I452" s="44">
        <v>662.14001499999995</v>
      </c>
      <c r="J452" s="44">
        <v>52.650002000000001</v>
      </c>
      <c r="K452" s="44">
        <v>102.41999800000001</v>
      </c>
    </row>
    <row r="453" spans="6:11" x14ac:dyDescent="0.3">
      <c r="F453" s="43">
        <v>38544</v>
      </c>
      <c r="G453" s="44">
        <v>1219.4399410000001</v>
      </c>
      <c r="H453" s="44">
        <v>708.63000499999998</v>
      </c>
      <c r="I453" s="44">
        <v>671.73999000000003</v>
      </c>
      <c r="J453" s="44">
        <v>53.029998999999997</v>
      </c>
      <c r="K453" s="44">
        <v>102.43</v>
      </c>
    </row>
    <row r="454" spans="6:11" x14ac:dyDescent="0.3">
      <c r="F454" s="43">
        <v>38545</v>
      </c>
      <c r="G454" s="44">
        <v>1222.209961</v>
      </c>
      <c r="H454" s="44">
        <v>709.69000200000005</v>
      </c>
      <c r="I454" s="44">
        <v>670.78997800000002</v>
      </c>
      <c r="J454" s="44">
        <v>53.580002</v>
      </c>
      <c r="K454" s="44">
        <v>102.379997</v>
      </c>
    </row>
    <row r="455" spans="6:11" x14ac:dyDescent="0.3">
      <c r="F455" s="43">
        <v>38546</v>
      </c>
      <c r="G455" s="44">
        <v>1223.290039</v>
      </c>
      <c r="H455" s="44">
        <v>707.63000499999998</v>
      </c>
      <c r="I455" s="44">
        <v>667.65002400000003</v>
      </c>
      <c r="J455" s="44">
        <v>53.150002000000001</v>
      </c>
      <c r="K455" s="44">
        <v>102.239998</v>
      </c>
    </row>
    <row r="456" spans="6:11" x14ac:dyDescent="0.3">
      <c r="F456" s="43">
        <v>38547</v>
      </c>
      <c r="G456" s="44">
        <v>1226.5</v>
      </c>
      <c r="H456" s="44">
        <v>705.22997999999995</v>
      </c>
      <c r="I456" s="44">
        <v>663.02002000000005</v>
      </c>
      <c r="J456" s="44">
        <v>53.299999</v>
      </c>
      <c r="K456" s="44">
        <v>102.239998</v>
      </c>
    </row>
    <row r="457" spans="6:11" x14ac:dyDescent="0.3">
      <c r="F457" s="43">
        <v>38548</v>
      </c>
      <c r="G457" s="44">
        <v>1227.920044</v>
      </c>
      <c r="H457" s="44">
        <v>706.39001499999995</v>
      </c>
      <c r="I457" s="44">
        <v>663.73999000000003</v>
      </c>
      <c r="J457" s="44">
        <v>53.16</v>
      </c>
      <c r="K457" s="44">
        <v>102.290001</v>
      </c>
    </row>
    <row r="458" spans="6:11" x14ac:dyDescent="0.3">
      <c r="F458" s="43">
        <v>38551</v>
      </c>
      <c r="G458" s="44">
        <v>1221.130005</v>
      </c>
      <c r="H458" s="44">
        <v>704.72997999999995</v>
      </c>
      <c r="I458" s="44">
        <v>658.55999799999995</v>
      </c>
      <c r="J458" s="44">
        <v>53.009998000000003</v>
      </c>
      <c r="K458" s="44">
        <v>102.110001</v>
      </c>
    </row>
    <row r="459" spans="6:11" x14ac:dyDescent="0.3">
      <c r="F459" s="43">
        <v>38552</v>
      </c>
      <c r="G459" s="44">
        <v>1229.349976</v>
      </c>
      <c r="H459" s="44">
        <v>712.32000700000003</v>
      </c>
      <c r="I459" s="44">
        <v>668.85998500000005</v>
      </c>
      <c r="J459" s="44">
        <v>53.130001</v>
      </c>
      <c r="K459" s="44">
        <v>102.160004</v>
      </c>
    </row>
    <row r="460" spans="6:11" x14ac:dyDescent="0.3">
      <c r="F460" s="43">
        <v>38553</v>
      </c>
      <c r="G460" s="44">
        <v>1235.1999510000001</v>
      </c>
      <c r="H460" s="44">
        <v>716.44000200000005</v>
      </c>
      <c r="I460" s="44">
        <v>677.55999799999995</v>
      </c>
      <c r="J460" s="44">
        <v>53.490001999999997</v>
      </c>
      <c r="K460" s="44">
        <v>102.33000199999999</v>
      </c>
    </row>
    <row r="461" spans="6:11" x14ac:dyDescent="0.3">
      <c r="F461" s="43">
        <v>38554</v>
      </c>
      <c r="G461" s="44">
        <v>1227.040039</v>
      </c>
      <c r="H461" s="44">
        <v>709.44000200000005</v>
      </c>
      <c r="I461" s="44">
        <v>667.09997599999997</v>
      </c>
      <c r="J461" s="44">
        <v>53.599997999999999</v>
      </c>
      <c r="K461" s="44">
        <v>101.800003</v>
      </c>
    </row>
    <row r="462" spans="6:11" x14ac:dyDescent="0.3">
      <c r="F462" s="43">
        <v>38555</v>
      </c>
      <c r="G462" s="44">
        <v>1233.6800539999999</v>
      </c>
      <c r="H462" s="44">
        <v>715.71002199999998</v>
      </c>
      <c r="I462" s="44">
        <v>677.78002900000001</v>
      </c>
      <c r="J462" s="44">
        <v>53.549999</v>
      </c>
      <c r="K462" s="44">
        <v>101.949997</v>
      </c>
    </row>
    <row r="463" spans="6:11" x14ac:dyDescent="0.3">
      <c r="F463" s="43">
        <v>38558</v>
      </c>
      <c r="G463" s="44">
        <v>1229.030029</v>
      </c>
      <c r="H463" s="44">
        <v>711.63000499999998</v>
      </c>
      <c r="I463" s="44">
        <v>670.98999000000003</v>
      </c>
      <c r="J463" s="44">
        <v>53.400002000000001</v>
      </c>
      <c r="K463" s="44">
        <v>101.949997</v>
      </c>
    </row>
    <row r="464" spans="6:11" x14ac:dyDescent="0.3">
      <c r="F464" s="43">
        <v>38559</v>
      </c>
      <c r="G464" s="44">
        <v>1231.160034</v>
      </c>
      <c r="H464" s="44">
        <v>714.10998500000005</v>
      </c>
      <c r="I464" s="44">
        <v>674.580017</v>
      </c>
      <c r="J464" s="44">
        <v>53.240001999999997</v>
      </c>
      <c r="K464" s="44">
        <v>102.05999799999999</v>
      </c>
    </row>
    <row r="465" spans="6:11" x14ac:dyDescent="0.3">
      <c r="F465" s="43">
        <v>38560</v>
      </c>
      <c r="G465" s="44">
        <v>1236.790039</v>
      </c>
      <c r="H465" s="44">
        <v>715.73999000000003</v>
      </c>
      <c r="I465" s="44">
        <v>674.88000499999998</v>
      </c>
      <c r="J465" s="44">
        <v>53.849997999999999</v>
      </c>
      <c r="K465" s="44">
        <v>102</v>
      </c>
    </row>
    <row r="466" spans="6:11" x14ac:dyDescent="0.3">
      <c r="F466" s="43">
        <v>38561</v>
      </c>
      <c r="G466" s="44">
        <v>1243.719971</v>
      </c>
      <c r="H466" s="44">
        <v>722.25</v>
      </c>
      <c r="I466" s="44">
        <v>683.03997800000002</v>
      </c>
      <c r="J466" s="44">
        <v>54.220001000000003</v>
      </c>
      <c r="K466" s="44">
        <v>102.300003</v>
      </c>
    </row>
    <row r="467" spans="6:11" x14ac:dyDescent="0.3">
      <c r="F467" s="43">
        <v>38562</v>
      </c>
      <c r="G467" s="44">
        <v>1234.1800539999999</v>
      </c>
      <c r="H467" s="44">
        <v>720.38000499999998</v>
      </c>
      <c r="I467" s="44">
        <v>679.75</v>
      </c>
      <c r="J467" s="44">
        <v>53.959999000000003</v>
      </c>
      <c r="K467" s="44">
        <v>101.980003</v>
      </c>
    </row>
    <row r="468" spans="6:11" x14ac:dyDescent="0.3">
      <c r="F468" s="43">
        <v>38565</v>
      </c>
      <c r="G468" s="44">
        <v>1235.349976</v>
      </c>
      <c r="H468" s="44">
        <v>721.13000499999998</v>
      </c>
      <c r="I468" s="44">
        <v>682.79998799999998</v>
      </c>
      <c r="J468" s="44">
        <v>54.490001999999997</v>
      </c>
      <c r="K468" s="44">
        <v>101.589996</v>
      </c>
    </row>
    <row r="469" spans="6:11" x14ac:dyDescent="0.3">
      <c r="F469" s="43">
        <v>38566</v>
      </c>
      <c r="G469" s="44">
        <v>1244.119995</v>
      </c>
      <c r="H469" s="44">
        <v>725.02002000000005</v>
      </c>
      <c r="I469" s="44">
        <v>688.51000999999997</v>
      </c>
      <c r="J469" s="44">
        <v>54.880001</v>
      </c>
      <c r="K469" s="44">
        <v>101.370003</v>
      </c>
    </row>
    <row r="470" spans="6:11" x14ac:dyDescent="0.3">
      <c r="F470" s="43">
        <v>38567</v>
      </c>
      <c r="G470" s="44">
        <v>1245.040039</v>
      </c>
      <c r="H470" s="44">
        <v>723.11999500000002</v>
      </c>
      <c r="I470" s="44">
        <v>683.38000499999998</v>
      </c>
      <c r="J470" s="44">
        <v>55.290000999999997</v>
      </c>
      <c r="K470" s="44">
        <v>101.699997</v>
      </c>
    </row>
    <row r="471" spans="6:11" x14ac:dyDescent="0.3">
      <c r="F471" s="43">
        <v>38568</v>
      </c>
      <c r="G471" s="44">
        <v>1235.8599850000001</v>
      </c>
      <c r="H471" s="44">
        <v>716.32000700000003</v>
      </c>
      <c r="I471" s="44">
        <v>671.84002699999996</v>
      </c>
      <c r="J471" s="44">
        <v>54.84</v>
      </c>
      <c r="K471" s="44">
        <v>101.599998</v>
      </c>
    </row>
    <row r="472" spans="6:11" x14ac:dyDescent="0.3">
      <c r="F472" s="43">
        <v>38569</v>
      </c>
      <c r="G472" s="44">
        <v>1226.420044</v>
      </c>
      <c r="H472" s="44">
        <v>708.48999000000003</v>
      </c>
      <c r="I472" s="44">
        <v>662.78997800000002</v>
      </c>
      <c r="J472" s="44">
        <v>54.639999000000003</v>
      </c>
      <c r="K472" s="44">
        <v>101.099998</v>
      </c>
    </row>
    <row r="473" spans="6:11" x14ac:dyDescent="0.3">
      <c r="F473" s="43">
        <v>38572</v>
      </c>
      <c r="G473" s="44">
        <v>1223.130005</v>
      </c>
      <c r="H473" s="44">
        <v>704.830017</v>
      </c>
      <c r="I473" s="44">
        <v>659.59997599999997</v>
      </c>
      <c r="J473" s="44">
        <v>54.77</v>
      </c>
      <c r="K473" s="44">
        <v>101.08000199999999</v>
      </c>
    </row>
    <row r="474" spans="6:11" x14ac:dyDescent="0.3">
      <c r="F474" s="43">
        <v>38573</v>
      </c>
      <c r="G474" s="44">
        <v>1231.380005</v>
      </c>
      <c r="H474" s="44">
        <v>707.30999799999995</v>
      </c>
      <c r="I474" s="44">
        <v>660.47997999999995</v>
      </c>
      <c r="J474" s="44">
        <v>55.470001000000003</v>
      </c>
      <c r="K474" s="44">
        <v>101.260002</v>
      </c>
    </row>
    <row r="475" spans="6:11" x14ac:dyDescent="0.3">
      <c r="F475" s="43">
        <v>38574</v>
      </c>
      <c r="G475" s="44">
        <v>1229.130005</v>
      </c>
      <c r="H475" s="44">
        <v>708.20001200000002</v>
      </c>
      <c r="I475" s="44">
        <v>660.15997300000004</v>
      </c>
      <c r="J475" s="44">
        <v>55.849997999999999</v>
      </c>
      <c r="K475" s="44">
        <v>101.269997</v>
      </c>
    </row>
    <row r="476" spans="6:11" x14ac:dyDescent="0.3">
      <c r="F476" s="43">
        <v>38575</v>
      </c>
      <c r="G476" s="44">
        <v>1237.8100589999999</v>
      </c>
      <c r="H476" s="44">
        <v>713.25</v>
      </c>
      <c r="I476" s="44">
        <v>666.36999500000002</v>
      </c>
      <c r="J476" s="44">
        <v>56.75</v>
      </c>
      <c r="K476" s="44">
        <v>101.540001</v>
      </c>
    </row>
    <row r="477" spans="6:11" x14ac:dyDescent="0.3">
      <c r="F477" s="43">
        <v>38576</v>
      </c>
      <c r="G477" s="44">
        <v>1230.3900149999999</v>
      </c>
      <c r="H477" s="44">
        <v>711.77002000000005</v>
      </c>
      <c r="I477" s="44">
        <v>660</v>
      </c>
      <c r="J477" s="44">
        <v>56.400002000000001</v>
      </c>
      <c r="K477" s="44">
        <v>101.83000199999999</v>
      </c>
    </row>
    <row r="478" spans="6:11" x14ac:dyDescent="0.3">
      <c r="F478" s="43">
        <v>38579</v>
      </c>
      <c r="G478" s="44">
        <v>1233.869995</v>
      </c>
      <c r="H478" s="44">
        <v>713.17999299999997</v>
      </c>
      <c r="I478" s="44">
        <v>665.64001499999995</v>
      </c>
      <c r="J478" s="44">
        <v>56.5</v>
      </c>
      <c r="K478" s="44">
        <v>101.739998</v>
      </c>
    </row>
    <row r="479" spans="6:11" x14ac:dyDescent="0.3">
      <c r="F479" s="43">
        <v>38580</v>
      </c>
      <c r="G479" s="44">
        <v>1219.339966</v>
      </c>
      <c r="H479" s="44">
        <v>703.53002900000001</v>
      </c>
      <c r="I479" s="44">
        <v>654.60998500000005</v>
      </c>
      <c r="J479" s="44">
        <v>55.889999000000003</v>
      </c>
      <c r="K479" s="44">
        <v>101.980003</v>
      </c>
    </row>
    <row r="480" spans="6:11" x14ac:dyDescent="0.3">
      <c r="F480" s="43">
        <v>38581</v>
      </c>
      <c r="G480" s="44">
        <v>1220.23999</v>
      </c>
      <c r="H480" s="44">
        <v>703.27002000000005</v>
      </c>
      <c r="I480" s="44">
        <v>654.82000700000003</v>
      </c>
      <c r="J480" s="44">
        <v>55.75</v>
      </c>
      <c r="K480" s="44">
        <v>101.769997</v>
      </c>
    </row>
    <row r="481" spans="6:11" x14ac:dyDescent="0.3">
      <c r="F481" s="43">
        <v>38582</v>
      </c>
      <c r="G481" s="44">
        <v>1219.0200199999999</v>
      </c>
      <c r="H481" s="44">
        <v>701.65002400000003</v>
      </c>
      <c r="I481" s="44">
        <v>651.19000200000005</v>
      </c>
      <c r="J481" s="44">
        <v>55.150002000000001</v>
      </c>
      <c r="K481" s="44">
        <v>102.050003</v>
      </c>
    </row>
    <row r="482" spans="6:11" x14ac:dyDescent="0.3">
      <c r="F482" s="43">
        <v>38583</v>
      </c>
      <c r="G482" s="44">
        <v>1219.709961</v>
      </c>
      <c r="H482" s="44">
        <v>702.95001200000002</v>
      </c>
      <c r="I482" s="44">
        <v>652.51000999999997</v>
      </c>
      <c r="J482" s="44">
        <v>55.419998</v>
      </c>
      <c r="K482" s="44">
        <v>101.949997</v>
      </c>
    </row>
    <row r="483" spans="6:11" x14ac:dyDescent="0.3">
      <c r="F483" s="43">
        <v>38586</v>
      </c>
      <c r="G483" s="44">
        <v>1221.7299800000001</v>
      </c>
      <c r="H483" s="44">
        <v>704.96002199999998</v>
      </c>
      <c r="I483" s="44">
        <v>657.46997099999999</v>
      </c>
      <c r="J483" s="44">
        <v>56.029998999999997</v>
      </c>
      <c r="K483" s="44">
        <v>102.040001</v>
      </c>
    </row>
    <row r="484" spans="6:11" x14ac:dyDescent="0.3">
      <c r="F484" s="43">
        <v>38587</v>
      </c>
      <c r="G484" s="44">
        <v>1217.589966</v>
      </c>
      <c r="H484" s="44">
        <v>703.15997300000004</v>
      </c>
      <c r="I484" s="44">
        <v>655.46997099999999</v>
      </c>
      <c r="J484" s="44">
        <v>55.790000999999997</v>
      </c>
      <c r="K484" s="44">
        <v>102.110001</v>
      </c>
    </row>
    <row r="485" spans="6:11" x14ac:dyDescent="0.3">
      <c r="F485" s="43">
        <v>38588</v>
      </c>
      <c r="G485" s="44">
        <v>1209.589966</v>
      </c>
      <c r="H485" s="44">
        <v>702.35998500000005</v>
      </c>
      <c r="I485" s="44">
        <v>655.01000999999997</v>
      </c>
      <c r="J485" s="44">
        <v>55.200001</v>
      </c>
      <c r="K485" s="44">
        <v>102.239998</v>
      </c>
    </row>
    <row r="486" spans="6:11" x14ac:dyDescent="0.3">
      <c r="F486" s="43">
        <v>38589</v>
      </c>
      <c r="G486" s="44">
        <v>1212.369995</v>
      </c>
      <c r="H486" s="44">
        <v>704.84997599999997</v>
      </c>
      <c r="I486" s="44">
        <v>657.70001200000002</v>
      </c>
      <c r="J486" s="44">
        <v>55.41</v>
      </c>
      <c r="K486" s="44">
        <v>102.239998</v>
      </c>
    </row>
    <row r="487" spans="6:11" x14ac:dyDescent="0.3">
      <c r="F487" s="43">
        <v>38590</v>
      </c>
      <c r="G487" s="44">
        <v>1205.099976</v>
      </c>
      <c r="H487" s="44">
        <v>698.23999000000003</v>
      </c>
      <c r="I487" s="44">
        <v>648.64001499999995</v>
      </c>
      <c r="J487" s="44">
        <v>55.23</v>
      </c>
      <c r="K487" s="44">
        <v>102.160004</v>
      </c>
    </row>
    <row r="488" spans="6:11" x14ac:dyDescent="0.3">
      <c r="F488" s="43">
        <v>38593</v>
      </c>
      <c r="G488" s="44">
        <v>1212.280029</v>
      </c>
      <c r="H488" s="44">
        <v>702.94000200000005</v>
      </c>
      <c r="I488" s="44">
        <v>655.32000700000003</v>
      </c>
      <c r="J488" s="44">
        <v>55.200001</v>
      </c>
      <c r="K488" s="44">
        <v>102.199997</v>
      </c>
    </row>
    <row r="489" spans="6:11" x14ac:dyDescent="0.3">
      <c r="F489" s="43">
        <v>38594</v>
      </c>
      <c r="G489" s="44">
        <v>1208.410034</v>
      </c>
      <c r="H489" s="44">
        <v>700.15002400000003</v>
      </c>
      <c r="I489" s="44">
        <v>653.76000999999997</v>
      </c>
      <c r="J489" s="44">
        <v>55.040000999999997</v>
      </c>
      <c r="K489" s="44">
        <v>102.449997</v>
      </c>
    </row>
    <row r="490" spans="6:11" x14ac:dyDescent="0.3">
      <c r="F490" s="43">
        <v>38595</v>
      </c>
      <c r="G490" s="44">
        <v>1220.329956</v>
      </c>
      <c r="H490" s="44">
        <v>711.48999000000003</v>
      </c>
      <c r="I490" s="44">
        <v>666.51000999999997</v>
      </c>
      <c r="J490" s="44">
        <v>56.029998999999997</v>
      </c>
      <c r="K490" s="44">
        <v>102.849998</v>
      </c>
    </row>
    <row r="491" spans="6:11" x14ac:dyDescent="0.3">
      <c r="F491" s="43">
        <v>38596</v>
      </c>
      <c r="G491" s="44">
        <v>1221.589966</v>
      </c>
      <c r="H491" s="44">
        <v>711.46002199999998</v>
      </c>
      <c r="I491" s="44">
        <v>668.45001200000002</v>
      </c>
      <c r="J491" s="44">
        <v>56.700001</v>
      </c>
      <c r="K491" s="44">
        <v>102.650002</v>
      </c>
    </row>
    <row r="492" spans="6:11" x14ac:dyDescent="0.3">
      <c r="F492" s="43">
        <v>38597</v>
      </c>
      <c r="G492" s="44">
        <v>1218.0200199999999</v>
      </c>
      <c r="H492" s="44">
        <v>707.55999799999995</v>
      </c>
      <c r="I492" s="44">
        <v>663.330017</v>
      </c>
      <c r="J492" s="44">
        <v>56.900002000000001</v>
      </c>
      <c r="K492" s="44">
        <v>102.599998</v>
      </c>
    </row>
    <row r="493" spans="6:11" x14ac:dyDescent="0.3">
      <c r="F493" s="43">
        <v>38601</v>
      </c>
      <c r="G493" s="44">
        <v>1233.3900149999999</v>
      </c>
      <c r="H493" s="44">
        <v>715.21002199999998</v>
      </c>
      <c r="I493" s="44">
        <v>674.47997999999995</v>
      </c>
      <c r="J493" s="44">
        <v>57.599997999999999</v>
      </c>
      <c r="K493" s="44">
        <v>102.400002</v>
      </c>
    </row>
    <row r="494" spans="6:11" x14ac:dyDescent="0.3">
      <c r="F494" s="43">
        <v>38602</v>
      </c>
      <c r="G494" s="44">
        <v>1236.3599850000001</v>
      </c>
      <c r="H494" s="44">
        <v>718.34997599999997</v>
      </c>
      <c r="I494" s="44">
        <v>677.32000700000003</v>
      </c>
      <c r="J494" s="44">
        <v>57.439999</v>
      </c>
      <c r="K494" s="44">
        <v>102.230003</v>
      </c>
    </row>
    <row r="495" spans="6:11" x14ac:dyDescent="0.3">
      <c r="F495" s="43">
        <v>38603</v>
      </c>
      <c r="G495" s="44">
        <v>1231.670044</v>
      </c>
      <c r="H495" s="44">
        <v>714.80999799999995</v>
      </c>
      <c r="I495" s="44">
        <v>673.46997099999999</v>
      </c>
      <c r="J495" s="44">
        <v>57</v>
      </c>
      <c r="K495" s="44">
        <v>102.220001</v>
      </c>
    </row>
    <row r="496" spans="6:11" x14ac:dyDescent="0.3">
      <c r="F496" s="43">
        <v>38604</v>
      </c>
      <c r="G496" s="44">
        <v>1241.4799800000001</v>
      </c>
      <c r="H496" s="44">
        <v>720.55999799999995</v>
      </c>
      <c r="I496" s="44">
        <v>678.04998799999998</v>
      </c>
      <c r="J496" s="44">
        <v>57.75</v>
      </c>
      <c r="K496" s="44">
        <v>102.19000200000001</v>
      </c>
    </row>
    <row r="497" spans="6:11" x14ac:dyDescent="0.3">
      <c r="F497" s="43">
        <v>38607</v>
      </c>
      <c r="G497" s="44">
        <v>1240.5600589999999</v>
      </c>
      <c r="H497" s="44">
        <v>720.84997599999997</v>
      </c>
      <c r="I497" s="44">
        <v>680.82000700000003</v>
      </c>
      <c r="J497" s="44">
        <v>57.299999</v>
      </c>
      <c r="K497" s="44">
        <v>102.050003</v>
      </c>
    </row>
    <row r="498" spans="6:11" x14ac:dyDescent="0.3">
      <c r="F498" s="43">
        <v>38608</v>
      </c>
      <c r="G498" s="44">
        <v>1231.1999510000001</v>
      </c>
      <c r="H498" s="44">
        <v>715.65002400000003</v>
      </c>
      <c r="I498" s="44">
        <v>673.13000499999998</v>
      </c>
      <c r="J498" s="44">
        <v>56.91</v>
      </c>
      <c r="K498" s="44">
        <v>102.300003</v>
      </c>
    </row>
    <row r="499" spans="6:11" x14ac:dyDescent="0.3">
      <c r="F499" s="43">
        <v>38609</v>
      </c>
      <c r="G499" s="44">
        <v>1227.160034</v>
      </c>
      <c r="H499" s="44">
        <v>712.59997599999997</v>
      </c>
      <c r="I499" s="44">
        <v>666.34997599999997</v>
      </c>
      <c r="J499" s="44">
        <v>56.950001</v>
      </c>
      <c r="K499" s="44">
        <v>102.19000200000001</v>
      </c>
    </row>
    <row r="500" spans="6:11" x14ac:dyDescent="0.3">
      <c r="F500" s="43">
        <v>38610</v>
      </c>
      <c r="G500" s="44">
        <v>1227.7299800000001</v>
      </c>
      <c r="H500" s="44">
        <v>712.44000200000005</v>
      </c>
      <c r="I500" s="44">
        <v>665.419983</v>
      </c>
      <c r="J500" s="44">
        <v>56.990001999999997</v>
      </c>
      <c r="K500" s="44">
        <v>101.94000200000001</v>
      </c>
    </row>
    <row r="501" spans="6:11" x14ac:dyDescent="0.3">
      <c r="F501" s="43">
        <v>38611</v>
      </c>
      <c r="G501" s="44">
        <v>1237.910034</v>
      </c>
      <c r="H501" s="44">
        <v>715.85998500000005</v>
      </c>
      <c r="I501" s="44">
        <v>671.97997999999995</v>
      </c>
      <c r="J501" s="44">
        <v>57.630001</v>
      </c>
      <c r="K501" s="44">
        <v>101.709999</v>
      </c>
    </row>
    <row r="502" spans="6:11" x14ac:dyDescent="0.3">
      <c r="F502" s="43">
        <v>38614</v>
      </c>
      <c r="G502" s="44">
        <v>1231.0200199999999</v>
      </c>
      <c r="H502" s="44">
        <v>711.89001499999995</v>
      </c>
      <c r="I502" s="44">
        <v>667.02002000000005</v>
      </c>
      <c r="J502" s="44">
        <v>57.25</v>
      </c>
      <c r="K502" s="44">
        <v>101.800003</v>
      </c>
    </row>
    <row r="503" spans="6:11" x14ac:dyDescent="0.3">
      <c r="F503" s="43">
        <v>38615</v>
      </c>
      <c r="G503" s="44">
        <v>1221.339966</v>
      </c>
      <c r="H503" s="44">
        <v>705.46997099999999</v>
      </c>
      <c r="I503" s="44">
        <v>660.63000499999998</v>
      </c>
      <c r="J503" s="44">
        <v>57.040000999999997</v>
      </c>
      <c r="K503" s="44">
        <v>101.730003</v>
      </c>
    </row>
    <row r="504" spans="6:11" x14ac:dyDescent="0.3">
      <c r="F504" s="43">
        <v>38616</v>
      </c>
      <c r="G504" s="44">
        <v>1210.1999510000001</v>
      </c>
      <c r="H504" s="44">
        <v>696.36999500000002</v>
      </c>
      <c r="I504" s="44">
        <v>649.94000200000005</v>
      </c>
      <c r="J504" s="44">
        <v>57.099997999999999</v>
      </c>
      <c r="K504" s="44">
        <v>101.959999</v>
      </c>
    </row>
    <row r="505" spans="6:11" x14ac:dyDescent="0.3">
      <c r="F505" s="43">
        <v>38617</v>
      </c>
      <c r="G505" s="44">
        <v>1214.619995</v>
      </c>
      <c r="H505" s="44">
        <v>697.89001499999995</v>
      </c>
      <c r="I505" s="44">
        <v>651.15997300000004</v>
      </c>
      <c r="J505" s="44">
        <v>57.040000999999997</v>
      </c>
      <c r="K505" s="44">
        <v>102.050003</v>
      </c>
    </row>
    <row r="506" spans="6:11" x14ac:dyDescent="0.3">
      <c r="F506" s="43">
        <v>38618</v>
      </c>
      <c r="G506" s="44">
        <v>1215.290039</v>
      </c>
      <c r="H506" s="44">
        <v>700.77002000000005</v>
      </c>
      <c r="I506" s="44">
        <v>655.46002199999998</v>
      </c>
      <c r="J506" s="44">
        <v>56.799999</v>
      </c>
      <c r="K506" s="44">
        <v>101.870003</v>
      </c>
    </row>
    <row r="507" spans="6:11" x14ac:dyDescent="0.3">
      <c r="F507" s="43">
        <v>38621</v>
      </c>
      <c r="G507" s="44">
        <v>1215.630005</v>
      </c>
      <c r="H507" s="44">
        <v>704.65002400000003</v>
      </c>
      <c r="I507" s="44">
        <v>660.20001200000002</v>
      </c>
      <c r="J507" s="44">
        <v>57.419998</v>
      </c>
      <c r="K507" s="44">
        <v>101.620003</v>
      </c>
    </row>
    <row r="508" spans="6:11" x14ac:dyDescent="0.3">
      <c r="F508" s="43">
        <v>38622</v>
      </c>
      <c r="G508" s="44">
        <v>1215.660034</v>
      </c>
      <c r="H508" s="44">
        <v>703.96997099999999</v>
      </c>
      <c r="I508" s="44">
        <v>659.169983</v>
      </c>
      <c r="J508" s="44">
        <v>57.200001</v>
      </c>
      <c r="K508" s="44">
        <v>101.550003</v>
      </c>
    </row>
    <row r="509" spans="6:11" x14ac:dyDescent="0.3">
      <c r="F509" s="43">
        <v>38623</v>
      </c>
      <c r="G509" s="44">
        <v>1216.8900149999999</v>
      </c>
      <c r="H509" s="44">
        <v>702.71002199999998</v>
      </c>
      <c r="I509" s="44">
        <v>656.03997800000002</v>
      </c>
      <c r="J509" s="44">
        <v>57.790000999999997</v>
      </c>
      <c r="K509" s="44">
        <v>101.83000199999999</v>
      </c>
    </row>
    <row r="510" spans="6:11" x14ac:dyDescent="0.3">
      <c r="F510" s="43">
        <v>38624</v>
      </c>
      <c r="G510" s="44">
        <v>1227.6800539999999</v>
      </c>
      <c r="H510" s="44">
        <v>711.44000200000005</v>
      </c>
      <c r="I510" s="44">
        <v>665.03002900000001</v>
      </c>
      <c r="J510" s="44">
        <v>58.48</v>
      </c>
      <c r="K510" s="44">
        <v>101.599998</v>
      </c>
    </row>
    <row r="511" spans="6:11" x14ac:dyDescent="0.3">
      <c r="F511" s="43">
        <v>38625</v>
      </c>
      <c r="G511" s="44">
        <v>1228.8100589999999</v>
      </c>
      <c r="H511" s="44">
        <v>716.330017</v>
      </c>
      <c r="I511" s="44">
        <v>667.79998799999998</v>
      </c>
      <c r="J511" s="44">
        <v>58.099997999999999</v>
      </c>
      <c r="K511" s="44">
        <v>101.550003</v>
      </c>
    </row>
    <row r="512" spans="6:11" x14ac:dyDescent="0.3">
      <c r="F512" s="43">
        <v>38628</v>
      </c>
      <c r="G512" s="44">
        <v>1226.6999510000001</v>
      </c>
      <c r="H512" s="44">
        <v>720.34997599999997</v>
      </c>
      <c r="I512" s="44">
        <v>670.54998799999998</v>
      </c>
      <c r="J512" s="44">
        <v>57.900002000000001</v>
      </c>
      <c r="K512" s="44">
        <v>100.870003</v>
      </c>
    </row>
    <row r="513" spans="6:11" x14ac:dyDescent="0.3">
      <c r="F513" s="43">
        <v>38629</v>
      </c>
      <c r="G513" s="44">
        <v>1214.469971</v>
      </c>
      <c r="H513" s="44">
        <v>712.88000499999998</v>
      </c>
      <c r="I513" s="44">
        <v>663.84002699999996</v>
      </c>
      <c r="J513" s="44">
        <v>57.52</v>
      </c>
      <c r="K513" s="44">
        <v>101.010002</v>
      </c>
    </row>
    <row r="514" spans="6:11" x14ac:dyDescent="0.3">
      <c r="F514" s="43">
        <v>38630</v>
      </c>
      <c r="G514" s="44">
        <v>1196.3900149999999</v>
      </c>
      <c r="H514" s="44">
        <v>696.17999299999997</v>
      </c>
      <c r="I514" s="44">
        <v>644.97997999999995</v>
      </c>
      <c r="J514" s="44">
        <v>57.02</v>
      </c>
      <c r="K514" s="44">
        <v>101.16999800000001</v>
      </c>
    </row>
    <row r="515" spans="6:11" x14ac:dyDescent="0.3">
      <c r="F515" s="43">
        <v>38631</v>
      </c>
      <c r="G515" s="44">
        <v>1191.48999</v>
      </c>
      <c r="H515" s="44">
        <v>689.84997599999997</v>
      </c>
      <c r="I515" s="44">
        <v>639.45001200000002</v>
      </c>
      <c r="J515" s="44">
        <v>56.75</v>
      </c>
      <c r="K515" s="44">
        <v>101.099998</v>
      </c>
    </row>
    <row r="516" spans="6:11" x14ac:dyDescent="0.3">
      <c r="F516" s="43">
        <v>38632</v>
      </c>
      <c r="G516" s="44">
        <v>1195.900024</v>
      </c>
      <c r="H516" s="44">
        <v>692.85998500000005</v>
      </c>
      <c r="I516" s="44">
        <v>644.330017</v>
      </c>
      <c r="J516" s="44">
        <v>56.950001</v>
      </c>
      <c r="K516" s="44">
        <v>101</v>
      </c>
    </row>
    <row r="517" spans="6:11" x14ac:dyDescent="0.3">
      <c r="F517" s="43">
        <v>38635</v>
      </c>
      <c r="G517" s="44">
        <v>1187.329956</v>
      </c>
      <c r="H517" s="44">
        <v>687.79998799999998</v>
      </c>
      <c r="I517" s="44">
        <v>637.96997099999999</v>
      </c>
      <c r="J517" s="44">
        <v>56.669998</v>
      </c>
      <c r="K517" s="44">
        <v>101.129997</v>
      </c>
    </row>
    <row r="518" spans="6:11" x14ac:dyDescent="0.3">
      <c r="F518" s="43">
        <v>38636</v>
      </c>
      <c r="G518" s="44">
        <v>1184.869995</v>
      </c>
      <c r="H518" s="44">
        <v>683.90997300000004</v>
      </c>
      <c r="I518" s="44">
        <v>630.080017</v>
      </c>
      <c r="J518" s="44">
        <v>56.740001999999997</v>
      </c>
      <c r="K518" s="44">
        <v>100.83000199999999</v>
      </c>
    </row>
    <row r="519" spans="6:11" x14ac:dyDescent="0.3">
      <c r="F519" s="43">
        <v>38637</v>
      </c>
      <c r="G519" s="44">
        <v>1177.6800539999999</v>
      </c>
      <c r="H519" s="44">
        <v>675.03002900000001</v>
      </c>
      <c r="I519" s="44">
        <v>621.57000700000003</v>
      </c>
      <c r="J519" s="44">
        <v>56.360000999999997</v>
      </c>
      <c r="K519" s="44">
        <v>100.790001</v>
      </c>
    </row>
    <row r="520" spans="6:11" x14ac:dyDescent="0.3">
      <c r="F520" s="43">
        <v>38638</v>
      </c>
      <c r="G520" s="44">
        <v>1176.839966</v>
      </c>
      <c r="H520" s="44">
        <v>672.11999500000002</v>
      </c>
      <c r="I520" s="44">
        <v>623.28002900000001</v>
      </c>
      <c r="J520" s="44">
        <v>56.240001999999997</v>
      </c>
      <c r="K520" s="44">
        <v>100.529999</v>
      </c>
    </row>
    <row r="521" spans="6:11" x14ac:dyDescent="0.3">
      <c r="F521" s="43">
        <v>38639</v>
      </c>
      <c r="G521" s="44">
        <v>1186.5699460000001</v>
      </c>
      <c r="H521" s="44">
        <v>681.11999500000002</v>
      </c>
      <c r="I521" s="44">
        <v>633.15002400000003</v>
      </c>
      <c r="J521" s="44">
        <v>56.77</v>
      </c>
      <c r="K521" s="44">
        <v>100.5</v>
      </c>
    </row>
    <row r="522" spans="6:11" x14ac:dyDescent="0.3">
      <c r="F522" s="43">
        <v>38642</v>
      </c>
      <c r="G522" s="44">
        <v>1190.099976</v>
      </c>
      <c r="H522" s="44">
        <v>684.28997800000002</v>
      </c>
      <c r="I522" s="44">
        <v>633.36999500000002</v>
      </c>
      <c r="J522" s="44">
        <v>56.200001</v>
      </c>
      <c r="K522" s="44">
        <v>100.660004</v>
      </c>
    </row>
    <row r="523" spans="6:11" x14ac:dyDescent="0.3">
      <c r="F523" s="43">
        <v>38643</v>
      </c>
      <c r="G523" s="44">
        <v>1178.1400149999999</v>
      </c>
      <c r="H523" s="44">
        <v>675.96002199999998</v>
      </c>
      <c r="I523" s="44">
        <v>625.35998500000005</v>
      </c>
      <c r="J523" s="44">
        <v>55.549999</v>
      </c>
      <c r="K523" s="44">
        <v>100.620003</v>
      </c>
    </row>
    <row r="524" spans="6:11" x14ac:dyDescent="0.3">
      <c r="F524" s="43">
        <v>38644</v>
      </c>
      <c r="G524" s="44">
        <v>1195.76001</v>
      </c>
      <c r="H524" s="44">
        <v>685.15997300000004</v>
      </c>
      <c r="I524" s="44">
        <v>638.28002900000001</v>
      </c>
      <c r="J524" s="44">
        <v>56</v>
      </c>
      <c r="K524" s="44">
        <v>100.800003</v>
      </c>
    </row>
    <row r="525" spans="6:11" x14ac:dyDescent="0.3">
      <c r="F525" s="43">
        <v>38645</v>
      </c>
      <c r="G525" s="44">
        <v>1177.8000489999999</v>
      </c>
      <c r="H525" s="44">
        <v>676.04998799999998</v>
      </c>
      <c r="I525" s="44">
        <v>627.53997800000002</v>
      </c>
      <c r="J525" s="44">
        <v>54.720001000000003</v>
      </c>
      <c r="K525" s="44">
        <v>100.82</v>
      </c>
    </row>
    <row r="526" spans="6:11" x14ac:dyDescent="0.3">
      <c r="F526" s="43">
        <v>38646</v>
      </c>
      <c r="G526" s="44">
        <v>1179.589966</v>
      </c>
      <c r="H526" s="44">
        <v>682.20001200000002</v>
      </c>
      <c r="I526" s="44">
        <v>632.72997999999995</v>
      </c>
      <c r="J526" s="44">
        <v>54.959999000000003</v>
      </c>
      <c r="K526" s="44">
        <v>101.05999799999999</v>
      </c>
    </row>
    <row r="527" spans="6:11" x14ac:dyDescent="0.3">
      <c r="F527" s="43">
        <v>38649</v>
      </c>
      <c r="G527" s="44">
        <v>1199.380005</v>
      </c>
      <c r="H527" s="44">
        <v>695.42999299999997</v>
      </c>
      <c r="I527" s="44">
        <v>646.59997599999997</v>
      </c>
      <c r="J527" s="44">
        <v>55.82</v>
      </c>
      <c r="K527" s="44">
        <v>100.849998</v>
      </c>
    </row>
    <row r="528" spans="6:11" x14ac:dyDescent="0.3">
      <c r="F528" s="43">
        <v>38650</v>
      </c>
      <c r="G528" s="44">
        <v>1196.540039</v>
      </c>
      <c r="H528" s="44">
        <v>693.90002400000003</v>
      </c>
      <c r="I528" s="44">
        <v>642.72997999999995</v>
      </c>
      <c r="J528" s="44">
        <v>55.880001</v>
      </c>
      <c r="K528" s="44">
        <v>100.550003</v>
      </c>
    </row>
    <row r="529" spans="6:11" x14ac:dyDescent="0.3">
      <c r="F529" s="43">
        <v>38651</v>
      </c>
      <c r="G529" s="44">
        <v>1191.380005</v>
      </c>
      <c r="H529" s="44">
        <v>690.40997300000004</v>
      </c>
      <c r="I529" s="44">
        <v>638.40997300000004</v>
      </c>
      <c r="J529" s="44">
        <v>55.779998999999997</v>
      </c>
      <c r="K529" s="44">
        <v>100.150002</v>
      </c>
    </row>
    <row r="530" spans="6:11" x14ac:dyDescent="0.3">
      <c r="F530" s="43">
        <v>38652</v>
      </c>
      <c r="G530" s="44">
        <v>1178.900024</v>
      </c>
      <c r="H530" s="44">
        <v>678.330017</v>
      </c>
      <c r="I530" s="44">
        <v>624.03002900000001</v>
      </c>
      <c r="J530" s="44">
        <v>55.669998</v>
      </c>
      <c r="K530" s="44">
        <v>100.379997</v>
      </c>
    </row>
    <row r="531" spans="6:11" x14ac:dyDescent="0.3">
      <c r="F531" s="43">
        <v>38653</v>
      </c>
      <c r="G531" s="44">
        <v>1198.410034</v>
      </c>
      <c r="H531" s="44">
        <v>689.51000999999997</v>
      </c>
      <c r="I531" s="44">
        <v>635.330017</v>
      </c>
      <c r="J531" s="44">
        <v>56.150002000000001</v>
      </c>
      <c r="K531" s="44">
        <v>100.220001</v>
      </c>
    </row>
    <row r="532" spans="6:11" x14ac:dyDescent="0.3">
      <c r="F532" s="43">
        <v>38656</v>
      </c>
      <c r="G532" s="44">
        <v>1207.01001</v>
      </c>
      <c r="H532" s="44">
        <v>700.38000499999998</v>
      </c>
      <c r="I532" s="44">
        <v>646.60998500000005</v>
      </c>
      <c r="J532" s="44">
        <v>56.25</v>
      </c>
      <c r="K532" s="44">
        <v>100.209999</v>
      </c>
    </row>
    <row r="533" spans="6:11" x14ac:dyDescent="0.3">
      <c r="F533" s="43">
        <v>38657</v>
      </c>
      <c r="G533" s="44">
        <v>1202.76001</v>
      </c>
      <c r="H533" s="44">
        <v>700.5</v>
      </c>
      <c r="I533" s="44">
        <v>643.02002000000005</v>
      </c>
      <c r="J533" s="44">
        <v>56.73</v>
      </c>
      <c r="K533" s="44">
        <v>99.879997000000003</v>
      </c>
    </row>
    <row r="534" spans="6:11" x14ac:dyDescent="0.3">
      <c r="F534" s="43">
        <v>38658</v>
      </c>
      <c r="G534" s="44">
        <v>1214.76001</v>
      </c>
      <c r="H534" s="44">
        <v>712.78002900000001</v>
      </c>
      <c r="I534" s="44">
        <v>657.04998799999998</v>
      </c>
      <c r="J534" s="44">
        <v>57.509998000000003</v>
      </c>
      <c r="K534" s="44">
        <v>99.790001000000004</v>
      </c>
    </row>
    <row r="535" spans="6:11" x14ac:dyDescent="0.3">
      <c r="F535" s="43">
        <v>38659</v>
      </c>
      <c r="G535" s="44">
        <v>1219.9399410000001</v>
      </c>
      <c r="H535" s="44">
        <v>715.09997599999997</v>
      </c>
      <c r="I535" s="44">
        <v>658.77002000000005</v>
      </c>
      <c r="J535" s="44">
        <v>57.48</v>
      </c>
      <c r="K535" s="44">
        <v>99.449996999999996</v>
      </c>
    </row>
    <row r="536" spans="6:11" x14ac:dyDescent="0.3">
      <c r="F536" s="43">
        <v>38660</v>
      </c>
      <c r="G536" s="44">
        <v>1220.1400149999999</v>
      </c>
      <c r="H536" s="44">
        <v>714.15997300000004</v>
      </c>
      <c r="I536" s="44">
        <v>658.15997300000004</v>
      </c>
      <c r="J536" s="44">
        <v>56.950001</v>
      </c>
      <c r="K536" s="44">
        <v>99.550003000000004</v>
      </c>
    </row>
    <row r="537" spans="6:11" x14ac:dyDescent="0.3">
      <c r="F537" s="43">
        <v>38663</v>
      </c>
      <c r="G537" s="44">
        <v>1222.8100589999999</v>
      </c>
      <c r="H537" s="44">
        <v>715.78002900000001</v>
      </c>
      <c r="I537" s="44">
        <v>661.23999000000003</v>
      </c>
      <c r="J537" s="44">
        <v>57.279998999999997</v>
      </c>
      <c r="K537" s="44">
        <v>99.559997999999993</v>
      </c>
    </row>
    <row r="538" spans="6:11" x14ac:dyDescent="0.3">
      <c r="F538" s="43">
        <v>38664</v>
      </c>
      <c r="G538" s="44">
        <v>1218.589966</v>
      </c>
      <c r="H538" s="44">
        <v>710.53002900000001</v>
      </c>
      <c r="I538" s="44">
        <v>656.22997999999995</v>
      </c>
      <c r="J538" s="44">
        <v>57.139999000000003</v>
      </c>
      <c r="K538" s="44">
        <v>99.900002000000001</v>
      </c>
    </row>
    <row r="539" spans="6:11" x14ac:dyDescent="0.3">
      <c r="F539" s="43">
        <v>38665</v>
      </c>
      <c r="G539" s="44">
        <v>1220.650024</v>
      </c>
      <c r="H539" s="44">
        <v>713.55999799999995</v>
      </c>
      <c r="I539" s="44">
        <v>659.830017</v>
      </c>
      <c r="J539" s="44">
        <v>57.099997999999999</v>
      </c>
      <c r="K539" s="44">
        <v>99.639999000000003</v>
      </c>
    </row>
    <row r="540" spans="6:11" x14ac:dyDescent="0.3">
      <c r="F540" s="43">
        <v>38666</v>
      </c>
      <c r="G540" s="44">
        <v>1230.959961</v>
      </c>
      <c r="H540" s="44">
        <v>716.97997999999995</v>
      </c>
      <c r="I540" s="44">
        <v>664.92999299999997</v>
      </c>
      <c r="J540" s="44">
        <v>57.029998999999997</v>
      </c>
      <c r="K540" s="44">
        <v>99.989998</v>
      </c>
    </row>
    <row r="541" spans="6:11" x14ac:dyDescent="0.3">
      <c r="F541" s="43">
        <v>38667</v>
      </c>
      <c r="G541" s="44">
        <v>1234.719971</v>
      </c>
      <c r="H541" s="44">
        <v>719.46997099999999</v>
      </c>
      <c r="I541" s="44">
        <v>666.65997300000004</v>
      </c>
      <c r="J541" s="44">
        <v>57.330002</v>
      </c>
      <c r="K541" s="44">
        <v>100.089996</v>
      </c>
    </row>
    <row r="542" spans="6:11" x14ac:dyDescent="0.3">
      <c r="F542" s="43">
        <v>38670</v>
      </c>
      <c r="G542" s="44">
        <v>1233.76001</v>
      </c>
      <c r="H542" s="44">
        <v>719.88000499999998</v>
      </c>
      <c r="I542" s="44">
        <v>663.92999299999997</v>
      </c>
      <c r="J542" s="44">
        <v>56.990001999999997</v>
      </c>
      <c r="K542" s="44">
        <v>99.75</v>
      </c>
    </row>
    <row r="543" spans="6:11" x14ac:dyDescent="0.3">
      <c r="F543" s="43">
        <v>38671</v>
      </c>
      <c r="G543" s="44">
        <v>1229.01001</v>
      </c>
      <c r="H543" s="44">
        <v>715.98999000000003</v>
      </c>
      <c r="I543" s="44">
        <v>656.22997999999995</v>
      </c>
      <c r="J543" s="44">
        <v>56.68</v>
      </c>
      <c r="K543" s="44">
        <v>99.889999000000003</v>
      </c>
    </row>
    <row r="544" spans="6:11" x14ac:dyDescent="0.3">
      <c r="F544" s="43">
        <v>38672</v>
      </c>
      <c r="G544" s="44">
        <v>1231.209961</v>
      </c>
      <c r="H544" s="44">
        <v>716.88000499999998</v>
      </c>
      <c r="I544" s="44">
        <v>654.64001499999995</v>
      </c>
      <c r="J544" s="44">
        <v>56.580002</v>
      </c>
      <c r="K544" s="44">
        <v>100.120003</v>
      </c>
    </row>
    <row r="545" spans="6:11" x14ac:dyDescent="0.3">
      <c r="F545" s="43">
        <v>38673</v>
      </c>
      <c r="G545" s="44">
        <v>1242.8000489999999</v>
      </c>
      <c r="H545" s="44">
        <v>727.05999799999995</v>
      </c>
      <c r="I545" s="44">
        <v>667.14001499999995</v>
      </c>
      <c r="J545" s="44">
        <v>57.549999</v>
      </c>
      <c r="K545" s="44">
        <v>100.150002</v>
      </c>
    </row>
    <row r="546" spans="6:11" x14ac:dyDescent="0.3">
      <c r="F546" s="43">
        <v>38674</v>
      </c>
      <c r="G546" s="44">
        <v>1248.2700199999999</v>
      </c>
      <c r="H546" s="44">
        <v>728.90002400000003</v>
      </c>
      <c r="I546" s="44">
        <v>672.21997099999999</v>
      </c>
      <c r="J546" s="44">
        <v>57.950001</v>
      </c>
      <c r="K546" s="44">
        <v>100.110001</v>
      </c>
    </row>
    <row r="547" spans="6:11" x14ac:dyDescent="0.3">
      <c r="F547" s="43">
        <v>38677</v>
      </c>
      <c r="G547" s="44">
        <v>1254.849976</v>
      </c>
      <c r="H547" s="44">
        <v>735.07000700000003</v>
      </c>
      <c r="I547" s="44">
        <v>678.96002199999998</v>
      </c>
      <c r="J547" s="44">
        <v>58.029998999999997</v>
      </c>
      <c r="K547" s="44">
        <v>100.43</v>
      </c>
    </row>
    <row r="548" spans="6:11" x14ac:dyDescent="0.3">
      <c r="F548" s="43">
        <v>38678</v>
      </c>
      <c r="G548" s="44">
        <v>1261.2299800000001</v>
      </c>
      <c r="H548" s="44">
        <v>739.77002000000005</v>
      </c>
      <c r="I548" s="44">
        <v>682.54998799999998</v>
      </c>
      <c r="J548" s="44">
        <v>58.220001000000003</v>
      </c>
      <c r="K548" s="44">
        <v>100.69000200000001</v>
      </c>
    </row>
    <row r="549" spans="6:11" x14ac:dyDescent="0.3">
      <c r="F549" s="43">
        <v>38679</v>
      </c>
      <c r="G549" s="44">
        <v>1265.6099850000001</v>
      </c>
      <c r="H549" s="44">
        <v>741.14001499999995</v>
      </c>
      <c r="I549" s="44">
        <v>683.14001499999995</v>
      </c>
      <c r="J549" s="44">
        <v>58.5</v>
      </c>
      <c r="K549" s="44">
        <v>100.620003</v>
      </c>
    </row>
    <row r="550" spans="6:11" x14ac:dyDescent="0.3">
      <c r="F550" s="43">
        <v>38681</v>
      </c>
      <c r="G550" s="44">
        <v>1268.25</v>
      </c>
      <c r="H550" s="44">
        <v>742.70001200000002</v>
      </c>
      <c r="I550" s="44">
        <v>683.580017</v>
      </c>
      <c r="J550" s="44">
        <v>57.939999</v>
      </c>
      <c r="K550" s="44">
        <v>100.709999</v>
      </c>
    </row>
    <row r="551" spans="6:11" x14ac:dyDescent="0.3">
      <c r="F551" s="43">
        <v>38684</v>
      </c>
      <c r="G551" s="44">
        <v>1257.459961</v>
      </c>
      <c r="H551" s="44">
        <v>730.76000999999997</v>
      </c>
      <c r="I551" s="44">
        <v>671.5</v>
      </c>
      <c r="J551" s="44">
        <v>58.09</v>
      </c>
      <c r="K551" s="44">
        <v>100.57</v>
      </c>
    </row>
    <row r="552" spans="6:11" x14ac:dyDescent="0.3">
      <c r="F552" s="43">
        <v>38685</v>
      </c>
      <c r="G552" s="44">
        <v>1257.4799800000001</v>
      </c>
      <c r="H552" s="44">
        <v>733.65997300000004</v>
      </c>
      <c r="I552" s="44">
        <v>673.69000200000005</v>
      </c>
      <c r="J552" s="44">
        <v>58</v>
      </c>
      <c r="K552" s="44">
        <v>100.43</v>
      </c>
    </row>
    <row r="553" spans="6:11" x14ac:dyDescent="0.3">
      <c r="F553" s="43">
        <v>38686</v>
      </c>
      <c r="G553" s="44">
        <v>1249.4799800000001</v>
      </c>
      <c r="H553" s="44">
        <v>733.65997300000004</v>
      </c>
      <c r="I553" s="44">
        <v>677.28997800000002</v>
      </c>
      <c r="J553" s="44">
        <v>57.549999</v>
      </c>
      <c r="K553" s="44">
        <v>100.220001</v>
      </c>
    </row>
    <row r="554" spans="6:11" x14ac:dyDescent="0.3">
      <c r="F554" s="43">
        <v>38687</v>
      </c>
      <c r="G554" s="44">
        <v>1264.670044</v>
      </c>
      <c r="H554" s="44">
        <v>745.419983</v>
      </c>
      <c r="I554" s="44">
        <v>690.21002199999998</v>
      </c>
      <c r="J554" s="44">
        <v>58.630001</v>
      </c>
      <c r="K554" s="44">
        <v>99.699996999999996</v>
      </c>
    </row>
    <row r="555" spans="6:11" x14ac:dyDescent="0.3">
      <c r="F555" s="43">
        <v>38688</v>
      </c>
      <c r="G555" s="44">
        <v>1265.079956</v>
      </c>
      <c r="H555" s="44">
        <v>745.34002699999996</v>
      </c>
      <c r="I555" s="44">
        <v>690.57000700000003</v>
      </c>
      <c r="J555" s="44">
        <v>58.849997999999999</v>
      </c>
      <c r="K555" s="44">
        <v>99.699996999999996</v>
      </c>
    </row>
    <row r="556" spans="6:11" x14ac:dyDescent="0.3">
      <c r="F556" s="43">
        <v>38691</v>
      </c>
      <c r="G556" s="44">
        <v>1262.089966</v>
      </c>
      <c r="H556" s="44">
        <v>742.21002199999998</v>
      </c>
      <c r="I556" s="44">
        <v>686.57000700000003</v>
      </c>
      <c r="J556" s="44">
        <v>59.110000999999997</v>
      </c>
      <c r="K556" s="44">
        <v>99.75</v>
      </c>
    </row>
    <row r="557" spans="6:11" x14ac:dyDescent="0.3">
      <c r="F557" s="43">
        <v>38692</v>
      </c>
      <c r="G557" s="44">
        <v>1263.6999510000001</v>
      </c>
      <c r="H557" s="44">
        <v>742.03997800000002</v>
      </c>
      <c r="I557" s="44">
        <v>687.580017</v>
      </c>
      <c r="J557" s="44">
        <v>59.290000999999997</v>
      </c>
      <c r="K557" s="44">
        <v>99.919998000000007</v>
      </c>
    </row>
    <row r="558" spans="6:11" x14ac:dyDescent="0.3">
      <c r="F558" s="43">
        <v>38693</v>
      </c>
      <c r="G558" s="44">
        <v>1257.369995</v>
      </c>
      <c r="H558" s="44">
        <v>738.90002400000003</v>
      </c>
      <c r="I558" s="44">
        <v>683.01000999999997</v>
      </c>
      <c r="J558" s="44">
        <v>58.900002000000001</v>
      </c>
      <c r="K558" s="44">
        <v>99.790001000000004</v>
      </c>
    </row>
    <row r="559" spans="6:11" x14ac:dyDescent="0.3">
      <c r="F559" s="43">
        <v>38694</v>
      </c>
      <c r="G559" s="44">
        <v>1255.839966</v>
      </c>
      <c r="H559" s="44">
        <v>741.05999799999995</v>
      </c>
      <c r="I559" s="44">
        <v>685.21997099999999</v>
      </c>
      <c r="J559" s="44">
        <v>58.889999000000003</v>
      </c>
      <c r="K559" s="44">
        <v>100.300003</v>
      </c>
    </row>
    <row r="560" spans="6:11" x14ac:dyDescent="0.3">
      <c r="F560" s="43">
        <v>38695</v>
      </c>
      <c r="G560" s="44">
        <v>1259.369995</v>
      </c>
      <c r="H560" s="44">
        <v>744.53997800000002</v>
      </c>
      <c r="I560" s="44">
        <v>688.77002000000005</v>
      </c>
      <c r="J560" s="44">
        <v>59.48</v>
      </c>
      <c r="K560" s="44">
        <v>99.959998999999996</v>
      </c>
    </row>
    <row r="561" spans="6:11" x14ac:dyDescent="0.3">
      <c r="F561" s="43">
        <v>38698</v>
      </c>
      <c r="G561" s="44">
        <v>1260.4300539999999</v>
      </c>
      <c r="H561" s="44">
        <v>745.21997099999999</v>
      </c>
      <c r="I561" s="44">
        <v>689.53997800000002</v>
      </c>
      <c r="J561" s="44">
        <v>60.23</v>
      </c>
      <c r="K561" s="44">
        <v>99.75</v>
      </c>
    </row>
    <row r="562" spans="6:11" x14ac:dyDescent="0.3">
      <c r="F562" s="43">
        <v>38699</v>
      </c>
      <c r="G562" s="44">
        <v>1267.4300539999999</v>
      </c>
      <c r="H562" s="44">
        <v>746.28997800000002</v>
      </c>
      <c r="I562" s="44">
        <v>689.03002900000001</v>
      </c>
      <c r="J562" s="44">
        <v>60.52</v>
      </c>
      <c r="K562" s="44">
        <v>100.129997</v>
      </c>
    </row>
    <row r="563" spans="6:11" x14ac:dyDescent="0.3">
      <c r="F563" s="43">
        <v>38700</v>
      </c>
      <c r="G563" s="44">
        <v>1272.73999</v>
      </c>
      <c r="H563" s="44">
        <v>749.60998500000005</v>
      </c>
      <c r="I563" s="44">
        <v>690.5</v>
      </c>
      <c r="J563" s="44">
        <v>60.490001999999997</v>
      </c>
      <c r="K563" s="44">
        <v>100.400002</v>
      </c>
    </row>
    <row r="564" spans="6:11" x14ac:dyDescent="0.3">
      <c r="F564" s="43">
        <v>38701</v>
      </c>
      <c r="G564" s="44">
        <v>1270.9399410000001</v>
      </c>
      <c r="H564" s="44">
        <v>745.98999000000003</v>
      </c>
      <c r="I564" s="44">
        <v>684.73999000000003</v>
      </c>
      <c r="J564" s="44">
        <v>59.93</v>
      </c>
      <c r="K564" s="44">
        <v>100.300003</v>
      </c>
    </row>
    <row r="565" spans="6:11" x14ac:dyDescent="0.3">
      <c r="F565" s="43">
        <v>38702</v>
      </c>
      <c r="G565" s="44">
        <v>1267.3199460000001</v>
      </c>
      <c r="H565" s="44">
        <v>742.15997300000004</v>
      </c>
      <c r="I565" s="44">
        <v>683.09002699999996</v>
      </c>
      <c r="J565" s="44">
        <v>60.400002000000001</v>
      </c>
      <c r="K565" s="44">
        <v>100.290001</v>
      </c>
    </row>
    <row r="566" spans="6:11" x14ac:dyDescent="0.3">
      <c r="F566" s="43">
        <v>38705</v>
      </c>
      <c r="G566" s="44">
        <v>1259.920044</v>
      </c>
      <c r="H566" s="44">
        <v>733.90997300000004</v>
      </c>
      <c r="I566" s="44">
        <v>672.25</v>
      </c>
      <c r="J566" s="44">
        <v>60.290000999999997</v>
      </c>
      <c r="K566" s="44">
        <v>100.370003</v>
      </c>
    </row>
    <row r="567" spans="6:11" x14ac:dyDescent="0.3">
      <c r="F567" s="43">
        <v>38706</v>
      </c>
      <c r="G567" s="44">
        <v>1259.619995</v>
      </c>
      <c r="H567" s="44">
        <v>736.14001499999995</v>
      </c>
      <c r="I567" s="44">
        <v>672.78002900000001</v>
      </c>
      <c r="J567" s="44">
        <v>60.299999</v>
      </c>
      <c r="K567" s="44">
        <v>100.400002</v>
      </c>
    </row>
    <row r="568" spans="6:11" x14ac:dyDescent="0.3">
      <c r="F568" s="43">
        <v>38707</v>
      </c>
      <c r="G568" s="44">
        <v>1262.790039</v>
      </c>
      <c r="H568" s="44">
        <v>741.23999000000003</v>
      </c>
      <c r="I568" s="44">
        <v>679.73999000000003</v>
      </c>
      <c r="J568" s="44">
        <v>60.59</v>
      </c>
      <c r="K568" s="44">
        <v>100.400002</v>
      </c>
    </row>
    <row r="569" spans="6:11" x14ac:dyDescent="0.3">
      <c r="F569" s="43">
        <v>38708</v>
      </c>
      <c r="G569" s="44">
        <v>1268.119995</v>
      </c>
      <c r="H569" s="44">
        <v>745.98999000000003</v>
      </c>
      <c r="I569" s="44">
        <v>684.080017</v>
      </c>
      <c r="J569" s="44">
        <v>60.939999</v>
      </c>
      <c r="K569" s="44">
        <v>100.620003</v>
      </c>
    </row>
    <row r="570" spans="6:11" x14ac:dyDescent="0.3">
      <c r="F570" s="43">
        <v>38709</v>
      </c>
      <c r="G570" s="44">
        <v>1268.660034</v>
      </c>
      <c r="H570" s="44">
        <v>748.47997999999995</v>
      </c>
      <c r="I570" s="44">
        <v>686.44000200000005</v>
      </c>
      <c r="J570" s="44">
        <v>59.799999</v>
      </c>
      <c r="K570" s="44">
        <v>100.879997</v>
      </c>
    </row>
    <row r="571" spans="6:11" x14ac:dyDescent="0.3">
      <c r="F571" s="43">
        <v>38713</v>
      </c>
      <c r="G571" s="44">
        <v>1256.540039</v>
      </c>
      <c r="H571" s="44">
        <v>739.25</v>
      </c>
      <c r="I571" s="44">
        <v>676.580017</v>
      </c>
      <c r="J571" s="44">
        <v>59.25</v>
      </c>
      <c r="K571" s="44">
        <v>101.139999</v>
      </c>
    </row>
    <row r="572" spans="6:11" x14ac:dyDescent="0.3">
      <c r="F572" s="43">
        <v>38714</v>
      </c>
      <c r="G572" s="44">
        <v>1258.170044</v>
      </c>
      <c r="H572" s="44">
        <v>744.13000499999998</v>
      </c>
      <c r="I572" s="44">
        <v>680.080017</v>
      </c>
      <c r="J572" s="44">
        <v>59.68</v>
      </c>
      <c r="K572" s="44">
        <v>100.400002</v>
      </c>
    </row>
    <row r="573" spans="6:11" x14ac:dyDescent="0.3">
      <c r="F573" s="43">
        <v>38715</v>
      </c>
      <c r="G573" s="44">
        <v>1254.420044</v>
      </c>
      <c r="H573" s="44">
        <v>742.21002199999998</v>
      </c>
      <c r="I573" s="44">
        <v>677.96002199999998</v>
      </c>
      <c r="J573" s="44">
        <v>59.700001</v>
      </c>
      <c r="K573" s="44">
        <v>100.470001</v>
      </c>
    </row>
    <row r="574" spans="6:11" x14ac:dyDescent="0.3">
      <c r="F574" s="43">
        <v>38716</v>
      </c>
      <c r="G574" s="44">
        <v>1248.290039</v>
      </c>
      <c r="H574" s="44">
        <v>738.04998799999998</v>
      </c>
      <c r="I574" s="44">
        <v>673.21997099999999</v>
      </c>
      <c r="J574" s="44">
        <v>59.43</v>
      </c>
      <c r="K574" s="44">
        <v>100.589996</v>
      </c>
    </row>
    <row r="575" spans="6:11" x14ac:dyDescent="0.3">
      <c r="F575" s="43">
        <v>38720</v>
      </c>
      <c r="G575" s="44">
        <v>1268.8000489999999</v>
      </c>
      <c r="H575" s="44">
        <v>749.02002000000005</v>
      </c>
      <c r="I575" s="44">
        <v>684.04998799999998</v>
      </c>
      <c r="J575" s="44">
        <v>61.419998</v>
      </c>
      <c r="K575" s="44">
        <v>100.639999</v>
      </c>
    </row>
    <row r="576" spans="6:11" x14ac:dyDescent="0.3">
      <c r="F576" s="43">
        <v>38721</v>
      </c>
      <c r="G576" s="44">
        <v>1273.459961</v>
      </c>
      <c r="H576" s="44">
        <v>754.080017</v>
      </c>
      <c r="I576" s="44">
        <v>689.25</v>
      </c>
      <c r="J576" s="44">
        <v>61.93</v>
      </c>
      <c r="K576" s="44">
        <v>100.879997</v>
      </c>
    </row>
    <row r="577" spans="6:11" x14ac:dyDescent="0.3">
      <c r="F577" s="43">
        <v>38722</v>
      </c>
      <c r="G577" s="44">
        <v>1273.4799800000001</v>
      </c>
      <c r="H577" s="44">
        <v>754.29998799999998</v>
      </c>
      <c r="I577" s="44">
        <v>691.77002000000005</v>
      </c>
      <c r="J577" s="44">
        <v>61.619999</v>
      </c>
      <c r="K577" s="44">
        <v>100.879997</v>
      </c>
    </row>
    <row r="578" spans="6:11" x14ac:dyDescent="0.3">
      <c r="F578" s="43">
        <v>38723</v>
      </c>
      <c r="G578" s="44">
        <v>1285.4499510000001</v>
      </c>
      <c r="H578" s="44">
        <v>762.78002900000001</v>
      </c>
      <c r="I578" s="44">
        <v>699.39001499999995</v>
      </c>
      <c r="J578" s="44">
        <v>62.450001</v>
      </c>
      <c r="K578" s="44">
        <v>100.650002</v>
      </c>
    </row>
    <row r="579" spans="6:11" x14ac:dyDescent="0.3">
      <c r="F579" s="43">
        <v>38726</v>
      </c>
      <c r="G579" s="44">
        <v>1290.150024</v>
      </c>
      <c r="H579" s="44">
        <v>768.71002199999998</v>
      </c>
      <c r="I579" s="44">
        <v>706.23999000000003</v>
      </c>
      <c r="J579" s="44">
        <v>62.48</v>
      </c>
      <c r="K579" s="44">
        <v>100.760002</v>
      </c>
    </row>
    <row r="580" spans="6:11" x14ac:dyDescent="0.3">
      <c r="F580" s="43">
        <v>38727</v>
      </c>
      <c r="G580" s="44">
        <v>1289.6899410000001</v>
      </c>
      <c r="H580" s="44">
        <v>771.34002699999996</v>
      </c>
      <c r="I580" s="44">
        <v>710.98999000000003</v>
      </c>
      <c r="J580" s="44">
        <v>61.919998</v>
      </c>
      <c r="K580" s="44">
        <v>100.55999799999999</v>
      </c>
    </row>
    <row r="581" spans="6:11" x14ac:dyDescent="0.3">
      <c r="F581" s="43">
        <v>38728</v>
      </c>
      <c r="G581" s="44">
        <v>1294.1800539999999</v>
      </c>
      <c r="H581" s="44">
        <v>772.40997300000004</v>
      </c>
      <c r="I581" s="44">
        <v>711.19000200000005</v>
      </c>
      <c r="J581" s="44">
        <v>62.450001</v>
      </c>
      <c r="K581" s="44">
        <v>100.489998</v>
      </c>
    </row>
    <row r="582" spans="6:11" x14ac:dyDescent="0.3">
      <c r="F582" s="43">
        <v>38729</v>
      </c>
      <c r="G582" s="44">
        <v>1286.0600589999999</v>
      </c>
      <c r="H582" s="44">
        <v>767.03997800000002</v>
      </c>
      <c r="I582" s="44">
        <v>706.78997800000002</v>
      </c>
      <c r="J582" s="44">
        <v>61.939999</v>
      </c>
      <c r="K582" s="44">
        <v>100.75</v>
      </c>
    </row>
    <row r="583" spans="6:11" x14ac:dyDescent="0.3">
      <c r="F583" s="43">
        <v>38730</v>
      </c>
      <c r="G583" s="44">
        <v>1287.6099850000001</v>
      </c>
      <c r="H583" s="44">
        <v>766.72997999999995</v>
      </c>
      <c r="I583" s="44">
        <v>708.44000200000005</v>
      </c>
      <c r="J583" s="44">
        <v>62.18</v>
      </c>
      <c r="K583" s="44">
        <v>101.029999</v>
      </c>
    </row>
    <row r="584" spans="6:11" x14ac:dyDescent="0.3">
      <c r="F584" s="43">
        <v>38734</v>
      </c>
      <c r="G584" s="44">
        <v>1282.9300539999999</v>
      </c>
      <c r="H584" s="44">
        <v>763.44000200000005</v>
      </c>
      <c r="I584" s="44">
        <v>703.61999500000002</v>
      </c>
      <c r="J584" s="44">
        <v>61.400002000000001</v>
      </c>
      <c r="K584" s="44">
        <v>101.08000199999999</v>
      </c>
    </row>
    <row r="585" spans="6:11" x14ac:dyDescent="0.3">
      <c r="F585" s="43">
        <v>38735</v>
      </c>
      <c r="G585" s="44">
        <v>1277.9300539999999</v>
      </c>
      <c r="H585" s="44">
        <v>761.79998799999998</v>
      </c>
      <c r="I585" s="44">
        <v>703.78002900000001</v>
      </c>
      <c r="J585" s="44">
        <v>60.57</v>
      </c>
      <c r="K585" s="44">
        <v>101.199997</v>
      </c>
    </row>
    <row r="586" spans="6:11" x14ac:dyDescent="0.3">
      <c r="F586" s="43">
        <v>38736</v>
      </c>
      <c r="G586" s="44">
        <v>1285.040039</v>
      </c>
      <c r="H586" s="44">
        <v>771.47997999999995</v>
      </c>
      <c r="I586" s="44">
        <v>714.94000200000005</v>
      </c>
      <c r="J586" s="44">
        <v>61.259998000000003</v>
      </c>
      <c r="K586" s="44">
        <v>101.050003</v>
      </c>
    </row>
    <row r="587" spans="6:11" x14ac:dyDescent="0.3">
      <c r="F587" s="43">
        <v>38737</v>
      </c>
      <c r="G587" s="44">
        <v>1261.48999</v>
      </c>
      <c r="H587" s="44">
        <v>758.60998500000005</v>
      </c>
      <c r="I587" s="44">
        <v>704.59997599999997</v>
      </c>
      <c r="J587" s="44">
        <v>60.330002</v>
      </c>
      <c r="K587" s="44">
        <v>101.099998</v>
      </c>
    </row>
    <row r="588" spans="6:11" x14ac:dyDescent="0.3">
      <c r="F588" s="43">
        <v>38740</v>
      </c>
      <c r="G588" s="44">
        <v>1263.8199460000001</v>
      </c>
      <c r="H588" s="44">
        <v>761.34002699999996</v>
      </c>
      <c r="I588" s="44">
        <v>707.82000700000003</v>
      </c>
      <c r="J588" s="44">
        <v>61.169998</v>
      </c>
      <c r="K588" s="44">
        <v>101.099998</v>
      </c>
    </row>
    <row r="589" spans="6:11" x14ac:dyDescent="0.3">
      <c r="F589" s="43">
        <v>38741</v>
      </c>
      <c r="G589" s="44">
        <v>1266.8599850000001</v>
      </c>
      <c r="H589" s="44">
        <v>767.95001200000002</v>
      </c>
      <c r="I589" s="44">
        <v>718.02002000000005</v>
      </c>
      <c r="J589" s="44">
        <v>61.48</v>
      </c>
      <c r="K589" s="44">
        <v>100.93</v>
      </c>
    </row>
    <row r="590" spans="6:11" x14ac:dyDescent="0.3">
      <c r="F590" s="43">
        <v>38742</v>
      </c>
      <c r="G590" s="44">
        <v>1264.6800539999999</v>
      </c>
      <c r="H590" s="44">
        <v>762.96002199999998</v>
      </c>
      <c r="I590" s="44">
        <v>716.45001200000002</v>
      </c>
      <c r="J590" s="44">
        <v>61.689999</v>
      </c>
      <c r="K590" s="44">
        <v>100.68</v>
      </c>
    </row>
    <row r="591" spans="6:11" x14ac:dyDescent="0.3">
      <c r="F591" s="43">
        <v>38743</v>
      </c>
      <c r="G591" s="44">
        <v>1273.829956</v>
      </c>
      <c r="H591" s="44">
        <v>771.75</v>
      </c>
      <c r="I591" s="44">
        <v>728.47997999999995</v>
      </c>
      <c r="J591" s="44">
        <v>62.419998</v>
      </c>
      <c r="K591" s="44">
        <v>100.370003</v>
      </c>
    </row>
    <row r="592" spans="6:11" x14ac:dyDescent="0.3">
      <c r="F592" s="43">
        <v>38744</v>
      </c>
      <c r="G592" s="44">
        <v>1283.719971</v>
      </c>
      <c r="H592" s="44">
        <v>775.27002000000005</v>
      </c>
      <c r="I592" s="44">
        <v>732.21997099999999</v>
      </c>
      <c r="J592" s="44">
        <v>62.75</v>
      </c>
      <c r="K592" s="44">
        <v>100.5</v>
      </c>
    </row>
    <row r="593" spans="6:11" x14ac:dyDescent="0.3">
      <c r="F593" s="43">
        <v>38747</v>
      </c>
      <c r="G593" s="44">
        <v>1285.1899410000001</v>
      </c>
      <c r="H593" s="44">
        <v>776.55999799999995</v>
      </c>
      <c r="I593" s="44">
        <v>730.86999500000002</v>
      </c>
      <c r="J593" s="44">
        <v>62.799999</v>
      </c>
      <c r="K593" s="44">
        <v>100.510002</v>
      </c>
    </row>
    <row r="594" spans="6:11" x14ac:dyDescent="0.3">
      <c r="F594" s="43">
        <v>38748</v>
      </c>
      <c r="G594" s="44">
        <v>1280.079956</v>
      </c>
      <c r="H594" s="44">
        <v>781.02002000000005</v>
      </c>
      <c r="I594" s="44">
        <v>733.20001200000002</v>
      </c>
      <c r="J594" s="44">
        <v>62.860000999999997</v>
      </c>
      <c r="K594" s="44">
        <v>100.529999</v>
      </c>
    </row>
    <row r="595" spans="6:11" x14ac:dyDescent="0.3">
      <c r="F595" s="43">
        <v>38749</v>
      </c>
      <c r="G595" s="44">
        <v>1282.459961</v>
      </c>
      <c r="H595" s="44">
        <v>781.92999299999997</v>
      </c>
      <c r="I595" s="44">
        <v>735.47997999999995</v>
      </c>
      <c r="J595" s="44">
        <v>63.049999</v>
      </c>
      <c r="K595" s="44">
        <v>99.879997000000003</v>
      </c>
    </row>
    <row r="596" spans="6:11" x14ac:dyDescent="0.3">
      <c r="F596" s="43">
        <v>38750</v>
      </c>
      <c r="G596" s="44">
        <v>1270.839966</v>
      </c>
      <c r="H596" s="44">
        <v>774.98999000000003</v>
      </c>
      <c r="I596" s="44">
        <v>726.25</v>
      </c>
      <c r="J596" s="44">
        <v>62.34</v>
      </c>
      <c r="K596" s="44">
        <v>99.949996999999996</v>
      </c>
    </row>
    <row r="597" spans="6:11" x14ac:dyDescent="0.3">
      <c r="F597" s="43">
        <v>38751</v>
      </c>
      <c r="G597" s="44">
        <v>1264.030029</v>
      </c>
      <c r="H597" s="44">
        <v>772.54998799999998</v>
      </c>
      <c r="I597" s="44">
        <v>724.21997099999999</v>
      </c>
      <c r="J597" s="44">
        <v>62.18</v>
      </c>
      <c r="K597" s="44">
        <v>100.230003</v>
      </c>
    </row>
    <row r="598" spans="6:11" x14ac:dyDescent="0.3">
      <c r="F598" s="43">
        <v>38754</v>
      </c>
      <c r="G598" s="44">
        <v>1265.0200199999999</v>
      </c>
      <c r="H598" s="44">
        <v>776.02002000000005</v>
      </c>
      <c r="I598" s="44">
        <v>727.89001499999995</v>
      </c>
      <c r="J598" s="44">
        <v>62.09</v>
      </c>
      <c r="K598" s="44">
        <v>100.209999</v>
      </c>
    </row>
    <row r="599" spans="6:11" x14ac:dyDescent="0.3">
      <c r="F599" s="43">
        <v>38755</v>
      </c>
      <c r="G599" s="44">
        <v>1254.780029</v>
      </c>
      <c r="H599" s="44">
        <v>765.85998500000005</v>
      </c>
      <c r="I599" s="44">
        <v>717.17999299999997</v>
      </c>
      <c r="J599" s="44">
        <v>61.630001</v>
      </c>
      <c r="K599" s="44">
        <v>100.139999</v>
      </c>
    </row>
    <row r="600" spans="6:11" x14ac:dyDescent="0.3">
      <c r="F600" s="43">
        <v>38756</v>
      </c>
      <c r="G600" s="44">
        <v>1265.650024</v>
      </c>
      <c r="H600" s="44">
        <v>768.26000999999997</v>
      </c>
      <c r="I600" s="44">
        <v>721.15997300000004</v>
      </c>
      <c r="J600" s="44">
        <v>61.849997999999999</v>
      </c>
      <c r="K600" s="44">
        <v>100.089996</v>
      </c>
    </row>
    <row r="601" spans="6:11" x14ac:dyDescent="0.3">
      <c r="F601" s="43">
        <v>38757</v>
      </c>
      <c r="G601" s="44">
        <v>1263.780029</v>
      </c>
      <c r="H601" s="44">
        <v>765.21997099999999</v>
      </c>
      <c r="I601" s="44">
        <v>718.15997300000004</v>
      </c>
      <c r="J601" s="44">
        <v>61.970001000000003</v>
      </c>
      <c r="K601" s="44">
        <v>100.150002</v>
      </c>
    </row>
    <row r="602" spans="6:11" x14ac:dyDescent="0.3">
      <c r="F602" s="43">
        <v>38758</v>
      </c>
      <c r="G602" s="44">
        <v>1266.98999</v>
      </c>
      <c r="H602" s="44">
        <v>765.46997099999999</v>
      </c>
      <c r="I602" s="44">
        <v>717.13000499999998</v>
      </c>
      <c r="J602" s="44">
        <v>61.830002</v>
      </c>
      <c r="K602" s="44">
        <v>99.940002000000007</v>
      </c>
    </row>
    <row r="603" spans="6:11" x14ac:dyDescent="0.3">
      <c r="F603" s="43">
        <v>38761</v>
      </c>
      <c r="G603" s="44">
        <v>1262.8599850000001</v>
      </c>
      <c r="H603" s="44">
        <v>759.52002000000005</v>
      </c>
      <c r="I603" s="44">
        <v>710.53002900000001</v>
      </c>
      <c r="J603" s="44">
        <v>61.400002000000001</v>
      </c>
      <c r="K603" s="44">
        <v>100.010002</v>
      </c>
    </row>
    <row r="604" spans="6:11" x14ac:dyDescent="0.3">
      <c r="F604" s="43">
        <v>38762</v>
      </c>
      <c r="G604" s="44">
        <v>1275.530029</v>
      </c>
      <c r="H604" s="44">
        <v>765.51000999999997</v>
      </c>
      <c r="I604" s="44">
        <v>719.70001200000002</v>
      </c>
      <c r="J604" s="44">
        <v>62.080002</v>
      </c>
      <c r="K604" s="44">
        <v>99.849997999999999</v>
      </c>
    </row>
    <row r="605" spans="6:11" x14ac:dyDescent="0.3">
      <c r="F605" s="43">
        <v>38763</v>
      </c>
      <c r="G605" s="44">
        <v>1280</v>
      </c>
      <c r="H605" s="44">
        <v>767.94000200000005</v>
      </c>
      <c r="I605" s="44">
        <v>725.09997599999997</v>
      </c>
      <c r="J605" s="44">
        <v>61.52</v>
      </c>
      <c r="K605" s="44">
        <v>99.959998999999996</v>
      </c>
    </row>
    <row r="606" spans="6:11" x14ac:dyDescent="0.3">
      <c r="F606" s="43">
        <v>38764</v>
      </c>
      <c r="G606" s="44">
        <v>1289.380005</v>
      </c>
      <c r="H606" s="44">
        <v>774.72997999999995</v>
      </c>
      <c r="I606" s="44">
        <v>731.919983</v>
      </c>
      <c r="J606" s="44">
        <v>62.110000999999997</v>
      </c>
      <c r="K606" s="44">
        <v>99.860000999999997</v>
      </c>
    </row>
    <row r="607" spans="6:11" x14ac:dyDescent="0.3">
      <c r="F607" s="43">
        <v>38765</v>
      </c>
      <c r="G607" s="44">
        <v>1287.23999</v>
      </c>
      <c r="H607" s="44">
        <v>774.60998500000005</v>
      </c>
      <c r="I607" s="44">
        <v>730.94000200000005</v>
      </c>
      <c r="J607" s="44">
        <v>61.93</v>
      </c>
      <c r="K607" s="44">
        <v>100.269997</v>
      </c>
    </row>
    <row r="608" spans="6:11" x14ac:dyDescent="0.3">
      <c r="F608" s="43">
        <v>38769</v>
      </c>
      <c r="G608" s="44">
        <v>1283.030029</v>
      </c>
      <c r="H608" s="44">
        <v>772.59997599999997</v>
      </c>
      <c r="I608" s="44">
        <v>726.78002900000001</v>
      </c>
      <c r="J608" s="44">
        <v>61.939999</v>
      </c>
      <c r="K608" s="44">
        <v>99.900002000000001</v>
      </c>
    </row>
    <row r="609" spans="6:11" x14ac:dyDescent="0.3">
      <c r="F609" s="43">
        <v>38770</v>
      </c>
      <c r="G609" s="44">
        <v>1292.670044</v>
      </c>
      <c r="H609" s="44">
        <v>779.44000200000005</v>
      </c>
      <c r="I609" s="44">
        <v>733.53002900000001</v>
      </c>
      <c r="J609" s="44">
        <v>62.41</v>
      </c>
      <c r="K609" s="44">
        <v>100.300003</v>
      </c>
    </row>
    <row r="610" spans="6:11" x14ac:dyDescent="0.3">
      <c r="F610" s="43">
        <v>38771</v>
      </c>
      <c r="G610" s="44">
        <v>1287.790039</v>
      </c>
      <c r="H610" s="44">
        <v>777.29998799999998</v>
      </c>
      <c r="I610" s="44">
        <v>732.45001200000002</v>
      </c>
      <c r="J610" s="44">
        <v>62.57</v>
      </c>
      <c r="K610" s="44">
        <v>100.239998</v>
      </c>
    </row>
    <row r="611" spans="6:11" x14ac:dyDescent="0.3">
      <c r="F611" s="43">
        <v>38772</v>
      </c>
      <c r="G611" s="44">
        <v>1289.4300539999999</v>
      </c>
      <c r="H611" s="44">
        <v>780.65002400000003</v>
      </c>
      <c r="I611" s="44">
        <v>736.59997599999997</v>
      </c>
      <c r="J611" s="44">
        <v>62.779998999999997</v>
      </c>
      <c r="K611" s="44">
        <v>100.32</v>
      </c>
    </row>
    <row r="612" spans="6:11" x14ac:dyDescent="0.3">
      <c r="F612" s="43">
        <v>38775</v>
      </c>
      <c r="G612" s="44">
        <v>1294.119995</v>
      </c>
      <c r="H612" s="44">
        <v>782.39001499999995</v>
      </c>
      <c r="I612" s="44">
        <v>740.63000499999998</v>
      </c>
      <c r="J612" s="44">
        <v>63</v>
      </c>
      <c r="K612" s="44">
        <v>100.110001</v>
      </c>
    </row>
    <row r="613" spans="6:11" x14ac:dyDescent="0.3">
      <c r="F613" s="43">
        <v>38776</v>
      </c>
      <c r="G613" s="44">
        <v>1280.660034</v>
      </c>
      <c r="H613" s="44">
        <v>773.59997599999997</v>
      </c>
      <c r="I613" s="44">
        <v>730.64001499999995</v>
      </c>
      <c r="J613" s="44">
        <v>62.419998</v>
      </c>
      <c r="K613" s="44">
        <v>100.32</v>
      </c>
    </row>
    <row r="614" spans="6:11" x14ac:dyDescent="0.3">
      <c r="F614" s="43">
        <v>38777</v>
      </c>
      <c r="G614" s="44">
        <v>1291.23999</v>
      </c>
      <c r="H614" s="44">
        <v>785.15002400000003</v>
      </c>
      <c r="I614" s="44">
        <v>742.34997599999997</v>
      </c>
      <c r="J614" s="44">
        <v>63.060001</v>
      </c>
      <c r="K614" s="44">
        <v>99.949996999999996</v>
      </c>
    </row>
    <row r="615" spans="6:11" x14ac:dyDescent="0.3">
      <c r="F615" s="43">
        <v>38778</v>
      </c>
      <c r="G615" s="44">
        <v>1289.1400149999999</v>
      </c>
      <c r="H615" s="44">
        <v>782.30999799999995</v>
      </c>
      <c r="I615" s="44">
        <v>740.15997300000004</v>
      </c>
      <c r="J615" s="44">
        <v>62.939999</v>
      </c>
      <c r="K615" s="44">
        <v>99.699996999999996</v>
      </c>
    </row>
    <row r="616" spans="6:11" x14ac:dyDescent="0.3">
      <c r="F616" s="43">
        <v>38779</v>
      </c>
      <c r="G616" s="44">
        <v>1287.2299800000001</v>
      </c>
      <c r="H616" s="44">
        <v>779.86999500000002</v>
      </c>
      <c r="I616" s="44">
        <v>738.44000200000005</v>
      </c>
      <c r="J616" s="44">
        <v>62.68</v>
      </c>
      <c r="K616" s="44">
        <v>99.5</v>
      </c>
    </row>
    <row r="617" spans="6:11" x14ac:dyDescent="0.3">
      <c r="F617" s="43">
        <v>38782</v>
      </c>
      <c r="G617" s="44">
        <v>1278.26001</v>
      </c>
      <c r="H617" s="44">
        <v>772.34002699999996</v>
      </c>
      <c r="I617" s="44">
        <v>731.15997300000004</v>
      </c>
      <c r="J617" s="44">
        <v>62.439999</v>
      </c>
      <c r="K617" s="44">
        <v>98.949996999999996</v>
      </c>
    </row>
    <row r="618" spans="6:11" x14ac:dyDescent="0.3">
      <c r="F618" s="43">
        <v>38783</v>
      </c>
      <c r="G618" s="44">
        <v>1275.880005</v>
      </c>
      <c r="H618" s="44">
        <v>763.330017</v>
      </c>
      <c r="I618" s="44">
        <v>721.05999799999995</v>
      </c>
      <c r="J618" s="44">
        <v>61.68</v>
      </c>
      <c r="K618" s="44">
        <v>99.199996999999996</v>
      </c>
    </row>
    <row r="619" spans="6:11" x14ac:dyDescent="0.3">
      <c r="F619" s="43">
        <v>38784</v>
      </c>
      <c r="G619" s="44">
        <v>1278.469971</v>
      </c>
      <c r="H619" s="44">
        <v>763.86999500000002</v>
      </c>
      <c r="I619" s="44">
        <v>721.84002699999996</v>
      </c>
      <c r="J619" s="44">
        <v>61.889999000000003</v>
      </c>
      <c r="K619" s="44">
        <v>99.25</v>
      </c>
    </row>
    <row r="620" spans="6:11" x14ac:dyDescent="0.3">
      <c r="F620" s="43">
        <v>38785</v>
      </c>
      <c r="G620" s="44">
        <v>1272.2299800000001</v>
      </c>
      <c r="H620" s="44">
        <v>760.26000999999997</v>
      </c>
      <c r="I620" s="44">
        <v>718.28002900000001</v>
      </c>
      <c r="J620" s="44">
        <v>61.82</v>
      </c>
      <c r="K620" s="44">
        <v>99.120002999999997</v>
      </c>
    </row>
    <row r="621" spans="6:11" x14ac:dyDescent="0.3">
      <c r="F621" s="43">
        <v>38786</v>
      </c>
      <c r="G621" s="44">
        <v>1281.420044</v>
      </c>
      <c r="H621" s="44">
        <v>765.20001200000002</v>
      </c>
      <c r="I621" s="44">
        <v>726.34002699999996</v>
      </c>
      <c r="J621" s="44">
        <v>62.759998000000003</v>
      </c>
      <c r="K621" s="44">
        <v>99.160004000000001</v>
      </c>
    </row>
    <row r="622" spans="6:11" x14ac:dyDescent="0.3">
      <c r="F622" s="43">
        <v>38789</v>
      </c>
      <c r="G622" s="44">
        <v>1284.130005</v>
      </c>
      <c r="H622" s="44">
        <v>768.53997800000002</v>
      </c>
      <c r="I622" s="44">
        <v>728.03997800000002</v>
      </c>
      <c r="J622" s="44">
        <v>63.279998999999997</v>
      </c>
      <c r="K622" s="44">
        <v>99.339995999999999</v>
      </c>
    </row>
    <row r="623" spans="6:11" x14ac:dyDescent="0.3">
      <c r="F623" s="43">
        <v>38790</v>
      </c>
      <c r="G623" s="44">
        <v>1297.4799800000001</v>
      </c>
      <c r="H623" s="44">
        <v>776.70001200000002</v>
      </c>
      <c r="I623" s="44">
        <v>736.09997599999997</v>
      </c>
      <c r="J623" s="44">
        <v>63.950001</v>
      </c>
      <c r="K623" s="44">
        <v>99.669998000000007</v>
      </c>
    </row>
    <row r="624" spans="6:11" x14ac:dyDescent="0.3">
      <c r="F624" s="43">
        <v>38791</v>
      </c>
      <c r="G624" s="44">
        <v>1303.0200199999999</v>
      </c>
      <c r="H624" s="44">
        <v>782.13000499999998</v>
      </c>
      <c r="I624" s="44">
        <v>742.94000200000005</v>
      </c>
      <c r="J624" s="44">
        <v>64.180000000000007</v>
      </c>
      <c r="K624" s="44">
        <v>99.400002000000001</v>
      </c>
    </row>
    <row r="625" spans="6:11" x14ac:dyDescent="0.3">
      <c r="F625" s="43">
        <v>38792</v>
      </c>
      <c r="G625" s="44">
        <v>1305.329956</v>
      </c>
      <c r="H625" s="44">
        <v>782.51000999999997</v>
      </c>
      <c r="I625" s="44">
        <v>743.78997800000002</v>
      </c>
      <c r="J625" s="44">
        <v>64.389999000000003</v>
      </c>
      <c r="K625" s="44">
        <v>99.82</v>
      </c>
    </row>
    <row r="626" spans="6:11" x14ac:dyDescent="0.3">
      <c r="F626" s="43">
        <v>38793</v>
      </c>
      <c r="G626" s="44">
        <v>1307.25</v>
      </c>
      <c r="H626" s="44">
        <v>784.59002699999996</v>
      </c>
      <c r="I626" s="44">
        <v>746.09002699999996</v>
      </c>
      <c r="J626" s="44">
        <v>64.699996999999996</v>
      </c>
      <c r="K626" s="44">
        <v>99.599997999999999</v>
      </c>
    </row>
    <row r="627" spans="6:11" x14ac:dyDescent="0.3">
      <c r="F627" s="43">
        <v>38796</v>
      </c>
      <c r="G627" s="44">
        <v>1305.079956</v>
      </c>
      <c r="H627" s="44">
        <v>781.94000200000005</v>
      </c>
      <c r="I627" s="44">
        <v>745.61999500000002</v>
      </c>
      <c r="J627" s="44">
        <v>64.830001999999993</v>
      </c>
      <c r="K627" s="44">
        <v>99.559997999999993</v>
      </c>
    </row>
    <row r="628" spans="6:11" x14ac:dyDescent="0.3">
      <c r="F628" s="43">
        <v>38797</v>
      </c>
      <c r="G628" s="44">
        <v>1297.2299800000001</v>
      </c>
      <c r="H628" s="44">
        <v>775.28002900000001</v>
      </c>
      <c r="I628" s="44">
        <v>736.09997599999997</v>
      </c>
      <c r="J628" s="44">
        <v>64.160004000000001</v>
      </c>
      <c r="K628" s="44">
        <v>99.300003000000004</v>
      </c>
    </row>
    <row r="629" spans="6:11" x14ac:dyDescent="0.3">
      <c r="F629" s="43">
        <v>38798</v>
      </c>
      <c r="G629" s="44">
        <v>1305.040039</v>
      </c>
      <c r="H629" s="44">
        <v>781.330017</v>
      </c>
      <c r="I629" s="44">
        <v>744.84997599999997</v>
      </c>
      <c r="J629" s="44">
        <v>64.760002</v>
      </c>
      <c r="K629" s="44">
        <v>99.480002999999996</v>
      </c>
    </row>
    <row r="630" spans="6:11" x14ac:dyDescent="0.3">
      <c r="F630" s="43">
        <v>38799</v>
      </c>
      <c r="G630" s="44">
        <v>1301.670044</v>
      </c>
      <c r="H630" s="44">
        <v>782.28002900000001</v>
      </c>
      <c r="I630" s="44">
        <v>747.59997599999997</v>
      </c>
      <c r="J630" s="44">
        <v>63.98</v>
      </c>
      <c r="K630" s="44">
        <v>99.400002000000001</v>
      </c>
    </row>
    <row r="631" spans="6:11" x14ac:dyDescent="0.3">
      <c r="F631" s="43">
        <v>38800</v>
      </c>
      <c r="G631" s="44">
        <v>1302.9499510000001</v>
      </c>
      <c r="H631" s="44">
        <v>786.28997800000002</v>
      </c>
      <c r="I631" s="44">
        <v>753.830017</v>
      </c>
      <c r="J631" s="44">
        <v>64.489998</v>
      </c>
      <c r="K631" s="44">
        <v>99.57</v>
      </c>
    </row>
    <row r="632" spans="6:11" x14ac:dyDescent="0.3">
      <c r="F632" s="43">
        <v>38803</v>
      </c>
      <c r="G632" s="44">
        <v>1301.6099850000001</v>
      </c>
      <c r="H632" s="44">
        <v>785.94000200000005</v>
      </c>
      <c r="I632" s="44">
        <v>754.03002900000001</v>
      </c>
      <c r="J632" s="44">
        <v>64.379997000000003</v>
      </c>
      <c r="K632" s="44">
        <v>99.650002000000001</v>
      </c>
    </row>
    <row r="633" spans="6:11" x14ac:dyDescent="0.3">
      <c r="F633" s="43">
        <v>38804</v>
      </c>
      <c r="G633" s="44">
        <v>1293.2299800000001</v>
      </c>
      <c r="H633" s="44">
        <v>783.53002900000001</v>
      </c>
      <c r="I633" s="44">
        <v>751.27002000000005</v>
      </c>
      <c r="J633" s="44">
        <v>63.759998000000003</v>
      </c>
      <c r="K633" s="44">
        <v>99.400002000000001</v>
      </c>
    </row>
    <row r="634" spans="6:11" x14ac:dyDescent="0.3">
      <c r="F634" s="43">
        <v>38805</v>
      </c>
      <c r="G634" s="44">
        <v>1302.8900149999999</v>
      </c>
      <c r="H634" s="44">
        <v>791.64001499999995</v>
      </c>
      <c r="I634" s="44">
        <v>764.169983</v>
      </c>
      <c r="J634" s="44">
        <v>64.599997999999999</v>
      </c>
      <c r="K634" s="44">
        <v>99.199996999999996</v>
      </c>
    </row>
    <row r="635" spans="6:11" x14ac:dyDescent="0.3">
      <c r="F635" s="43">
        <v>38806</v>
      </c>
      <c r="G635" s="44">
        <v>1300.25</v>
      </c>
      <c r="H635" s="44">
        <v>791.84997599999997</v>
      </c>
      <c r="I635" s="44">
        <v>762.59002699999996</v>
      </c>
      <c r="J635" s="44">
        <v>65.379997000000003</v>
      </c>
      <c r="K635" s="44">
        <v>98.75</v>
      </c>
    </row>
    <row r="636" spans="6:11" x14ac:dyDescent="0.3">
      <c r="F636" s="43">
        <v>38807</v>
      </c>
      <c r="G636" s="44">
        <v>1294.869995</v>
      </c>
      <c r="H636" s="44">
        <v>792.10998500000005</v>
      </c>
      <c r="I636" s="44">
        <v>765.14001499999995</v>
      </c>
      <c r="J636" s="44">
        <v>64.919998000000007</v>
      </c>
      <c r="K636" s="44">
        <v>99.080001999999993</v>
      </c>
    </row>
    <row r="637" spans="6:11" x14ac:dyDescent="0.3">
      <c r="F637" s="43">
        <v>38810</v>
      </c>
      <c r="G637" s="44">
        <v>1297.8100589999999</v>
      </c>
      <c r="H637" s="44">
        <v>791.10998500000005</v>
      </c>
      <c r="I637" s="44">
        <v>759.21997099999999</v>
      </c>
      <c r="J637" s="44">
        <v>65.629997000000003</v>
      </c>
      <c r="K637" s="44">
        <v>98.599997999999999</v>
      </c>
    </row>
    <row r="638" spans="6:11" x14ac:dyDescent="0.3">
      <c r="F638" s="43">
        <v>38811</v>
      </c>
      <c r="G638" s="44">
        <v>1305.9300539999999</v>
      </c>
      <c r="H638" s="44">
        <v>793.65002400000003</v>
      </c>
      <c r="I638" s="44">
        <v>762.32000700000003</v>
      </c>
      <c r="J638" s="44">
        <v>66.150002000000001</v>
      </c>
      <c r="K638" s="44">
        <v>98.730002999999996</v>
      </c>
    </row>
    <row r="639" spans="6:11" x14ac:dyDescent="0.3">
      <c r="F639" s="43">
        <v>38812</v>
      </c>
      <c r="G639" s="44">
        <v>1311.5600589999999</v>
      </c>
      <c r="H639" s="44">
        <v>799.51000999999997</v>
      </c>
      <c r="I639" s="44">
        <v>766.26000999999997</v>
      </c>
      <c r="J639" s="44">
        <v>66.370002999999997</v>
      </c>
      <c r="K639" s="44">
        <v>98.800003000000004</v>
      </c>
    </row>
    <row r="640" spans="6:11" x14ac:dyDescent="0.3">
      <c r="F640" s="43">
        <v>38813</v>
      </c>
      <c r="G640" s="44">
        <v>1309.040039</v>
      </c>
      <c r="H640" s="44">
        <v>799.90002400000003</v>
      </c>
      <c r="I640" s="44">
        <v>766.22997999999995</v>
      </c>
      <c r="J640" s="44">
        <v>66.430000000000007</v>
      </c>
      <c r="K640" s="44">
        <v>98.720000999999996</v>
      </c>
    </row>
    <row r="641" spans="6:11" x14ac:dyDescent="0.3">
      <c r="F641" s="43">
        <v>38814</v>
      </c>
      <c r="G641" s="44">
        <v>1295.5</v>
      </c>
      <c r="H641" s="44">
        <v>792.03997800000002</v>
      </c>
      <c r="I641" s="44">
        <v>756.13000499999998</v>
      </c>
      <c r="J641" s="44">
        <v>65.669998000000007</v>
      </c>
      <c r="K641" s="44">
        <v>98.389999000000003</v>
      </c>
    </row>
    <row r="642" spans="6:11" x14ac:dyDescent="0.3">
      <c r="F642" s="43">
        <v>38817</v>
      </c>
      <c r="G642" s="44">
        <v>1296.619995</v>
      </c>
      <c r="H642" s="44">
        <v>789.20001200000002</v>
      </c>
      <c r="I642" s="44">
        <v>752.95001200000002</v>
      </c>
      <c r="J642" s="44">
        <v>65.790001000000004</v>
      </c>
      <c r="K642" s="44">
        <v>98.300003000000004</v>
      </c>
    </row>
    <row r="643" spans="6:11" x14ac:dyDescent="0.3">
      <c r="F643" s="43">
        <v>38818</v>
      </c>
      <c r="G643" s="44">
        <v>1286.5699460000001</v>
      </c>
      <c r="H643" s="44">
        <v>781.330017</v>
      </c>
      <c r="I643" s="44">
        <v>742.10998500000005</v>
      </c>
      <c r="J643" s="44">
        <v>65.349997999999999</v>
      </c>
      <c r="K643" s="44">
        <v>98.5</v>
      </c>
    </row>
    <row r="644" spans="6:11" x14ac:dyDescent="0.3">
      <c r="F644" s="43">
        <v>38819</v>
      </c>
      <c r="G644" s="44">
        <v>1288.119995</v>
      </c>
      <c r="H644" s="44">
        <v>783.65997300000004</v>
      </c>
      <c r="I644" s="44">
        <v>747.77002000000005</v>
      </c>
      <c r="J644" s="44">
        <v>65.029999000000004</v>
      </c>
      <c r="K644" s="44">
        <v>98.410004000000001</v>
      </c>
    </row>
    <row r="645" spans="6:11" x14ac:dyDescent="0.3">
      <c r="F645" s="43">
        <v>38820</v>
      </c>
      <c r="G645" s="44">
        <v>1289.119995</v>
      </c>
      <c r="H645" s="44">
        <v>784.29998799999998</v>
      </c>
      <c r="I645" s="44">
        <v>751.10998500000005</v>
      </c>
      <c r="J645" s="44">
        <v>65.199996999999996</v>
      </c>
      <c r="K645" s="44">
        <v>98.209998999999996</v>
      </c>
    </row>
    <row r="646" spans="6:11" x14ac:dyDescent="0.3">
      <c r="F646" s="43">
        <v>38824</v>
      </c>
      <c r="G646" s="44">
        <v>1285.329956</v>
      </c>
      <c r="H646" s="44">
        <v>784.01000999999997</v>
      </c>
      <c r="I646" s="44">
        <v>749.46997099999999</v>
      </c>
      <c r="J646" s="44">
        <v>65.5</v>
      </c>
      <c r="K646" s="44">
        <v>98.370002999999997</v>
      </c>
    </row>
    <row r="647" spans="6:11" x14ac:dyDescent="0.3">
      <c r="F647" s="43">
        <v>38825</v>
      </c>
      <c r="G647" s="44">
        <v>1307.280029</v>
      </c>
      <c r="H647" s="44">
        <v>801.53002900000001</v>
      </c>
      <c r="I647" s="44">
        <v>769.80999799999995</v>
      </c>
      <c r="J647" s="44">
        <v>66.839995999999999</v>
      </c>
      <c r="K647" s="44">
        <v>98.300003000000004</v>
      </c>
    </row>
    <row r="648" spans="6:11" x14ac:dyDescent="0.3">
      <c r="F648" s="43">
        <v>38826</v>
      </c>
      <c r="G648" s="44">
        <v>1309.9300539999999</v>
      </c>
      <c r="H648" s="44">
        <v>809.30999799999995</v>
      </c>
      <c r="I648" s="44">
        <v>778.419983</v>
      </c>
      <c r="J648" s="44">
        <v>67.300003000000004</v>
      </c>
      <c r="K648" s="44">
        <v>98.389999000000003</v>
      </c>
    </row>
    <row r="649" spans="6:11" x14ac:dyDescent="0.3">
      <c r="F649" s="43">
        <v>38827</v>
      </c>
      <c r="G649" s="44">
        <v>1311.459961</v>
      </c>
      <c r="H649" s="44">
        <v>809.65002400000003</v>
      </c>
      <c r="I649" s="44">
        <v>774.669983</v>
      </c>
      <c r="J649" s="44">
        <v>67</v>
      </c>
      <c r="K649" s="44">
        <v>98.239998</v>
      </c>
    </row>
    <row r="650" spans="6:11" x14ac:dyDescent="0.3">
      <c r="F650" s="43">
        <v>38828</v>
      </c>
      <c r="G650" s="44">
        <v>1311.280029</v>
      </c>
      <c r="H650" s="44">
        <v>808.30999799999995</v>
      </c>
      <c r="I650" s="44">
        <v>772.11999500000002</v>
      </c>
      <c r="J650" s="44">
        <v>67.449996999999996</v>
      </c>
      <c r="K650" s="44">
        <v>98.230002999999996</v>
      </c>
    </row>
    <row r="651" spans="6:11" x14ac:dyDescent="0.3">
      <c r="F651" s="43">
        <v>38831</v>
      </c>
      <c r="G651" s="44">
        <v>1308.1099850000001</v>
      </c>
      <c r="H651" s="44">
        <v>805.21997099999999</v>
      </c>
      <c r="I651" s="44">
        <v>766.14001499999995</v>
      </c>
      <c r="J651" s="44">
        <v>67.519997000000004</v>
      </c>
      <c r="K651" s="44">
        <v>98.599997999999999</v>
      </c>
    </row>
    <row r="652" spans="6:11" x14ac:dyDescent="0.3">
      <c r="F652" s="43">
        <v>38832</v>
      </c>
      <c r="G652" s="44">
        <v>1301.73999</v>
      </c>
      <c r="H652" s="44">
        <v>802.27002000000005</v>
      </c>
      <c r="I652" s="44">
        <v>764.82000700000003</v>
      </c>
      <c r="J652" s="44">
        <v>67.480002999999996</v>
      </c>
      <c r="K652" s="44">
        <v>98.269997000000004</v>
      </c>
    </row>
    <row r="653" spans="6:11" x14ac:dyDescent="0.3">
      <c r="F653" s="43">
        <v>38833</v>
      </c>
      <c r="G653" s="44">
        <v>1305.410034</v>
      </c>
      <c r="H653" s="44">
        <v>799.30999799999995</v>
      </c>
      <c r="I653" s="44">
        <v>765.22997999999995</v>
      </c>
      <c r="J653" s="44">
        <v>67.900002000000001</v>
      </c>
      <c r="K653" s="44">
        <v>98.099997999999999</v>
      </c>
    </row>
    <row r="654" spans="6:11" x14ac:dyDescent="0.3">
      <c r="F654" s="43">
        <v>38834</v>
      </c>
      <c r="G654" s="44">
        <v>1309.719971</v>
      </c>
      <c r="H654" s="44">
        <v>799.55999799999995</v>
      </c>
      <c r="I654" s="44">
        <v>761.40002400000003</v>
      </c>
      <c r="J654" s="44">
        <v>68.019997000000004</v>
      </c>
      <c r="K654" s="44">
        <v>98.330001999999993</v>
      </c>
    </row>
    <row r="655" spans="6:11" x14ac:dyDescent="0.3">
      <c r="F655" s="43">
        <v>38835</v>
      </c>
      <c r="G655" s="44">
        <v>1310.6099850000001</v>
      </c>
      <c r="H655" s="44">
        <v>802.69000200000005</v>
      </c>
      <c r="I655" s="44">
        <v>764.53997800000002</v>
      </c>
      <c r="J655" s="44">
        <v>68.029999000000004</v>
      </c>
      <c r="K655" s="44">
        <v>98.550003000000004</v>
      </c>
    </row>
    <row r="656" spans="6:11" x14ac:dyDescent="0.3">
      <c r="F656" s="43">
        <v>38838</v>
      </c>
      <c r="G656" s="44">
        <v>1305.1899410000001</v>
      </c>
      <c r="H656" s="44">
        <v>801.14001499999995</v>
      </c>
      <c r="I656" s="44">
        <v>761.11999500000002</v>
      </c>
      <c r="J656" s="44">
        <v>68</v>
      </c>
      <c r="K656" s="44">
        <v>97.790001000000004</v>
      </c>
    </row>
    <row r="657" spans="6:11" x14ac:dyDescent="0.3">
      <c r="F657" s="43">
        <v>38839</v>
      </c>
      <c r="G657" s="44">
        <v>1313.209961</v>
      </c>
      <c r="H657" s="44">
        <v>804.98999000000003</v>
      </c>
      <c r="I657" s="44">
        <v>767.60998500000005</v>
      </c>
      <c r="J657" s="44">
        <v>69.040001000000004</v>
      </c>
      <c r="K657" s="44">
        <v>97.889999000000003</v>
      </c>
    </row>
    <row r="658" spans="6:11" x14ac:dyDescent="0.3">
      <c r="F658" s="43">
        <v>38840</v>
      </c>
      <c r="G658" s="44">
        <v>1308.119995</v>
      </c>
      <c r="H658" s="44">
        <v>803.95001200000002</v>
      </c>
      <c r="I658" s="44">
        <v>767.72997999999995</v>
      </c>
      <c r="J658" s="44">
        <v>68.629997000000003</v>
      </c>
      <c r="K658" s="44">
        <v>97.82</v>
      </c>
    </row>
    <row r="659" spans="6:11" x14ac:dyDescent="0.3">
      <c r="F659" s="43">
        <v>38841</v>
      </c>
      <c r="G659" s="44">
        <v>1312.25</v>
      </c>
      <c r="H659" s="44">
        <v>808.54998799999998</v>
      </c>
      <c r="I659" s="44">
        <v>774.71997099999999</v>
      </c>
      <c r="J659" s="44">
        <v>69.160004000000001</v>
      </c>
      <c r="K659" s="44">
        <v>97.769997000000004</v>
      </c>
    </row>
    <row r="660" spans="6:11" x14ac:dyDescent="0.3">
      <c r="F660" s="43">
        <v>38842</v>
      </c>
      <c r="G660" s="44">
        <v>1325.76001</v>
      </c>
      <c r="H660" s="44">
        <v>816.69000200000005</v>
      </c>
      <c r="I660" s="44">
        <v>781.830017</v>
      </c>
      <c r="J660" s="44">
        <v>70.220000999999996</v>
      </c>
      <c r="K660" s="44">
        <v>97.949996999999996</v>
      </c>
    </row>
    <row r="661" spans="6:11" x14ac:dyDescent="0.3">
      <c r="F661" s="43">
        <v>38845</v>
      </c>
      <c r="G661" s="44">
        <v>1324.660034</v>
      </c>
      <c r="H661" s="44">
        <v>817.95001200000002</v>
      </c>
      <c r="I661" s="44">
        <v>781.59997599999997</v>
      </c>
      <c r="J661" s="44">
        <v>70.160004000000001</v>
      </c>
      <c r="K661" s="44">
        <v>98.019997000000004</v>
      </c>
    </row>
    <row r="662" spans="6:11" x14ac:dyDescent="0.3">
      <c r="F662" s="43">
        <v>38846</v>
      </c>
      <c r="G662" s="44">
        <v>1325.1400149999999</v>
      </c>
      <c r="H662" s="44">
        <v>816.14001499999995</v>
      </c>
      <c r="I662" s="44">
        <v>780.71997099999999</v>
      </c>
      <c r="J662" s="44">
        <v>70.580001999999993</v>
      </c>
      <c r="K662" s="44">
        <v>97.970000999999996</v>
      </c>
    </row>
    <row r="663" spans="6:11" x14ac:dyDescent="0.3">
      <c r="F663" s="43">
        <v>38847</v>
      </c>
      <c r="G663" s="44">
        <v>1322.849976</v>
      </c>
      <c r="H663" s="44">
        <v>814.53997800000002</v>
      </c>
      <c r="I663" s="44">
        <v>775.94000200000005</v>
      </c>
      <c r="J663" s="44">
        <v>70.360000999999997</v>
      </c>
      <c r="K663" s="44">
        <v>97.860000999999997</v>
      </c>
    </row>
    <row r="664" spans="6:11" x14ac:dyDescent="0.3">
      <c r="F664" s="43">
        <v>38848</v>
      </c>
      <c r="G664" s="44">
        <v>1305.920044</v>
      </c>
      <c r="H664" s="44">
        <v>803.85998500000005</v>
      </c>
      <c r="I664" s="44">
        <v>757.46997099999999</v>
      </c>
      <c r="J664" s="44">
        <v>69.650002000000001</v>
      </c>
      <c r="K664" s="44">
        <v>97.800003000000004</v>
      </c>
    </row>
    <row r="665" spans="6:11" x14ac:dyDescent="0.3">
      <c r="F665" s="43">
        <v>38849</v>
      </c>
      <c r="G665" s="44">
        <v>1291.23999</v>
      </c>
      <c r="H665" s="44">
        <v>789.75</v>
      </c>
      <c r="I665" s="44">
        <v>742.40002400000003</v>
      </c>
      <c r="J665" s="44">
        <v>68.75</v>
      </c>
      <c r="K665" s="44">
        <v>97.589995999999999</v>
      </c>
    </row>
    <row r="666" spans="6:11" x14ac:dyDescent="0.3">
      <c r="F666" s="43">
        <v>38852</v>
      </c>
      <c r="G666" s="44">
        <v>1294.5</v>
      </c>
      <c r="H666" s="44">
        <v>784.669983</v>
      </c>
      <c r="I666" s="44">
        <v>737.64001499999995</v>
      </c>
      <c r="J666" s="44">
        <v>68.160004000000001</v>
      </c>
      <c r="K666" s="44">
        <v>97.650002000000001</v>
      </c>
    </row>
    <row r="667" spans="6:11" x14ac:dyDescent="0.3">
      <c r="F667" s="43">
        <v>38853</v>
      </c>
      <c r="G667" s="44">
        <v>1292.079956</v>
      </c>
      <c r="H667" s="44">
        <v>782.77002000000005</v>
      </c>
      <c r="I667" s="44">
        <v>737.46997099999999</v>
      </c>
      <c r="J667" s="44">
        <v>68.059997999999993</v>
      </c>
      <c r="K667" s="44">
        <v>98.129997000000003</v>
      </c>
    </row>
    <row r="668" spans="6:11" x14ac:dyDescent="0.3">
      <c r="F668" s="43">
        <v>38854</v>
      </c>
      <c r="G668" s="44">
        <v>1270.3199460000001</v>
      </c>
      <c r="H668" s="44">
        <v>768.79998799999998</v>
      </c>
      <c r="I668" s="44">
        <v>725.84997599999997</v>
      </c>
      <c r="J668" s="44">
        <v>65.889999000000003</v>
      </c>
      <c r="K668" s="44">
        <v>97.849997999999999</v>
      </c>
    </row>
    <row r="669" spans="6:11" x14ac:dyDescent="0.3">
      <c r="F669" s="43">
        <v>38855</v>
      </c>
      <c r="G669" s="44">
        <v>1261.8100589999999</v>
      </c>
      <c r="H669" s="44">
        <v>761.63000499999998</v>
      </c>
      <c r="I669" s="44">
        <v>718.46997099999999</v>
      </c>
      <c r="J669" s="44">
        <v>65.690002000000007</v>
      </c>
      <c r="K669" s="44">
        <v>98.260002</v>
      </c>
    </row>
    <row r="670" spans="6:11" x14ac:dyDescent="0.3">
      <c r="F670" s="43">
        <v>38856</v>
      </c>
      <c r="G670" s="44">
        <v>1267.030029</v>
      </c>
      <c r="H670" s="44">
        <v>763.25</v>
      </c>
      <c r="I670" s="44">
        <v>722.53997800000002</v>
      </c>
      <c r="J670" s="44">
        <v>66.019997000000004</v>
      </c>
      <c r="K670" s="44">
        <v>98.239998</v>
      </c>
    </row>
    <row r="671" spans="6:11" x14ac:dyDescent="0.3">
      <c r="F671" s="43">
        <v>38859</v>
      </c>
      <c r="G671" s="44">
        <v>1262.0699460000001</v>
      </c>
      <c r="H671" s="44">
        <v>757.30999799999995</v>
      </c>
      <c r="I671" s="44">
        <v>715.25</v>
      </c>
      <c r="J671" s="44">
        <v>64.569999999999993</v>
      </c>
      <c r="K671" s="44">
        <v>98.260002</v>
      </c>
    </row>
    <row r="672" spans="6:11" x14ac:dyDescent="0.3">
      <c r="F672" s="43">
        <v>38860</v>
      </c>
      <c r="G672" s="44">
        <v>1256.579956</v>
      </c>
      <c r="H672" s="44">
        <v>753.55999799999995</v>
      </c>
      <c r="I672" s="44">
        <v>711.28997800000002</v>
      </c>
      <c r="J672" s="44">
        <v>64.589995999999999</v>
      </c>
      <c r="K672" s="44">
        <v>97.989998</v>
      </c>
    </row>
    <row r="673" spans="6:11" x14ac:dyDescent="0.3">
      <c r="F673" s="43">
        <v>38861</v>
      </c>
      <c r="G673" s="44">
        <v>1258.5699460000001</v>
      </c>
      <c r="H673" s="44">
        <v>752.35998500000005</v>
      </c>
      <c r="I673" s="44">
        <v>711.27002000000005</v>
      </c>
      <c r="J673" s="44">
        <v>64.550003000000004</v>
      </c>
      <c r="K673" s="44">
        <v>98.010002</v>
      </c>
    </row>
    <row r="674" spans="6:11" x14ac:dyDescent="0.3">
      <c r="F674" s="43">
        <v>38862</v>
      </c>
      <c r="G674" s="44">
        <v>1272.880005</v>
      </c>
      <c r="H674" s="44">
        <v>761.46002199999998</v>
      </c>
      <c r="I674" s="44">
        <v>725.580017</v>
      </c>
      <c r="J674" s="44">
        <v>65.419998000000007</v>
      </c>
      <c r="K674" s="44">
        <v>98</v>
      </c>
    </row>
    <row r="675" spans="6:11" x14ac:dyDescent="0.3">
      <c r="F675" s="43">
        <v>38863</v>
      </c>
      <c r="G675" s="44">
        <v>1280.160034</v>
      </c>
      <c r="H675" s="44">
        <v>766.44000200000005</v>
      </c>
      <c r="I675" s="44">
        <v>729.54998799999998</v>
      </c>
      <c r="J675" s="44">
        <v>65.949996999999996</v>
      </c>
      <c r="K675" s="44">
        <v>98.419998000000007</v>
      </c>
    </row>
    <row r="676" spans="6:11" x14ac:dyDescent="0.3">
      <c r="F676" s="43">
        <v>38867</v>
      </c>
      <c r="G676" s="44">
        <v>1259.869995</v>
      </c>
      <c r="H676" s="44">
        <v>754.169983</v>
      </c>
      <c r="I676" s="44">
        <v>711.03997800000002</v>
      </c>
      <c r="J676" s="44">
        <v>64.949996999999996</v>
      </c>
      <c r="K676" s="44">
        <v>98.199996999999996</v>
      </c>
    </row>
    <row r="677" spans="6:11" x14ac:dyDescent="0.3">
      <c r="F677" s="43">
        <v>38868</v>
      </c>
      <c r="G677" s="44">
        <v>1270.089966</v>
      </c>
      <c r="H677" s="44">
        <v>765.55999799999995</v>
      </c>
      <c r="I677" s="44">
        <v>721.01000999999997</v>
      </c>
      <c r="J677" s="44">
        <v>65.430000000000007</v>
      </c>
      <c r="K677" s="44">
        <v>97.980002999999996</v>
      </c>
    </row>
    <row r="678" spans="6:11" x14ac:dyDescent="0.3">
      <c r="F678" s="43">
        <v>38869</v>
      </c>
      <c r="G678" s="44">
        <v>1285.709961</v>
      </c>
      <c r="H678" s="44">
        <v>777.13000499999998</v>
      </c>
      <c r="I678" s="44">
        <v>736.5</v>
      </c>
      <c r="J678" s="44">
        <v>65.849997999999999</v>
      </c>
      <c r="K678" s="44">
        <v>97.519997000000004</v>
      </c>
    </row>
    <row r="679" spans="6:11" x14ac:dyDescent="0.3">
      <c r="F679" s="43">
        <v>38870</v>
      </c>
      <c r="G679" s="44">
        <v>1288.219971</v>
      </c>
      <c r="H679" s="44">
        <v>780.03002900000001</v>
      </c>
      <c r="I679" s="44">
        <v>737.45001200000002</v>
      </c>
      <c r="J679" s="44">
        <v>66.489998</v>
      </c>
      <c r="K679" s="44">
        <v>98.269997000000004</v>
      </c>
    </row>
    <row r="680" spans="6:11" x14ac:dyDescent="0.3">
      <c r="F680" s="43">
        <v>38873</v>
      </c>
      <c r="G680" s="44">
        <v>1265.290039</v>
      </c>
      <c r="H680" s="44">
        <v>760.98999000000003</v>
      </c>
      <c r="I680" s="44">
        <v>713.919983</v>
      </c>
      <c r="J680" s="44">
        <v>65.050003000000004</v>
      </c>
      <c r="K680" s="44">
        <v>97.949996999999996</v>
      </c>
    </row>
    <row r="681" spans="6:11" x14ac:dyDescent="0.3">
      <c r="F681" s="43">
        <v>38874</v>
      </c>
      <c r="G681" s="44">
        <v>1263.849976</v>
      </c>
      <c r="H681" s="44">
        <v>756.71997099999999</v>
      </c>
      <c r="I681" s="44">
        <v>710.96002199999998</v>
      </c>
      <c r="J681" s="44">
        <v>64.260002</v>
      </c>
      <c r="K681" s="44">
        <v>98.209998999999996</v>
      </c>
    </row>
    <row r="682" spans="6:11" x14ac:dyDescent="0.3">
      <c r="F682" s="43">
        <v>38875</v>
      </c>
      <c r="G682" s="44">
        <v>1256.150024</v>
      </c>
      <c r="H682" s="44">
        <v>750.330017</v>
      </c>
      <c r="I682" s="44">
        <v>706.78002900000001</v>
      </c>
      <c r="J682" s="44">
        <v>63.380001</v>
      </c>
      <c r="K682" s="44">
        <v>97.900002000000001</v>
      </c>
    </row>
    <row r="683" spans="6:11" x14ac:dyDescent="0.3">
      <c r="F683" s="43">
        <v>38876</v>
      </c>
      <c r="G683" s="44">
        <v>1257.9300539999999</v>
      </c>
      <c r="H683" s="44">
        <v>746.79998799999998</v>
      </c>
      <c r="I683" s="44">
        <v>706.53002900000001</v>
      </c>
      <c r="J683" s="44">
        <v>61.98</v>
      </c>
      <c r="K683" s="44">
        <v>98.230002999999996</v>
      </c>
    </row>
    <row r="684" spans="6:11" x14ac:dyDescent="0.3">
      <c r="F684" s="43">
        <v>38877</v>
      </c>
      <c r="G684" s="44">
        <v>1252.3000489999999</v>
      </c>
      <c r="H684" s="44">
        <v>745.35998500000005</v>
      </c>
      <c r="I684" s="44">
        <v>701.39001499999995</v>
      </c>
      <c r="J684" s="44">
        <v>61.91</v>
      </c>
      <c r="K684" s="44">
        <v>98.370002999999997</v>
      </c>
    </row>
    <row r="685" spans="6:11" x14ac:dyDescent="0.3">
      <c r="F685" s="43">
        <v>38880</v>
      </c>
      <c r="G685" s="44">
        <v>1237.4399410000001</v>
      </c>
      <c r="H685" s="44">
        <v>728.63000499999998</v>
      </c>
      <c r="I685" s="44">
        <v>683.19000200000005</v>
      </c>
      <c r="J685" s="44">
        <v>61.380001</v>
      </c>
      <c r="K685" s="44">
        <v>98.07</v>
      </c>
    </row>
    <row r="686" spans="6:11" x14ac:dyDescent="0.3">
      <c r="F686" s="43">
        <v>38881</v>
      </c>
      <c r="G686" s="44">
        <v>1223.6899410000001</v>
      </c>
      <c r="H686" s="44">
        <v>716.61999500000002</v>
      </c>
      <c r="I686" s="44">
        <v>672.71997099999999</v>
      </c>
      <c r="J686" s="44">
        <v>59.459999000000003</v>
      </c>
      <c r="K686" s="44">
        <v>98.349997999999999</v>
      </c>
    </row>
    <row r="687" spans="6:11" x14ac:dyDescent="0.3">
      <c r="F687" s="43">
        <v>38882</v>
      </c>
      <c r="G687" s="44">
        <v>1230.040039</v>
      </c>
      <c r="H687" s="44">
        <v>720.22997999999995</v>
      </c>
      <c r="I687" s="44">
        <v>677.09002699999996</v>
      </c>
      <c r="J687" s="44">
        <v>60.32</v>
      </c>
      <c r="K687" s="44">
        <v>97.980002999999996</v>
      </c>
    </row>
    <row r="688" spans="6:11" x14ac:dyDescent="0.3">
      <c r="F688" s="43">
        <v>38883</v>
      </c>
      <c r="G688" s="44">
        <v>1256.160034</v>
      </c>
      <c r="H688" s="44">
        <v>743.29998799999998</v>
      </c>
      <c r="I688" s="44">
        <v>701.04998799999998</v>
      </c>
      <c r="J688" s="44">
        <v>62.400002000000001</v>
      </c>
      <c r="K688" s="44">
        <v>97.82</v>
      </c>
    </row>
    <row r="689" spans="6:11" x14ac:dyDescent="0.3">
      <c r="F689" s="43">
        <v>38884</v>
      </c>
      <c r="G689" s="44">
        <v>1251.540039</v>
      </c>
      <c r="H689" s="44">
        <v>740.23999000000003</v>
      </c>
      <c r="I689" s="44">
        <v>693.07000700000003</v>
      </c>
      <c r="J689" s="44">
        <v>61.900002000000001</v>
      </c>
      <c r="K689" s="44">
        <v>97.760002</v>
      </c>
    </row>
    <row r="690" spans="6:11" x14ac:dyDescent="0.3">
      <c r="F690" s="43">
        <v>38887</v>
      </c>
      <c r="G690" s="44">
        <v>1240.130005</v>
      </c>
      <c r="H690" s="44">
        <v>728.330017</v>
      </c>
      <c r="I690" s="44">
        <v>680.76000999999997</v>
      </c>
      <c r="J690" s="44">
        <v>61.59</v>
      </c>
      <c r="K690" s="44">
        <v>97.5</v>
      </c>
    </row>
    <row r="691" spans="6:11" x14ac:dyDescent="0.3">
      <c r="F691" s="43">
        <v>38888</v>
      </c>
      <c r="G691" s="44">
        <v>1240.119995</v>
      </c>
      <c r="H691" s="44">
        <v>725.55999799999995</v>
      </c>
      <c r="I691" s="44">
        <v>677.5</v>
      </c>
      <c r="J691" s="44">
        <v>61.959999000000003</v>
      </c>
      <c r="K691" s="44">
        <v>97.559997999999993</v>
      </c>
    </row>
    <row r="692" spans="6:11" x14ac:dyDescent="0.3">
      <c r="F692" s="43">
        <v>38889</v>
      </c>
      <c r="G692" s="44">
        <v>1252.1999510000001</v>
      </c>
      <c r="H692" s="44">
        <v>738.75</v>
      </c>
      <c r="I692" s="44">
        <v>690.669983</v>
      </c>
      <c r="J692" s="44">
        <v>62.759998000000003</v>
      </c>
      <c r="K692" s="44">
        <v>97.589995999999999</v>
      </c>
    </row>
    <row r="693" spans="6:11" x14ac:dyDescent="0.3">
      <c r="F693" s="43">
        <v>38890</v>
      </c>
      <c r="G693" s="44">
        <v>1245.599976</v>
      </c>
      <c r="H693" s="44">
        <v>734.42999299999997</v>
      </c>
      <c r="I693" s="44">
        <v>688.03997800000002</v>
      </c>
      <c r="J693" s="44">
        <v>62.43</v>
      </c>
      <c r="K693" s="44">
        <v>97.169998000000007</v>
      </c>
    </row>
    <row r="694" spans="6:11" x14ac:dyDescent="0.3">
      <c r="F694" s="43">
        <v>38891</v>
      </c>
      <c r="G694" s="44">
        <v>1244.5</v>
      </c>
      <c r="H694" s="44">
        <v>741.19000200000005</v>
      </c>
      <c r="I694" s="44">
        <v>690.14001499999995</v>
      </c>
      <c r="J694" s="44">
        <v>62.25</v>
      </c>
      <c r="K694" s="44">
        <v>97.220000999999996</v>
      </c>
    </row>
    <row r="695" spans="6:11" x14ac:dyDescent="0.3">
      <c r="F695" s="43">
        <v>38894</v>
      </c>
      <c r="G695" s="44">
        <v>1250.5600589999999</v>
      </c>
      <c r="H695" s="44">
        <v>745.23999000000003</v>
      </c>
      <c r="I695" s="44">
        <v>698.64001499999995</v>
      </c>
      <c r="J695" s="44">
        <v>62.740001999999997</v>
      </c>
      <c r="K695" s="44">
        <v>96.940002000000007</v>
      </c>
    </row>
    <row r="696" spans="6:11" x14ac:dyDescent="0.3">
      <c r="F696" s="43">
        <v>38895</v>
      </c>
      <c r="G696" s="44">
        <v>1239.1999510000001</v>
      </c>
      <c r="H696" s="44">
        <v>738.29998799999998</v>
      </c>
      <c r="I696" s="44">
        <v>686.94000200000005</v>
      </c>
      <c r="J696" s="44">
        <v>61.580002</v>
      </c>
      <c r="K696" s="44">
        <v>97.209998999999996</v>
      </c>
    </row>
    <row r="697" spans="6:11" x14ac:dyDescent="0.3">
      <c r="F697" s="43">
        <v>38896</v>
      </c>
      <c r="G697" s="44">
        <v>1246</v>
      </c>
      <c r="H697" s="44">
        <v>739.169983</v>
      </c>
      <c r="I697" s="44">
        <v>688.03997800000002</v>
      </c>
      <c r="J697" s="44">
        <v>62.279998999999997</v>
      </c>
      <c r="K697" s="44">
        <v>97.110000999999997</v>
      </c>
    </row>
    <row r="698" spans="6:11" x14ac:dyDescent="0.3">
      <c r="F698" s="43">
        <v>38897</v>
      </c>
      <c r="G698" s="44">
        <v>1272.869995</v>
      </c>
      <c r="H698" s="44">
        <v>760.919983</v>
      </c>
      <c r="I698" s="44">
        <v>714.32000700000003</v>
      </c>
      <c r="J698" s="44">
        <v>64.580001999999993</v>
      </c>
      <c r="K698" s="44">
        <v>97.449996999999996</v>
      </c>
    </row>
    <row r="699" spans="6:11" x14ac:dyDescent="0.3">
      <c r="F699" s="43">
        <v>38898</v>
      </c>
      <c r="G699" s="44">
        <v>1270.1999510000001</v>
      </c>
      <c r="H699" s="44">
        <v>764.86999500000002</v>
      </c>
      <c r="I699" s="44">
        <v>724.669983</v>
      </c>
      <c r="J699" s="44">
        <v>65.389999000000003</v>
      </c>
      <c r="K699" s="44">
        <v>97.440002000000007</v>
      </c>
    </row>
    <row r="700" spans="6:11" x14ac:dyDescent="0.3">
      <c r="F700" s="43">
        <v>38901</v>
      </c>
      <c r="G700" s="44">
        <v>1280.1899410000001</v>
      </c>
      <c r="H700" s="44">
        <v>770.44000200000005</v>
      </c>
      <c r="I700" s="44">
        <v>730.79998799999998</v>
      </c>
      <c r="J700" s="44">
        <v>65.730002999999996</v>
      </c>
      <c r="K700" s="44">
        <v>97.199996999999996</v>
      </c>
    </row>
    <row r="701" spans="6:11" x14ac:dyDescent="0.3">
      <c r="F701" s="43">
        <v>38903</v>
      </c>
      <c r="G701" s="44">
        <v>1270.910034</v>
      </c>
      <c r="H701" s="44">
        <v>758.51000999999997</v>
      </c>
      <c r="I701" s="44">
        <v>719.84997599999997</v>
      </c>
      <c r="J701" s="44">
        <v>64.480002999999996</v>
      </c>
      <c r="K701" s="44">
        <v>96.910004000000001</v>
      </c>
    </row>
    <row r="702" spans="6:11" x14ac:dyDescent="0.3">
      <c r="F702" s="43">
        <v>38904</v>
      </c>
      <c r="G702" s="44">
        <v>1274.079956</v>
      </c>
      <c r="H702" s="44">
        <v>760.48999000000003</v>
      </c>
      <c r="I702" s="44">
        <v>720.64001499999995</v>
      </c>
      <c r="J702" s="44">
        <v>65.160004000000001</v>
      </c>
      <c r="K702" s="44">
        <v>97</v>
      </c>
    </row>
    <row r="703" spans="6:11" x14ac:dyDescent="0.3">
      <c r="F703" s="43">
        <v>38905</v>
      </c>
      <c r="G703" s="44">
        <v>1265.4799800000001</v>
      </c>
      <c r="H703" s="44">
        <v>753.38000499999998</v>
      </c>
      <c r="I703" s="44">
        <v>709.29998799999998</v>
      </c>
      <c r="J703" s="44">
        <v>64.860000999999997</v>
      </c>
      <c r="K703" s="44">
        <v>97.360000999999997</v>
      </c>
    </row>
    <row r="704" spans="6:11" x14ac:dyDescent="0.3">
      <c r="F704" s="43">
        <v>38908</v>
      </c>
      <c r="G704" s="44">
        <v>1267.339966</v>
      </c>
      <c r="H704" s="44">
        <v>752.080017</v>
      </c>
      <c r="I704" s="44">
        <v>709.080017</v>
      </c>
      <c r="J704" s="44">
        <v>65.400002000000001</v>
      </c>
      <c r="K704" s="44">
        <v>97.449996999999996</v>
      </c>
    </row>
    <row r="705" spans="6:11" x14ac:dyDescent="0.3">
      <c r="F705" s="43">
        <v>38909</v>
      </c>
      <c r="G705" s="44">
        <v>1272.4300539999999</v>
      </c>
      <c r="H705" s="44">
        <v>754.96002199999998</v>
      </c>
      <c r="I705" s="44">
        <v>714.39001499999995</v>
      </c>
      <c r="J705" s="44">
        <v>65.580001999999993</v>
      </c>
      <c r="K705" s="44">
        <v>97.610000999999997</v>
      </c>
    </row>
    <row r="706" spans="6:11" x14ac:dyDescent="0.3">
      <c r="F706" s="43">
        <v>38910</v>
      </c>
      <c r="G706" s="44">
        <v>1258.599976</v>
      </c>
      <c r="H706" s="44">
        <v>745.86999500000002</v>
      </c>
      <c r="I706" s="44">
        <v>701.169983</v>
      </c>
      <c r="J706" s="44">
        <v>64.349997999999999</v>
      </c>
      <c r="K706" s="44">
        <v>97.669998000000007</v>
      </c>
    </row>
    <row r="707" spans="6:11" x14ac:dyDescent="0.3">
      <c r="F707" s="43">
        <v>38911</v>
      </c>
      <c r="G707" s="44">
        <v>1242.280029</v>
      </c>
      <c r="H707" s="44">
        <v>732.919983</v>
      </c>
      <c r="I707" s="44">
        <v>687.28997800000002</v>
      </c>
      <c r="J707" s="44">
        <v>63.220001000000003</v>
      </c>
      <c r="K707" s="44">
        <v>97.75</v>
      </c>
    </row>
    <row r="708" spans="6:11" x14ac:dyDescent="0.3">
      <c r="F708" s="43">
        <v>38912</v>
      </c>
      <c r="G708" s="44">
        <v>1236.1999510000001</v>
      </c>
      <c r="H708" s="44">
        <v>727.64001499999995</v>
      </c>
      <c r="I708" s="44">
        <v>681.23999000000003</v>
      </c>
      <c r="J708" s="44">
        <v>62.68</v>
      </c>
      <c r="K708" s="44">
        <v>97.879997000000003</v>
      </c>
    </row>
    <row r="709" spans="6:11" x14ac:dyDescent="0.3">
      <c r="F709" s="43">
        <v>38915</v>
      </c>
      <c r="G709" s="44">
        <v>1234.48999</v>
      </c>
      <c r="H709" s="44">
        <v>722.51000999999997</v>
      </c>
      <c r="I709" s="44">
        <v>677.69000200000005</v>
      </c>
      <c r="J709" s="44">
        <v>61.799999</v>
      </c>
      <c r="K709" s="44">
        <v>97.669998000000007</v>
      </c>
    </row>
    <row r="710" spans="6:11" x14ac:dyDescent="0.3">
      <c r="F710" s="43">
        <v>38916</v>
      </c>
      <c r="G710" s="44">
        <v>1236.8599850000001</v>
      </c>
      <c r="H710" s="44">
        <v>722.72997999999995</v>
      </c>
      <c r="I710" s="44">
        <v>681.64001499999995</v>
      </c>
      <c r="J710" s="44">
        <v>61.700001</v>
      </c>
      <c r="K710" s="44">
        <v>97.599997999999999</v>
      </c>
    </row>
    <row r="711" spans="6:11" x14ac:dyDescent="0.3">
      <c r="F711" s="43">
        <v>38917</v>
      </c>
      <c r="G711" s="44">
        <v>1259.8100589999999</v>
      </c>
      <c r="H711" s="44">
        <v>740.21997099999999</v>
      </c>
      <c r="I711" s="44">
        <v>702.34002699999996</v>
      </c>
      <c r="J711" s="44">
        <v>63.220001000000003</v>
      </c>
      <c r="K711" s="44">
        <v>97.980002999999996</v>
      </c>
    </row>
    <row r="712" spans="6:11" x14ac:dyDescent="0.3">
      <c r="F712" s="43">
        <v>38918</v>
      </c>
      <c r="G712" s="44">
        <v>1249.130005</v>
      </c>
      <c r="H712" s="44">
        <v>723.48999000000003</v>
      </c>
      <c r="I712" s="44">
        <v>683.60998500000005</v>
      </c>
      <c r="J712" s="44">
        <v>62.880001</v>
      </c>
      <c r="K712" s="44">
        <v>98.080001999999993</v>
      </c>
    </row>
    <row r="713" spans="6:11" x14ac:dyDescent="0.3">
      <c r="F713" s="43">
        <v>38919</v>
      </c>
      <c r="G713" s="44">
        <v>1240.290039</v>
      </c>
      <c r="H713" s="44">
        <v>712.85998500000005</v>
      </c>
      <c r="I713" s="44">
        <v>671.94000200000005</v>
      </c>
      <c r="J713" s="44">
        <v>62.880001</v>
      </c>
      <c r="K713" s="44">
        <v>98.019997000000004</v>
      </c>
    </row>
    <row r="714" spans="6:11" x14ac:dyDescent="0.3">
      <c r="F714" s="43">
        <v>38922</v>
      </c>
      <c r="G714" s="44">
        <v>1260.910034</v>
      </c>
      <c r="H714" s="44">
        <v>728.42999299999997</v>
      </c>
      <c r="I714" s="44">
        <v>690.76000999999997</v>
      </c>
      <c r="J714" s="44">
        <v>64.019997000000004</v>
      </c>
      <c r="K714" s="44">
        <v>98.169998000000007</v>
      </c>
    </row>
    <row r="715" spans="6:11" x14ac:dyDescent="0.3">
      <c r="F715" s="43">
        <v>38923</v>
      </c>
      <c r="G715" s="44">
        <v>1268.880005</v>
      </c>
      <c r="H715" s="44">
        <v>737.25</v>
      </c>
      <c r="I715" s="44">
        <v>697.44000200000005</v>
      </c>
      <c r="J715" s="44">
        <v>64</v>
      </c>
      <c r="K715" s="44">
        <v>98.089995999999999</v>
      </c>
    </row>
    <row r="716" spans="6:11" x14ac:dyDescent="0.3">
      <c r="F716" s="43">
        <v>38924</v>
      </c>
      <c r="G716" s="44">
        <v>1268.400024</v>
      </c>
      <c r="H716" s="44">
        <v>736.80999799999995</v>
      </c>
      <c r="I716" s="44">
        <v>694.45001200000002</v>
      </c>
      <c r="J716" s="44">
        <v>64.449996999999996</v>
      </c>
      <c r="K716" s="44">
        <v>98.150002000000001</v>
      </c>
    </row>
    <row r="717" spans="6:11" x14ac:dyDescent="0.3">
      <c r="F717" s="43">
        <v>38925</v>
      </c>
      <c r="G717" s="44">
        <v>1263.1999510000001</v>
      </c>
      <c r="H717" s="44">
        <v>729.27002000000005</v>
      </c>
      <c r="I717" s="44">
        <v>685.69000200000005</v>
      </c>
      <c r="J717" s="44">
        <v>64.849997999999999</v>
      </c>
      <c r="K717" s="44">
        <v>98.309997999999993</v>
      </c>
    </row>
    <row r="718" spans="6:11" x14ac:dyDescent="0.3">
      <c r="F718" s="43">
        <v>38926</v>
      </c>
      <c r="G718" s="44">
        <v>1278.5500489999999</v>
      </c>
      <c r="H718" s="44">
        <v>741</v>
      </c>
      <c r="I718" s="44">
        <v>700.03002900000001</v>
      </c>
      <c r="J718" s="44">
        <v>66.150002000000001</v>
      </c>
      <c r="K718" s="44">
        <v>98.519997000000004</v>
      </c>
    </row>
    <row r="719" spans="6:11" x14ac:dyDescent="0.3">
      <c r="F719" s="43">
        <v>38929</v>
      </c>
      <c r="G719" s="44">
        <v>1276.660034</v>
      </c>
      <c r="H719" s="44">
        <v>742.51000999999997</v>
      </c>
      <c r="I719" s="44">
        <v>700.55999799999995</v>
      </c>
      <c r="J719" s="44">
        <v>65.919998000000007</v>
      </c>
      <c r="K719" s="44">
        <v>98.400002000000001</v>
      </c>
    </row>
    <row r="720" spans="6:11" x14ac:dyDescent="0.3">
      <c r="F720" s="43">
        <v>38930</v>
      </c>
      <c r="G720" s="44">
        <v>1270.920044</v>
      </c>
      <c r="H720" s="44">
        <v>736.44000200000005</v>
      </c>
      <c r="I720" s="44">
        <v>689.89001499999995</v>
      </c>
      <c r="J720" s="44">
        <v>65.459998999999996</v>
      </c>
      <c r="K720" s="44">
        <v>98.230002999999996</v>
      </c>
    </row>
    <row r="721" spans="6:11" x14ac:dyDescent="0.3">
      <c r="F721" s="43">
        <v>38931</v>
      </c>
      <c r="G721" s="44">
        <v>1277.410034</v>
      </c>
      <c r="H721" s="44">
        <v>741.20001200000002</v>
      </c>
      <c r="I721" s="44">
        <v>696.80999799999995</v>
      </c>
      <c r="J721" s="44">
        <v>66.180000000000007</v>
      </c>
      <c r="K721" s="44">
        <v>98.269997000000004</v>
      </c>
    </row>
    <row r="722" spans="6:11" x14ac:dyDescent="0.3">
      <c r="F722" s="43">
        <v>38932</v>
      </c>
      <c r="G722" s="44">
        <v>1280.2700199999999</v>
      </c>
      <c r="H722" s="44">
        <v>746.27002000000005</v>
      </c>
      <c r="I722" s="44">
        <v>704.38000499999998</v>
      </c>
      <c r="J722" s="44">
        <v>66.069999999999993</v>
      </c>
      <c r="K722" s="44">
        <v>98.290001000000004</v>
      </c>
    </row>
    <row r="723" spans="6:11" x14ac:dyDescent="0.3">
      <c r="F723" s="43">
        <v>38933</v>
      </c>
      <c r="G723" s="44">
        <v>1279.3599850000001</v>
      </c>
      <c r="H723" s="44">
        <v>743.05999799999995</v>
      </c>
      <c r="I723" s="44">
        <v>701.26000999999997</v>
      </c>
      <c r="J723" s="44">
        <v>66.120002999999997</v>
      </c>
      <c r="K723" s="44">
        <v>98.599997999999999</v>
      </c>
    </row>
    <row r="724" spans="6:11" x14ac:dyDescent="0.3">
      <c r="F724" s="43">
        <v>38936</v>
      </c>
      <c r="G724" s="44">
        <v>1275.7700199999999</v>
      </c>
      <c r="H724" s="44">
        <v>738.53997800000002</v>
      </c>
      <c r="I724" s="44">
        <v>696.04998799999998</v>
      </c>
      <c r="J724" s="44">
        <v>65.709998999999996</v>
      </c>
      <c r="K724" s="44">
        <v>98.610000999999997</v>
      </c>
    </row>
    <row r="725" spans="6:11" x14ac:dyDescent="0.3">
      <c r="F725" s="43">
        <v>38937</v>
      </c>
      <c r="G725" s="44">
        <v>1271.4799800000001</v>
      </c>
      <c r="H725" s="44">
        <v>732.15997300000004</v>
      </c>
      <c r="I725" s="44">
        <v>687.46997099999999</v>
      </c>
      <c r="J725" s="44">
        <v>65.480002999999996</v>
      </c>
      <c r="K725" s="44">
        <v>98.610000999999997</v>
      </c>
    </row>
    <row r="726" spans="6:11" x14ac:dyDescent="0.3">
      <c r="F726" s="43">
        <v>38938</v>
      </c>
      <c r="G726" s="44">
        <v>1265.9499510000001</v>
      </c>
      <c r="H726" s="44">
        <v>726.77002000000005</v>
      </c>
      <c r="I726" s="44">
        <v>681.04998799999998</v>
      </c>
      <c r="J726" s="44">
        <v>65.800003000000004</v>
      </c>
      <c r="K726" s="44">
        <v>98.690002000000007</v>
      </c>
    </row>
    <row r="727" spans="6:11" x14ac:dyDescent="0.3">
      <c r="F727" s="43">
        <v>38939</v>
      </c>
      <c r="G727" s="44">
        <v>1271.8100589999999</v>
      </c>
      <c r="H727" s="44">
        <v>731.28997800000002</v>
      </c>
      <c r="I727" s="44">
        <v>686.27002000000005</v>
      </c>
      <c r="J727" s="44">
        <v>65.949996999999996</v>
      </c>
      <c r="K727" s="44">
        <v>98.639999000000003</v>
      </c>
    </row>
    <row r="728" spans="6:11" x14ac:dyDescent="0.3">
      <c r="F728" s="43">
        <v>38940</v>
      </c>
      <c r="G728" s="44">
        <v>1266.73999</v>
      </c>
      <c r="H728" s="44">
        <v>725.09997599999997</v>
      </c>
      <c r="I728" s="44">
        <v>679.03997800000002</v>
      </c>
      <c r="J728" s="44">
        <v>65.379997000000003</v>
      </c>
      <c r="K728" s="44">
        <v>98.470000999999996</v>
      </c>
    </row>
    <row r="729" spans="6:11" x14ac:dyDescent="0.3">
      <c r="F729" s="43">
        <v>38943</v>
      </c>
      <c r="G729" s="44">
        <v>1268.209961</v>
      </c>
      <c r="H729" s="44">
        <v>725.38000499999998</v>
      </c>
      <c r="I729" s="44">
        <v>681.72997999999995</v>
      </c>
      <c r="J729" s="44">
        <v>65.599997999999999</v>
      </c>
      <c r="K729" s="44">
        <v>98.360000999999997</v>
      </c>
    </row>
    <row r="730" spans="6:11" x14ac:dyDescent="0.3">
      <c r="F730" s="43">
        <v>38944</v>
      </c>
      <c r="G730" s="44">
        <v>1285.579956</v>
      </c>
      <c r="H730" s="44">
        <v>738.80999799999995</v>
      </c>
      <c r="I730" s="44">
        <v>697.830017</v>
      </c>
      <c r="J730" s="44">
        <v>67.019997000000004</v>
      </c>
      <c r="K730" s="44">
        <v>98.599997999999999</v>
      </c>
    </row>
    <row r="731" spans="6:11" x14ac:dyDescent="0.3">
      <c r="F731" s="43">
        <v>38945</v>
      </c>
      <c r="G731" s="44">
        <v>1295.4300539999999</v>
      </c>
      <c r="H731" s="44">
        <v>749.19000200000005</v>
      </c>
      <c r="I731" s="44">
        <v>707.39001499999995</v>
      </c>
      <c r="J731" s="44">
        <v>67.629997000000003</v>
      </c>
      <c r="K731" s="44">
        <v>98.93</v>
      </c>
    </row>
    <row r="732" spans="6:11" x14ac:dyDescent="0.3">
      <c r="F732" s="43">
        <v>38946</v>
      </c>
      <c r="G732" s="44">
        <v>1297.4799800000001</v>
      </c>
      <c r="H732" s="44">
        <v>749.09002699999996</v>
      </c>
      <c r="I732" s="44">
        <v>710.78002900000001</v>
      </c>
      <c r="J732" s="44">
        <v>67.379997000000003</v>
      </c>
      <c r="K732" s="44">
        <v>98.940002000000007</v>
      </c>
    </row>
    <row r="733" spans="6:11" x14ac:dyDescent="0.3">
      <c r="F733" s="43">
        <v>38947</v>
      </c>
      <c r="G733" s="44">
        <v>1302.3000489999999</v>
      </c>
      <c r="H733" s="44">
        <v>750.580017</v>
      </c>
      <c r="I733" s="44">
        <v>711.67999299999997</v>
      </c>
      <c r="J733" s="44">
        <v>67.660004000000001</v>
      </c>
      <c r="K733" s="44">
        <v>99.010002</v>
      </c>
    </row>
    <row r="734" spans="6:11" x14ac:dyDescent="0.3">
      <c r="F734" s="43">
        <v>38950</v>
      </c>
      <c r="G734" s="44">
        <v>1297.5200199999999</v>
      </c>
      <c r="H734" s="44">
        <v>743.94000200000005</v>
      </c>
      <c r="I734" s="44">
        <v>705.330017</v>
      </c>
      <c r="J734" s="44">
        <v>67.449996999999996</v>
      </c>
      <c r="K734" s="44">
        <v>99.25</v>
      </c>
    </row>
    <row r="735" spans="6:11" x14ac:dyDescent="0.3">
      <c r="F735" s="43">
        <v>38951</v>
      </c>
      <c r="G735" s="44">
        <v>1298.8199460000001</v>
      </c>
      <c r="H735" s="44">
        <v>744.77002000000005</v>
      </c>
      <c r="I735" s="44">
        <v>707.76000999999997</v>
      </c>
      <c r="J735" s="44">
        <v>67.260002</v>
      </c>
      <c r="K735" s="44">
        <v>99.269997000000004</v>
      </c>
    </row>
    <row r="736" spans="6:11" x14ac:dyDescent="0.3">
      <c r="F736" s="43">
        <v>38952</v>
      </c>
      <c r="G736" s="44">
        <v>1292.98999</v>
      </c>
      <c r="H736" s="44">
        <v>737.75</v>
      </c>
      <c r="I736" s="44">
        <v>698.419983</v>
      </c>
      <c r="J736" s="44">
        <v>67.019997000000004</v>
      </c>
      <c r="K736" s="44">
        <v>99.230002999999996</v>
      </c>
    </row>
    <row r="737" spans="6:11" x14ac:dyDescent="0.3">
      <c r="F737" s="43">
        <v>38953</v>
      </c>
      <c r="G737" s="44">
        <v>1296.0600589999999</v>
      </c>
      <c r="H737" s="44">
        <v>735.95001200000002</v>
      </c>
      <c r="I737" s="44">
        <v>698.71997099999999</v>
      </c>
      <c r="J737" s="44">
        <v>66.830001999999993</v>
      </c>
      <c r="K737" s="44">
        <v>99.220000999999996</v>
      </c>
    </row>
    <row r="738" spans="6:11" x14ac:dyDescent="0.3">
      <c r="F738" s="43">
        <v>38954</v>
      </c>
      <c r="G738" s="44">
        <v>1295.089966</v>
      </c>
      <c r="H738" s="44">
        <v>735.52002000000005</v>
      </c>
      <c r="I738" s="44">
        <v>699.23999000000003</v>
      </c>
      <c r="J738" s="44">
        <v>66.779999000000004</v>
      </c>
      <c r="K738" s="44">
        <v>99.32</v>
      </c>
    </row>
    <row r="739" spans="6:11" x14ac:dyDescent="0.3">
      <c r="F739" s="43">
        <v>38957</v>
      </c>
      <c r="G739" s="44">
        <v>1301.780029</v>
      </c>
      <c r="H739" s="44">
        <v>741.26000999999997</v>
      </c>
      <c r="I739" s="44">
        <v>706.65002400000003</v>
      </c>
      <c r="J739" s="44">
        <v>67.059997999999993</v>
      </c>
      <c r="K739" s="44">
        <v>99.230002999999996</v>
      </c>
    </row>
    <row r="740" spans="6:11" x14ac:dyDescent="0.3">
      <c r="F740" s="43">
        <v>38958</v>
      </c>
      <c r="G740" s="44">
        <v>1304.280029</v>
      </c>
      <c r="H740" s="44">
        <v>744.96997099999999</v>
      </c>
      <c r="I740" s="44">
        <v>714.84997599999997</v>
      </c>
      <c r="J740" s="44">
        <v>67.599997999999999</v>
      </c>
      <c r="K740" s="44">
        <v>99.269997000000004</v>
      </c>
    </row>
    <row r="741" spans="6:11" x14ac:dyDescent="0.3">
      <c r="F741" s="43">
        <v>38959</v>
      </c>
      <c r="G741" s="44">
        <v>1305.369995</v>
      </c>
      <c r="H741" s="44">
        <v>746.669983</v>
      </c>
      <c r="I741" s="44">
        <v>720.580017</v>
      </c>
      <c r="J741" s="44">
        <v>67.599997999999999</v>
      </c>
      <c r="K741" s="44">
        <v>99.419998000000007</v>
      </c>
    </row>
    <row r="742" spans="6:11" x14ac:dyDescent="0.3">
      <c r="F742" s="43">
        <v>38960</v>
      </c>
      <c r="G742" s="44">
        <v>1303.8199460000001</v>
      </c>
      <c r="H742" s="44">
        <v>749.96002199999998</v>
      </c>
      <c r="I742" s="44">
        <v>720.53002900000001</v>
      </c>
      <c r="J742" s="44">
        <v>67.599997999999999</v>
      </c>
      <c r="K742" s="44">
        <v>99.550003000000004</v>
      </c>
    </row>
    <row r="743" spans="6:11" x14ac:dyDescent="0.3">
      <c r="F743" s="43">
        <v>38961</v>
      </c>
      <c r="G743" s="44">
        <v>1311.01001</v>
      </c>
      <c r="H743" s="44">
        <v>753.59997599999997</v>
      </c>
      <c r="I743" s="44">
        <v>721.55999799999995</v>
      </c>
      <c r="J743" s="44">
        <v>68.099997999999999</v>
      </c>
      <c r="K743" s="44">
        <v>99.169998000000007</v>
      </c>
    </row>
    <row r="744" spans="6:11" x14ac:dyDescent="0.3">
      <c r="F744" s="43">
        <v>38965</v>
      </c>
      <c r="G744" s="44">
        <v>1313.25</v>
      </c>
      <c r="H744" s="44">
        <v>756.67999299999997</v>
      </c>
      <c r="I744" s="44">
        <v>727.51000999999997</v>
      </c>
      <c r="J744" s="44">
        <v>68.459998999999996</v>
      </c>
      <c r="K744" s="44">
        <v>99.050003000000004</v>
      </c>
    </row>
    <row r="745" spans="6:11" x14ac:dyDescent="0.3">
      <c r="F745" s="43">
        <v>38966</v>
      </c>
      <c r="G745" s="44">
        <v>1300.26001</v>
      </c>
      <c r="H745" s="44">
        <v>743.61999500000002</v>
      </c>
      <c r="I745" s="44">
        <v>712.03997800000002</v>
      </c>
      <c r="J745" s="44">
        <v>67.309997999999993</v>
      </c>
      <c r="K745" s="44">
        <v>99.07</v>
      </c>
    </row>
    <row r="746" spans="6:11" x14ac:dyDescent="0.3">
      <c r="F746" s="43">
        <v>38967</v>
      </c>
      <c r="G746" s="44">
        <v>1294.0200199999999</v>
      </c>
      <c r="H746" s="44">
        <v>738.96002199999998</v>
      </c>
      <c r="I746" s="44">
        <v>706.46997099999999</v>
      </c>
      <c r="J746" s="44">
        <v>66.5</v>
      </c>
      <c r="K746" s="44">
        <v>99.040001000000004</v>
      </c>
    </row>
    <row r="747" spans="6:11" x14ac:dyDescent="0.3">
      <c r="F747" s="43">
        <v>38968</v>
      </c>
      <c r="G747" s="44">
        <v>1298.920044</v>
      </c>
      <c r="H747" s="44">
        <v>739.35998500000005</v>
      </c>
      <c r="I747" s="44">
        <v>708.53997800000002</v>
      </c>
      <c r="J747" s="44">
        <v>66.519997000000004</v>
      </c>
      <c r="K747" s="44">
        <v>99.169998000000007</v>
      </c>
    </row>
    <row r="748" spans="6:11" x14ac:dyDescent="0.3">
      <c r="F748" s="43">
        <v>38971</v>
      </c>
      <c r="G748" s="44">
        <v>1299.540039</v>
      </c>
      <c r="H748" s="44">
        <v>738.40997300000004</v>
      </c>
      <c r="I748" s="44">
        <v>707.57000700000003</v>
      </c>
      <c r="J748" s="44">
        <v>66.120002999999997</v>
      </c>
      <c r="K748" s="44">
        <v>99.099997999999999</v>
      </c>
    </row>
    <row r="749" spans="6:11" x14ac:dyDescent="0.3">
      <c r="F749" s="43">
        <v>38972</v>
      </c>
      <c r="G749" s="44">
        <v>1313</v>
      </c>
      <c r="H749" s="44">
        <v>750.80999799999995</v>
      </c>
      <c r="I749" s="44">
        <v>724.47997999999995</v>
      </c>
      <c r="J749" s="44">
        <v>66.879997000000003</v>
      </c>
      <c r="K749" s="44">
        <v>99.339995999999999</v>
      </c>
    </row>
    <row r="750" spans="6:11" x14ac:dyDescent="0.3">
      <c r="F750" s="43">
        <v>38973</v>
      </c>
      <c r="G750" s="44">
        <v>1318.0699460000001</v>
      </c>
      <c r="H750" s="44">
        <v>757.44000200000005</v>
      </c>
      <c r="I750" s="44">
        <v>730.70001200000002</v>
      </c>
      <c r="J750" s="44">
        <v>66.75</v>
      </c>
      <c r="K750" s="44">
        <v>99.419998000000007</v>
      </c>
    </row>
    <row r="751" spans="6:11" x14ac:dyDescent="0.3">
      <c r="F751" s="43">
        <v>38974</v>
      </c>
      <c r="G751" s="44">
        <v>1316.280029</v>
      </c>
      <c r="H751" s="44">
        <v>752.28997800000002</v>
      </c>
      <c r="I751" s="44">
        <v>727.59997599999997</v>
      </c>
      <c r="J751" s="44">
        <v>66.839995999999999</v>
      </c>
      <c r="K751" s="44">
        <v>99.279999000000004</v>
      </c>
    </row>
    <row r="752" spans="6:11" x14ac:dyDescent="0.3">
      <c r="F752" s="43">
        <v>38975</v>
      </c>
      <c r="G752" s="44">
        <v>1319.660034</v>
      </c>
      <c r="H752" s="44">
        <v>751.64001499999995</v>
      </c>
      <c r="I752" s="44">
        <v>729.46002199999998</v>
      </c>
      <c r="J752" s="44">
        <v>66.699996999999996</v>
      </c>
      <c r="K752" s="44">
        <v>99.25</v>
      </c>
    </row>
    <row r="753" spans="6:11" x14ac:dyDescent="0.3">
      <c r="F753" s="43">
        <v>38978</v>
      </c>
      <c r="G753" s="44">
        <v>1321.1800539999999</v>
      </c>
      <c r="H753" s="44">
        <v>751.42999299999997</v>
      </c>
      <c r="I753" s="44">
        <v>728.84002699999996</v>
      </c>
      <c r="J753" s="44">
        <v>66.980002999999996</v>
      </c>
      <c r="K753" s="44">
        <v>99.230002999999996</v>
      </c>
    </row>
    <row r="754" spans="6:11" x14ac:dyDescent="0.3">
      <c r="F754" s="43">
        <v>38979</v>
      </c>
      <c r="G754" s="44">
        <v>1317.6400149999999</v>
      </c>
      <c r="H754" s="44">
        <v>748.86999500000002</v>
      </c>
      <c r="I754" s="44">
        <v>725.11999500000002</v>
      </c>
      <c r="J754" s="44">
        <v>66.360000999999997</v>
      </c>
      <c r="K754" s="44">
        <v>99.459998999999996</v>
      </c>
    </row>
    <row r="755" spans="6:11" x14ac:dyDescent="0.3">
      <c r="F755" s="43">
        <v>38980</v>
      </c>
      <c r="G755" s="44">
        <v>1325.1800539999999</v>
      </c>
      <c r="H755" s="44">
        <v>753.38000499999998</v>
      </c>
      <c r="I755" s="44">
        <v>734.47997999999995</v>
      </c>
      <c r="J755" s="44">
        <v>67.010002</v>
      </c>
      <c r="K755" s="44">
        <v>99.57</v>
      </c>
    </row>
    <row r="756" spans="6:11" x14ac:dyDescent="0.3">
      <c r="F756" s="43">
        <v>38981</v>
      </c>
      <c r="G756" s="44">
        <v>1318.030029</v>
      </c>
      <c r="H756" s="44">
        <v>748.25</v>
      </c>
      <c r="I756" s="44">
        <v>727.13000499999998</v>
      </c>
      <c r="J756" s="44">
        <v>67.169998000000007</v>
      </c>
      <c r="K756" s="44">
        <v>100</v>
      </c>
    </row>
    <row r="757" spans="6:11" x14ac:dyDescent="0.3">
      <c r="F757" s="43">
        <v>38982</v>
      </c>
      <c r="G757" s="44">
        <v>1314.780029</v>
      </c>
      <c r="H757" s="44">
        <v>742.69000200000005</v>
      </c>
      <c r="I757" s="44">
        <v>718.63000499999998</v>
      </c>
      <c r="J757" s="44">
        <v>66.839995999999999</v>
      </c>
      <c r="K757" s="44">
        <v>100.05999799999999</v>
      </c>
    </row>
    <row r="758" spans="6:11" x14ac:dyDescent="0.3">
      <c r="F758" s="43">
        <v>38985</v>
      </c>
      <c r="G758" s="44">
        <v>1326.369995</v>
      </c>
      <c r="H758" s="44">
        <v>749.95001200000002</v>
      </c>
      <c r="I758" s="44">
        <v>727.09002699999996</v>
      </c>
      <c r="J758" s="44">
        <v>67.120002999999997</v>
      </c>
      <c r="K758" s="44">
        <v>100.260002</v>
      </c>
    </row>
    <row r="759" spans="6:11" x14ac:dyDescent="0.3">
      <c r="F759" s="43">
        <v>38986</v>
      </c>
      <c r="G759" s="44">
        <v>1336.349976</v>
      </c>
      <c r="H759" s="44">
        <v>756.14001499999995</v>
      </c>
      <c r="I759" s="44">
        <v>729.60998500000005</v>
      </c>
      <c r="J759" s="44">
        <v>67.279999000000004</v>
      </c>
      <c r="K759" s="44">
        <v>100.25</v>
      </c>
    </row>
    <row r="760" spans="6:11" x14ac:dyDescent="0.3">
      <c r="F760" s="43">
        <v>38987</v>
      </c>
      <c r="G760" s="44">
        <v>1336.589966</v>
      </c>
      <c r="H760" s="44">
        <v>758.17999299999997</v>
      </c>
      <c r="I760" s="44">
        <v>732.53997800000002</v>
      </c>
      <c r="J760" s="44">
        <v>67.709998999999996</v>
      </c>
      <c r="K760" s="44">
        <v>100.209999</v>
      </c>
    </row>
    <row r="761" spans="6:11" x14ac:dyDescent="0.3">
      <c r="F761" s="43">
        <v>38988</v>
      </c>
      <c r="G761" s="44">
        <v>1338.880005</v>
      </c>
      <c r="H761" s="44">
        <v>758.77002000000005</v>
      </c>
      <c r="I761" s="44">
        <v>732.55999799999995</v>
      </c>
      <c r="J761" s="44">
        <v>67.900002000000001</v>
      </c>
      <c r="K761" s="44">
        <v>100.239998</v>
      </c>
    </row>
    <row r="762" spans="6:11" x14ac:dyDescent="0.3">
      <c r="F762" s="43">
        <v>38989</v>
      </c>
      <c r="G762" s="44">
        <v>1335.849976</v>
      </c>
      <c r="H762" s="44">
        <v>754.25</v>
      </c>
      <c r="I762" s="44">
        <v>725.59002699999996</v>
      </c>
      <c r="J762" s="44">
        <v>67.75</v>
      </c>
      <c r="K762" s="44">
        <v>100.160004</v>
      </c>
    </row>
    <row r="763" spans="6:11" x14ac:dyDescent="0.3">
      <c r="F763" s="43">
        <v>38992</v>
      </c>
      <c r="G763" s="44">
        <v>1331.3199460000001</v>
      </c>
      <c r="H763" s="44">
        <v>750.17999299999997</v>
      </c>
      <c r="I763" s="44">
        <v>718.80999799999995</v>
      </c>
      <c r="J763" s="44">
        <v>67.940002000000007</v>
      </c>
      <c r="K763" s="44">
        <v>99.839995999999999</v>
      </c>
    </row>
    <row r="764" spans="6:11" x14ac:dyDescent="0.3">
      <c r="F764" s="43">
        <v>38993</v>
      </c>
      <c r="G764" s="44">
        <v>1334.1099850000001</v>
      </c>
      <c r="H764" s="44">
        <v>748.13000499999998</v>
      </c>
      <c r="I764" s="44">
        <v>718.34997599999997</v>
      </c>
      <c r="J764" s="44">
        <v>68</v>
      </c>
      <c r="K764" s="44">
        <v>99.82</v>
      </c>
    </row>
    <row r="765" spans="6:11" x14ac:dyDescent="0.3">
      <c r="F765" s="43">
        <v>38994</v>
      </c>
      <c r="G765" s="44">
        <v>1350.1999510000001</v>
      </c>
      <c r="H765" s="44">
        <v>760.01000999999997</v>
      </c>
      <c r="I765" s="44">
        <v>733.47997999999995</v>
      </c>
      <c r="J765" s="44">
        <v>68.650002000000001</v>
      </c>
      <c r="K765" s="44">
        <v>100.209999</v>
      </c>
    </row>
    <row r="766" spans="6:11" x14ac:dyDescent="0.3">
      <c r="F766" s="43">
        <v>38995</v>
      </c>
      <c r="G766" s="44">
        <v>1353.219971</v>
      </c>
      <c r="H766" s="44">
        <v>768.95001200000002</v>
      </c>
      <c r="I766" s="44">
        <v>743.080017</v>
      </c>
      <c r="J766" s="44">
        <v>68.730002999999996</v>
      </c>
      <c r="K766" s="44">
        <v>99.900002000000001</v>
      </c>
    </row>
    <row r="767" spans="6:11" x14ac:dyDescent="0.3">
      <c r="F767" s="43">
        <v>38996</v>
      </c>
      <c r="G767" s="44">
        <v>1349.589966</v>
      </c>
      <c r="H767" s="44">
        <v>764.09997599999997</v>
      </c>
      <c r="I767" s="44">
        <v>739.80999799999995</v>
      </c>
      <c r="J767" s="44">
        <v>68.120002999999997</v>
      </c>
      <c r="K767" s="44">
        <v>99.529999000000004</v>
      </c>
    </row>
    <row r="768" spans="6:11" x14ac:dyDescent="0.3">
      <c r="F768" s="43">
        <v>38999</v>
      </c>
      <c r="G768" s="44">
        <v>1350.660034</v>
      </c>
      <c r="H768" s="44">
        <v>768.39001499999995</v>
      </c>
      <c r="I768" s="44">
        <v>744.57000700000003</v>
      </c>
      <c r="J768" s="44">
        <v>68.169998000000007</v>
      </c>
      <c r="K768" s="44">
        <v>99.739998</v>
      </c>
    </row>
    <row r="769" spans="6:11" x14ac:dyDescent="0.3">
      <c r="F769" s="43">
        <v>39000</v>
      </c>
      <c r="G769" s="44">
        <v>1353.420044</v>
      </c>
      <c r="H769" s="44">
        <v>771.32000700000003</v>
      </c>
      <c r="I769" s="44">
        <v>745.88000499999998</v>
      </c>
      <c r="J769" s="44">
        <v>68.25</v>
      </c>
      <c r="K769" s="44">
        <v>99.349997999999999</v>
      </c>
    </row>
    <row r="770" spans="6:11" x14ac:dyDescent="0.3">
      <c r="F770" s="43">
        <v>39001</v>
      </c>
      <c r="G770" s="44">
        <v>1349.9499510000001</v>
      </c>
      <c r="H770" s="44">
        <v>769.61999500000002</v>
      </c>
      <c r="I770" s="44">
        <v>741.71002199999998</v>
      </c>
      <c r="J770" s="44">
        <v>68.199996999999996</v>
      </c>
      <c r="K770" s="44">
        <v>99.239998</v>
      </c>
    </row>
    <row r="771" spans="6:11" x14ac:dyDescent="0.3">
      <c r="F771" s="43">
        <v>39002</v>
      </c>
      <c r="G771" s="44">
        <v>1362.829956</v>
      </c>
      <c r="H771" s="44">
        <v>781.02002000000005</v>
      </c>
      <c r="I771" s="44">
        <v>757.09002699999996</v>
      </c>
      <c r="J771" s="44">
        <v>68.930000000000007</v>
      </c>
      <c r="K771" s="44">
        <v>99.339995999999999</v>
      </c>
    </row>
    <row r="772" spans="6:11" x14ac:dyDescent="0.3">
      <c r="F772" s="43">
        <v>39003</v>
      </c>
      <c r="G772" s="44">
        <v>1365.619995</v>
      </c>
      <c r="H772" s="44">
        <v>784.65002400000003</v>
      </c>
      <c r="I772" s="44">
        <v>762.65002400000003</v>
      </c>
      <c r="J772" s="44">
        <v>69.050003000000004</v>
      </c>
      <c r="K772" s="44">
        <v>99.089995999999999</v>
      </c>
    </row>
    <row r="773" spans="6:11" x14ac:dyDescent="0.3">
      <c r="F773" s="43">
        <v>39006</v>
      </c>
      <c r="G773" s="44">
        <v>1369.0600589999999</v>
      </c>
      <c r="H773" s="44">
        <v>790.45001200000002</v>
      </c>
      <c r="I773" s="44">
        <v>769.47997999999995</v>
      </c>
      <c r="J773" s="44">
        <v>69.309997999999993</v>
      </c>
      <c r="K773" s="44">
        <v>99.25</v>
      </c>
    </row>
    <row r="774" spans="6:11" x14ac:dyDescent="0.3">
      <c r="F774" s="43">
        <v>39007</v>
      </c>
      <c r="G774" s="44">
        <v>1364.0500489999999</v>
      </c>
      <c r="H774" s="44">
        <v>783.82000700000003</v>
      </c>
      <c r="I774" s="44">
        <v>764.90997300000004</v>
      </c>
      <c r="J774" s="44">
        <v>68.879997000000003</v>
      </c>
      <c r="K774" s="44">
        <v>99.400002000000001</v>
      </c>
    </row>
    <row r="775" spans="6:11" x14ac:dyDescent="0.3">
      <c r="F775" s="43">
        <v>39008</v>
      </c>
      <c r="G775" s="44">
        <v>1365.8000489999999</v>
      </c>
      <c r="H775" s="44">
        <v>782.13000499999998</v>
      </c>
      <c r="I775" s="44">
        <v>763.40002400000003</v>
      </c>
      <c r="J775" s="44">
        <v>69.050003000000004</v>
      </c>
      <c r="K775" s="44">
        <v>99.519997000000004</v>
      </c>
    </row>
    <row r="776" spans="6:11" x14ac:dyDescent="0.3">
      <c r="F776" s="43">
        <v>39009</v>
      </c>
      <c r="G776" s="44">
        <v>1366.959961</v>
      </c>
      <c r="H776" s="44">
        <v>785.76000999999997</v>
      </c>
      <c r="I776" s="44">
        <v>767.39001499999995</v>
      </c>
      <c r="J776" s="44">
        <v>69.569999999999993</v>
      </c>
      <c r="K776" s="44">
        <v>99.470000999999996</v>
      </c>
    </row>
    <row r="777" spans="6:11" x14ac:dyDescent="0.3">
      <c r="F777" s="43">
        <v>39010</v>
      </c>
      <c r="G777" s="44">
        <v>1368.599976</v>
      </c>
      <c r="H777" s="44">
        <v>780.32000700000003</v>
      </c>
      <c r="I777" s="44">
        <v>762.13000499999998</v>
      </c>
      <c r="J777" s="44">
        <v>69.790001000000004</v>
      </c>
      <c r="K777" s="44">
        <v>99.440002000000007</v>
      </c>
    </row>
    <row r="778" spans="6:11" x14ac:dyDescent="0.3">
      <c r="F778" s="43">
        <v>39013</v>
      </c>
      <c r="G778" s="44">
        <v>1377.0200199999999</v>
      </c>
      <c r="H778" s="44">
        <v>784.169983</v>
      </c>
      <c r="I778" s="44">
        <v>763.52002000000005</v>
      </c>
      <c r="J778" s="44">
        <v>69.849997999999999</v>
      </c>
      <c r="K778" s="44">
        <v>99.150002000000001</v>
      </c>
    </row>
    <row r="779" spans="6:11" x14ac:dyDescent="0.3">
      <c r="F779" s="43">
        <v>39014</v>
      </c>
      <c r="G779" s="44">
        <v>1377.380005</v>
      </c>
      <c r="H779" s="44">
        <v>786.15002400000003</v>
      </c>
      <c r="I779" s="44">
        <v>762.42999299999997</v>
      </c>
      <c r="J779" s="44">
        <v>69.860000999999997</v>
      </c>
      <c r="K779" s="44">
        <v>99.260002</v>
      </c>
    </row>
    <row r="780" spans="6:11" x14ac:dyDescent="0.3">
      <c r="F780" s="43">
        <v>39015</v>
      </c>
      <c r="G780" s="44">
        <v>1382.219971</v>
      </c>
      <c r="H780" s="44">
        <v>789.55999799999995</v>
      </c>
      <c r="I780" s="44">
        <v>767.15002400000003</v>
      </c>
      <c r="J780" s="44">
        <v>70.349997999999999</v>
      </c>
      <c r="K780" s="44">
        <v>99.5</v>
      </c>
    </row>
    <row r="781" spans="6:11" x14ac:dyDescent="0.3">
      <c r="F781" s="43">
        <v>39016</v>
      </c>
      <c r="G781" s="44">
        <v>1389.079956</v>
      </c>
      <c r="H781" s="44">
        <v>796.53002900000001</v>
      </c>
      <c r="I781" s="44">
        <v>776.03997800000002</v>
      </c>
      <c r="J781" s="44">
        <v>70.889999000000003</v>
      </c>
      <c r="K781" s="44">
        <v>99.839995999999999</v>
      </c>
    </row>
    <row r="782" spans="6:11" x14ac:dyDescent="0.3">
      <c r="F782" s="43">
        <v>39017</v>
      </c>
      <c r="G782" s="44">
        <v>1377.339966</v>
      </c>
      <c r="H782" s="44">
        <v>787.23999000000003</v>
      </c>
      <c r="I782" s="44">
        <v>765.84002699999996</v>
      </c>
      <c r="J782" s="44">
        <v>70.400002000000001</v>
      </c>
      <c r="K782" s="44">
        <v>100.040001</v>
      </c>
    </row>
    <row r="783" spans="6:11" x14ac:dyDescent="0.3">
      <c r="F783" s="43">
        <v>39020</v>
      </c>
      <c r="G783" s="44">
        <v>1377.9300539999999</v>
      </c>
      <c r="H783" s="44">
        <v>788.76000999999997</v>
      </c>
      <c r="I783" s="44">
        <v>770.35998500000005</v>
      </c>
      <c r="J783" s="44">
        <v>70.25</v>
      </c>
      <c r="K783" s="44">
        <v>100.05999799999999</v>
      </c>
    </row>
    <row r="784" spans="6:11" x14ac:dyDescent="0.3">
      <c r="F784" s="43">
        <v>39021</v>
      </c>
      <c r="G784" s="44">
        <v>1377.9399410000001</v>
      </c>
      <c r="H784" s="44">
        <v>785.01000999999997</v>
      </c>
      <c r="I784" s="44">
        <v>766.84002699999996</v>
      </c>
      <c r="J784" s="44">
        <v>70.290001000000004</v>
      </c>
      <c r="K784" s="44">
        <v>100.43</v>
      </c>
    </row>
    <row r="785" spans="6:11" x14ac:dyDescent="0.3">
      <c r="F785" s="43">
        <v>39022</v>
      </c>
      <c r="G785" s="44">
        <v>1367.8100589999999</v>
      </c>
      <c r="H785" s="44">
        <v>775.48999000000003</v>
      </c>
      <c r="I785" s="44">
        <v>752.15002400000003</v>
      </c>
      <c r="J785" s="44">
        <v>70.169998000000007</v>
      </c>
      <c r="K785" s="44">
        <v>100.18</v>
      </c>
    </row>
    <row r="786" spans="6:11" x14ac:dyDescent="0.3">
      <c r="F786" s="43">
        <v>39023</v>
      </c>
      <c r="G786" s="44">
        <v>1367.339966</v>
      </c>
      <c r="H786" s="44">
        <v>775.03997800000002</v>
      </c>
      <c r="I786" s="44">
        <v>750.11999500000002</v>
      </c>
      <c r="J786" s="44">
        <v>70.430000000000007</v>
      </c>
      <c r="K786" s="44">
        <v>100.07</v>
      </c>
    </row>
    <row r="787" spans="6:11" x14ac:dyDescent="0.3">
      <c r="F787" s="43">
        <v>39024</v>
      </c>
      <c r="G787" s="44">
        <v>1364.3000489999999</v>
      </c>
      <c r="H787" s="44">
        <v>776.34997599999997</v>
      </c>
      <c r="I787" s="44">
        <v>752.72997999999995</v>
      </c>
      <c r="J787" s="44">
        <v>70.160004000000001</v>
      </c>
      <c r="K787" s="44">
        <v>99.550003000000004</v>
      </c>
    </row>
    <row r="788" spans="6:11" x14ac:dyDescent="0.3">
      <c r="F788" s="43">
        <v>39027</v>
      </c>
      <c r="G788" s="44">
        <v>1379.780029</v>
      </c>
      <c r="H788" s="44">
        <v>785.09997599999997</v>
      </c>
      <c r="I788" s="44">
        <v>763.080017</v>
      </c>
      <c r="J788" s="44">
        <v>71.199996999999996</v>
      </c>
      <c r="K788" s="44">
        <v>99.550003000000004</v>
      </c>
    </row>
    <row r="789" spans="6:11" x14ac:dyDescent="0.3">
      <c r="F789" s="43">
        <v>39028</v>
      </c>
      <c r="G789" s="44">
        <v>1382.839966</v>
      </c>
      <c r="H789" s="44">
        <v>786.96997099999999</v>
      </c>
      <c r="I789" s="44">
        <v>764.39001499999995</v>
      </c>
      <c r="J789" s="44">
        <v>71.279999000000004</v>
      </c>
      <c r="K789" s="44">
        <v>99.800003000000004</v>
      </c>
    </row>
    <row r="790" spans="6:11" x14ac:dyDescent="0.3">
      <c r="F790" s="43">
        <v>39029</v>
      </c>
      <c r="G790" s="44">
        <v>1385.719971</v>
      </c>
      <c r="H790" s="44">
        <v>791.60998500000005</v>
      </c>
      <c r="I790" s="44">
        <v>769.84002699999996</v>
      </c>
      <c r="J790" s="44">
        <v>71.300003000000004</v>
      </c>
      <c r="K790" s="44">
        <v>100.07</v>
      </c>
    </row>
    <row r="791" spans="6:11" x14ac:dyDescent="0.3">
      <c r="F791" s="43">
        <v>39030</v>
      </c>
      <c r="G791" s="44">
        <v>1378.329956</v>
      </c>
      <c r="H791" s="44">
        <v>787.04998799999998</v>
      </c>
      <c r="I791" s="44">
        <v>762.05999799999995</v>
      </c>
      <c r="J791" s="44">
        <v>70.940002000000007</v>
      </c>
      <c r="K791" s="44">
        <v>100.099998</v>
      </c>
    </row>
    <row r="792" spans="6:11" x14ac:dyDescent="0.3">
      <c r="F792" s="43">
        <v>39031</v>
      </c>
      <c r="G792" s="44">
        <v>1380.900024</v>
      </c>
      <c r="H792" s="44">
        <v>792.27002000000005</v>
      </c>
      <c r="I792" s="44">
        <v>769.15002400000003</v>
      </c>
      <c r="J792" s="44">
        <v>71.220000999999996</v>
      </c>
      <c r="K792" s="44">
        <v>100.32</v>
      </c>
    </row>
    <row r="793" spans="6:11" x14ac:dyDescent="0.3">
      <c r="F793" s="43">
        <v>39034</v>
      </c>
      <c r="G793" s="44">
        <v>1384.420044</v>
      </c>
      <c r="H793" s="44">
        <v>793.71002199999998</v>
      </c>
      <c r="I793" s="44">
        <v>772.40997300000004</v>
      </c>
      <c r="J793" s="44">
        <v>70.769997000000004</v>
      </c>
      <c r="K793" s="44">
        <v>100.199997</v>
      </c>
    </row>
    <row r="794" spans="6:11" x14ac:dyDescent="0.3">
      <c r="F794" s="43">
        <v>39035</v>
      </c>
      <c r="G794" s="44">
        <v>1393.219971</v>
      </c>
      <c r="H794" s="44">
        <v>801.98999000000003</v>
      </c>
      <c r="I794" s="44">
        <v>785.05999799999995</v>
      </c>
      <c r="J794" s="44">
        <v>71.550003000000004</v>
      </c>
      <c r="K794" s="44">
        <v>100.339996</v>
      </c>
    </row>
    <row r="795" spans="6:11" x14ac:dyDescent="0.3">
      <c r="F795" s="43">
        <v>39036</v>
      </c>
      <c r="G795" s="44">
        <v>1396.5699460000001</v>
      </c>
      <c r="H795" s="44">
        <v>806.55999799999995</v>
      </c>
      <c r="I795" s="44">
        <v>791.96002199999998</v>
      </c>
      <c r="J795" s="44">
        <v>71.529999000000004</v>
      </c>
      <c r="K795" s="44">
        <v>100.150002</v>
      </c>
    </row>
    <row r="796" spans="6:11" x14ac:dyDescent="0.3">
      <c r="F796" s="43">
        <v>39037</v>
      </c>
      <c r="G796" s="44">
        <v>1399.76001</v>
      </c>
      <c r="H796" s="44">
        <v>806.75</v>
      </c>
      <c r="I796" s="44">
        <v>790.75</v>
      </c>
      <c r="J796" s="44">
        <v>71.379997000000003</v>
      </c>
      <c r="K796" s="44">
        <v>100.05999799999999</v>
      </c>
    </row>
    <row r="797" spans="6:11" x14ac:dyDescent="0.3">
      <c r="F797" s="43">
        <v>39038</v>
      </c>
      <c r="G797" s="44">
        <v>1401.1999510000001</v>
      </c>
      <c r="H797" s="44">
        <v>805.72997999999995</v>
      </c>
      <c r="I797" s="44">
        <v>788.46997099999999</v>
      </c>
      <c r="J797" s="44">
        <v>71.169998000000007</v>
      </c>
      <c r="K797" s="44">
        <v>100.32</v>
      </c>
    </row>
    <row r="798" spans="6:11" x14ac:dyDescent="0.3">
      <c r="F798" s="43">
        <v>39041</v>
      </c>
      <c r="G798" s="44">
        <v>1400.5</v>
      </c>
      <c r="H798" s="44">
        <v>807.03002900000001</v>
      </c>
      <c r="I798" s="44">
        <v>790.61999500000002</v>
      </c>
      <c r="J798" s="44">
        <v>70.629997000000003</v>
      </c>
      <c r="K798" s="44">
        <v>100.389999</v>
      </c>
    </row>
    <row r="799" spans="6:11" x14ac:dyDescent="0.3">
      <c r="F799" s="43">
        <v>39042</v>
      </c>
      <c r="G799" s="44">
        <v>1402.8100589999999</v>
      </c>
      <c r="H799" s="44">
        <v>808.63000499999998</v>
      </c>
      <c r="I799" s="44">
        <v>792.169983</v>
      </c>
      <c r="J799" s="44">
        <v>70.980002999999996</v>
      </c>
      <c r="K799" s="44">
        <v>100.519997</v>
      </c>
    </row>
    <row r="800" spans="6:11" x14ac:dyDescent="0.3">
      <c r="F800" s="43">
        <v>39043</v>
      </c>
      <c r="G800" s="44">
        <v>1406.089966</v>
      </c>
      <c r="H800" s="44">
        <v>812.39001499999995</v>
      </c>
      <c r="I800" s="44">
        <v>792.90997300000004</v>
      </c>
      <c r="J800" s="44">
        <v>71.669998000000007</v>
      </c>
      <c r="K800" s="44">
        <v>100.660004</v>
      </c>
    </row>
    <row r="801" spans="6:11" x14ac:dyDescent="0.3">
      <c r="F801" s="43">
        <v>39045</v>
      </c>
      <c r="G801" s="44">
        <v>1400.9499510000001</v>
      </c>
      <c r="H801" s="44">
        <v>811.63000499999998</v>
      </c>
      <c r="I801" s="44">
        <v>792.28002900000001</v>
      </c>
      <c r="J801" s="44">
        <v>71.290001000000004</v>
      </c>
      <c r="K801" s="44">
        <v>100.69000200000001</v>
      </c>
    </row>
    <row r="802" spans="6:11" x14ac:dyDescent="0.3">
      <c r="F802" s="43">
        <v>39048</v>
      </c>
      <c r="G802" s="44">
        <v>1381.959961</v>
      </c>
      <c r="H802" s="44">
        <v>795.26000999999997</v>
      </c>
      <c r="I802" s="44">
        <v>772.10998500000005</v>
      </c>
      <c r="J802" s="44">
        <v>70.699996999999996</v>
      </c>
      <c r="K802" s="44">
        <v>100.639999</v>
      </c>
    </row>
    <row r="803" spans="6:11" x14ac:dyDescent="0.3">
      <c r="F803" s="43">
        <v>39049</v>
      </c>
      <c r="G803" s="44">
        <v>1386.719971</v>
      </c>
      <c r="H803" s="44">
        <v>797.44000200000005</v>
      </c>
      <c r="I803" s="44">
        <v>774.82000700000003</v>
      </c>
      <c r="J803" s="44">
        <v>71.330001999999993</v>
      </c>
      <c r="K803" s="44">
        <v>100.910004</v>
      </c>
    </row>
    <row r="804" spans="6:11" x14ac:dyDescent="0.3">
      <c r="F804" s="43">
        <v>39050</v>
      </c>
      <c r="G804" s="44">
        <v>1399.4799800000001</v>
      </c>
      <c r="H804" s="44">
        <v>807.10998500000005</v>
      </c>
      <c r="I804" s="44">
        <v>784.15997300000004</v>
      </c>
      <c r="J804" s="44">
        <v>72.139999000000003</v>
      </c>
      <c r="K804" s="44">
        <v>100.760002</v>
      </c>
    </row>
    <row r="805" spans="6:11" x14ac:dyDescent="0.3">
      <c r="F805" s="43">
        <v>39051</v>
      </c>
      <c r="G805" s="44">
        <v>1400.630005</v>
      </c>
      <c r="H805" s="44">
        <v>809.20001200000002</v>
      </c>
      <c r="I805" s="44">
        <v>786.11999500000002</v>
      </c>
      <c r="J805" s="44">
        <v>72.449996999999996</v>
      </c>
      <c r="K805" s="44">
        <v>101.07</v>
      </c>
    </row>
    <row r="806" spans="6:11" x14ac:dyDescent="0.3">
      <c r="F806" s="43">
        <v>39052</v>
      </c>
      <c r="G806" s="44">
        <v>1396.709961</v>
      </c>
      <c r="H806" s="44">
        <v>809.28002900000001</v>
      </c>
      <c r="I806" s="44">
        <v>781.169983</v>
      </c>
      <c r="J806" s="44">
        <v>72.360000999999997</v>
      </c>
      <c r="K806" s="44">
        <v>100.860001</v>
      </c>
    </row>
    <row r="807" spans="6:11" x14ac:dyDescent="0.3">
      <c r="F807" s="43">
        <v>39055</v>
      </c>
      <c r="G807" s="44">
        <v>1409.119995</v>
      </c>
      <c r="H807" s="44">
        <v>818.61999500000002</v>
      </c>
      <c r="I807" s="44">
        <v>795.84997599999997</v>
      </c>
      <c r="J807" s="44">
        <v>72.830001999999993</v>
      </c>
      <c r="K807" s="44">
        <v>100.959999</v>
      </c>
    </row>
    <row r="808" spans="6:11" x14ac:dyDescent="0.3">
      <c r="F808" s="43">
        <v>39056</v>
      </c>
      <c r="G808" s="44">
        <v>1414.76001</v>
      </c>
      <c r="H808" s="44">
        <v>820.36999500000002</v>
      </c>
      <c r="I808" s="44">
        <v>797.419983</v>
      </c>
      <c r="J808" s="44">
        <v>73.239998</v>
      </c>
      <c r="K808" s="44">
        <v>100.900002</v>
      </c>
    </row>
    <row r="809" spans="6:11" x14ac:dyDescent="0.3">
      <c r="F809" s="43">
        <v>39057</v>
      </c>
      <c r="G809" s="44">
        <v>1412.900024</v>
      </c>
      <c r="H809" s="44">
        <v>819.64001499999995</v>
      </c>
      <c r="I809" s="44">
        <v>795.94000200000005</v>
      </c>
      <c r="J809" s="44">
        <v>73.080001999999993</v>
      </c>
      <c r="K809" s="44">
        <v>100.82</v>
      </c>
    </row>
    <row r="810" spans="6:11" x14ac:dyDescent="0.3">
      <c r="F810" s="43">
        <v>39058</v>
      </c>
      <c r="G810" s="44">
        <v>1407.290039</v>
      </c>
      <c r="H810" s="44">
        <v>816.01000999999997</v>
      </c>
      <c r="I810" s="44">
        <v>792.28997800000002</v>
      </c>
      <c r="J810" s="44">
        <v>73.330001999999993</v>
      </c>
      <c r="K810" s="44">
        <v>100.730003</v>
      </c>
    </row>
    <row r="811" spans="6:11" x14ac:dyDescent="0.3">
      <c r="F811" s="43">
        <v>39059</v>
      </c>
      <c r="G811" s="44">
        <v>1409.839966</v>
      </c>
      <c r="H811" s="44">
        <v>816.03997800000002</v>
      </c>
      <c r="I811" s="44">
        <v>792.55999799999995</v>
      </c>
      <c r="J811" s="44">
        <v>73.150002000000001</v>
      </c>
      <c r="K811" s="44">
        <v>100.519997</v>
      </c>
    </row>
    <row r="812" spans="6:11" x14ac:dyDescent="0.3">
      <c r="F812" s="43">
        <v>39062</v>
      </c>
      <c r="G812" s="44">
        <v>1413.040039</v>
      </c>
      <c r="H812" s="44">
        <v>814.98999000000003</v>
      </c>
      <c r="I812" s="44">
        <v>793.07000700000003</v>
      </c>
      <c r="J812" s="44">
        <v>73.449996999999996</v>
      </c>
      <c r="K812" s="44">
        <v>100.5</v>
      </c>
    </row>
    <row r="813" spans="6:11" x14ac:dyDescent="0.3">
      <c r="F813" s="43">
        <v>39063</v>
      </c>
      <c r="G813" s="44">
        <v>1411.5600589999999</v>
      </c>
      <c r="H813" s="44">
        <v>810.79998799999998</v>
      </c>
      <c r="I813" s="44">
        <v>788.40997300000004</v>
      </c>
      <c r="J813" s="44">
        <v>73.75</v>
      </c>
      <c r="K813" s="44">
        <v>100.779999</v>
      </c>
    </row>
    <row r="814" spans="6:11" x14ac:dyDescent="0.3">
      <c r="F814" s="43">
        <v>39064</v>
      </c>
      <c r="G814" s="44">
        <v>1413.209961</v>
      </c>
      <c r="H814" s="44">
        <v>811.90997300000004</v>
      </c>
      <c r="I814" s="44">
        <v>788.75</v>
      </c>
      <c r="J814" s="44">
        <v>74.029999000000004</v>
      </c>
      <c r="K814" s="44">
        <v>100.470001</v>
      </c>
    </row>
    <row r="815" spans="6:11" x14ac:dyDescent="0.3">
      <c r="F815" s="43">
        <v>39065</v>
      </c>
      <c r="G815" s="44">
        <v>1425.48999</v>
      </c>
      <c r="H815" s="44">
        <v>818.32000700000003</v>
      </c>
      <c r="I815" s="44">
        <v>794.21997099999999</v>
      </c>
      <c r="J815" s="44">
        <v>74.330001999999993</v>
      </c>
      <c r="K815" s="44">
        <v>100.33000199999999</v>
      </c>
    </row>
    <row r="816" spans="6:11" x14ac:dyDescent="0.3">
      <c r="F816" s="43">
        <v>39066</v>
      </c>
      <c r="G816" s="44">
        <v>1427.089966</v>
      </c>
      <c r="H816" s="44">
        <v>816.07000700000003</v>
      </c>
      <c r="I816" s="44">
        <v>792.71002199999998</v>
      </c>
      <c r="J816" s="44">
        <v>74.029999000000004</v>
      </c>
      <c r="K816" s="44">
        <v>100.30999799999999</v>
      </c>
    </row>
    <row r="817" spans="6:11" x14ac:dyDescent="0.3">
      <c r="F817" s="43">
        <v>39069</v>
      </c>
      <c r="G817" s="44">
        <v>1422.4799800000001</v>
      </c>
      <c r="H817" s="44">
        <v>807.72997999999995</v>
      </c>
      <c r="I817" s="44">
        <v>782.02002000000005</v>
      </c>
      <c r="J817" s="44">
        <v>73.919998000000007</v>
      </c>
      <c r="K817" s="44">
        <v>100.370003</v>
      </c>
    </row>
    <row r="818" spans="6:11" x14ac:dyDescent="0.3">
      <c r="F818" s="43">
        <v>39070</v>
      </c>
      <c r="G818" s="44">
        <v>1425.5500489999999</v>
      </c>
      <c r="H818" s="44">
        <v>808.28002900000001</v>
      </c>
      <c r="I818" s="44">
        <v>782.09997599999997</v>
      </c>
      <c r="J818" s="44">
        <v>74.25</v>
      </c>
      <c r="K818" s="44">
        <v>100.44000200000001</v>
      </c>
    </row>
    <row r="819" spans="6:11" x14ac:dyDescent="0.3">
      <c r="F819" s="43">
        <v>39071</v>
      </c>
      <c r="G819" s="44">
        <v>1423.530029</v>
      </c>
      <c r="H819" s="44">
        <v>808.84002699999996</v>
      </c>
      <c r="I819" s="44">
        <v>785.55999799999995</v>
      </c>
      <c r="J819" s="44">
        <v>74.120002999999997</v>
      </c>
      <c r="K819" s="44">
        <v>100.400002</v>
      </c>
    </row>
    <row r="820" spans="6:11" x14ac:dyDescent="0.3">
      <c r="F820" s="43">
        <v>39072</v>
      </c>
      <c r="G820" s="44">
        <v>1418.3000489999999</v>
      </c>
      <c r="H820" s="44">
        <v>805.22997999999995</v>
      </c>
      <c r="I820" s="44">
        <v>782.90002400000003</v>
      </c>
      <c r="J820" s="44">
        <v>72.550003000000004</v>
      </c>
      <c r="K820" s="44">
        <v>100.599998</v>
      </c>
    </row>
    <row r="821" spans="6:11" x14ac:dyDescent="0.3">
      <c r="F821" s="43">
        <v>39073</v>
      </c>
      <c r="G821" s="44">
        <v>1410.76001</v>
      </c>
      <c r="H821" s="44">
        <v>802.15997300000004</v>
      </c>
      <c r="I821" s="44">
        <v>780.82000700000003</v>
      </c>
      <c r="J821" s="44">
        <v>72.379997000000003</v>
      </c>
      <c r="K821" s="44">
        <v>100.510002</v>
      </c>
    </row>
    <row r="822" spans="6:11" x14ac:dyDescent="0.3">
      <c r="F822" s="43">
        <v>39077</v>
      </c>
      <c r="G822" s="44">
        <v>1416.900024</v>
      </c>
      <c r="H822" s="44">
        <v>806.51000999999997</v>
      </c>
      <c r="I822" s="44">
        <v>788.169983</v>
      </c>
      <c r="J822" s="44">
        <v>72.349997999999999</v>
      </c>
      <c r="K822" s="44">
        <v>100.480003</v>
      </c>
    </row>
    <row r="823" spans="6:11" x14ac:dyDescent="0.3">
      <c r="F823" s="43">
        <v>39078</v>
      </c>
      <c r="G823" s="44">
        <v>1426.839966</v>
      </c>
      <c r="H823" s="44">
        <v>813.53997800000002</v>
      </c>
      <c r="I823" s="44">
        <v>797.72997999999995</v>
      </c>
      <c r="J823" s="44">
        <v>73.25</v>
      </c>
      <c r="K823" s="44">
        <v>99.839995999999999</v>
      </c>
    </row>
    <row r="824" spans="6:11" x14ac:dyDescent="0.3">
      <c r="F824" s="43">
        <v>39079</v>
      </c>
      <c r="G824" s="44">
        <v>1424.7299800000001</v>
      </c>
      <c r="H824" s="44">
        <v>810.53002900000001</v>
      </c>
      <c r="I824" s="44">
        <v>794.47997999999995</v>
      </c>
      <c r="J824" s="44">
        <v>73.300003000000004</v>
      </c>
      <c r="K824" s="44">
        <v>99.709998999999996</v>
      </c>
    </row>
    <row r="825" spans="6:11" x14ac:dyDescent="0.3">
      <c r="F825" s="43">
        <v>39080</v>
      </c>
      <c r="G825" s="44">
        <v>1418.3000489999999</v>
      </c>
      <c r="H825" s="44">
        <v>804.36999500000002</v>
      </c>
      <c r="I825" s="44">
        <v>787.65997300000004</v>
      </c>
      <c r="J825" s="44">
        <v>73.220000999999996</v>
      </c>
      <c r="K825" s="44">
        <v>99.699996999999996</v>
      </c>
    </row>
    <row r="826" spans="6:11" x14ac:dyDescent="0.3">
      <c r="F826" s="43">
        <v>39085</v>
      </c>
      <c r="G826" s="44">
        <v>1416.599976</v>
      </c>
      <c r="H826" s="44">
        <v>807.22997999999995</v>
      </c>
      <c r="I826" s="44">
        <v>787.419983</v>
      </c>
      <c r="J826" s="44">
        <v>73.510002</v>
      </c>
      <c r="K826" s="44">
        <v>99.910004000000001</v>
      </c>
    </row>
    <row r="827" spans="6:11" x14ac:dyDescent="0.3">
      <c r="F827" s="43">
        <v>39086</v>
      </c>
      <c r="G827" s="44">
        <v>1418.339966</v>
      </c>
      <c r="H827" s="44">
        <v>809.04998799999998</v>
      </c>
      <c r="I827" s="44">
        <v>789.95001200000002</v>
      </c>
      <c r="J827" s="44">
        <v>73.300003000000004</v>
      </c>
      <c r="K827" s="44">
        <v>100.120003</v>
      </c>
    </row>
    <row r="828" spans="6:11" x14ac:dyDescent="0.3">
      <c r="F828" s="43">
        <v>39087</v>
      </c>
      <c r="G828" s="44">
        <v>1409.709961</v>
      </c>
      <c r="H828" s="44">
        <v>800.40002400000003</v>
      </c>
      <c r="I828" s="44">
        <v>775.86999500000002</v>
      </c>
      <c r="J828" s="44">
        <v>72.199996999999996</v>
      </c>
      <c r="K828" s="44">
        <v>100.050003</v>
      </c>
    </row>
    <row r="829" spans="6:11" x14ac:dyDescent="0.3">
      <c r="F829" s="43">
        <v>39090</v>
      </c>
      <c r="G829" s="44">
        <v>1412.839966</v>
      </c>
      <c r="H829" s="44">
        <v>801.01000999999997</v>
      </c>
      <c r="I829" s="44">
        <v>776.98999000000003</v>
      </c>
      <c r="J829" s="44">
        <v>72.300003000000004</v>
      </c>
      <c r="K829" s="44">
        <v>100.110001</v>
      </c>
    </row>
    <row r="830" spans="6:11" x14ac:dyDescent="0.3">
      <c r="F830" s="43">
        <v>39091</v>
      </c>
      <c r="G830" s="44">
        <v>1412.1099850000001</v>
      </c>
      <c r="H830" s="44">
        <v>803.38000499999998</v>
      </c>
      <c r="I830" s="44">
        <v>778.330017</v>
      </c>
      <c r="J830" s="44">
        <v>72.370002999999997</v>
      </c>
      <c r="K830" s="44">
        <v>100.110001</v>
      </c>
    </row>
    <row r="831" spans="6:11" x14ac:dyDescent="0.3">
      <c r="F831" s="43">
        <v>39092</v>
      </c>
      <c r="G831" s="44">
        <v>1414.849976</v>
      </c>
      <c r="H831" s="44">
        <v>806.09002699999996</v>
      </c>
      <c r="I831" s="44">
        <v>778.86999500000002</v>
      </c>
      <c r="J831" s="44">
        <v>71.819999999999993</v>
      </c>
      <c r="K831" s="44">
        <v>100</v>
      </c>
    </row>
    <row r="832" spans="6:11" x14ac:dyDescent="0.3">
      <c r="F832" s="43">
        <v>39093</v>
      </c>
      <c r="G832" s="44">
        <v>1423.8199460000001</v>
      </c>
      <c r="H832" s="44">
        <v>814.71002199999998</v>
      </c>
      <c r="I832" s="44">
        <v>788.45001200000002</v>
      </c>
      <c r="J832" s="44">
        <v>72.279999000000004</v>
      </c>
      <c r="K832" s="44">
        <v>99.809997999999993</v>
      </c>
    </row>
    <row r="833" spans="6:11" x14ac:dyDescent="0.3">
      <c r="F833" s="43">
        <v>39094</v>
      </c>
      <c r="G833" s="44">
        <v>1430.7299800000001</v>
      </c>
      <c r="H833" s="44">
        <v>820.42999299999997</v>
      </c>
      <c r="I833" s="44">
        <v>794.26000999999997</v>
      </c>
      <c r="J833" s="44">
        <v>73.099997999999999</v>
      </c>
      <c r="K833" s="44">
        <v>99.669998000000007</v>
      </c>
    </row>
    <row r="834" spans="6:11" x14ac:dyDescent="0.3">
      <c r="F834" s="43">
        <v>39098</v>
      </c>
      <c r="G834" s="44">
        <v>1431.900024</v>
      </c>
      <c r="H834" s="44">
        <v>819.15997300000004</v>
      </c>
      <c r="I834" s="44">
        <v>791.47997999999995</v>
      </c>
      <c r="J834" s="44">
        <v>73.010002</v>
      </c>
      <c r="K834" s="44">
        <v>99.800003000000004</v>
      </c>
    </row>
    <row r="835" spans="6:11" x14ac:dyDescent="0.3">
      <c r="F835" s="43">
        <v>39099</v>
      </c>
      <c r="G835" s="44">
        <v>1430.619995</v>
      </c>
      <c r="H835" s="44">
        <v>818.86999500000002</v>
      </c>
      <c r="I835" s="44">
        <v>788.77002000000005</v>
      </c>
      <c r="J835" s="44">
        <v>73.050003000000004</v>
      </c>
      <c r="K835" s="44">
        <v>99.739998</v>
      </c>
    </row>
    <row r="836" spans="6:11" x14ac:dyDescent="0.3">
      <c r="F836" s="43">
        <v>39100</v>
      </c>
      <c r="G836" s="44">
        <v>1426.369995</v>
      </c>
      <c r="H836" s="44">
        <v>811.15997300000004</v>
      </c>
      <c r="I836" s="44">
        <v>778.21002199999998</v>
      </c>
      <c r="J836" s="44">
        <v>72.800003000000004</v>
      </c>
      <c r="K836" s="44">
        <v>99.879997000000003</v>
      </c>
    </row>
    <row r="837" spans="6:11" x14ac:dyDescent="0.3">
      <c r="F837" s="43">
        <v>39101</v>
      </c>
      <c r="G837" s="44">
        <v>1430.5</v>
      </c>
      <c r="H837" s="44">
        <v>816.48999000000003</v>
      </c>
      <c r="I837" s="44">
        <v>785.15997300000004</v>
      </c>
      <c r="J837" s="44">
        <v>73.690002000000007</v>
      </c>
      <c r="K837" s="44">
        <v>99.839995999999999</v>
      </c>
    </row>
    <row r="838" spans="6:11" x14ac:dyDescent="0.3">
      <c r="F838" s="43">
        <v>39104</v>
      </c>
      <c r="G838" s="44">
        <v>1422.9499510000001</v>
      </c>
      <c r="H838" s="44">
        <v>812.65997300000004</v>
      </c>
      <c r="I838" s="44">
        <v>777.96002199999998</v>
      </c>
      <c r="J838" s="44">
        <v>73.319999999999993</v>
      </c>
      <c r="K838" s="44">
        <v>99.889999000000003</v>
      </c>
    </row>
    <row r="839" spans="6:11" x14ac:dyDescent="0.3">
      <c r="F839" s="43">
        <v>39105</v>
      </c>
      <c r="G839" s="44">
        <v>1427.98999</v>
      </c>
      <c r="H839" s="44">
        <v>818.71997099999999</v>
      </c>
      <c r="I839" s="44">
        <v>785.38000499999998</v>
      </c>
      <c r="J839" s="44">
        <v>73.970000999999996</v>
      </c>
      <c r="K839" s="44">
        <v>99.699996999999996</v>
      </c>
    </row>
    <row r="840" spans="6:11" x14ac:dyDescent="0.3">
      <c r="F840" s="43">
        <v>39106</v>
      </c>
      <c r="G840" s="44">
        <v>1440.130005</v>
      </c>
      <c r="H840" s="44">
        <v>826.95001200000002</v>
      </c>
      <c r="I840" s="44">
        <v>794.03002900000001</v>
      </c>
      <c r="J840" s="44">
        <v>74.449996999999996</v>
      </c>
      <c r="K840" s="44">
        <v>99.669998000000007</v>
      </c>
    </row>
    <row r="841" spans="6:11" x14ac:dyDescent="0.3">
      <c r="F841" s="43">
        <v>39107</v>
      </c>
      <c r="G841" s="44">
        <v>1423.900024</v>
      </c>
      <c r="H841" s="44">
        <v>817.22997999999995</v>
      </c>
      <c r="I841" s="44">
        <v>784.19000200000005</v>
      </c>
      <c r="J841" s="44">
        <v>73.239998</v>
      </c>
      <c r="K841" s="44">
        <v>99.540001000000004</v>
      </c>
    </row>
    <row r="842" spans="6:11" x14ac:dyDescent="0.3">
      <c r="F842" s="43">
        <v>39108</v>
      </c>
      <c r="G842" s="44">
        <v>1422.1800539999999</v>
      </c>
      <c r="H842" s="44">
        <v>819.28002900000001</v>
      </c>
      <c r="I842" s="44">
        <v>788.14001499999995</v>
      </c>
      <c r="J842" s="44">
        <v>73.379997000000003</v>
      </c>
      <c r="K842" s="44">
        <v>99.529999000000004</v>
      </c>
    </row>
    <row r="843" spans="6:11" x14ac:dyDescent="0.3">
      <c r="F843" s="43">
        <v>39111</v>
      </c>
      <c r="G843" s="44">
        <v>1420.619995</v>
      </c>
      <c r="H843" s="44">
        <v>822.72997999999995</v>
      </c>
      <c r="I843" s="44">
        <v>793.09997599999997</v>
      </c>
      <c r="J843" s="44">
        <v>73.459998999999996</v>
      </c>
      <c r="K843" s="44">
        <v>99.400002000000001</v>
      </c>
    </row>
    <row r="844" spans="6:11" x14ac:dyDescent="0.3">
      <c r="F844" s="43">
        <v>39112</v>
      </c>
      <c r="G844" s="44">
        <v>1428.8199460000001</v>
      </c>
      <c r="H844" s="44">
        <v>827.45001200000002</v>
      </c>
      <c r="I844" s="44">
        <v>797.96997099999999</v>
      </c>
      <c r="J844" s="44">
        <v>73.959998999999996</v>
      </c>
      <c r="K844" s="44">
        <v>99.550003000000004</v>
      </c>
    </row>
    <row r="845" spans="6:11" x14ac:dyDescent="0.3">
      <c r="F845" s="43">
        <v>39113</v>
      </c>
      <c r="G845" s="44">
        <v>1438.23999</v>
      </c>
      <c r="H845" s="44">
        <v>833.02002000000005</v>
      </c>
      <c r="I845" s="44">
        <v>800.34002699999996</v>
      </c>
      <c r="J845" s="44">
        <v>74.239998</v>
      </c>
      <c r="K845" s="44">
        <v>99.629997000000003</v>
      </c>
    </row>
    <row r="846" spans="6:11" x14ac:dyDescent="0.3">
      <c r="F846" s="43">
        <v>39114</v>
      </c>
      <c r="G846" s="44">
        <v>1445.9399410000001</v>
      </c>
      <c r="H846" s="44">
        <v>840.78997800000002</v>
      </c>
      <c r="I846" s="44">
        <v>807.77002000000005</v>
      </c>
      <c r="J846" s="44">
        <v>74.860000999999997</v>
      </c>
      <c r="K846" s="44">
        <v>99.290001000000004</v>
      </c>
    </row>
    <row r="847" spans="6:11" x14ac:dyDescent="0.3">
      <c r="F847" s="43">
        <v>39115</v>
      </c>
      <c r="G847" s="44">
        <v>1448.3900149999999</v>
      </c>
      <c r="H847" s="44">
        <v>842.90002400000003</v>
      </c>
      <c r="I847" s="44">
        <v>809.419983</v>
      </c>
      <c r="J847" s="44">
        <v>74.709998999999996</v>
      </c>
      <c r="K847" s="44">
        <v>99.43</v>
      </c>
    </row>
    <row r="848" spans="6:11" x14ac:dyDescent="0.3">
      <c r="F848" s="43">
        <v>39118</v>
      </c>
      <c r="G848" s="44">
        <v>1446.98999</v>
      </c>
      <c r="H848" s="44">
        <v>843.05999799999995</v>
      </c>
      <c r="I848" s="44">
        <v>806.69000200000005</v>
      </c>
      <c r="J848" s="44">
        <v>74.470000999999996</v>
      </c>
      <c r="K848" s="44">
        <v>99.589995999999999</v>
      </c>
    </row>
    <row r="849" spans="6:11" x14ac:dyDescent="0.3">
      <c r="F849" s="43">
        <v>39119</v>
      </c>
      <c r="G849" s="44">
        <v>1448</v>
      </c>
      <c r="H849" s="44">
        <v>847.23999000000003</v>
      </c>
      <c r="I849" s="44">
        <v>810.40997300000004</v>
      </c>
      <c r="J849" s="44">
        <v>75.050003000000004</v>
      </c>
      <c r="K849" s="44">
        <v>99.779999000000004</v>
      </c>
    </row>
    <row r="850" spans="6:11" x14ac:dyDescent="0.3">
      <c r="F850" s="43">
        <v>39120</v>
      </c>
      <c r="G850" s="44">
        <v>1450.0200199999999</v>
      </c>
      <c r="H850" s="44">
        <v>850.54998799999998</v>
      </c>
      <c r="I850" s="44">
        <v>816.20001200000002</v>
      </c>
      <c r="J850" s="44">
        <v>75.260002</v>
      </c>
      <c r="K850" s="44">
        <v>99.900002000000001</v>
      </c>
    </row>
    <row r="851" spans="6:11" x14ac:dyDescent="0.3">
      <c r="F851" s="43">
        <v>39121</v>
      </c>
      <c r="G851" s="44">
        <v>1448.3100589999999</v>
      </c>
      <c r="H851" s="44">
        <v>851.07000700000003</v>
      </c>
      <c r="I851" s="44">
        <v>816.39001499999995</v>
      </c>
      <c r="J851" s="44">
        <v>74.959998999999996</v>
      </c>
      <c r="K851" s="44">
        <v>99.959998999999996</v>
      </c>
    </row>
    <row r="852" spans="6:11" x14ac:dyDescent="0.3">
      <c r="F852" s="43">
        <v>39122</v>
      </c>
      <c r="G852" s="44">
        <v>1438.0600589999999</v>
      </c>
      <c r="H852" s="44">
        <v>845.03002900000001</v>
      </c>
      <c r="I852" s="44">
        <v>807.10998500000005</v>
      </c>
      <c r="J852" s="44">
        <v>74.639999000000003</v>
      </c>
      <c r="K852" s="44">
        <v>99.730002999999996</v>
      </c>
    </row>
    <row r="853" spans="6:11" x14ac:dyDescent="0.3">
      <c r="F853" s="43">
        <v>39125</v>
      </c>
      <c r="G853" s="44">
        <v>1433.369995</v>
      </c>
      <c r="H853" s="44">
        <v>842.15002400000003</v>
      </c>
      <c r="I853" s="44">
        <v>805.78997800000002</v>
      </c>
      <c r="J853" s="44">
        <v>74.349997999999999</v>
      </c>
      <c r="K853" s="44">
        <v>99.629997000000003</v>
      </c>
    </row>
    <row r="854" spans="6:11" x14ac:dyDescent="0.3">
      <c r="F854" s="43">
        <v>39126</v>
      </c>
      <c r="G854" s="44">
        <v>1444.26001</v>
      </c>
      <c r="H854" s="44">
        <v>849.96002199999998</v>
      </c>
      <c r="I854" s="44">
        <v>812.53002900000001</v>
      </c>
      <c r="J854" s="44">
        <v>75.300003000000004</v>
      </c>
      <c r="K854" s="44">
        <v>99.620002999999997</v>
      </c>
    </row>
    <row r="855" spans="6:11" x14ac:dyDescent="0.3">
      <c r="F855" s="43">
        <v>39127</v>
      </c>
      <c r="G855" s="44">
        <v>1455.3000489999999</v>
      </c>
      <c r="H855" s="44">
        <v>855.52002000000005</v>
      </c>
      <c r="I855" s="44">
        <v>813.98999000000003</v>
      </c>
      <c r="J855" s="44">
        <v>76.319999999999993</v>
      </c>
      <c r="K855" s="44">
        <v>100</v>
      </c>
    </row>
    <row r="856" spans="6:11" x14ac:dyDescent="0.3">
      <c r="F856" s="43">
        <v>39128</v>
      </c>
      <c r="G856" s="44">
        <v>1456.8100589999999</v>
      </c>
      <c r="H856" s="44">
        <v>857.669983</v>
      </c>
      <c r="I856" s="44">
        <v>815.42999299999997</v>
      </c>
      <c r="J856" s="44">
        <v>76.410004000000001</v>
      </c>
      <c r="K856" s="44">
        <v>100.139999</v>
      </c>
    </row>
    <row r="857" spans="6:11" x14ac:dyDescent="0.3">
      <c r="F857" s="43">
        <v>39129</v>
      </c>
      <c r="G857" s="44">
        <v>1455.540039</v>
      </c>
      <c r="H857" s="44">
        <v>858.69000200000005</v>
      </c>
      <c r="I857" s="44">
        <v>818.15002400000003</v>
      </c>
      <c r="J857" s="44">
        <v>76.379997000000003</v>
      </c>
      <c r="K857" s="44">
        <v>100.209999</v>
      </c>
    </row>
    <row r="858" spans="6:11" x14ac:dyDescent="0.3">
      <c r="F858" s="43">
        <v>39133</v>
      </c>
      <c r="G858" s="44">
        <v>1459.6800539999999</v>
      </c>
      <c r="H858" s="44">
        <v>864.48999000000003</v>
      </c>
      <c r="I858" s="44">
        <v>826.10998500000005</v>
      </c>
      <c r="J858" s="44">
        <v>76.489998</v>
      </c>
      <c r="K858" s="44">
        <v>100.260002</v>
      </c>
    </row>
    <row r="859" spans="6:11" x14ac:dyDescent="0.3">
      <c r="F859" s="43">
        <v>39134</v>
      </c>
      <c r="G859" s="44">
        <v>1457.630005</v>
      </c>
      <c r="H859" s="44">
        <v>866.65002400000003</v>
      </c>
      <c r="I859" s="44">
        <v>827.330017</v>
      </c>
      <c r="J859" s="44">
        <v>76.099997999999999</v>
      </c>
      <c r="K859" s="44">
        <v>100.25</v>
      </c>
    </row>
    <row r="860" spans="6:11" x14ac:dyDescent="0.3">
      <c r="F860" s="43">
        <v>39135</v>
      </c>
      <c r="G860" s="44">
        <v>1456.380005</v>
      </c>
      <c r="H860" s="44">
        <v>867.60998500000005</v>
      </c>
      <c r="I860" s="44">
        <v>829.44000200000005</v>
      </c>
      <c r="J860" s="44">
        <v>76.440002000000007</v>
      </c>
      <c r="K860" s="44">
        <v>100.050003</v>
      </c>
    </row>
    <row r="861" spans="6:11" x14ac:dyDescent="0.3">
      <c r="F861" s="43">
        <v>39136</v>
      </c>
      <c r="G861" s="44">
        <v>1451.1899410000001</v>
      </c>
      <c r="H861" s="44">
        <v>867.55999799999995</v>
      </c>
      <c r="I861" s="44">
        <v>826.64001499999995</v>
      </c>
      <c r="J861" s="44">
        <v>76.680000000000007</v>
      </c>
      <c r="K861" s="44">
        <v>100.290001</v>
      </c>
    </row>
    <row r="862" spans="6:11" x14ac:dyDescent="0.3">
      <c r="F862" s="43">
        <v>39139</v>
      </c>
      <c r="G862" s="44">
        <v>1449.369995</v>
      </c>
      <c r="H862" s="44">
        <v>864</v>
      </c>
      <c r="I862" s="44">
        <v>823.69000200000005</v>
      </c>
      <c r="J862" s="44">
        <v>76.720000999999996</v>
      </c>
      <c r="K862" s="44">
        <v>100.510002</v>
      </c>
    </row>
    <row r="863" spans="6:11" x14ac:dyDescent="0.3">
      <c r="F863" s="43">
        <v>39140</v>
      </c>
      <c r="G863" s="44">
        <v>1399.040039</v>
      </c>
      <c r="H863" s="44">
        <v>837.38000499999998</v>
      </c>
      <c r="I863" s="44">
        <v>792.65997300000004</v>
      </c>
      <c r="J863" s="44">
        <v>73.629997000000003</v>
      </c>
      <c r="K863" s="44">
        <v>100.91999800000001</v>
      </c>
    </row>
    <row r="864" spans="6:11" x14ac:dyDescent="0.3">
      <c r="F864" s="43">
        <v>39141</v>
      </c>
      <c r="G864" s="44">
        <v>1406.8199460000001</v>
      </c>
      <c r="H864" s="44">
        <v>838.09997599999997</v>
      </c>
      <c r="I864" s="44">
        <v>793.29998799999998</v>
      </c>
      <c r="J864" s="44">
        <v>74.150002000000001</v>
      </c>
      <c r="K864" s="44">
        <v>100.849998</v>
      </c>
    </row>
    <row r="865" spans="6:11" x14ac:dyDescent="0.3">
      <c r="F865" s="43">
        <v>39142</v>
      </c>
      <c r="G865" s="44">
        <v>1403.170044</v>
      </c>
      <c r="H865" s="44">
        <v>836.45001200000002</v>
      </c>
      <c r="I865" s="44">
        <v>791.03002900000001</v>
      </c>
      <c r="J865" s="44">
        <v>73.389999000000003</v>
      </c>
      <c r="K865" s="44">
        <v>100.44000200000001</v>
      </c>
    </row>
    <row r="866" spans="6:11" x14ac:dyDescent="0.3">
      <c r="F866" s="43">
        <v>39143</v>
      </c>
      <c r="G866" s="44">
        <v>1387.170044</v>
      </c>
      <c r="H866" s="44">
        <v>823.69000200000005</v>
      </c>
      <c r="I866" s="44">
        <v>775.44000200000005</v>
      </c>
      <c r="J866" s="44">
        <v>72.400002000000001</v>
      </c>
      <c r="K866" s="44">
        <v>100.650002</v>
      </c>
    </row>
    <row r="867" spans="6:11" x14ac:dyDescent="0.3">
      <c r="F867" s="43">
        <v>39146</v>
      </c>
      <c r="G867" s="44">
        <v>1374.119995</v>
      </c>
      <c r="H867" s="44">
        <v>809.07000700000003</v>
      </c>
      <c r="I867" s="44">
        <v>760.05999799999995</v>
      </c>
      <c r="J867" s="44">
        <v>70.900002000000001</v>
      </c>
      <c r="K867" s="44">
        <v>100.589996</v>
      </c>
    </row>
    <row r="868" spans="6:11" x14ac:dyDescent="0.3">
      <c r="F868" s="43">
        <v>39147</v>
      </c>
      <c r="G868" s="44">
        <v>1395.410034</v>
      </c>
      <c r="H868" s="44">
        <v>822.15997300000004</v>
      </c>
      <c r="I868" s="44">
        <v>778.88000499999998</v>
      </c>
      <c r="J868" s="44">
        <v>73.099997999999999</v>
      </c>
      <c r="K868" s="44">
        <v>100.519997</v>
      </c>
    </row>
    <row r="869" spans="6:11" x14ac:dyDescent="0.3">
      <c r="F869" s="43">
        <v>39148</v>
      </c>
      <c r="G869" s="44">
        <v>1391.969971</v>
      </c>
      <c r="H869" s="44">
        <v>823.95001200000002</v>
      </c>
      <c r="I869" s="44">
        <v>775.90002400000003</v>
      </c>
      <c r="J869" s="44">
        <v>73.120002999999997</v>
      </c>
      <c r="K869" s="44">
        <v>100.599998</v>
      </c>
    </row>
    <row r="870" spans="6:11" x14ac:dyDescent="0.3">
      <c r="F870" s="43">
        <v>39149</v>
      </c>
      <c r="G870" s="44">
        <v>1401.8900149999999</v>
      </c>
      <c r="H870" s="44">
        <v>829.95001200000002</v>
      </c>
      <c r="I870" s="44">
        <v>781.14001499999995</v>
      </c>
      <c r="J870" s="44">
        <v>73.980002999999996</v>
      </c>
      <c r="K870" s="44">
        <v>100.510002</v>
      </c>
    </row>
    <row r="871" spans="6:11" x14ac:dyDescent="0.3">
      <c r="F871" s="43">
        <v>39150</v>
      </c>
      <c r="G871" s="44">
        <v>1402.839966</v>
      </c>
      <c r="H871" s="44">
        <v>832.84002699999996</v>
      </c>
      <c r="I871" s="44">
        <v>785.11999500000002</v>
      </c>
      <c r="J871" s="44">
        <v>74.099997999999999</v>
      </c>
      <c r="K871" s="44">
        <v>100.230003</v>
      </c>
    </row>
    <row r="872" spans="6:11" x14ac:dyDescent="0.3">
      <c r="F872" s="43">
        <v>39153</v>
      </c>
      <c r="G872" s="44">
        <v>1406.599976</v>
      </c>
      <c r="H872" s="44">
        <v>836.13000499999998</v>
      </c>
      <c r="I872" s="44">
        <v>789</v>
      </c>
      <c r="J872" s="44">
        <v>74.580001999999993</v>
      </c>
      <c r="K872" s="44">
        <v>100.540001</v>
      </c>
    </row>
    <row r="873" spans="6:11" x14ac:dyDescent="0.3">
      <c r="F873" s="43">
        <v>39154</v>
      </c>
      <c r="G873" s="44">
        <v>1377.9499510000001</v>
      </c>
      <c r="H873" s="44">
        <v>819.47997999999995</v>
      </c>
      <c r="I873" s="44">
        <v>769.11999500000002</v>
      </c>
      <c r="J873" s="44">
        <v>72.800003000000004</v>
      </c>
      <c r="K873" s="44">
        <v>100.800003</v>
      </c>
    </row>
    <row r="874" spans="6:11" x14ac:dyDescent="0.3">
      <c r="F874" s="43">
        <v>39155</v>
      </c>
      <c r="G874" s="44">
        <v>1387.170044</v>
      </c>
      <c r="H874" s="44">
        <v>822.80999799999995</v>
      </c>
      <c r="I874" s="44">
        <v>775.67999299999997</v>
      </c>
      <c r="J874" s="44">
        <v>72.830001999999993</v>
      </c>
      <c r="K874" s="44">
        <v>100.68</v>
      </c>
    </row>
    <row r="875" spans="6:11" x14ac:dyDescent="0.3">
      <c r="F875" s="43">
        <v>39156</v>
      </c>
      <c r="G875" s="44">
        <v>1392.280029</v>
      </c>
      <c r="H875" s="44">
        <v>828.44000200000005</v>
      </c>
      <c r="I875" s="44">
        <v>783.60998500000005</v>
      </c>
      <c r="J875" s="44">
        <v>73.160004000000001</v>
      </c>
      <c r="K875" s="44">
        <v>100.57</v>
      </c>
    </row>
    <row r="876" spans="6:11" x14ac:dyDescent="0.3">
      <c r="F876" s="43">
        <v>39157</v>
      </c>
      <c r="G876" s="44">
        <v>1386.9499510000001</v>
      </c>
      <c r="H876" s="44">
        <v>823.89001499999995</v>
      </c>
      <c r="I876" s="44">
        <v>778.77002000000005</v>
      </c>
      <c r="J876" s="44">
        <v>73.25</v>
      </c>
      <c r="K876" s="44">
        <v>100.58000199999999</v>
      </c>
    </row>
    <row r="877" spans="6:11" x14ac:dyDescent="0.3">
      <c r="F877" s="43">
        <v>39160</v>
      </c>
      <c r="G877" s="44">
        <v>1402.0600589999999</v>
      </c>
      <c r="H877" s="44">
        <v>832.57000700000003</v>
      </c>
      <c r="I877" s="44">
        <v>787.04998799999998</v>
      </c>
      <c r="J877" s="44">
        <v>74.379997000000003</v>
      </c>
      <c r="K877" s="44">
        <v>100.510002</v>
      </c>
    </row>
    <row r="878" spans="6:11" x14ac:dyDescent="0.3">
      <c r="F878" s="43">
        <v>39161</v>
      </c>
      <c r="G878" s="44">
        <v>1410.9399410000001</v>
      </c>
      <c r="H878" s="44">
        <v>839.48999000000003</v>
      </c>
      <c r="I878" s="44">
        <v>793.59997599999997</v>
      </c>
      <c r="J878" s="44">
        <v>75.010002</v>
      </c>
      <c r="K878" s="44">
        <v>100.610001</v>
      </c>
    </row>
    <row r="879" spans="6:11" x14ac:dyDescent="0.3">
      <c r="F879" s="43">
        <v>39162</v>
      </c>
      <c r="G879" s="44">
        <v>1435.040039</v>
      </c>
      <c r="H879" s="44">
        <v>851.51000999999997</v>
      </c>
      <c r="I879" s="44">
        <v>807.46997099999999</v>
      </c>
      <c r="J879" s="44">
        <v>76.610000999999997</v>
      </c>
      <c r="K879" s="44">
        <v>100.739998</v>
      </c>
    </row>
    <row r="880" spans="6:11" x14ac:dyDescent="0.3">
      <c r="F880" s="43">
        <v>39163</v>
      </c>
      <c r="G880" s="44">
        <v>1434.540039</v>
      </c>
      <c r="H880" s="44">
        <v>853.44000200000005</v>
      </c>
      <c r="I880" s="44">
        <v>808.04998799999998</v>
      </c>
      <c r="J880" s="44">
        <v>76.319999999999993</v>
      </c>
      <c r="K880" s="44">
        <v>100.550003</v>
      </c>
    </row>
    <row r="881" spans="6:11" x14ac:dyDescent="0.3">
      <c r="F881" s="43">
        <v>39164</v>
      </c>
      <c r="G881" s="44">
        <v>1436.1099850000001</v>
      </c>
      <c r="H881" s="44">
        <v>855.67999299999997</v>
      </c>
      <c r="I881" s="44">
        <v>809.51000999999997</v>
      </c>
      <c r="J881" s="44">
        <v>76.5</v>
      </c>
      <c r="K881" s="44">
        <v>100.410004</v>
      </c>
    </row>
    <row r="882" spans="6:11" x14ac:dyDescent="0.3">
      <c r="F882" s="43">
        <v>39167</v>
      </c>
      <c r="G882" s="44">
        <v>1437.5</v>
      </c>
      <c r="H882" s="44">
        <v>855.28002900000001</v>
      </c>
      <c r="I882" s="44">
        <v>808.94000200000005</v>
      </c>
      <c r="J882" s="44">
        <v>76.529999000000004</v>
      </c>
      <c r="K882" s="44">
        <v>100.349998</v>
      </c>
    </row>
    <row r="883" spans="6:11" x14ac:dyDescent="0.3">
      <c r="F883" s="43">
        <v>39168</v>
      </c>
      <c r="G883" s="44">
        <v>1428.6099850000001</v>
      </c>
      <c r="H883" s="44">
        <v>851.20001200000002</v>
      </c>
      <c r="I883" s="44">
        <v>802.35998500000005</v>
      </c>
      <c r="J883" s="44">
        <v>76.190002000000007</v>
      </c>
      <c r="K883" s="44">
        <v>100.370003</v>
      </c>
    </row>
    <row r="884" spans="6:11" x14ac:dyDescent="0.3">
      <c r="F884" s="43">
        <v>39169</v>
      </c>
      <c r="G884" s="44">
        <v>1417.2299800000001</v>
      </c>
      <c r="H884" s="44">
        <v>847.44000200000005</v>
      </c>
      <c r="I884" s="44">
        <v>797.40002400000003</v>
      </c>
      <c r="J884" s="44">
        <v>75.519997000000004</v>
      </c>
      <c r="K884" s="44">
        <v>100.41999800000001</v>
      </c>
    </row>
    <row r="885" spans="6:11" x14ac:dyDescent="0.3">
      <c r="F885" s="43">
        <v>39170</v>
      </c>
      <c r="G885" s="44">
        <v>1422.530029</v>
      </c>
      <c r="H885" s="44">
        <v>847.45001200000002</v>
      </c>
      <c r="I885" s="44">
        <v>798.94000200000005</v>
      </c>
      <c r="J885" s="44">
        <v>76.180000000000007</v>
      </c>
      <c r="K885" s="44">
        <v>100.260002</v>
      </c>
    </row>
    <row r="886" spans="6:11" x14ac:dyDescent="0.3">
      <c r="F886" s="43">
        <v>39171</v>
      </c>
      <c r="G886" s="44">
        <v>1420.8599850000001</v>
      </c>
      <c r="H886" s="44">
        <v>848.46997099999999</v>
      </c>
      <c r="I886" s="44">
        <v>800.71002199999998</v>
      </c>
      <c r="J886" s="44">
        <v>76.300003000000004</v>
      </c>
      <c r="K886" s="44">
        <v>100.260002</v>
      </c>
    </row>
    <row r="887" spans="6:11" x14ac:dyDescent="0.3">
      <c r="F887" s="43">
        <v>39174</v>
      </c>
      <c r="G887" s="44">
        <v>1424.5500489999999</v>
      </c>
      <c r="H887" s="44">
        <v>852.40997300000004</v>
      </c>
      <c r="I887" s="44">
        <v>803.21997099999999</v>
      </c>
      <c r="J887" s="44">
        <v>76.5</v>
      </c>
      <c r="K887" s="44">
        <v>100</v>
      </c>
    </row>
    <row r="888" spans="6:11" x14ac:dyDescent="0.3">
      <c r="F888" s="43">
        <v>39175</v>
      </c>
      <c r="G888" s="44">
        <v>1437.7700199999999</v>
      </c>
      <c r="H888" s="44">
        <v>858.71002199999998</v>
      </c>
      <c r="I888" s="44">
        <v>811.77002000000005</v>
      </c>
      <c r="J888" s="44">
        <v>77.139999000000003</v>
      </c>
      <c r="K888" s="44">
        <v>99.900002000000001</v>
      </c>
    </row>
    <row r="889" spans="6:11" x14ac:dyDescent="0.3">
      <c r="F889" s="43">
        <v>39176</v>
      </c>
      <c r="G889" s="44">
        <v>1439.369995</v>
      </c>
      <c r="H889" s="44">
        <v>859.34997599999997</v>
      </c>
      <c r="I889" s="44">
        <v>810.78997800000002</v>
      </c>
      <c r="J889" s="44">
        <v>77.459998999999996</v>
      </c>
      <c r="K889" s="44">
        <v>100.010002</v>
      </c>
    </row>
    <row r="890" spans="6:11" x14ac:dyDescent="0.3">
      <c r="F890" s="43">
        <v>39177</v>
      </c>
      <c r="G890" s="44">
        <v>1443.76001</v>
      </c>
      <c r="H890" s="44">
        <v>861.78997800000002</v>
      </c>
      <c r="I890" s="44">
        <v>813.34997599999997</v>
      </c>
      <c r="J890" s="44">
        <v>77.739998</v>
      </c>
      <c r="K890" s="44">
        <v>99.919998000000007</v>
      </c>
    </row>
    <row r="891" spans="6:11" x14ac:dyDescent="0.3">
      <c r="F891" s="43">
        <v>39181</v>
      </c>
      <c r="G891" s="44">
        <v>1444.6099850000001</v>
      </c>
      <c r="H891" s="44">
        <v>862.53002900000001</v>
      </c>
      <c r="I891" s="44">
        <v>811.64001499999995</v>
      </c>
      <c r="J891" s="44">
        <v>77.680000000000007</v>
      </c>
      <c r="K891" s="44">
        <v>99.540001000000004</v>
      </c>
    </row>
    <row r="892" spans="6:11" x14ac:dyDescent="0.3">
      <c r="F892" s="43">
        <v>39182</v>
      </c>
      <c r="G892" s="44">
        <v>1448.3900149999999</v>
      </c>
      <c r="H892" s="44">
        <v>865.47997999999995</v>
      </c>
      <c r="I892" s="44">
        <v>814.51000999999997</v>
      </c>
      <c r="J892" s="44">
        <v>78.260002</v>
      </c>
      <c r="K892" s="44">
        <v>99.690002000000007</v>
      </c>
    </row>
    <row r="893" spans="6:11" x14ac:dyDescent="0.3">
      <c r="F893" s="43">
        <v>39183</v>
      </c>
      <c r="G893" s="44">
        <v>1438.869995</v>
      </c>
      <c r="H893" s="44">
        <v>860.30999799999995</v>
      </c>
      <c r="I893" s="44">
        <v>808.23999000000003</v>
      </c>
      <c r="J893" s="44">
        <v>77.879997000000003</v>
      </c>
      <c r="K893" s="44">
        <v>99.629997000000003</v>
      </c>
    </row>
    <row r="894" spans="6:11" x14ac:dyDescent="0.3">
      <c r="F894" s="43">
        <v>39184</v>
      </c>
      <c r="G894" s="44">
        <v>1447.8000489999999</v>
      </c>
      <c r="H894" s="44">
        <v>866.09997599999997</v>
      </c>
      <c r="I894" s="44">
        <v>815.04998799999998</v>
      </c>
      <c r="J894" s="44">
        <v>78.400002000000001</v>
      </c>
      <c r="K894" s="44">
        <v>99.75</v>
      </c>
    </row>
    <row r="895" spans="6:11" x14ac:dyDescent="0.3">
      <c r="F895" s="43">
        <v>39185</v>
      </c>
      <c r="G895" s="44">
        <v>1452.849976</v>
      </c>
      <c r="H895" s="44">
        <v>868.10998500000005</v>
      </c>
      <c r="I895" s="44">
        <v>819.38000499999998</v>
      </c>
      <c r="J895" s="44">
        <v>78.660004000000001</v>
      </c>
      <c r="K895" s="44">
        <v>99.589995999999999</v>
      </c>
    </row>
    <row r="896" spans="6:11" x14ac:dyDescent="0.3">
      <c r="F896" s="43">
        <v>39188</v>
      </c>
      <c r="G896" s="44">
        <v>1468.329956</v>
      </c>
      <c r="H896" s="44">
        <v>877.30999799999995</v>
      </c>
      <c r="I896" s="44">
        <v>831.44000200000005</v>
      </c>
      <c r="J896" s="44">
        <v>79.489998</v>
      </c>
      <c r="K896" s="44">
        <v>99.790001000000004</v>
      </c>
    </row>
    <row r="897" spans="6:11" x14ac:dyDescent="0.3">
      <c r="F897" s="43">
        <v>39189</v>
      </c>
      <c r="G897" s="44">
        <v>1471.4799800000001</v>
      </c>
      <c r="H897" s="44">
        <v>876.30999799999995</v>
      </c>
      <c r="I897" s="44">
        <v>828.96002199999998</v>
      </c>
      <c r="J897" s="44">
        <v>79.5</v>
      </c>
      <c r="K897" s="44">
        <v>100.08000199999999</v>
      </c>
    </row>
    <row r="898" spans="6:11" x14ac:dyDescent="0.3">
      <c r="F898" s="43">
        <v>39190</v>
      </c>
      <c r="G898" s="44">
        <v>1472.5</v>
      </c>
      <c r="H898" s="44">
        <v>875.28997800000002</v>
      </c>
      <c r="I898" s="44">
        <v>824.38000499999998</v>
      </c>
      <c r="J898" s="44">
        <v>79.470000999999996</v>
      </c>
      <c r="K898" s="44">
        <v>100.230003</v>
      </c>
    </row>
    <row r="899" spans="6:11" x14ac:dyDescent="0.3">
      <c r="F899" s="43">
        <v>39191</v>
      </c>
      <c r="G899" s="44">
        <v>1470.7299800000001</v>
      </c>
      <c r="H899" s="44">
        <v>871.919983</v>
      </c>
      <c r="I899" s="44">
        <v>819.32000700000003</v>
      </c>
      <c r="J899" s="44">
        <v>79.169998000000007</v>
      </c>
      <c r="K899" s="44">
        <v>100.19000200000001</v>
      </c>
    </row>
    <row r="900" spans="6:11" x14ac:dyDescent="0.3">
      <c r="F900" s="43">
        <v>39192</v>
      </c>
      <c r="G900" s="44">
        <v>1484.349976</v>
      </c>
      <c r="H900" s="44">
        <v>880.20001200000002</v>
      </c>
      <c r="I900" s="44">
        <v>828.85998500000005</v>
      </c>
      <c r="J900" s="44">
        <v>80.080001999999993</v>
      </c>
      <c r="K900" s="44">
        <v>100.139999</v>
      </c>
    </row>
    <row r="901" spans="6:11" x14ac:dyDescent="0.3">
      <c r="F901" s="43">
        <v>39195</v>
      </c>
      <c r="G901" s="44">
        <v>1480.9300539999999</v>
      </c>
      <c r="H901" s="44">
        <v>881.59002699999996</v>
      </c>
      <c r="I901" s="44">
        <v>827.54998799999998</v>
      </c>
      <c r="J901" s="44">
        <v>79.300003000000004</v>
      </c>
      <c r="K901" s="44">
        <v>100.239998</v>
      </c>
    </row>
    <row r="902" spans="6:11" x14ac:dyDescent="0.3">
      <c r="F902" s="43">
        <v>39196</v>
      </c>
      <c r="G902" s="44">
        <v>1480.410034</v>
      </c>
      <c r="H902" s="44">
        <v>881.11999500000002</v>
      </c>
      <c r="I902" s="44">
        <v>826.35998500000005</v>
      </c>
      <c r="J902" s="44">
        <v>79.25</v>
      </c>
      <c r="K902" s="44">
        <v>100.290001</v>
      </c>
    </row>
    <row r="903" spans="6:11" x14ac:dyDescent="0.3">
      <c r="F903" s="43">
        <v>39197</v>
      </c>
      <c r="G903" s="44">
        <v>1495.420044</v>
      </c>
      <c r="H903" s="44">
        <v>888</v>
      </c>
      <c r="I903" s="44">
        <v>832.07000700000003</v>
      </c>
      <c r="J903" s="44">
        <v>79.989998</v>
      </c>
      <c r="K903" s="44">
        <v>100.33000199999999</v>
      </c>
    </row>
    <row r="904" spans="6:11" x14ac:dyDescent="0.3">
      <c r="F904" s="43">
        <v>39198</v>
      </c>
      <c r="G904" s="44">
        <v>1494.25</v>
      </c>
      <c r="H904" s="44">
        <v>890.05999799999995</v>
      </c>
      <c r="I904" s="44">
        <v>833.79998799999998</v>
      </c>
      <c r="J904" s="44">
        <v>79.620002999999997</v>
      </c>
      <c r="K904" s="44">
        <v>100.139999</v>
      </c>
    </row>
    <row r="905" spans="6:11" x14ac:dyDescent="0.3">
      <c r="F905" s="43">
        <v>39199</v>
      </c>
      <c r="G905" s="44">
        <v>1494.0699460000001</v>
      </c>
      <c r="H905" s="44">
        <v>886.42999299999997</v>
      </c>
      <c r="I905" s="44">
        <v>829.70001200000002</v>
      </c>
      <c r="J905" s="44">
        <v>79.449996999999996</v>
      </c>
      <c r="K905" s="44">
        <v>100.120003</v>
      </c>
    </row>
    <row r="906" spans="6:11" x14ac:dyDescent="0.3">
      <c r="F906" s="43">
        <v>39202</v>
      </c>
      <c r="G906" s="44">
        <v>1482.369995</v>
      </c>
      <c r="H906" s="44">
        <v>873.65997300000004</v>
      </c>
      <c r="I906" s="44">
        <v>814.57000700000003</v>
      </c>
      <c r="J906" s="44">
        <v>79.160004000000001</v>
      </c>
      <c r="K906" s="44">
        <v>100.459999</v>
      </c>
    </row>
    <row r="907" spans="6:11" x14ac:dyDescent="0.3">
      <c r="F907" s="43">
        <v>39203</v>
      </c>
      <c r="G907" s="44">
        <v>1486.3000489999999</v>
      </c>
      <c r="H907" s="44">
        <v>876.14001499999995</v>
      </c>
      <c r="I907" s="44">
        <v>816.25</v>
      </c>
      <c r="J907" s="44">
        <v>79.080001999999993</v>
      </c>
      <c r="K907" s="44">
        <v>100.019997</v>
      </c>
    </row>
    <row r="908" spans="6:11" x14ac:dyDescent="0.3">
      <c r="F908" s="43">
        <v>39204</v>
      </c>
      <c r="G908" s="44">
        <v>1495.920044</v>
      </c>
      <c r="H908" s="44">
        <v>886.09002699999996</v>
      </c>
      <c r="I908" s="44">
        <v>828.46002199999998</v>
      </c>
      <c r="J908" s="44">
        <v>79.680000000000007</v>
      </c>
      <c r="K908" s="44">
        <v>100.050003</v>
      </c>
    </row>
    <row r="909" spans="6:11" x14ac:dyDescent="0.3">
      <c r="F909" s="43">
        <v>39205</v>
      </c>
      <c r="G909" s="44">
        <v>1502.3900149999999</v>
      </c>
      <c r="H909" s="44">
        <v>888.46997099999999</v>
      </c>
      <c r="I909" s="44">
        <v>828.86999500000002</v>
      </c>
      <c r="J909" s="44">
        <v>79.790001000000004</v>
      </c>
      <c r="K909" s="44">
        <v>99.940002000000007</v>
      </c>
    </row>
    <row r="910" spans="6:11" x14ac:dyDescent="0.3">
      <c r="F910" s="43">
        <v>39206</v>
      </c>
      <c r="G910" s="44">
        <v>1505.619995</v>
      </c>
      <c r="H910" s="44">
        <v>892.29998799999998</v>
      </c>
      <c r="I910" s="44">
        <v>832.88000499999998</v>
      </c>
      <c r="J910" s="44">
        <v>80.540001000000004</v>
      </c>
      <c r="K910" s="44">
        <v>100.07</v>
      </c>
    </row>
    <row r="911" spans="6:11" x14ac:dyDescent="0.3">
      <c r="F911" s="43">
        <v>39209</v>
      </c>
      <c r="G911" s="44">
        <v>1509.4799800000001</v>
      </c>
      <c r="H911" s="44">
        <v>892.40997300000004</v>
      </c>
      <c r="I911" s="44">
        <v>831.86999500000002</v>
      </c>
      <c r="J911" s="44">
        <v>80.660004000000001</v>
      </c>
      <c r="K911" s="44">
        <v>100.16999800000001</v>
      </c>
    </row>
    <row r="912" spans="6:11" x14ac:dyDescent="0.3">
      <c r="F912" s="43">
        <v>39210</v>
      </c>
      <c r="G912" s="44">
        <v>1507.719971</v>
      </c>
      <c r="H912" s="44">
        <v>892.80999799999995</v>
      </c>
      <c r="I912" s="44">
        <v>830.90002400000003</v>
      </c>
      <c r="J912" s="44">
        <v>80</v>
      </c>
      <c r="K912" s="44">
        <v>100.05999799999999</v>
      </c>
    </row>
    <row r="913" spans="6:11" x14ac:dyDescent="0.3">
      <c r="F913" s="43">
        <v>39211</v>
      </c>
      <c r="G913" s="44">
        <v>1512.579956</v>
      </c>
      <c r="H913" s="44">
        <v>898.830017</v>
      </c>
      <c r="I913" s="44">
        <v>834.77002000000005</v>
      </c>
      <c r="J913" s="44">
        <v>80.440002000000007</v>
      </c>
      <c r="K913" s="44">
        <v>99.940002000000007</v>
      </c>
    </row>
    <row r="914" spans="6:11" x14ac:dyDescent="0.3">
      <c r="F914" s="43">
        <v>39212</v>
      </c>
      <c r="G914" s="44">
        <v>1491.469971</v>
      </c>
      <c r="H914" s="44">
        <v>886.35998500000005</v>
      </c>
      <c r="I914" s="44">
        <v>818.63000499999998</v>
      </c>
      <c r="J914" s="44">
        <v>78.849997999999999</v>
      </c>
      <c r="K914" s="44">
        <v>100.110001</v>
      </c>
    </row>
    <row r="915" spans="6:11" x14ac:dyDescent="0.3">
      <c r="F915" s="43">
        <v>39213</v>
      </c>
      <c r="G915" s="44">
        <v>1505.849976</v>
      </c>
      <c r="H915" s="44">
        <v>894.10998500000005</v>
      </c>
      <c r="I915" s="44">
        <v>829.53997800000002</v>
      </c>
      <c r="J915" s="44">
        <v>80.180000000000007</v>
      </c>
      <c r="K915" s="44">
        <v>99.910004000000001</v>
      </c>
    </row>
    <row r="916" spans="6:11" x14ac:dyDescent="0.3">
      <c r="F916" s="43">
        <v>39216</v>
      </c>
      <c r="G916" s="44">
        <v>1503.150024</v>
      </c>
      <c r="H916" s="44">
        <v>890.60998500000005</v>
      </c>
      <c r="I916" s="44">
        <v>822.330017</v>
      </c>
      <c r="J916" s="44">
        <v>79.879997000000003</v>
      </c>
      <c r="K916" s="44">
        <v>99.93</v>
      </c>
    </row>
    <row r="917" spans="6:11" x14ac:dyDescent="0.3">
      <c r="F917" s="43">
        <v>39217</v>
      </c>
      <c r="G917" s="44">
        <v>1501.1899410000001</v>
      </c>
      <c r="H917" s="44">
        <v>887.02002000000005</v>
      </c>
      <c r="I917" s="44">
        <v>814.17999299999997</v>
      </c>
      <c r="J917" s="44">
        <v>80.019997000000004</v>
      </c>
      <c r="K917" s="44">
        <v>99.889999000000003</v>
      </c>
    </row>
    <row r="918" spans="6:11" x14ac:dyDescent="0.3">
      <c r="F918" s="43">
        <v>39218</v>
      </c>
      <c r="G918" s="44">
        <v>1514.1400149999999</v>
      </c>
      <c r="H918" s="44">
        <v>892.40002400000003</v>
      </c>
      <c r="I918" s="44">
        <v>820.20001200000002</v>
      </c>
      <c r="J918" s="44">
        <v>80.139999000000003</v>
      </c>
      <c r="K918" s="44">
        <v>99.910004000000001</v>
      </c>
    </row>
    <row r="919" spans="6:11" x14ac:dyDescent="0.3">
      <c r="F919" s="43">
        <v>39219</v>
      </c>
      <c r="G919" s="44">
        <v>1512.75</v>
      </c>
      <c r="H919" s="44">
        <v>893.26000999999997</v>
      </c>
      <c r="I919" s="44">
        <v>815.64001499999995</v>
      </c>
      <c r="J919" s="44">
        <v>79.730002999999996</v>
      </c>
      <c r="K919" s="44">
        <v>99.739998</v>
      </c>
    </row>
    <row r="920" spans="6:11" x14ac:dyDescent="0.3">
      <c r="F920" s="43">
        <v>39220</v>
      </c>
      <c r="G920" s="44">
        <v>1522.75</v>
      </c>
      <c r="H920" s="44">
        <v>898.19000200000005</v>
      </c>
      <c r="I920" s="44">
        <v>823.65997300000004</v>
      </c>
      <c r="J920" s="44">
        <v>80.339995999999999</v>
      </c>
      <c r="K920" s="44">
        <v>99.449996999999996</v>
      </c>
    </row>
    <row r="921" spans="6:11" x14ac:dyDescent="0.3">
      <c r="F921" s="43">
        <v>39223</v>
      </c>
      <c r="G921" s="44">
        <v>1525.099976</v>
      </c>
      <c r="H921" s="44">
        <v>905.55999799999995</v>
      </c>
      <c r="I921" s="44">
        <v>833.65002400000003</v>
      </c>
      <c r="J921" s="44">
        <v>79.970000999999996</v>
      </c>
      <c r="K921" s="44">
        <v>99.650002000000001</v>
      </c>
    </row>
    <row r="922" spans="6:11" x14ac:dyDescent="0.3">
      <c r="F922" s="43">
        <v>39224</v>
      </c>
      <c r="G922" s="44">
        <v>1524.119995</v>
      </c>
      <c r="H922" s="44">
        <v>907.46002199999998</v>
      </c>
      <c r="I922" s="44">
        <v>839.919983</v>
      </c>
      <c r="J922" s="44">
        <v>80.040001000000004</v>
      </c>
      <c r="K922" s="44">
        <v>99.449996999999996</v>
      </c>
    </row>
    <row r="923" spans="6:11" x14ac:dyDescent="0.3">
      <c r="F923" s="43">
        <v>39225</v>
      </c>
      <c r="G923" s="44">
        <v>1522.280029</v>
      </c>
      <c r="H923" s="44">
        <v>904.5</v>
      </c>
      <c r="I923" s="44">
        <v>836.53997800000002</v>
      </c>
      <c r="J923" s="44">
        <v>80.449996999999996</v>
      </c>
      <c r="K923" s="44">
        <v>99.370002999999997</v>
      </c>
    </row>
    <row r="924" spans="6:11" x14ac:dyDescent="0.3">
      <c r="F924" s="43">
        <v>39226</v>
      </c>
      <c r="G924" s="44">
        <v>1507.51001</v>
      </c>
      <c r="H924" s="44">
        <v>890.34002699999996</v>
      </c>
      <c r="I924" s="44">
        <v>823.79998799999998</v>
      </c>
      <c r="J924" s="44">
        <v>79.680000000000007</v>
      </c>
      <c r="K924" s="44">
        <v>99.410004000000001</v>
      </c>
    </row>
    <row r="925" spans="6:11" x14ac:dyDescent="0.3">
      <c r="F925" s="43">
        <v>39227</v>
      </c>
      <c r="G925" s="44">
        <v>1515.7299800000001</v>
      </c>
      <c r="H925" s="44">
        <v>896.28002900000001</v>
      </c>
      <c r="I925" s="44">
        <v>829.92999299999997</v>
      </c>
      <c r="J925" s="44">
        <v>80.190002000000007</v>
      </c>
      <c r="K925" s="44">
        <v>99.360000999999997</v>
      </c>
    </row>
    <row r="926" spans="6:11" x14ac:dyDescent="0.3">
      <c r="F926" s="43">
        <v>39231</v>
      </c>
      <c r="G926" s="44">
        <v>1518.1099850000001</v>
      </c>
      <c r="H926" s="44">
        <v>901.21002199999998</v>
      </c>
      <c r="I926" s="44">
        <v>837.53002900000001</v>
      </c>
      <c r="J926" s="44">
        <v>80.290001000000004</v>
      </c>
      <c r="K926" s="44">
        <v>99.260002</v>
      </c>
    </row>
    <row r="927" spans="6:11" x14ac:dyDescent="0.3">
      <c r="F927" s="43">
        <v>39232</v>
      </c>
      <c r="G927" s="44">
        <v>1530.2299800000001</v>
      </c>
      <c r="H927" s="44">
        <v>911.21997099999999</v>
      </c>
      <c r="I927" s="44">
        <v>843.34997599999997</v>
      </c>
      <c r="J927" s="44">
        <v>80.629997000000003</v>
      </c>
      <c r="K927" s="44">
        <v>99.379997000000003</v>
      </c>
    </row>
    <row r="928" spans="6:11" x14ac:dyDescent="0.3">
      <c r="F928" s="43">
        <v>39233</v>
      </c>
      <c r="G928" s="44">
        <v>1530.619995</v>
      </c>
      <c r="H928" s="44">
        <v>916.29998799999998</v>
      </c>
      <c r="I928" s="44">
        <v>847.17999299999997</v>
      </c>
      <c r="J928" s="44">
        <v>81.029999000000004</v>
      </c>
      <c r="K928" s="44">
        <v>99.160004000000001</v>
      </c>
    </row>
    <row r="929" spans="6:11" x14ac:dyDescent="0.3">
      <c r="F929" s="43">
        <v>39234</v>
      </c>
      <c r="G929" s="44">
        <v>1536.339966</v>
      </c>
      <c r="H929" s="44">
        <v>921.77002000000005</v>
      </c>
      <c r="I929" s="44">
        <v>853.45001200000002</v>
      </c>
      <c r="J929" s="44">
        <v>81.559997999999993</v>
      </c>
      <c r="K929" s="44">
        <v>98.629997000000003</v>
      </c>
    </row>
    <row r="930" spans="6:11" x14ac:dyDescent="0.3">
      <c r="F930" s="43">
        <v>39237</v>
      </c>
      <c r="G930" s="44">
        <v>1539.1800539999999</v>
      </c>
      <c r="H930" s="44">
        <v>925.90002400000003</v>
      </c>
      <c r="I930" s="44">
        <v>855.09002699999996</v>
      </c>
      <c r="J930" s="44">
        <v>81.779999000000004</v>
      </c>
      <c r="K930" s="44">
        <v>98.75</v>
      </c>
    </row>
    <row r="931" spans="6:11" x14ac:dyDescent="0.3">
      <c r="F931" s="43">
        <v>39238</v>
      </c>
      <c r="G931" s="44">
        <v>1530.9499510000001</v>
      </c>
      <c r="H931" s="44">
        <v>919.98999000000003</v>
      </c>
      <c r="I931" s="44">
        <v>848.25</v>
      </c>
      <c r="J931" s="44">
        <v>81.360000999999997</v>
      </c>
      <c r="K931" s="44">
        <v>98.470000999999996</v>
      </c>
    </row>
    <row r="932" spans="6:11" x14ac:dyDescent="0.3">
      <c r="F932" s="43">
        <v>39239</v>
      </c>
      <c r="G932" s="44">
        <v>1517.380005</v>
      </c>
      <c r="H932" s="44">
        <v>908.54998799999998</v>
      </c>
      <c r="I932" s="44">
        <v>841.21002199999998</v>
      </c>
      <c r="J932" s="44">
        <v>80.190002000000007</v>
      </c>
      <c r="K932" s="44">
        <v>98.510002</v>
      </c>
    </row>
    <row r="933" spans="6:11" x14ac:dyDescent="0.3">
      <c r="F933" s="43">
        <v>39240</v>
      </c>
      <c r="G933" s="44">
        <v>1490.719971</v>
      </c>
      <c r="H933" s="44">
        <v>889.47997999999995</v>
      </c>
      <c r="I933" s="44">
        <v>825.32000700000003</v>
      </c>
      <c r="J933" s="44">
        <v>78.819999999999993</v>
      </c>
      <c r="K933" s="44">
        <v>97.830001999999993</v>
      </c>
    </row>
    <row r="934" spans="6:11" x14ac:dyDescent="0.3">
      <c r="F934" s="43">
        <v>39241</v>
      </c>
      <c r="G934" s="44">
        <v>1507.670044</v>
      </c>
      <c r="H934" s="44">
        <v>899.17999299999997</v>
      </c>
      <c r="I934" s="44">
        <v>835.30999799999995</v>
      </c>
      <c r="J934" s="44">
        <v>79.680000000000007</v>
      </c>
      <c r="K934" s="44">
        <v>97.709998999999996</v>
      </c>
    </row>
    <row r="935" spans="6:11" x14ac:dyDescent="0.3">
      <c r="F935" s="43">
        <v>39244</v>
      </c>
      <c r="G935" s="44">
        <v>1509.119995</v>
      </c>
      <c r="H935" s="44">
        <v>899.75</v>
      </c>
      <c r="I935" s="44">
        <v>833.17999299999997</v>
      </c>
      <c r="J935" s="44">
        <v>79.949996999999996</v>
      </c>
      <c r="K935" s="44">
        <v>97.779999000000004</v>
      </c>
    </row>
    <row r="936" spans="6:11" x14ac:dyDescent="0.3">
      <c r="F936" s="43">
        <v>39245</v>
      </c>
      <c r="G936" s="44">
        <v>1493</v>
      </c>
      <c r="H936" s="44">
        <v>889.71997099999999</v>
      </c>
      <c r="I936" s="44">
        <v>821.71997099999999</v>
      </c>
      <c r="J936" s="44">
        <v>78.529999000000004</v>
      </c>
      <c r="K936" s="44">
        <v>97.199996999999996</v>
      </c>
    </row>
    <row r="937" spans="6:11" x14ac:dyDescent="0.3">
      <c r="F937" s="43">
        <v>39246</v>
      </c>
      <c r="G937" s="44">
        <v>1515.670044</v>
      </c>
      <c r="H937" s="44">
        <v>899.67999299999997</v>
      </c>
      <c r="I937" s="44">
        <v>832.53997800000002</v>
      </c>
      <c r="J937" s="44">
        <v>79.550003000000004</v>
      </c>
      <c r="K937" s="44">
        <v>97.349997999999999</v>
      </c>
    </row>
    <row r="938" spans="6:11" x14ac:dyDescent="0.3">
      <c r="F938" s="43">
        <v>39247</v>
      </c>
      <c r="G938" s="44">
        <v>1522.969971</v>
      </c>
      <c r="H938" s="44">
        <v>906.419983</v>
      </c>
      <c r="I938" s="44">
        <v>837.11999500000002</v>
      </c>
      <c r="J938" s="44">
        <v>80.139999000000003</v>
      </c>
      <c r="K938" s="44">
        <v>97.540001000000004</v>
      </c>
    </row>
    <row r="939" spans="6:11" x14ac:dyDescent="0.3">
      <c r="F939" s="43">
        <v>39248</v>
      </c>
      <c r="G939" s="44">
        <v>1532.910034</v>
      </c>
      <c r="H939" s="44">
        <v>911.98999000000003</v>
      </c>
      <c r="I939" s="44">
        <v>848.19000200000005</v>
      </c>
      <c r="J939" s="44">
        <v>80.790001000000004</v>
      </c>
      <c r="K939" s="44">
        <v>97.889999000000003</v>
      </c>
    </row>
    <row r="940" spans="6:11" x14ac:dyDescent="0.3">
      <c r="F940" s="43">
        <v>39251</v>
      </c>
      <c r="G940" s="44">
        <v>1531.0500489999999</v>
      </c>
      <c r="H940" s="44">
        <v>910.03997800000002</v>
      </c>
      <c r="I940" s="44">
        <v>846.28002900000001</v>
      </c>
      <c r="J940" s="44">
        <v>81.239998</v>
      </c>
      <c r="K940" s="44">
        <v>97.959998999999996</v>
      </c>
    </row>
    <row r="941" spans="6:11" x14ac:dyDescent="0.3">
      <c r="F941" s="43">
        <v>39252</v>
      </c>
      <c r="G941" s="44">
        <v>1533.6999510000001</v>
      </c>
      <c r="H941" s="44">
        <v>908.65002400000003</v>
      </c>
      <c r="I941" s="44">
        <v>848.34002699999996</v>
      </c>
      <c r="J941" s="44">
        <v>81.319999999999993</v>
      </c>
      <c r="K941" s="44">
        <v>98.269997000000004</v>
      </c>
    </row>
    <row r="942" spans="6:11" x14ac:dyDescent="0.3">
      <c r="F942" s="43">
        <v>39253</v>
      </c>
      <c r="G942" s="44">
        <v>1512.839966</v>
      </c>
      <c r="H942" s="44">
        <v>899.34997599999997</v>
      </c>
      <c r="I942" s="44">
        <v>836.17999299999997</v>
      </c>
      <c r="J942" s="44">
        <v>80.360000999999997</v>
      </c>
      <c r="K942" s="44">
        <v>97.970000999999996</v>
      </c>
    </row>
    <row r="943" spans="6:11" x14ac:dyDescent="0.3">
      <c r="F943" s="43">
        <v>39254</v>
      </c>
      <c r="G943" s="44">
        <v>1522.1899410000001</v>
      </c>
      <c r="H943" s="44">
        <v>905.65002400000003</v>
      </c>
      <c r="I943" s="44">
        <v>839.80999799999995</v>
      </c>
      <c r="J943" s="44">
        <v>81.089995999999999</v>
      </c>
      <c r="K943" s="44">
        <v>97.849997999999999</v>
      </c>
    </row>
    <row r="944" spans="6:11" x14ac:dyDescent="0.3">
      <c r="F944" s="43">
        <v>39255</v>
      </c>
      <c r="G944" s="44">
        <v>1502.5600589999999</v>
      </c>
      <c r="H944" s="44">
        <v>896.419983</v>
      </c>
      <c r="I944" s="44">
        <v>834.75</v>
      </c>
      <c r="J944" s="44">
        <v>79.970000999999996</v>
      </c>
      <c r="K944" s="44">
        <v>98.080001999999993</v>
      </c>
    </row>
    <row r="945" spans="6:11" x14ac:dyDescent="0.3">
      <c r="F945" s="43">
        <v>39258</v>
      </c>
      <c r="G945" s="44">
        <v>1497.73999</v>
      </c>
      <c r="H945" s="44">
        <v>890.09997599999997</v>
      </c>
      <c r="I945" s="44">
        <v>827.46002199999998</v>
      </c>
      <c r="J945" s="44">
        <v>79.949996999999996</v>
      </c>
      <c r="K945" s="44">
        <v>98.169998000000007</v>
      </c>
    </row>
    <row r="946" spans="6:11" x14ac:dyDescent="0.3">
      <c r="F946" s="43">
        <v>39259</v>
      </c>
      <c r="G946" s="44">
        <v>1492.8900149999999</v>
      </c>
      <c r="H946" s="44">
        <v>887.47997999999995</v>
      </c>
      <c r="I946" s="44">
        <v>826.13000499999998</v>
      </c>
      <c r="J946" s="44">
        <v>79.550003000000004</v>
      </c>
      <c r="K946" s="44">
        <v>98.050003000000004</v>
      </c>
    </row>
    <row r="947" spans="6:11" x14ac:dyDescent="0.3">
      <c r="F947" s="43">
        <v>39260</v>
      </c>
      <c r="G947" s="44">
        <v>1506.339966</v>
      </c>
      <c r="H947" s="44">
        <v>897.30999799999995</v>
      </c>
      <c r="I947" s="44">
        <v>838.46002199999998</v>
      </c>
      <c r="J947" s="44">
        <v>80.120002999999997</v>
      </c>
      <c r="K947" s="44">
        <v>98.239998</v>
      </c>
    </row>
    <row r="948" spans="6:11" x14ac:dyDescent="0.3">
      <c r="F948" s="43">
        <v>39261</v>
      </c>
      <c r="G948" s="44">
        <v>1505.709961</v>
      </c>
      <c r="H948" s="44">
        <v>897.79998799999998</v>
      </c>
      <c r="I948" s="44">
        <v>839.03997800000002</v>
      </c>
      <c r="J948" s="44">
        <v>80.180000000000007</v>
      </c>
      <c r="K948" s="44">
        <v>98.169998000000007</v>
      </c>
    </row>
    <row r="949" spans="6:11" x14ac:dyDescent="0.3">
      <c r="F949" s="43">
        <v>39262</v>
      </c>
      <c r="G949" s="44">
        <v>1503.349976</v>
      </c>
      <c r="H949" s="44">
        <v>895.51000999999997</v>
      </c>
      <c r="I949" s="44">
        <v>833.70001200000002</v>
      </c>
      <c r="J949" s="44">
        <v>80.769997000000004</v>
      </c>
      <c r="K949" s="44">
        <v>98.360000999999997</v>
      </c>
    </row>
    <row r="950" spans="6:11" x14ac:dyDescent="0.3">
      <c r="F950" s="43">
        <v>39265</v>
      </c>
      <c r="G950" s="44">
        <v>1519.4300539999999</v>
      </c>
      <c r="H950" s="44">
        <v>907.40002400000003</v>
      </c>
      <c r="I950" s="44">
        <v>845.05999799999995</v>
      </c>
      <c r="J950" s="44">
        <v>81.940002000000007</v>
      </c>
      <c r="K950" s="44">
        <v>98.199996999999996</v>
      </c>
    </row>
    <row r="951" spans="6:11" x14ac:dyDescent="0.3">
      <c r="F951" s="43">
        <v>39266</v>
      </c>
      <c r="G951" s="44">
        <v>1524.869995</v>
      </c>
      <c r="H951" s="44">
        <v>910.65997300000004</v>
      </c>
      <c r="I951" s="44">
        <v>848.20001200000002</v>
      </c>
      <c r="J951" s="44">
        <v>82.330001999999993</v>
      </c>
      <c r="K951" s="44">
        <v>98.089995999999999</v>
      </c>
    </row>
    <row r="952" spans="6:11" x14ac:dyDescent="0.3">
      <c r="F952" s="43">
        <v>39268</v>
      </c>
      <c r="G952" s="44">
        <v>1525.400024</v>
      </c>
      <c r="H952" s="44">
        <v>910.98999000000003</v>
      </c>
      <c r="I952" s="44">
        <v>850.13000499999998</v>
      </c>
      <c r="J952" s="44">
        <v>81.919998000000007</v>
      </c>
      <c r="K952" s="44">
        <v>97.68</v>
      </c>
    </row>
    <row r="953" spans="6:11" x14ac:dyDescent="0.3">
      <c r="F953" s="43">
        <v>39269</v>
      </c>
      <c r="G953" s="44">
        <v>1530.4399410000001</v>
      </c>
      <c r="H953" s="44">
        <v>916.26000999999997</v>
      </c>
      <c r="I953" s="44">
        <v>852.30999799999995</v>
      </c>
      <c r="J953" s="44">
        <v>82.510002</v>
      </c>
      <c r="K953" s="44">
        <v>97.510002</v>
      </c>
    </row>
    <row r="954" spans="6:11" x14ac:dyDescent="0.3">
      <c r="F954" s="43">
        <v>39272</v>
      </c>
      <c r="G954" s="44">
        <v>1531.849976</v>
      </c>
      <c r="H954" s="44">
        <v>917.27002000000005</v>
      </c>
      <c r="I954" s="44">
        <v>853.23999000000003</v>
      </c>
      <c r="J954" s="44">
        <v>82.709998999999996</v>
      </c>
      <c r="K954" s="44">
        <v>97.68</v>
      </c>
    </row>
    <row r="955" spans="6:11" x14ac:dyDescent="0.3">
      <c r="F955" s="43">
        <v>39273</v>
      </c>
      <c r="G955" s="44">
        <v>1510.119995</v>
      </c>
      <c r="H955" s="44">
        <v>903.69000200000005</v>
      </c>
      <c r="I955" s="44">
        <v>837.47997999999995</v>
      </c>
      <c r="J955" s="44">
        <v>81.699996999999996</v>
      </c>
      <c r="K955" s="44">
        <v>98.099997999999999</v>
      </c>
    </row>
    <row r="956" spans="6:11" x14ac:dyDescent="0.3">
      <c r="F956" s="43">
        <v>39274</v>
      </c>
      <c r="G956" s="44">
        <v>1518.76001</v>
      </c>
      <c r="H956" s="44">
        <v>908.28002900000001</v>
      </c>
      <c r="I956" s="44">
        <v>839.96997099999999</v>
      </c>
      <c r="J956" s="44">
        <v>82.470000999999996</v>
      </c>
      <c r="K956" s="44">
        <v>97.879997000000003</v>
      </c>
    </row>
    <row r="957" spans="6:11" x14ac:dyDescent="0.3">
      <c r="F957" s="43">
        <v>39275</v>
      </c>
      <c r="G957" s="44">
        <v>1547.6999510000001</v>
      </c>
      <c r="H957" s="44">
        <v>922.95001200000002</v>
      </c>
      <c r="I957" s="44">
        <v>855.17999299999997</v>
      </c>
      <c r="J957" s="44">
        <v>83.620002999999997</v>
      </c>
      <c r="K957" s="44">
        <v>97.779999000000004</v>
      </c>
    </row>
    <row r="958" spans="6:11" x14ac:dyDescent="0.3">
      <c r="F958" s="43">
        <v>39276</v>
      </c>
      <c r="G958" s="44">
        <v>1552.5</v>
      </c>
      <c r="H958" s="44">
        <v>926.22997999999995</v>
      </c>
      <c r="I958" s="44">
        <v>855.77002000000005</v>
      </c>
      <c r="J958" s="44">
        <v>83.559997999999993</v>
      </c>
      <c r="K958" s="44">
        <v>97.900002000000001</v>
      </c>
    </row>
    <row r="959" spans="6:11" x14ac:dyDescent="0.3">
      <c r="F959" s="43">
        <v>39279</v>
      </c>
      <c r="G959" s="44">
        <v>1549.5200199999999</v>
      </c>
      <c r="H959" s="44">
        <v>920.21002199999998</v>
      </c>
      <c r="I959" s="44">
        <v>848.46997099999999</v>
      </c>
      <c r="J959" s="44">
        <v>83.370002999999997</v>
      </c>
      <c r="K959" s="44">
        <v>98.099997999999999</v>
      </c>
    </row>
    <row r="960" spans="6:11" x14ac:dyDescent="0.3">
      <c r="F960" s="43">
        <v>39280</v>
      </c>
      <c r="G960" s="44">
        <v>1549.369995</v>
      </c>
      <c r="H960" s="44">
        <v>921.96002199999998</v>
      </c>
      <c r="I960" s="44">
        <v>849.89001499999995</v>
      </c>
      <c r="J960" s="44">
        <v>83.089995999999999</v>
      </c>
      <c r="K960" s="44">
        <v>97.919998000000007</v>
      </c>
    </row>
    <row r="961" spans="6:11" x14ac:dyDescent="0.3">
      <c r="F961" s="43">
        <v>39281</v>
      </c>
      <c r="G961" s="44">
        <v>1546.170044</v>
      </c>
      <c r="H961" s="44">
        <v>919.46002199999998</v>
      </c>
      <c r="I961" s="44">
        <v>845.90997300000004</v>
      </c>
      <c r="J961" s="44">
        <v>82.800003000000004</v>
      </c>
      <c r="K961" s="44">
        <v>98.169998000000007</v>
      </c>
    </row>
    <row r="962" spans="6:11" x14ac:dyDescent="0.3">
      <c r="F962" s="43">
        <v>39282</v>
      </c>
      <c r="G962" s="44">
        <v>1553.079956</v>
      </c>
      <c r="H962" s="44">
        <v>923.669983</v>
      </c>
      <c r="I962" s="44">
        <v>851.84997599999997</v>
      </c>
      <c r="J962" s="44">
        <v>83.269997000000004</v>
      </c>
      <c r="K962" s="44">
        <v>98.169998000000007</v>
      </c>
    </row>
    <row r="963" spans="6:11" x14ac:dyDescent="0.3">
      <c r="F963" s="43">
        <v>39283</v>
      </c>
      <c r="G963" s="44">
        <v>1534.099976</v>
      </c>
      <c r="H963" s="44">
        <v>914.04998799999998</v>
      </c>
      <c r="I963" s="44">
        <v>836.44000200000005</v>
      </c>
      <c r="J963" s="44">
        <v>82.410004000000001</v>
      </c>
      <c r="K963" s="44">
        <v>98.400002000000001</v>
      </c>
    </row>
    <row r="964" spans="6:11" x14ac:dyDescent="0.3">
      <c r="F964" s="43">
        <v>39286</v>
      </c>
      <c r="G964" s="44">
        <v>1541.5699460000001</v>
      </c>
      <c r="H964" s="44">
        <v>911.94000200000005</v>
      </c>
      <c r="I964" s="44">
        <v>835.61999500000002</v>
      </c>
      <c r="J964" s="44">
        <v>82.910004000000001</v>
      </c>
      <c r="K964" s="44">
        <v>98.339995999999999</v>
      </c>
    </row>
    <row r="965" spans="6:11" x14ac:dyDescent="0.3">
      <c r="F965" s="43">
        <v>39287</v>
      </c>
      <c r="G965" s="44">
        <v>1511.040039</v>
      </c>
      <c r="H965" s="44">
        <v>890.90002400000003</v>
      </c>
      <c r="I965" s="44">
        <v>811.85998500000005</v>
      </c>
      <c r="J965" s="44">
        <v>81.660004000000001</v>
      </c>
      <c r="K965" s="44">
        <v>98.540001000000004</v>
      </c>
    </row>
    <row r="966" spans="6:11" x14ac:dyDescent="0.3">
      <c r="F966" s="43">
        <v>39288</v>
      </c>
      <c r="G966" s="44">
        <v>1518.089966</v>
      </c>
      <c r="H966" s="44">
        <v>890.04998799999998</v>
      </c>
      <c r="I966" s="44">
        <v>812.5</v>
      </c>
      <c r="J966" s="44">
        <v>81.440002000000007</v>
      </c>
      <c r="K966" s="44">
        <v>98.480002999999996</v>
      </c>
    </row>
    <row r="967" spans="6:11" x14ac:dyDescent="0.3">
      <c r="F967" s="43">
        <v>39289</v>
      </c>
      <c r="G967" s="44">
        <v>1482.660034</v>
      </c>
      <c r="H967" s="44">
        <v>870.19000200000005</v>
      </c>
      <c r="I967" s="44">
        <v>791.47997999999995</v>
      </c>
      <c r="J967" s="44">
        <v>78.730002999999996</v>
      </c>
      <c r="K967" s="44">
        <v>98.830001999999993</v>
      </c>
    </row>
    <row r="968" spans="6:11" x14ac:dyDescent="0.3">
      <c r="F968" s="43">
        <v>39290</v>
      </c>
      <c r="G968" s="44">
        <v>1458.9499510000001</v>
      </c>
      <c r="H968" s="44">
        <v>858.76000999999997</v>
      </c>
      <c r="I968" s="44">
        <v>777.830017</v>
      </c>
      <c r="J968" s="44">
        <v>77.639999000000003</v>
      </c>
      <c r="K968" s="44">
        <v>98.730002999999996</v>
      </c>
    </row>
    <row r="969" spans="6:11" x14ac:dyDescent="0.3">
      <c r="F969" s="43">
        <v>39293</v>
      </c>
      <c r="G969" s="44">
        <v>1473.910034</v>
      </c>
      <c r="H969" s="44">
        <v>866.30999799999995</v>
      </c>
      <c r="I969" s="44">
        <v>784.22997999999995</v>
      </c>
      <c r="J969" s="44">
        <v>79.019997000000004</v>
      </c>
      <c r="K969" s="44">
        <v>98.68</v>
      </c>
    </row>
    <row r="970" spans="6:11" x14ac:dyDescent="0.3">
      <c r="F970" s="43">
        <v>39294</v>
      </c>
      <c r="G970" s="44">
        <v>1455.2700199999999</v>
      </c>
      <c r="H970" s="44">
        <v>856.330017</v>
      </c>
      <c r="I970" s="44">
        <v>776.11999500000002</v>
      </c>
      <c r="J970" s="44">
        <v>78.919998000000007</v>
      </c>
      <c r="K970" s="44">
        <v>98.989998</v>
      </c>
    </row>
    <row r="971" spans="6:11" x14ac:dyDescent="0.3">
      <c r="F971" s="43">
        <v>39295</v>
      </c>
      <c r="G971" s="44">
        <v>1465.8100589999999</v>
      </c>
      <c r="H971" s="44">
        <v>858.65002400000003</v>
      </c>
      <c r="I971" s="44">
        <v>777.919983</v>
      </c>
      <c r="J971" s="44">
        <v>79.050003000000004</v>
      </c>
      <c r="K971" s="44">
        <v>98.330001999999993</v>
      </c>
    </row>
    <row r="972" spans="6:11" x14ac:dyDescent="0.3">
      <c r="F972" s="43">
        <v>39296</v>
      </c>
      <c r="G972" s="44">
        <v>1472.1999510000001</v>
      </c>
      <c r="H972" s="44">
        <v>865.79998799999998</v>
      </c>
      <c r="I972" s="44">
        <v>783.98999000000003</v>
      </c>
      <c r="J972" s="44">
        <v>79.290001000000004</v>
      </c>
      <c r="K972" s="44">
        <v>98.279999000000004</v>
      </c>
    </row>
    <row r="973" spans="6:11" x14ac:dyDescent="0.3">
      <c r="F973" s="43">
        <v>39297</v>
      </c>
      <c r="G973" s="44">
        <v>1433.0600589999999</v>
      </c>
      <c r="H973" s="44">
        <v>840.53002900000001</v>
      </c>
      <c r="I973" s="44">
        <v>755.419983</v>
      </c>
      <c r="J973" s="44">
        <v>77.860000999999997</v>
      </c>
      <c r="K973" s="44">
        <v>98.709998999999996</v>
      </c>
    </row>
    <row r="974" spans="6:11" x14ac:dyDescent="0.3">
      <c r="F974" s="43">
        <v>39300</v>
      </c>
      <c r="G974" s="44">
        <v>1467.670044</v>
      </c>
      <c r="H974" s="44">
        <v>851.78002900000001</v>
      </c>
      <c r="I974" s="44">
        <v>766.39001499999995</v>
      </c>
      <c r="J974" s="44">
        <v>78.709998999999996</v>
      </c>
      <c r="K974" s="44">
        <v>98.550003000000004</v>
      </c>
    </row>
    <row r="975" spans="6:11" x14ac:dyDescent="0.3">
      <c r="F975" s="43">
        <v>39301</v>
      </c>
      <c r="G975" s="44">
        <v>1476.709961</v>
      </c>
      <c r="H975" s="44">
        <v>858.46002199999998</v>
      </c>
      <c r="I975" s="44">
        <v>774.13000499999998</v>
      </c>
      <c r="J975" s="44">
        <v>78.980002999999996</v>
      </c>
      <c r="K975" s="44">
        <v>98.480002999999996</v>
      </c>
    </row>
    <row r="976" spans="6:11" x14ac:dyDescent="0.3">
      <c r="F976" s="43">
        <v>39302</v>
      </c>
      <c r="G976" s="44">
        <v>1497.48999</v>
      </c>
      <c r="H976" s="44">
        <v>869.71002199999998</v>
      </c>
      <c r="I976" s="44">
        <v>795.65997300000004</v>
      </c>
      <c r="J976" s="44">
        <v>80.260002</v>
      </c>
      <c r="K976" s="44">
        <v>98.360000999999997</v>
      </c>
    </row>
    <row r="977" spans="6:11" x14ac:dyDescent="0.3">
      <c r="F977" s="43">
        <v>39303</v>
      </c>
      <c r="G977" s="44">
        <v>1453.089966</v>
      </c>
      <c r="H977" s="44">
        <v>849.79998799999998</v>
      </c>
      <c r="I977" s="44">
        <v>784.86999500000002</v>
      </c>
      <c r="J977" s="44">
        <v>77.970000999999996</v>
      </c>
      <c r="K977" s="44">
        <v>98.480002999999996</v>
      </c>
    </row>
    <row r="978" spans="6:11" x14ac:dyDescent="0.3">
      <c r="F978" s="43">
        <v>39304</v>
      </c>
      <c r="G978" s="44">
        <v>1453.6400149999999</v>
      </c>
      <c r="H978" s="44">
        <v>851.44000200000005</v>
      </c>
      <c r="I978" s="44">
        <v>788.78002900000001</v>
      </c>
      <c r="J978" s="44">
        <v>76.629997000000003</v>
      </c>
      <c r="K978" s="44">
        <v>98.150002000000001</v>
      </c>
    </row>
    <row r="979" spans="6:11" x14ac:dyDescent="0.3">
      <c r="F979" s="43">
        <v>39307</v>
      </c>
      <c r="G979" s="44">
        <v>1452.920044</v>
      </c>
      <c r="H979" s="44">
        <v>853.26000999999997</v>
      </c>
      <c r="I979" s="44">
        <v>779.80999799999995</v>
      </c>
      <c r="J979" s="44">
        <v>76.779999000000004</v>
      </c>
      <c r="K979" s="44">
        <v>98.330001999999993</v>
      </c>
    </row>
    <row r="980" spans="6:11" x14ac:dyDescent="0.3">
      <c r="F980" s="43">
        <v>39308</v>
      </c>
      <c r="G980" s="44">
        <v>1426.540039</v>
      </c>
      <c r="H980" s="44">
        <v>837.23999000000003</v>
      </c>
      <c r="I980" s="44">
        <v>762.86999500000002</v>
      </c>
      <c r="J980" s="44">
        <v>76.040001000000004</v>
      </c>
      <c r="K980" s="44">
        <v>98.599997999999999</v>
      </c>
    </row>
    <row r="981" spans="6:11" x14ac:dyDescent="0.3">
      <c r="F981" s="43">
        <v>39309</v>
      </c>
      <c r="G981" s="44">
        <v>1406.6999510000001</v>
      </c>
      <c r="H981" s="44">
        <v>819.96997099999999</v>
      </c>
      <c r="I981" s="44">
        <v>751.53997800000002</v>
      </c>
      <c r="J981" s="44">
        <v>74.260002</v>
      </c>
      <c r="K981" s="44">
        <v>98.730002999999996</v>
      </c>
    </row>
    <row r="982" spans="6:11" x14ac:dyDescent="0.3">
      <c r="F982" s="43">
        <v>39310</v>
      </c>
      <c r="G982" s="44">
        <v>1411.2700199999999</v>
      </c>
      <c r="H982" s="44">
        <v>820.830017</v>
      </c>
      <c r="I982" s="44">
        <v>768.830017</v>
      </c>
      <c r="J982" s="44">
        <v>73.940002000000007</v>
      </c>
      <c r="K982" s="44">
        <v>98.669998000000007</v>
      </c>
    </row>
    <row r="983" spans="6:11" x14ac:dyDescent="0.3">
      <c r="F983" s="43">
        <v>39311</v>
      </c>
      <c r="G983" s="44">
        <v>1445.9399410000001</v>
      </c>
      <c r="H983" s="44">
        <v>838.29998799999998</v>
      </c>
      <c r="I983" s="44">
        <v>786.03002900000001</v>
      </c>
      <c r="J983" s="44">
        <v>74.620002999999997</v>
      </c>
      <c r="K983" s="44">
        <v>98.889999000000003</v>
      </c>
    </row>
    <row r="984" spans="6:11" x14ac:dyDescent="0.3">
      <c r="F984" s="43">
        <v>39314</v>
      </c>
      <c r="G984" s="44">
        <v>1445.5500489999999</v>
      </c>
      <c r="H984" s="44">
        <v>842.22997999999995</v>
      </c>
      <c r="I984" s="44">
        <v>787.45001200000002</v>
      </c>
      <c r="J984" s="44">
        <v>74.860000999999997</v>
      </c>
      <c r="K984" s="44">
        <v>98.800003000000004</v>
      </c>
    </row>
    <row r="985" spans="6:11" x14ac:dyDescent="0.3">
      <c r="F985" s="43">
        <v>39315</v>
      </c>
      <c r="G985" s="44">
        <v>1447.119995</v>
      </c>
      <c r="H985" s="44">
        <v>844.05999799999995</v>
      </c>
      <c r="I985" s="44">
        <v>788.38000499999998</v>
      </c>
      <c r="J985" s="44">
        <v>74.809997999999993</v>
      </c>
      <c r="K985" s="44">
        <v>99.260002</v>
      </c>
    </row>
    <row r="986" spans="6:11" x14ac:dyDescent="0.3">
      <c r="F986" s="43">
        <v>39316</v>
      </c>
      <c r="G986" s="44">
        <v>1464.0699460000001</v>
      </c>
      <c r="H986" s="44">
        <v>856.17999299999997</v>
      </c>
      <c r="I986" s="44">
        <v>798.55999799999995</v>
      </c>
      <c r="J986" s="44">
        <v>76.580001999999993</v>
      </c>
      <c r="K986" s="44">
        <v>99.18</v>
      </c>
    </row>
    <row r="987" spans="6:11" x14ac:dyDescent="0.3">
      <c r="F987" s="43">
        <v>39317</v>
      </c>
      <c r="G987" s="44">
        <v>1462.5</v>
      </c>
      <c r="H987" s="44">
        <v>852.34002699999996</v>
      </c>
      <c r="I987" s="44">
        <v>788.25</v>
      </c>
      <c r="J987" s="44">
        <v>76.919998000000007</v>
      </c>
      <c r="K987" s="44">
        <v>99.300003000000004</v>
      </c>
    </row>
    <row r="988" spans="6:11" x14ac:dyDescent="0.3">
      <c r="F988" s="43">
        <v>39318</v>
      </c>
      <c r="G988" s="44">
        <v>1479.369995</v>
      </c>
      <c r="H988" s="44">
        <v>864.34997599999997</v>
      </c>
      <c r="I988" s="44">
        <v>798.92999299999997</v>
      </c>
      <c r="J988" s="44">
        <v>78.260002</v>
      </c>
      <c r="K988" s="44">
        <v>99.050003000000004</v>
      </c>
    </row>
    <row r="989" spans="6:11" x14ac:dyDescent="0.3">
      <c r="F989" s="43">
        <v>39321</v>
      </c>
      <c r="G989" s="44">
        <v>1466.790039</v>
      </c>
      <c r="H989" s="44">
        <v>855.34002699999996</v>
      </c>
      <c r="I989" s="44">
        <v>789.45001200000002</v>
      </c>
      <c r="J989" s="44">
        <v>77.430000000000007</v>
      </c>
      <c r="K989" s="44">
        <v>99.349997999999999</v>
      </c>
    </row>
    <row r="990" spans="6:11" x14ac:dyDescent="0.3">
      <c r="F990" s="43">
        <v>39322</v>
      </c>
      <c r="G990" s="44">
        <v>1432.3599850000001</v>
      </c>
      <c r="H990" s="44">
        <v>834.88000499999998</v>
      </c>
      <c r="I990" s="44">
        <v>767.830017</v>
      </c>
      <c r="J990" s="44">
        <v>75.870002999999997</v>
      </c>
      <c r="K990" s="44">
        <v>99.75</v>
      </c>
    </row>
    <row r="991" spans="6:11" x14ac:dyDescent="0.3">
      <c r="F991" s="43">
        <v>39323</v>
      </c>
      <c r="G991" s="44">
        <v>1463.76001</v>
      </c>
      <c r="H991" s="44">
        <v>854.84997599999997</v>
      </c>
      <c r="I991" s="44">
        <v>787.32000700000003</v>
      </c>
      <c r="J991" s="44">
        <v>77.610000999999997</v>
      </c>
      <c r="K991" s="44">
        <v>99.550003000000004</v>
      </c>
    </row>
    <row r="992" spans="6:11" x14ac:dyDescent="0.3">
      <c r="F992" s="43">
        <v>39324</v>
      </c>
      <c r="G992" s="44">
        <v>1457.6400149999999</v>
      </c>
      <c r="H992" s="44">
        <v>850.67999299999997</v>
      </c>
      <c r="I992" s="44">
        <v>783.10998500000005</v>
      </c>
      <c r="J992" s="44">
        <v>77.069999999999993</v>
      </c>
      <c r="K992" s="44">
        <v>99.760002</v>
      </c>
    </row>
    <row r="993" spans="6:11" x14ac:dyDescent="0.3">
      <c r="F993" s="43">
        <v>39325</v>
      </c>
      <c r="G993" s="44">
        <v>1473.98999</v>
      </c>
      <c r="H993" s="44">
        <v>863</v>
      </c>
      <c r="I993" s="44">
        <v>792.85998500000005</v>
      </c>
      <c r="J993" s="44">
        <v>78.419998000000007</v>
      </c>
      <c r="K993" s="44">
        <v>99.82</v>
      </c>
    </row>
    <row r="994" spans="6:11" x14ac:dyDescent="0.3">
      <c r="F994" s="43">
        <v>39329</v>
      </c>
      <c r="G994" s="44">
        <v>1489.420044</v>
      </c>
      <c r="H994" s="44">
        <v>873.03002900000001</v>
      </c>
      <c r="I994" s="44">
        <v>800.69000200000005</v>
      </c>
      <c r="J994" s="44">
        <v>79.139999000000003</v>
      </c>
      <c r="K994" s="44">
        <v>99.279999000000004</v>
      </c>
    </row>
    <row r="995" spans="6:11" x14ac:dyDescent="0.3">
      <c r="F995" s="43">
        <v>39330</v>
      </c>
      <c r="G995" s="44">
        <v>1472.290039</v>
      </c>
      <c r="H995" s="44">
        <v>864.88000499999998</v>
      </c>
      <c r="I995" s="44">
        <v>790.46002199999998</v>
      </c>
      <c r="J995" s="44">
        <v>77.989998</v>
      </c>
      <c r="K995" s="44">
        <v>99.599997999999999</v>
      </c>
    </row>
    <row r="996" spans="6:11" x14ac:dyDescent="0.3">
      <c r="F996" s="43">
        <v>39331</v>
      </c>
      <c r="G996" s="44">
        <v>1478.5500489999999</v>
      </c>
      <c r="H996" s="44">
        <v>869.169983</v>
      </c>
      <c r="I996" s="44">
        <v>792.919983</v>
      </c>
      <c r="J996" s="44">
        <v>78.279999000000004</v>
      </c>
      <c r="K996" s="44">
        <v>99.580001999999993</v>
      </c>
    </row>
    <row r="997" spans="6:11" x14ac:dyDescent="0.3">
      <c r="F997" s="43">
        <v>39332</v>
      </c>
      <c r="G997" s="44">
        <v>1453.5500489999999</v>
      </c>
      <c r="H997" s="44">
        <v>853.29998799999998</v>
      </c>
      <c r="I997" s="44">
        <v>775.78997800000002</v>
      </c>
      <c r="J997" s="44">
        <v>77.330001999999993</v>
      </c>
      <c r="K997" s="44">
        <v>100.199997</v>
      </c>
    </row>
    <row r="998" spans="6:11" x14ac:dyDescent="0.3">
      <c r="F998" s="43">
        <v>39335</v>
      </c>
      <c r="G998" s="44">
        <v>1451.6999510000001</v>
      </c>
      <c r="H998" s="44">
        <v>847.23999000000003</v>
      </c>
      <c r="I998" s="44">
        <v>769.80999799999995</v>
      </c>
      <c r="J998" s="44">
        <v>77.010002</v>
      </c>
      <c r="K998" s="44">
        <v>100.44000200000001</v>
      </c>
    </row>
    <row r="999" spans="6:11" x14ac:dyDescent="0.3">
      <c r="F999" s="43">
        <v>39336</v>
      </c>
      <c r="G999" s="44">
        <v>1471.48999</v>
      </c>
      <c r="H999" s="44">
        <v>857.63000499999998</v>
      </c>
      <c r="I999" s="44">
        <v>782.27002000000005</v>
      </c>
      <c r="J999" s="44">
        <v>78.339995999999999</v>
      </c>
      <c r="K999" s="44">
        <v>100.260002</v>
      </c>
    </row>
    <row r="1000" spans="6:11" x14ac:dyDescent="0.3">
      <c r="F1000" s="43">
        <v>39337</v>
      </c>
      <c r="G1000" s="44">
        <v>1471.5600589999999</v>
      </c>
      <c r="H1000" s="44">
        <v>856.71002199999998</v>
      </c>
      <c r="I1000" s="44">
        <v>777.90002400000003</v>
      </c>
      <c r="J1000" s="44">
        <v>78.419998000000007</v>
      </c>
      <c r="K1000" s="44">
        <v>100.120003</v>
      </c>
    </row>
    <row r="1001" spans="6:11" x14ac:dyDescent="0.3">
      <c r="F1001" s="43">
        <v>39338</v>
      </c>
      <c r="G1001" s="44">
        <v>1483.9499510000001</v>
      </c>
      <c r="H1001" s="44">
        <v>859.04998799999998</v>
      </c>
      <c r="I1001" s="44">
        <v>780.34997599999997</v>
      </c>
      <c r="J1001" s="44">
        <v>78.75</v>
      </c>
      <c r="K1001" s="44">
        <v>99.830001999999993</v>
      </c>
    </row>
    <row r="1002" spans="6:11" x14ac:dyDescent="0.3">
      <c r="F1002" s="43">
        <v>39339</v>
      </c>
      <c r="G1002" s="44">
        <v>1484.25</v>
      </c>
      <c r="H1002" s="44">
        <v>862.46002199999998</v>
      </c>
      <c r="I1002" s="44">
        <v>783.48999000000003</v>
      </c>
      <c r="J1002" s="44">
        <v>78.290001000000004</v>
      </c>
      <c r="K1002" s="44">
        <v>99.900002000000001</v>
      </c>
    </row>
    <row r="1003" spans="6:11" x14ac:dyDescent="0.3">
      <c r="F1003" s="43">
        <v>39342</v>
      </c>
      <c r="G1003" s="44">
        <v>1476.650024</v>
      </c>
      <c r="H1003" s="44">
        <v>855.96997099999999</v>
      </c>
      <c r="I1003" s="44">
        <v>775.80999799999995</v>
      </c>
      <c r="J1003" s="44">
        <v>77.190002000000007</v>
      </c>
      <c r="K1003" s="44">
        <v>99.940002000000007</v>
      </c>
    </row>
    <row r="1004" spans="6:11" x14ac:dyDescent="0.3">
      <c r="F1004" s="43">
        <v>39343</v>
      </c>
      <c r="G1004" s="44">
        <v>1519.780029</v>
      </c>
      <c r="H1004" s="44">
        <v>881.38000499999998</v>
      </c>
      <c r="I1004" s="44">
        <v>806.63000499999998</v>
      </c>
      <c r="J1004" s="44">
        <v>79.699996999999996</v>
      </c>
      <c r="K1004" s="44">
        <v>100.150002</v>
      </c>
    </row>
    <row r="1005" spans="6:11" x14ac:dyDescent="0.3">
      <c r="F1005" s="43">
        <v>39344</v>
      </c>
      <c r="G1005" s="44">
        <v>1529.030029</v>
      </c>
      <c r="H1005" s="44">
        <v>886.05999799999995</v>
      </c>
      <c r="I1005" s="44">
        <v>817.40002400000003</v>
      </c>
      <c r="J1005" s="44">
        <v>80.419998000000007</v>
      </c>
      <c r="K1005" s="44">
        <v>100.129997</v>
      </c>
    </row>
    <row r="1006" spans="6:11" x14ac:dyDescent="0.3">
      <c r="F1006" s="43">
        <v>39345</v>
      </c>
      <c r="G1006" s="44">
        <v>1518.75</v>
      </c>
      <c r="H1006" s="44">
        <v>879.85998500000005</v>
      </c>
      <c r="I1006" s="44">
        <v>809.76000999999997</v>
      </c>
      <c r="J1006" s="44">
        <v>80.349997999999999</v>
      </c>
      <c r="K1006" s="44">
        <v>99.419998000000007</v>
      </c>
    </row>
    <row r="1007" spans="6:11" x14ac:dyDescent="0.3">
      <c r="F1007" s="43">
        <v>39346</v>
      </c>
      <c r="G1007" s="44">
        <v>1525.75</v>
      </c>
      <c r="H1007" s="44">
        <v>881.84997599999997</v>
      </c>
      <c r="I1007" s="44">
        <v>813.10998500000005</v>
      </c>
      <c r="J1007" s="44">
        <v>80.699996999999996</v>
      </c>
      <c r="K1007" s="44">
        <v>99.709998999999996</v>
      </c>
    </row>
    <row r="1008" spans="6:11" x14ac:dyDescent="0.3">
      <c r="F1008" s="43">
        <v>39349</v>
      </c>
      <c r="G1008" s="44">
        <v>1517.7299800000001</v>
      </c>
      <c r="H1008" s="44">
        <v>875.57000700000003</v>
      </c>
      <c r="I1008" s="44">
        <v>805.79998799999998</v>
      </c>
      <c r="J1008" s="44">
        <v>80.879997000000003</v>
      </c>
      <c r="K1008" s="44">
        <v>99.720000999999996</v>
      </c>
    </row>
    <row r="1009" spans="6:11" x14ac:dyDescent="0.3">
      <c r="F1009" s="43">
        <v>39350</v>
      </c>
      <c r="G1009" s="44">
        <v>1517.209961</v>
      </c>
      <c r="H1009" s="44">
        <v>874.59997599999997</v>
      </c>
      <c r="I1009" s="44">
        <v>803</v>
      </c>
      <c r="J1009" s="44">
        <v>80.980002999999996</v>
      </c>
      <c r="K1009" s="44">
        <v>99.800003000000004</v>
      </c>
    </row>
    <row r="1010" spans="6:11" x14ac:dyDescent="0.3">
      <c r="F1010" s="43">
        <v>39351</v>
      </c>
      <c r="G1010" s="44">
        <v>1525.420044</v>
      </c>
      <c r="H1010" s="44">
        <v>881.11999500000002</v>
      </c>
      <c r="I1010" s="44">
        <v>809.11999500000002</v>
      </c>
      <c r="J1010" s="44">
        <v>81.379997000000003</v>
      </c>
      <c r="K1010" s="44">
        <v>99.699996999999996</v>
      </c>
    </row>
    <row r="1011" spans="6:11" x14ac:dyDescent="0.3">
      <c r="F1011" s="43">
        <v>39352</v>
      </c>
      <c r="G1011" s="44">
        <v>1531.380005</v>
      </c>
      <c r="H1011" s="44">
        <v>888.46997099999999</v>
      </c>
      <c r="I1011" s="44">
        <v>814.01000999999997</v>
      </c>
      <c r="J1011" s="44">
        <v>82.459998999999996</v>
      </c>
      <c r="K1011" s="44">
        <v>99.870002999999997</v>
      </c>
    </row>
    <row r="1012" spans="6:11" x14ac:dyDescent="0.3">
      <c r="F1012" s="43">
        <v>39353</v>
      </c>
      <c r="G1012" s="44">
        <v>1526.75</v>
      </c>
      <c r="H1012" s="44">
        <v>885.05999799999995</v>
      </c>
      <c r="I1012" s="44">
        <v>805.45001200000002</v>
      </c>
      <c r="J1012" s="44">
        <v>82.589995999999999</v>
      </c>
      <c r="K1012" s="44">
        <v>100.019997</v>
      </c>
    </row>
    <row r="1013" spans="6:11" x14ac:dyDescent="0.3">
      <c r="F1013" s="43">
        <v>39356</v>
      </c>
      <c r="G1013" s="44">
        <v>1547.040039</v>
      </c>
      <c r="H1013" s="44">
        <v>897.17999299999997</v>
      </c>
      <c r="I1013" s="44">
        <v>824.73999000000003</v>
      </c>
      <c r="J1013" s="44">
        <v>83.650002000000001</v>
      </c>
      <c r="K1013" s="44">
        <v>99.269997000000004</v>
      </c>
    </row>
    <row r="1014" spans="6:11" x14ac:dyDescent="0.3">
      <c r="F1014" s="43">
        <v>39357</v>
      </c>
      <c r="G1014" s="44">
        <v>1546.630005</v>
      </c>
      <c r="H1014" s="44">
        <v>902</v>
      </c>
      <c r="I1014" s="44">
        <v>831.96997099999999</v>
      </c>
      <c r="J1014" s="44">
        <v>83.440002000000007</v>
      </c>
      <c r="K1014" s="44">
        <v>99.650002000000001</v>
      </c>
    </row>
    <row r="1015" spans="6:11" x14ac:dyDescent="0.3">
      <c r="F1015" s="43">
        <v>39358</v>
      </c>
      <c r="G1015" s="44">
        <v>1539.589966</v>
      </c>
      <c r="H1015" s="44">
        <v>899.71997099999999</v>
      </c>
      <c r="I1015" s="44">
        <v>826.15002400000003</v>
      </c>
      <c r="J1015" s="44">
        <v>83.059997999999993</v>
      </c>
      <c r="K1015" s="44">
        <v>99.699996999999996</v>
      </c>
    </row>
    <row r="1016" spans="6:11" x14ac:dyDescent="0.3">
      <c r="F1016" s="43">
        <v>39359</v>
      </c>
      <c r="G1016" s="44">
        <v>1542.839966</v>
      </c>
      <c r="H1016" s="44">
        <v>899.40002400000003</v>
      </c>
      <c r="I1016" s="44">
        <v>829.15002400000003</v>
      </c>
      <c r="J1016" s="44">
        <v>83.349997999999999</v>
      </c>
      <c r="K1016" s="44">
        <v>99.660004000000001</v>
      </c>
    </row>
    <row r="1017" spans="6:11" x14ac:dyDescent="0.3">
      <c r="F1017" s="43">
        <v>39360</v>
      </c>
      <c r="G1017" s="44">
        <v>1557.589966</v>
      </c>
      <c r="H1017" s="44">
        <v>913.90997300000004</v>
      </c>
      <c r="I1017" s="44">
        <v>844.88000499999998</v>
      </c>
      <c r="J1017" s="44">
        <v>84.199996999999996</v>
      </c>
      <c r="K1017" s="44">
        <v>98.870002999999997</v>
      </c>
    </row>
    <row r="1018" spans="6:11" x14ac:dyDescent="0.3">
      <c r="F1018" s="43">
        <v>39363</v>
      </c>
      <c r="G1018" s="44">
        <v>1552.579956</v>
      </c>
      <c r="H1018" s="44">
        <v>909.54998799999998</v>
      </c>
      <c r="I1018" s="44">
        <v>840.14001499999995</v>
      </c>
      <c r="J1018" s="44">
        <v>83.419998000000007</v>
      </c>
      <c r="K1018" s="44">
        <v>99.650002000000001</v>
      </c>
    </row>
    <row r="1019" spans="6:11" x14ac:dyDescent="0.3">
      <c r="F1019" s="43">
        <v>39364</v>
      </c>
      <c r="G1019" s="44">
        <v>1565.150024</v>
      </c>
      <c r="H1019" s="44">
        <v>917.17999299999997</v>
      </c>
      <c r="I1019" s="44">
        <v>845.71997099999999</v>
      </c>
      <c r="J1019" s="44">
        <v>84.349997999999999</v>
      </c>
      <c r="K1019" s="44">
        <v>99.440002000000007</v>
      </c>
    </row>
    <row r="1020" spans="6:11" x14ac:dyDescent="0.3">
      <c r="F1020" s="43">
        <v>39365</v>
      </c>
      <c r="G1020" s="44">
        <v>1562.469971</v>
      </c>
      <c r="H1020" s="44">
        <v>916.5</v>
      </c>
      <c r="I1020" s="44">
        <v>845.19000200000005</v>
      </c>
      <c r="J1020" s="44">
        <v>84.190002000000007</v>
      </c>
      <c r="K1020" s="44">
        <v>99.57</v>
      </c>
    </row>
    <row r="1021" spans="6:11" x14ac:dyDescent="0.3">
      <c r="F1021" s="43">
        <v>39366</v>
      </c>
      <c r="G1021" s="44">
        <v>1554.410034</v>
      </c>
      <c r="H1021" s="44">
        <v>910.77002000000005</v>
      </c>
      <c r="I1021" s="44">
        <v>834.97997999999995</v>
      </c>
      <c r="J1021" s="44">
        <v>84.580001999999993</v>
      </c>
      <c r="K1021" s="44">
        <v>99.639999000000003</v>
      </c>
    </row>
    <row r="1022" spans="6:11" x14ac:dyDescent="0.3">
      <c r="F1022" s="43">
        <v>39367</v>
      </c>
      <c r="G1022" s="44">
        <v>1561.8000489999999</v>
      </c>
      <c r="H1022" s="44">
        <v>912.38000499999998</v>
      </c>
      <c r="I1022" s="44">
        <v>841.169983</v>
      </c>
      <c r="J1022" s="44">
        <v>84.949996999999996</v>
      </c>
      <c r="K1022" s="44">
        <v>99.449996999999996</v>
      </c>
    </row>
    <row r="1023" spans="6:11" x14ac:dyDescent="0.3">
      <c r="F1023" s="43">
        <v>39370</v>
      </c>
      <c r="G1023" s="44">
        <v>1548.709961</v>
      </c>
      <c r="H1023" s="44">
        <v>905.78002900000001</v>
      </c>
      <c r="I1023" s="44">
        <v>829.35998500000005</v>
      </c>
      <c r="J1023" s="44">
        <v>84.260002</v>
      </c>
      <c r="K1023" s="44">
        <v>99.480002999999996</v>
      </c>
    </row>
    <row r="1024" spans="6:11" x14ac:dyDescent="0.3">
      <c r="F1024" s="43">
        <v>39371</v>
      </c>
      <c r="G1024" s="44">
        <v>1538.530029</v>
      </c>
      <c r="H1024" s="44">
        <v>898.080017</v>
      </c>
      <c r="I1024" s="44">
        <v>823.34997599999997</v>
      </c>
      <c r="J1024" s="44">
        <v>82.959998999999996</v>
      </c>
      <c r="K1024" s="44">
        <v>99.639999000000003</v>
      </c>
    </row>
    <row r="1025" spans="6:11" x14ac:dyDescent="0.3">
      <c r="F1025" s="43">
        <v>39372</v>
      </c>
      <c r="G1025" s="44">
        <v>1541.23999</v>
      </c>
      <c r="H1025" s="44">
        <v>898.34002699999996</v>
      </c>
      <c r="I1025" s="44">
        <v>824.89001499999995</v>
      </c>
      <c r="J1025" s="44">
        <v>83.839995999999999</v>
      </c>
      <c r="K1025" s="44">
        <v>99.980002999999996</v>
      </c>
    </row>
    <row r="1026" spans="6:11" x14ac:dyDescent="0.3">
      <c r="F1026" s="43">
        <v>39373</v>
      </c>
      <c r="G1026" s="44">
        <v>1540.079956</v>
      </c>
      <c r="H1026" s="44">
        <v>900.45001200000002</v>
      </c>
      <c r="I1026" s="44">
        <v>825.03002900000001</v>
      </c>
      <c r="J1026" s="44">
        <v>84.040001000000004</v>
      </c>
      <c r="K1026" s="44">
        <v>100.269997</v>
      </c>
    </row>
    <row r="1027" spans="6:11" x14ac:dyDescent="0.3">
      <c r="F1027" s="43">
        <v>39374</v>
      </c>
      <c r="G1027" s="44">
        <v>1500.630005</v>
      </c>
      <c r="H1027" s="44">
        <v>879.07000700000003</v>
      </c>
      <c r="I1027" s="44">
        <v>798.78997800000002</v>
      </c>
      <c r="J1027" s="44">
        <v>82.190002000000007</v>
      </c>
      <c r="K1027" s="44">
        <v>100.730003</v>
      </c>
    </row>
    <row r="1028" spans="6:11" x14ac:dyDescent="0.3">
      <c r="F1028" s="43">
        <v>39377</v>
      </c>
      <c r="G1028" s="44">
        <v>1506.329956</v>
      </c>
      <c r="H1028" s="44">
        <v>884.82000700000003</v>
      </c>
      <c r="I1028" s="44">
        <v>810.080017</v>
      </c>
      <c r="J1028" s="44">
        <v>82.089995999999999</v>
      </c>
      <c r="K1028" s="44">
        <v>100.699997</v>
      </c>
    </row>
    <row r="1029" spans="6:11" x14ac:dyDescent="0.3">
      <c r="F1029" s="43">
        <v>39378</v>
      </c>
      <c r="G1029" s="44">
        <v>1519.589966</v>
      </c>
      <c r="H1029" s="44">
        <v>890.94000200000005</v>
      </c>
      <c r="I1029" s="44">
        <v>818.53002900000001</v>
      </c>
      <c r="J1029" s="44">
        <v>83.25</v>
      </c>
      <c r="K1029" s="44">
        <v>100.66999800000001</v>
      </c>
    </row>
    <row r="1030" spans="6:11" x14ac:dyDescent="0.3">
      <c r="F1030" s="43">
        <v>39379</v>
      </c>
      <c r="G1030" s="44">
        <v>1515.880005</v>
      </c>
      <c r="H1030" s="44">
        <v>889.04998799999998</v>
      </c>
      <c r="I1030" s="44">
        <v>810.84997599999997</v>
      </c>
      <c r="J1030" s="44">
        <v>83.07</v>
      </c>
      <c r="K1030" s="44">
        <v>101.110001</v>
      </c>
    </row>
    <row r="1031" spans="6:11" x14ac:dyDescent="0.3">
      <c r="F1031" s="43">
        <v>39380</v>
      </c>
      <c r="G1031" s="44">
        <v>1514.400024</v>
      </c>
      <c r="H1031" s="44">
        <v>884.830017</v>
      </c>
      <c r="I1031" s="44">
        <v>806.10998500000005</v>
      </c>
      <c r="J1031" s="44">
        <v>83.449996999999996</v>
      </c>
      <c r="K1031" s="44">
        <v>100.849998</v>
      </c>
    </row>
    <row r="1032" spans="6:11" x14ac:dyDescent="0.3">
      <c r="F1032" s="43">
        <v>39381</v>
      </c>
      <c r="G1032" s="44">
        <v>1535.280029</v>
      </c>
      <c r="H1032" s="44">
        <v>895.28997800000002</v>
      </c>
      <c r="I1032" s="44">
        <v>821.39001499999995</v>
      </c>
      <c r="J1032" s="44">
        <v>84.959998999999996</v>
      </c>
      <c r="K1032" s="44">
        <v>100.760002</v>
      </c>
    </row>
    <row r="1033" spans="6:11" x14ac:dyDescent="0.3">
      <c r="F1033" s="43">
        <v>39384</v>
      </c>
      <c r="G1033" s="44">
        <v>1540.9799800000001</v>
      </c>
      <c r="H1033" s="44">
        <v>897.82000700000003</v>
      </c>
      <c r="I1033" s="44">
        <v>821.71997099999999</v>
      </c>
      <c r="J1033" s="44">
        <v>85.580001999999993</v>
      </c>
      <c r="K1033" s="44">
        <v>100.760002</v>
      </c>
    </row>
    <row r="1034" spans="6:11" x14ac:dyDescent="0.3">
      <c r="F1034" s="43">
        <v>39385</v>
      </c>
      <c r="G1034" s="44">
        <v>1531.0200199999999</v>
      </c>
      <c r="H1034" s="44">
        <v>892.61999500000002</v>
      </c>
      <c r="I1034" s="44">
        <v>816.15002400000003</v>
      </c>
      <c r="J1034" s="44">
        <v>84.900002000000001</v>
      </c>
      <c r="K1034" s="44">
        <v>100.889999</v>
      </c>
    </row>
    <row r="1035" spans="6:11" x14ac:dyDescent="0.3">
      <c r="F1035" s="43">
        <v>39386</v>
      </c>
      <c r="G1035" s="44">
        <v>1549.380005</v>
      </c>
      <c r="H1035" s="44">
        <v>907.70001200000002</v>
      </c>
      <c r="I1035" s="44">
        <v>828.02002000000005</v>
      </c>
      <c r="J1035" s="44">
        <v>86.099997999999999</v>
      </c>
      <c r="K1035" s="44">
        <v>100.610001</v>
      </c>
    </row>
    <row r="1036" spans="6:11" x14ac:dyDescent="0.3">
      <c r="F1036" s="43">
        <v>39387</v>
      </c>
      <c r="G1036" s="44">
        <v>1508.4399410000001</v>
      </c>
      <c r="H1036" s="44">
        <v>887.80999799999995</v>
      </c>
      <c r="I1036" s="44">
        <v>795.17999299999997</v>
      </c>
      <c r="J1036" s="44">
        <v>84.290001000000004</v>
      </c>
      <c r="K1036" s="44">
        <v>100.44000200000001</v>
      </c>
    </row>
    <row r="1037" spans="6:11" x14ac:dyDescent="0.3">
      <c r="F1037" s="43">
        <v>39388</v>
      </c>
      <c r="G1037" s="44">
        <v>1509.650024</v>
      </c>
      <c r="H1037" s="44">
        <v>886.52002000000005</v>
      </c>
      <c r="I1037" s="44">
        <v>797.78002900000001</v>
      </c>
      <c r="J1037" s="44">
        <v>84.760002</v>
      </c>
      <c r="K1037" s="44">
        <v>100.550003</v>
      </c>
    </row>
    <row r="1038" spans="6:11" x14ac:dyDescent="0.3">
      <c r="F1038" s="43">
        <v>39391</v>
      </c>
      <c r="G1038" s="44">
        <v>1502.170044</v>
      </c>
      <c r="H1038" s="44">
        <v>879.45001200000002</v>
      </c>
      <c r="I1038" s="44">
        <v>790.42999299999997</v>
      </c>
      <c r="J1038" s="44">
        <v>83.410004000000001</v>
      </c>
      <c r="K1038" s="44">
        <v>100.459999</v>
      </c>
    </row>
    <row r="1039" spans="6:11" x14ac:dyDescent="0.3">
      <c r="F1039" s="43">
        <v>39392</v>
      </c>
      <c r="G1039" s="44">
        <v>1520.2700199999999</v>
      </c>
      <c r="H1039" s="44">
        <v>890.46997099999999</v>
      </c>
      <c r="I1039" s="44">
        <v>801.77002000000005</v>
      </c>
      <c r="J1039" s="44">
        <v>84.669998000000007</v>
      </c>
      <c r="K1039" s="44">
        <v>100.33000199999999</v>
      </c>
    </row>
    <row r="1040" spans="6:11" x14ac:dyDescent="0.3">
      <c r="F1040" s="43">
        <v>39393</v>
      </c>
      <c r="G1040" s="44">
        <v>1475.619995</v>
      </c>
      <c r="H1040" s="44">
        <v>869.90002400000003</v>
      </c>
      <c r="I1040" s="44">
        <v>775.96002199999998</v>
      </c>
      <c r="J1040" s="44">
        <v>83.199996999999996</v>
      </c>
      <c r="K1040" s="44">
        <v>100.349998</v>
      </c>
    </row>
    <row r="1041" spans="6:11" x14ac:dyDescent="0.3">
      <c r="F1041" s="43">
        <v>39394</v>
      </c>
      <c r="G1041" s="44">
        <v>1474.7700199999999</v>
      </c>
      <c r="H1041" s="44">
        <v>873.26000999999997</v>
      </c>
      <c r="I1041" s="44">
        <v>780.90002400000003</v>
      </c>
      <c r="J1041" s="44">
        <v>83.349997999999999</v>
      </c>
      <c r="K1041" s="44">
        <v>100.449997</v>
      </c>
    </row>
    <row r="1042" spans="6:11" x14ac:dyDescent="0.3">
      <c r="F1042" s="43">
        <v>39395</v>
      </c>
      <c r="G1042" s="44">
        <v>1453.6999510000001</v>
      </c>
      <c r="H1042" s="44">
        <v>861.54998799999998</v>
      </c>
      <c r="I1042" s="44">
        <v>772.38000499999998</v>
      </c>
      <c r="J1042" s="44">
        <v>81.730002999999996</v>
      </c>
      <c r="K1042" s="44">
        <v>100.800003</v>
      </c>
    </row>
    <row r="1043" spans="6:11" x14ac:dyDescent="0.3">
      <c r="F1043" s="43">
        <v>39398</v>
      </c>
      <c r="G1043" s="44">
        <v>1439.1800539999999</v>
      </c>
      <c r="H1043" s="44">
        <v>848.54998799999998</v>
      </c>
      <c r="I1043" s="44">
        <v>767.09002699999996</v>
      </c>
      <c r="J1043" s="44">
        <v>80.389999000000003</v>
      </c>
      <c r="K1043" s="44">
        <v>100.660004</v>
      </c>
    </row>
    <row r="1044" spans="6:11" x14ac:dyDescent="0.3">
      <c r="F1044" s="43">
        <v>39399</v>
      </c>
      <c r="G1044" s="44">
        <v>1481.0500489999999</v>
      </c>
      <c r="H1044" s="44">
        <v>867.13000499999998</v>
      </c>
      <c r="I1044" s="44">
        <v>789.15002400000003</v>
      </c>
      <c r="J1044" s="44">
        <v>82.550003000000004</v>
      </c>
      <c r="K1044" s="44">
        <v>100.66999800000001</v>
      </c>
    </row>
    <row r="1045" spans="6:11" x14ac:dyDescent="0.3">
      <c r="F1045" s="43">
        <v>39400</v>
      </c>
      <c r="G1045" s="44">
        <v>1470.579956</v>
      </c>
      <c r="H1045" s="44">
        <v>863.02002000000005</v>
      </c>
      <c r="I1045" s="44">
        <v>782.46997099999999</v>
      </c>
      <c r="J1045" s="44">
        <v>82.419998000000007</v>
      </c>
      <c r="K1045" s="44">
        <v>100.629997</v>
      </c>
    </row>
    <row r="1046" spans="6:11" x14ac:dyDescent="0.3">
      <c r="F1046" s="43">
        <v>39401</v>
      </c>
      <c r="G1046" s="44">
        <v>1451.150024</v>
      </c>
      <c r="H1046" s="44">
        <v>854</v>
      </c>
      <c r="I1046" s="44">
        <v>771.59997599999997</v>
      </c>
      <c r="J1046" s="44">
        <v>81.059997999999993</v>
      </c>
      <c r="K1046" s="44">
        <v>101.05999799999999</v>
      </c>
    </row>
    <row r="1047" spans="6:11" x14ac:dyDescent="0.3">
      <c r="F1047" s="43">
        <v>39402</v>
      </c>
      <c r="G1047" s="44">
        <v>1458.73999</v>
      </c>
      <c r="H1047" s="44">
        <v>852.27002000000005</v>
      </c>
      <c r="I1047" s="44">
        <v>769.5</v>
      </c>
      <c r="J1047" s="44">
        <v>81.319999999999993</v>
      </c>
      <c r="K1047" s="44">
        <v>100.989998</v>
      </c>
    </row>
    <row r="1048" spans="6:11" x14ac:dyDescent="0.3">
      <c r="F1048" s="43">
        <v>39405</v>
      </c>
      <c r="G1048" s="44">
        <v>1433.2700199999999</v>
      </c>
      <c r="H1048" s="44">
        <v>835.78002900000001</v>
      </c>
      <c r="I1048" s="44">
        <v>750.330017</v>
      </c>
      <c r="J1048" s="44">
        <v>79.169998000000007</v>
      </c>
      <c r="K1048" s="44">
        <v>101.209999</v>
      </c>
    </row>
    <row r="1049" spans="6:11" x14ac:dyDescent="0.3">
      <c r="F1049" s="43">
        <v>39406</v>
      </c>
      <c r="G1049" s="44">
        <v>1439.6999510000001</v>
      </c>
      <c r="H1049" s="44">
        <v>834.65997300000004</v>
      </c>
      <c r="I1049" s="44">
        <v>749.330017</v>
      </c>
      <c r="J1049" s="44">
        <v>80.940002000000007</v>
      </c>
      <c r="K1049" s="44">
        <v>101</v>
      </c>
    </row>
    <row r="1050" spans="6:11" x14ac:dyDescent="0.3">
      <c r="F1050" s="43">
        <v>39407</v>
      </c>
      <c r="G1050" s="44">
        <v>1416.7700199999999</v>
      </c>
      <c r="H1050" s="44">
        <v>823.65997300000004</v>
      </c>
      <c r="I1050" s="44">
        <v>740.29998799999998</v>
      </c>
      <c r="J1050" s="44">
        <v>79.110000999999997</v>
      </c>
      <c r="K1050" s="44">
        <v>101.769997</v>
      </c>
    </row>
    <row r="1051" spans="6:11" x14ac:dyDescent="0.3">
      <c r="F1051" s="43">
        <v>39409</v>
      </c>
      <c r="G1051" s="44">
        <v>1440.6999510000001</v>
      </c>
      <c r="H1051" s="44">
        <v>834.47997999999995</v>
      </c>
      <c r="I1051" s="44">
        <v>755.03002900000001</v>
      </c>
      <c r="J1051" s="44">
        <v>81.099997999999999</v>
      </c>
      <c r="K1051" s="44">
        <v>101.25</v>
      </c>
    </row>
    <row r="1052" spans="6:11" x14ac:dyDescent="0.3">
      <c r="F1052" s="43">
        <v>39412</v>
      </c>
      <c r="G1052" s="44">
        <v>1407.219971</v>
      </c>
      <c r="H1052" s="44">
        <v>821.32000700000003</v>
      </c>
      <c r="I1052" s="44">
        <v>735.07000700000003</v>
      </c>
      <c r="J1052" s="44">
        <v>79.830001999999993</v>
      </c>
      <c r="K1052" s="44">
        <v>102.16999800000001</v>
      </c>
    </row>
    <row r="1053" spans="6:11" x14ac:dyDescent="0.3">
      <c r="F1053" s="43">
        <v>39413</v>
      </c>
      <c r="G1053" s="44">
        <v>1428.2299800000001</v>
      </c>
      <c r="H1053" s="44">
        <v>830.39001499999995</v>
      </c>
      <c r="I1053" s="44">
        <v>743.27002000000005</v>
      </c>
      <c r="J1053" s="44">
        <v>80.910004000000001</v>
      </c>
      <c r="K1053" s="44">
        <v>101.75</v>
      </c>
    </row>
    <row r="1054" spans="6:11" x14ac:dyDescent="0.3">
      <c r="F1054" s="43">
        <v>39414</v>
      </c>
      <c r="G1054" s="44">
        <v>1469.0200199999999</v>
      </c>
      <c r="H1054" s="44">
        <v>854.97997999999995</v>
      </c>
      <c r="I1054" s="44">
        <v>770.03997800000002</v>
      </c>
      <c r="J1054" s="44">
        <v>83.209998999999996</v>
      </c>
      <c r="K1054" s="44">
        <v>101.5</v>
      </c>
    </row>
    <row r="1055" spans="6:11" x14ac:dyDescent="0.3">
      <c r="F1055" s="43">
        <v>39415</v>
      </c>
      <c r="G1055" s="44">
        <v>1469.719971</v>
      </c>
      <c r="H1055" s="44">
        <v>854.92999299999997</v>
      </c>
      <c r="I1055" s="44">
        <v>766.05999799999995</v>
      </c>
      <c r="J1055" s="44">
        <v>82.529999000000004</v>
      </c>
      <c r="K1055" s="44">
        <v>101.790001</v>
      </c>
    </row>
    <row r="1056" spans="6:11" x14ac:dyDescent="0.3">
      <c r="F1056" s="43">
        <v>39416</v>
      </c>
      <c r="G1056" s="44">
        <v>1481.1400149999999</v>
      </c>
      <c r="H1056" s="44">
        <v>860.73999000000003</v>
      </c>
      <c r="I1056" s="44">
        <v>767.77002000000005</v>
      </c>
      <c r="J1056" s="44">
        <v>82.980002999999996</v>
      </c>
      <c r="K1056" s="44">
        <v>102</v>
      </c>
    </row>
    <row r="1057" spans="6:11" x14ac:dyDescent="0.3">
      <c r="F1057" s="43">
        <v>39419</v>
      </c>
      <c r="G1057" s="44">
        <v>1472.420044</v>
      </c>
      <c r="H1057" s="44">
        <v>857.27002000000005</v>
      </c>
      <c r="I1057" s="44">
        <v>759.96997099999999</v>
      </c>
      <c r="J1057" s="44">
        <v>82.669998000000007</v>
      </c>
      <c r="K1057" s="44">
        <v>102.129997</v>
      </c>
    </row>
    <row r="1058" spans="6:11" x14ac:dyDescent="0.3">
      <c r="F1058" s="43">
        <v>39420</v>
      </c>
      <c r="G1058" s="44">
        <v>1462.790039</v>
      </c>
      <c r="H1058" s="44">
        <v>854.21002199999998</v>
      </c>
      <c r="I1058" s="44">
        <v>752.05999799999995</v>
      </c>
      <c r="J1058" s="44">
        <v>82.150002000000001</v>
      </c>
      <c r="K1058" s="44">
        <v>101.739998</v>
      </c>
    </row>
    <row r="1059" spans="6:11" x14ac:dyDescent="0.3">
      <c r="F1059" s="43">
        <v>39421</v>
      </c>
      <c r="G1059" s="44">
        <v>1485.01001</v>
      </c>
      <c r="H1059" s="44">
        <v>866.69000200000005</v>
      </c>
      <c r="I1059" s="44">
        <v>765.64001499999995</v>
      </c>
      <c r="J1059" s="44">
        <v>83.099997999999999</v>
      </c>
      <c r="K1059" s="44">
        <v>101.550003</v>
      </c>
    </row>
    <row r="1060" spans="6:11" x14ac:dyDescent="0.3">
      <c r="F1060" s="43">
        <v>39422</v>
      </c>
      <c r="G1060" s="44">
        <v>1507.339966</v>
      </c>
      <c r="H1060" s="44">
        <v>884.46002199999998</v>
      </c>
      <c r="I1060" s="44">
        <v>786.95001200000002</v>
      </c>
      <c r="J1060" s="44">
        <v>83.889999000000003</v>
      </c>
      <c r="K1060" s="44">
        <v>101.44000200000001</v>
      </c>
    </row>
    <row r="1061" spans="6:11" x14ac:dyDescent="0.3">
      <c r="F1061" s="43">
        <v>39423</v>
      </c>
      <c r="G1061" s="44">
        <v>1504.660034</v>
      </c>
      <c r="H1061" s="44">
        <v>885.52002000000005</v>
      </c>
      <c r="I1061" s="44">
        <v>785.52002000000005</v>
      </c>
      <c r="J1061" s="44">
        <v>83.559997999999993</v>
      </c>
      <c r="K1061" s="44">
        <v>100.860001</v>
      </c>
    </row>
    <row r="1062" spans="6:11" x14ac:dyDescent="0.3">
      <c r="F1062" s="43">
        <v>39426</v>
      </c>
      <c r="G1062" s="44">
        <v>1515.959961</v>
      </c>
      <c r="H1062" s="44">
        <v>892.61999500000002</v>
      </c>
      <c r="I1062" s="44">
        <v>791.20001200000002</v>
      </c>
      <c r="J1062" s="44">
        <v>84.419998000000007</v>
      </c>
      <c r="K1062" s="44">
        <v>100.660004</v>
      </c>
    </row>
    <row r="1063" spans="6:11" x14ac:dyDescent="0.3">
      <c r="F1063" s="43">
        <v>39427</v>
      </c>
      <c r="G1063" s="44">
        <v>1477.650024</v>
      </c>
      <c r="H1063" s="44">
        <v>866.169983</v>
      </c>
      <c r="I1063" s="44">
        <v>766.27002000000005</v>
      </c>
      <c r="J1063" s="44">
        <v>82.220000999999996</v>
      </c>
      <c r="K1063" s="44">
        <v>101.150002</v>
      </c>
    </row>
    <row r="1064" spans="6:11" x14ac:dyDescent="0.3">
      <c r="F1064" s="43">
        <v>39428</v>
      </c>
      <c r="G1064" s="44">
        <v>1486.589966</v>
      </c>
      <c r="H1064" s="44">
        <v>869.13000499999998</v>
      </c>
      <c r="I1064" s="44">
        <v>771.71002199999998</v>
      </c>
      <c r="J1064" s="44">
        <v>83.870002999999997</v>
      </c>
      <c r="K1064" s="44">
        <v>101.050003</v>
      </c>
    </row>
    <row r="1065" spans="6:11" x14ac:dyDescent="0.3">
      <c r="F1065" s="43">
        <v>39429</v>
      </c>
      <c r="G1065" s="44">
        <v>1488.410034</v>
      </c>
      <c r="H1065" s="44">
        <v>868.96002199999998</v>
      </c>
      <c r="I1065" s="44">
        <v>769.46002199999998</v>
      </c>
      <c r="J1065" s="44">
        <v>82.160004000000001</v>
      </c>
      <c r="K1065" s="44">
        <v>100.660004</v>
      </c>
    </row>
    <row r="1066" spans="6:11" x14ac:dyDescent="0.3">
      <c r="F1066" s="43">
        <v>39430</v>
      </c>
      <c r="G1066" s="44">
        <v>1467.9499510000001</v>
      </c>
      <c r="H1066" s="44">
        <v>855.21002199999998</v>
      </c>
      <c r="I1066" s="44">
        <v>753.92999299999997</v>
      </c>
      <c r="J1066" s="44">
        <v>79.940002000000007</v>
      </c>
      <c r="K1066" s="44">
        <v>100.379997</v>
      </c>
    </row>
    <row r="1067" spans="6:11" x14ac:dyDescent="0.3">
      <c r="F1067" s="43">
        <v>39433</v>
      </c>
      <c r="G1067" s="44">
        <v>1445.900024</v>
      </c>
      <c r="H1067" s="44">
        <v>840.79998799999998</v>
      </c>
      <c r="I1067" s="44">
        <v>739.05999799999995</v>
      </c>
      <c r="J1067" s="44">
        <v>78.239998</v>
      </c>
      <c r="K1067" s="44">
        <v>100.529999</v>
      </c>
    </row>
    <row r="1068" spans="6:11" x14ac:dyDescent="0.3">
      <c r="F1068" s="43">
        <v>39434</v>
      </c>
      <c r="G1068" s="44">
        <v>1454.9799800000001</v>
      </c>
      <c r="H1068" s="44">
        <v>846.86999500000002</v>
      </c>
      <c r="I1068" s="44">
        <v>754.05999799999995</v>
      </c>
      <c r="J1068" s="44">
        <v>79.220000999999996</v>
      </c>
      <c r="K1068" s="44">
        <v>101.05999799999999</v>
      </c>
    </row>
    <row r="1069" spans="6:11" x14ac:dyDescent="0.3">
      <c r="F1069" s="43">
        <v>39435</v>
      </c>
      <c r="G1069" s="44">
        <v>1453</v>
      </c>
      <c r="H1069" s="44">
        <v>846.25</v>
      </c>
      <c r="I1069" s="44">
        <v>756.13000499999998</v>
      </c>
      <c r="J1069" s="44">
        <v>78.569999999999993</v>
      </c>
      <c r="K1069" s="44">
        <v>101.269997</v>
      </c>
    </row>
    <row r="1070" spans="6:11" x14ac:dyDescent="0.3">
      <c r="F1070" s="43">
        <v>39436</v>
      </c>
      <c r="G1070" s="44">
        <v>1460.119995</v>
      </c>
      <c r="H1070" s="44">
        <v>856.21002199999998</v>
      </c>
      <c r="I1070" s="44">
        <v>767.53997800000002</v>
      </c>
      <c r="J1070" s="44">
        <v>79.129997000000003</v>
      </c>
      <c r="K1070" s="44">
        <v>101.18</v>
      </c>
    </row>
    <row r="1071" spans="6:11" x14ac:dyDescent="0.3">
      <c r="F1071" s="43">
        <v>39437</v>
      </c>
      <c r="G1071" s="44">
        <v>1484.459961</v>
      </c>
      <c r="H1071" s="44">
        <v>869.53997800000002</v>
      </c>
      <c r="I1071" s="44">
        <v>785.59997599999997</v>
      </c>
      <c r="J1071" s="44">
        <v>80.260002</v>
      </c>
      <c r="K1071" s="44">
        <v>100.739998</v>
      </c>
    </row>
    <row r="1072" spans="6:11" x14ac:dyDescent="0.3">
      <c r="F1072" s="43">
        <v>39440</v>
      </c>
      <c r="G1072" s="44">
        <v>1496.4499510000001</v>
      </c>
      <c r="H1072" s="44">
        <v>879.30999799999995</v>
      </c>
      <c r="I1072" s="44">
        <v>794.39001499999995</v>
      </c>
      <c r="J1072" s="44">
        <v>78.580001999999993</v>
      </c>
      <c r="K1072" s="44">
        <v>100.769997</v>
      </c>
    </row>
    <row r="1073" spans="6:11" x14ac:dyDescent="0.3">
      <c r="F1073" s="43">
        <v>39442</v>
      </c>
      <c r="G1073" s="44">
        <v>1497.660034</v>
      </c>
      <c r="H1073" s="44">
        <v>877.10998500000005</v>
      </c>
      <c r="I1073" s="44">
        <v>797.03002900000001</v>
      </c>
      <c r="J1073" s="44">
        <v>78.800003000000004</v>
      </c>
      <c r="K1073" s="44">
        <v>100.459999</v>
      </c>
    </row>
    <row r="1074" spans="6:11" x14ac:dyDescent="0.3">
      <c r="F1074" s="43">
        <v>39443</v>
      </c>
      <c r="G1074" s="44">
        <v>1476.2700199999999</v>
      </c>
      <c r="H1074" s="44">
        <v>863.64001499999995</v>
      </c>
      <c r="I1074" s="44">
        <v>773.51000999999997</v>
      </c>
      <c r="J1074" s="44">
        <v>78.319999999999993</v>
      </c>
      <c r="K1074" s="44">
        <v>100.599998</v>
      </c>
    </row>
    <row r="1075" spans="6:11" x14ac:dyDescent="0.3">
      <c r="F1075" s="43">
        <v>39444</v>
      </c>
      <c r="G1075" s="44">
        <v>1478.48999</v>
      </c>
      <c r="H1075" s="44">
        <v>863.13000499999998</v>
      </c>
      <c r="I1075" s="44">
        <v>771.76000999999997</v>
      </c>
      <c r="J1075" s="44">
        <v>78.989998</v>
      </c>
      <c r="K1075" s="44">
        <v>101.139999</v>
      </c>
    </row>
    <row r="1076" spans="6:11" x14ac:dyDescent="0.3">
      <c r="F1076" s="43">
        <v>39447</v>
      </c>
      <c r="G1076" s="44">
        <v>1468.3599850000001</v>
      </c>
      <c r="H1076" s="44">
        <v>858.20001200000002</v>
      </c>
      <c r="I1076" s="44">
        <v>766.03002900000001</v>
      </c>
      <c r="J1076" s="44">
        <v>78.5</v>
      </c>
      <c r="K1076" s="44">
        <v>101.16999800000001</v>
      </c>
    </row>
    <row r="1077" spans="6:11" x14ac:dyDescent="0.3">
      <c r="F1077" s="43">
        <v>39449</v>
      </c>
      <c r="G1077" s="44">
        <v>1447.160034</v>
      </c>
      <c r="H1077" s="44">
        <v>847.55999799999995</v>
      </c>
      <c r="I1077" s="44">
        <v>753.54998799999998</v>
      </c>
      <c r="J1077" s="44">
        <v>78.220000999999996</v>
      </c>
      <c r="K1077" s="44">
        <v>101.650002</v>
      </c>
    </row>
    <row r="1078" spans="6:11" x14ac:dyDescent="0.3">
      <c r="F1078" s="43">
        <v>39450</v>
      </c>
      <c r="G1078" s="44">
        <v>1447.160034</v>
      </c>
      <c r="H1078" s="44">
        <v>841.580017</v>
      </c>
      <c r="I1078" s="44">
        <v>745.01000999999997</v>
      </c>
      <c r="J1078" s="44">
        <v>78.349997999999999</v>
      </c>
      <c r="K1078" s="44">
        <v>101.91999800000001</v>
      </c>
    </row>
    <row r="1079" spans="6:11" x14ac:dyDescent="0.3">
      <c r="F1079" s="43">
        <v>39451</v>
      </c>
      <c r="G1079" s="44">
        <v>1411.630005</v>
      </c>
      <c r="H1079" s="44">
        <v>817.51000999999997</v>
      </c>
      <c r="I1079" s="44">
        <v>721.59997599999997</v>
      </c>
      <c r="J1079" s="44">
        <v>76.569999999999993</v>
      </c>
      <c r="K1079" s="44">
        <v>102.129997</v>
      </c>
    </row>
    <row r="1080" spans="6:11" x14ac:dyDescent="0.3">
      <c r="F1080" s="43">
        <v>39454</v>
      </c>
      <c r="G1080" s="44">
        <v>1416.1800539999999</v>
      </c>
      <c r="H1080" s="44">
        <v>815.34002699999996</v>
      </c>
      <c r="I1080" s="44">
        <v>723.95001200000002</v>
      </c>
      <c r="J1080" s="44">
        <v>76.650002000000001</v>
      </c>
      <c r="K1080" s="44">
        <v>102.260002</v>
      </c>
    </row>
    <row r="1081" spans="6:11" x14ac:dyDescent="0.3">
      <c r="F1081" s="43">
        <v>39455</v>
      </c>
      <c r="G1081" s="44">
        <v>1390.1899410000001</v>
      </c>
      <c r="H1081" s="44">
        <v>796.63000499999998</v>
      </c>
      <c r="I1081" s="44">
        <v>704.85998500000005</v>
      </c>
      <c r="J1081" s="44">
        <v>76.220000999999996</v>
      </c>
      <c r="K1081" s="44">
        <v>102.519997</v>
      </c>
    </row>
    <row r="1082" spans="6:11" x14ac:dyDescent="0.3">
      <c r="F1082" s="43">
        <v>39456</v>
      </c>
      <c r="G1082" s="44">
        <v>1409.130005</v>
      </c>
      <c r="H1082" s="44">
        <v>800.40997300000004</v>
      </c>
      <c r="I1082" s="44">
        <v>712.11999500000002</v>
      </c>
      <c r="J1082" s="44">
        <v>76.769997000000004</v>
      </c>
      <c r="K1082" s="44">
        <v>102.279999</v>
      </c>
    </row>
    <row r="1083" spans="6:11" x14ac:dyDescent="0.3">
      <c r="F1083" s="43">
        <v>39457</v>
      </c>
      <c r="G1083" s="44">
        <v>1420.329956</v>
      </c>
      <c r="H1083" s="44">
        <v>807.60998500000005</v>
      </c>
      <c r="I1083" s="44">
        <v>720.21002199999998</v>
      </c>
      <c r="J1083" s="44">
        <v>76.690002000000007</v>
      </c>
      <c r="K1083" s="44">
        <v>102.07</v>
      </c>
    </row>
    <row r="1084" spans="6:11" x14ac:dyDescent="0.3">
      <c r="F1084" s="43">
        <v>39458</v>
      </c>
      <c r="G1084" s="44">
        <v>1401.0200199999999</v>
      </c>
      <c r="H1084" s="44">
        <v>796.21997099999999</v>
      </c>
      <c r="I1084" s="44">
        <v>704.65002400000003</v>
      </c>
      <c r="J1084" s="44">
        <v>75.160004000000001</v>
      </c>
      <c r="K1084" s="44">
        <v>102.510002</v>
      </c>
    </row>
    <row r="1085" spans="6:11" x14ac:dyDescent="0.3">
      <c r="F1085" s="43">
        <v>39461</v>
      </c>
      <c r="G1085" s="44">
        <v>1416.25</v>
      </c>
      <c r="H1085" s="44">
        <v>804.40002400000003</v>
      </c>
      <c r="I1085" s="44">
        <v>712.47997999999995</v>
      </c>
      <c r="J1085" s="44">
        <v>76.360000999999997</v>
      </c>
      <c r="K1085" s="44">
        <v>102.589996</v>
      </c>
    </row>
    <row r="1086" spans="6:11" x14ac:dyDescent="0.3">
      <c r="F1086" s="43">
        <v>39462</v>
      </c>
      <c r="G1086" s="44">
        <v>1380.9499510000001</v>
      </c>
      <c r="H1086" s="44">
        <v>785.34002699999996</v>
      </c>
      <c r="I1086" s="44">
        <v>697.42999299999997</v>
      </c>
      <c r="J1086" s="44">
        <v>73.879997000000003</v>
      </c>
      <c r="K1086" s="44">
        <v>102.959999</v>
      </c>
    </row>
    <row r="1087" spans="6:11" x14ac:dyDescent="0.3">
      <c r="F1087" s="43">
        <v>39463</v>
      </c>
      <c r="G1087" s="44">
        <v>1373.1999510000001</v>
      </c>
      <c r="H1087" s="44">
        <v>781.580017</v>
      </c>
      <c r="I1087" s="44">
        <v>699.90997300000004</v>
      </c>
      <c r="J1087" s="44">
        <v>72.389999000000003</v>
      </c>
      <c r="K1087" s="44">
        <v>102.650002</v>
      </c>
    </row>
    <row r="1088" spans="6:11" x14ac:dyDescent="0.3">
      <c r="F1088" s="43">
        <v>39464</v>
      </c>
      <c r="G1088" s="44">
        <v>1333.25</v>
      </c>
      <c r="H1088" s="44">
        <v>758.92999299999997</v>
      </c>
      <c r="I1088" s="44">
        <v>680.57000700000003</v>
      </c>
      <c r="J1088" s="44">
        <v>71.300003000000004</v>
      </c>
      <c r="K1088" s="44">
        <v>103.269997</v>
      </c>
    </row>
    <row r="1089" spans="6:11" x14ac:dyDescent="0.3">
      <c r="F1089" s="43">
        <v>39465</v>
      </c>
      <c r="G1089" s="44">
        <v>1325.1899410000001</v>
      </c>
      <c r="H1089" s="44">
        <v>756.21002199999998</v>
      </c>
      <c r="I1089" s="44">
        <v>673.17999299999997</v>
      </c>
      <c r="J1089" s="44">
        <v>71.709998999999996</v>
      </c>
      <c r="K1089" s="44">
        <v>103.25</v>
      </c>
    </row>
    <row r="1090" spans="6:11" x14ac:dyDescent="0.3">
      <c r="F1090" s="43">
        <v>39469</v>
      </c>
      <c r="G1090" s="44">
        <v>1310.5</v>
      </c>
      <c r="H1090" s="44">
        <v>752.64001499999995</v>
      </c>
      <c r="I1090" s="44">
        <v>671.57000700000003</v>
      </c>
      <c r="J1090" s="44">
        <v>69.709998999999996</v>
      </c>
      <c r="K1090" s="44">
        <v>103.410004</v>
      </c>
    </row>
    <row r="1091" spans="6:11" x14ac:dyDescent="0.3">
      <c r="F1091" s="43">
        <v>39470</v>
      </c>
      <c r="G1091" s="44">
        <v>1338.599976</v>
      </c>
      <c r="H1091" s="44">
        <v>769.65002400000003</v>
      </c>
      <c r="I1091" s="44">
        <v>693.42999299999997</v>
      </c>
      <c r="J1091" s="44">
        <v>69.300003000000004</v>
      </c>
      <c r="K1091" s="44">
        <v>103.099998</v>
      </c>
    </row>
    <row r="1092" spans="6:11" x14ac:dyDescent="0.3">
      <c r="F1092" s="43">
        <v>39471</v>
      </c>
      <c r="G1092" s="44">
        <v>1352.0699460000001</v>
      </c>
      <c r="H1092" s="44">
        <v>778.830017</v>
      </c>
      <c r="I1092" s="44">
        <v>692.71997099999999</v>
      </c>
      <c r="J1092" s="44">
        <v>71.730002999999996</v>
      </c>
      <c r="K1092" s="44">
        <v>102.839996</v>
      </c>
    </row>
    <row r="1093" spans="6:11" x14ac:dyDescent="0.3">
      <c r="F1093" s="43">
        <v>39472</v>
      </c>
      <c r="G1093" s="44">
        <v>1330.6099850000001</v>
      </c>
      <c r="H1093" s="44">
        <v>771.86999500000002</v>
      </c>
      <c r="I1093" s="44">
        <v>688.59997599999997</v>
      </c>
      <c r="J1093" s="44">
        <v>70.690002000000007</v>
      </c>
      <c r="K1093" s="44">
        <v>103.019997</v>
      </c>
    </row>
    <row r="1094" spans="6:11" x14ac:dyDescent="0.3">
      <c r="F1094" s="43">
        <v>39475</v>
      </c>
      <c r="G1094" s="44">
        <v>1353.959961</v>
      </c>
      <c r="H1094" s="44">
        <v>789.78002900000001</v>
      </c>
      <c r="I1094" s="44">
        <v>702.39001499999995</v>
      </c>
      <c r="J1094" s="44">
        <v>71.480002999999996</v>
      </c>
      <c r="K1094" s="44">
        <v>103.220001</v>
      </c>
    </row>
    <row r="1095" spans="6:11" x14ac:dyDescent="0.3">
      <c r="F1095" s="43">
        <v>39476</v>
      </c>
      <c r="G1095" s="44">
        <v>1362.3000489999999</v>
      </c>
      <c r="H1095" s="44">
        <v>795.55999799999995</v>
      </c>
      <c r="I1095" s="44">
        <v>705.20001200000002</v>
      </c>
      <c r="J1095" s="44">
        <v>71.910004000000001</v>
      </c>
      <c r="K1095" s="44">
        <v>102.900002</v>
      </c>
    </row>
    <row r="1096" spans="6:11" x14ac:dyDescent="0.3">
      <c r="F1096" s="43">
        <v>39477</v>
      </c>
      <c r="G1096" s="44">
        <v>1355.8100589999999</v>
      </c>
      <c r="H1096" s="44">
        <v>787.02002000000005</v>
      </c>
      <c r="I1096" s="44">
        <v>695.48999000000003</v>
      </c>
      <c r="J1096" s="44">
        <v>71.580001999999993</v>
      </c>
      <c r="K1096" s="44">
        <v>103.05999799999999</v>
      </c>
    </row>
    <row r="1097" spans="6:11" x14ac:dyDescent="0.3">
      <c r="F1097" s="43">
        <v>39478</v>
      </c>
      <c r="G1097" s="44">
        <v>1378.5500489999999</v>
      </c>
      <c r="H1097" s="44">
        <v>804.64001499999995</v>
      </c>
      <c r="I1097" s="44">
        <v>713.29998799999998</v>
      </c>
      <c r="J1097" s="44">
        <v>72.339995999999999</v>
      </c>
      <c r="K1097" s="44">
        <v>103.510002</v>
      </c>
    </row>
    <row r="1098" spans="6:11" x14ac:dyDescent="0.3">
      <c r="F1098" s="43">
        <v>39479</v>
      </c>
      <c r="G1098" s="44">
        <v>1395.420044</v>
      </c>
      <c r="H1098" s="44">
        <v>823.42999299999997</v>
      </c>
      <c r="I1098" s="44">
        <v>730.5</v>
      </c>
      <c r="J1098" s="44">
        <v>73.550003000000004</v>
      </c>
      <c r="K1098" s="44">
        <v>102.989998</v>
      </c>
    </row>
    <row r="1099" spans="6:11" x14ac:dyDescent="0.3">
      <c r="F1099" s="43">
        <v>39482</v>
      </c>
      <c r="G1099" s="44">
        <v>1380.8199460000001</v>
      </c>
      <c r="H1099" s="44">
        <v>817.34002699999996</v>
      </c>
      <c r="I1099" s="44">
        <v>723.46002199999998</v>
      </c>
      <c r="J1099" s="44">
        <v>72.800003000000004</v>
      </c>
      <c r="K1099" s="44">
        <v>102.93</v>
      </c>
    </row>
    <row r="1100" spans="6:11" x14ac:dyDescent="0.3">
      <c r="F1100" s="43">
        <v>39483</v>
      </c>
      <c r="G1100" s="44">
        <v>1336.6400149999999</v>
      </c>
      <c r="H1100" s="44">
        <v>793.88000499999998</v>
      </c>
      <c r="I1100" s="44">
        <v>701.580017</v>
      </c>
      <c r="J1100" s="44">
        <v>69.459998999999996</v>
      </c>
      <c r="K1100" s="44">
        <v>103.25</v>
      </c>
    </row>
    <row r="1101" spans="6:11" x14ac:dyDescent="0.3">
      <c r="F1101" s="43">
        <v>39484</v>
      </c>
      <c r="G1101" s="44">
        <v>1326.4499510000001</v>
      </c>
      <c r="H1101" s="44">
        <v>784.48999000000003</v>
      </c>
      <c r="I1101" s="44">
        <v>692.48999000000003</v>
      </c>
      <c r="J1101" s="44">
        <v>69.400002000000001</v>
      </c>
      <c r="K1101" s="44">
        <v>103.16999800000001</v>
      </c>
    </row>
    <row r="1102" spans="6:11" x14ac:dyDescent="0.3">
      <c r="F1102" s="43">
        <v>39485</v>
      </c>
      <c r="G1102" s="44">
        <v>1336.910034</v>
      </c>
      <c r="H1102" s="44">
        <v>792.63000499999998</v>
      </c>
      <c r="I1102" s="44">
        <v>702.78002900000001</v>
      </c>
      <c r="J1102" s="44">
        <v>69.050003000000004</v>
      </c>
      <c r="K1102" s="44">
        <v>102.260002</v>
      </c>
    </row>
    <row r="1103" spans="6:11" x14ac:dyDescent="0.3">
      <c r="F1103" s="43">
        <v>39486</v>
      </c>
      <c r="G1103" s="44">
        <v>1331.290039</v>
      </c>
      <c r="H1103" s="44">
        <v>794.05999799999995</v>
      </c>
      <c r="I1103" s="44">
        <v>698.90002400000003</v>
      </c>
      <c r="J1103" s="44">
        <v>68.339995999999999</v>
      </c>
      <c r="K1103" s="44">
        <v>102.75</v>
      </c>
    </row>
    <row r="1104" spans="6:11" x14ac:dyDescent="0.3">
      <c r="F1104" s="43">
        <v>39489</v>
      </c>
      <c r="G1104" s="44">
        <v>1339.130005</v>
      </c>
      <c r="H1104" s="44">
        <v>798.60998500000005</v>
      </c>
      <c r="I1104" s="44">
        <v>699.75</v>
      </c>
      <c r="J1104" s="44">
        <v>68.699996999999996</v>
      </c>
      <c r="K1104" s="44">
        <v>102.970001</v>
      </c>
    </row>
    <row r="1105" spans="6:11" x14ac:dyDescent="0.3">
      <c r="F1105" s="43">
        <v>39490</v>
      </c>
      <c r="G1105" s="44">
        <v>1348.8599850000001</v>
      </c>
      <c r="H1105" s="44">
        <v>800.23999000000003</v>
      </c>
      <c r="I1105" s="44">
        <v>705.47997999999995</v>
      </c>
      <c r="J1105" s="44">
        <v>70.180000000000007</v>
      </c>
      <c r="K1105" s="44">
        <v>102.93</v>
      </c>
    </row>
    <row r="1106" spans="6:11" x14ac:dyDescent="0.3">
      <c r="F1106" s="43">
        <v>39491</v>
      </c>
      <c r="G1106" s="44">
        <v>1367.209961</v>
      </c>
      <c r="H1106" s="44">
        <v>810.36999500000002</v>
      </c>
      <c r="I1106" s="44">
        <v>721.92999299999997</v>
      </c>
      <c r="J1106" s="44">
        <v>70.660004000000001</v>
      </c>
      <c r="K1106" s="44">
        <v>102.32</v>
      </c>
    </row>
    <row r="1107" spans="6:11" x14ac:dyDescent="0.3">
      <c r="F1107" s="43">
        <v>39492</v>
      </c>
      <c r="G1107" s="44">
        <v>1348.8599850000001</v>
      </c>
      <c r="H1107" s="44">
        <v>797.53997800000002</v>
      </c>
      <c r="I1107" s="44">
        <v>705.32000700000003</v>
      </c>
      <c r="J1107" s="44">
        <v>70.339995999999999</v>
      </c>
      <c r="K1107" s="44">
        <v>102</v>
      </c>
    </row>
    <row r="1108" spans="6:11" x14ac:dyDescent="0.3">
      <c r="F1108" s="43">
        <v>39493</v>
      </c>
      <c r="G1108" s="44">
        <v>1349.98999</v>
      </c>
      <c r="H1108" s="44">
        <v>795.52002000000005</v>
      </c>
      <c r="I1108" s="44">
        <v>701.52002000000005</v>
      </c>
      <c r="J1108" s="44">
        <v>70.599997999999999</v>
      </c>
      <c r="K1108" s="44">
        <v>101.949997</v>
      </c>
    </row>
    <row r="1109" spans="6:11" x14ac:dyDescent="0.3">
      <c r="F1109" s="43">
        <v>39497</v>
      </c>
      <c r="G1109" s="44">
        <v>1348.780029</v>
      </c>
      <c r="H1109" s="44">
        <v>796.27002000000005</v>
      </c>
      <c r="I1109" s="44">
        <v>702.34002699999996</v>
      </c>
      <c r="J1109" s="44">
        <v>71.290001000000004</v>
      </c>
      <c r="K1109" s="44">
        <v>101.459999</v>
      </c>
    </row>
    <row r="1110" spans="6:11" x14ac:dyDescent="0.3">
      <c r="F1110" s="43">
        <v>39498</v>
      </c>
      <c r="G1110" s="44">
        <v>1360.030029</v>
      </c>
      <c r="H1110" s="44">
        <v>807.17999299999997</v>
      </c>
      <c r="I1110" s="44">
        <v>710.02002000000005</v>
      </c>
      <c r="J1110" s="44">
        <v>70.919998000000007</v>
      </c>
      <c r="K1110" s="44">
        <v>101.300003</v>
      </c>
    </row>
    <row r="1111" spans="6:11" x14ac:dyDescent="0.3">
      <c r="F1111" s="43">
        <v>39499</v>
      </c>
      <c r="G1111" s="44">
        <v>1342.530029</v>
      </c>
      <c r="H1111" s="44">
        <v>796.46997099999999</v>
      </c>
      <c r="I1111" s="44">
        <v>696.28002900000001</v>
      </c>
      <c r="J1111" s="44">
        <v>70.790001000000004</v>
      </c>
      <c r="K1111" s="44">
        <v>102.129997</v>
      </c>
    </row>
    <row r="1112" spans="6:11" x14ac:dyDescent="0.3">
      <c r="F1112" s="43">
        <v>39500</v>
      </c>
      <c r="G1112" s="44">
        <v>1353.1099850000001</v>
      </c>
      <c r="H1112" s="44">
        <v>801.11999500000002</v>
      </c>
      <c r="I1112" s="44">
        <v>695.42999299999997</v>
      </c>
      <c r="J1112" s="44">
        <v>71.690002000000007</v>
      </c>
      <c r="K1112" s="44">
        <v>101.589996</v>
      </c>
    </row>
    <row r="1113" spans="6:11" x14ac:dyDescent="0.3">
      <c r="F1113" s="43">
        <v>39503</v>
      </c>
      <c r="G1113" s="44">
        <v>1371.8000489999999</v>
      </c>
      <c r="H1113" s="44">
        <v>817.39001499999995</v>
      </c>
      <c r="I1113" s="44">
        <v>710.46002199999998</v>
      </c>
      <c r="J1113" s="44">
        <v>72.830001999999993</v>
      </c>
      <c r="K1113" s="44">
        <v>101.230003</v>
      </c>
    </row>
    <row r="1114" spans="6:11" x14ac:dyDescent="0.3">
      <c r="F1114" s="43">
        <v>39504</v>
      </c>
      <c r="G1114" s="44">
        <v>1381.290039</v>
      </c>
      <c r="H1114" s="44">
        <v>825.38000499999998</v>
      </c>
      <c r="I1114" s="44">
        <v>717.32000700000003</v>
      </c>
      <c r="J1114" s="44">
        <v>73.910004000000001</v>
      </c>
      <c r="K1114" s="44">
        <v>101.720001</v>
      </c>
    </row>
    <row r="1115" spans="6:11" x14ac:dyDescent="0.3">
      <c r="F1115" s="43">
        <v>39505</v>
      </c>
      <c r="G1115" s="44">
        <v>1380.0200199999999</v>
      </c>
      <c r="H1115" s="44">
        <v>821.30999799999995</v>
      </c>
      <c r="I1115" s="44">
        <v>716.44000200000005</v>
      </c>
      <c r="J1115" s="44">
        <v>74.150002000000001</v>
      </c>
      <c r="K1115" s="44">
        <v>101.93</v>
      </c>
    </row>
    <row r="1116" spans="6:11" x14ac:dyDescent="0.3">
      <c r="F1116" s="43">
        <v>39506</v>
      </c>
      <c r="G1116" s="44">
        <v>1367.6800539999999</v>
      </c>
      <c r="H1116" s="44">
        <v>813.05999799999995</v>
      </c>
      <c r="I1116" s="44">
        <v>705.71997099999999</v>
      </c>
      <c r="J1116" s="44">
        <v>73.440002000000007</v>
      </c>
      <c r="K1116" s="44">
        <v>102.540001</v>
      </c>
    </row>
    <row r="1117" spans="6:11" x14ac:dyDescent="0.3">
      <c r="F1117" s="43">
        <v>39507</v>
      </c>
      <c r="G1117" s="44">
        <v>1330.630005</v>
      </c>
      <c r="H1117" s="44">
        <v>788.51000999999997</v>
      </c>
      <c r="I1117" s="44">
        <v>686.17999299999997</v>
      </c>
      <c r="J1117" s="44">
        <v>71.599997999999999</v>
      </c>
      <c r="K1117" s="44">
        <v>102.93</v>
      </c>
    </row>
    <row r="1118" spans="6:11" x14ac:dyDescent="0.3">
      <c r="F1118" s="43">
        <v>39510</v>
      </c>
      <c r="G1118" s="44">
        <v>1331.339966</v>
      </c>
      <c r="H1118" s="44">
        <v>789.82000700000003</v>
      </c>
      <c r="I1118" s="44">
        <v>684.21997099999999</v>
      </c>
      <c r="J1118" s="44">
        <v>71.809997999999993</v>
      </c>
      <c r="K1118" s="44">
        <v>102.529999</v>
      </c>
    </row>
    <row r="1119" spans="6:11" x14ac:dyDescent="0.3">
      <c r="F1119" s="43">
        <v>39511</v>
      </c>
      <c r="G1119" s="44">
        <v>1326.75</v>
      </c>
      <c r="H1119" s="44">
        <v>785.21997099999999</v>
      </c>
      <c r="I1119" s="44">
        <v>680.97997999999995</v>
      </c>
      <c r="J1119" s="44">
        <v>70.720000999999996</v>
      </c>
      <c r="K1119" s="44">
        <v>102.089996</v>
      </c>
    </row>
    <row r="1120" spans="6:11" x14ac:dyDescent="0.3">
      <c r="F1120" s="43">
        <v>39512</v>
      </c>
      <c r="G1120" s="44">
        <v>1333.6999510000001</v>
      </c>
      <c r="H1120" s="44">
        <v>789.97997999999995</v>
      </c>
      <c r="I1120" s="44">
        <v>683.73999000000003</v>
      </c>
      <c r="J1120" s="44">
        <v>71.569999999999993</v>
      </c>
      <c r="K1120" s="44">
        <v>101.44000200000001</v>
      </c>
    </row>
    <row r="1121" spans="6:11" x14ac:dyDescent="0.3">
      <c r="F1121" s="43">
        <v>39513</v>
      </c>
      <c r="G1121" s="44">
        <v>1304.339966</v>
      </c>
      <c r="H1121" s="44">
        <v>768.27002000000005</v>
      </c>
      <c r="I1121" s="44">
        <v>662.78002900000001</v>
      </c>
      <c r="J1121" s="44">
        <v>70.550003000000004</v>
      </c>
      <c r="K1121" s="44">
        <v>101.290001</v>
      </c>
    </row>
    <row r="1122" spans="6:11" x14ac:dyDescent="0.3">
      <c r="F1122" s="43">
        <v>39514</v>
      </c>
      <c r="G1122" s="44">
        <v>1293.369995</v>
      </c>
      <c r="H1122" s="44">
        <v>760.80999799999995</v>
      </c>
      <c r="I1122" s="44">
        <v>660.10998500000005</v>
      </c>
      <c r="J1122" s="44">
        <v>69.720000999999996</v>
      </c>
      <c r="K1122" s="44">
        <v>101.599998</v>
      </c>
    </row>
    <row r="1123" spans="6:11" x14ac:dyDescent="0.3">
      <c r="F1123" s="43">
        <v>39517</v>
      </c>
      <c r="G1123" s="44">
        <v>1273.369995</v>
      </c>
      <c r="H1123" s="44">
        <v>744.89001499999995</v>
      </c>
      <c r="I1123" s="44">
        <v>643.96997099999999</v>
      </c>
      <c r="J1123" s="44">
        <v>69.370002999999997</v>
      </c>
      <c r="K1123" s="44">
        <v>102.139999</v>
      </c>
    </row>
    <row r="1124" spans="6:11" x14ac:dyDescent="0.3">
      <c r="F1124" s="43">
        <v>39518</v>
      </c>
      <c r="G1124" s="44">
        <v>1320.650024</v>
      </c>
      <c r="H1124" s="44">
        <v>769.419983</v>
      </c>
      <c r="I1124" s="44">
        <v>673.80999799999995</v>
      </c>
      <c r="J1124" s="44">
        <v>71.559997999999993</v>
      </c>
      <c r="K1124" s="44">
        <v>101.519997</v>
      </c>
    </row>
    <row r="1125" spans="6:11" x14ac:dyDescent="0.3">
      <c r="F1125" s="43">
        <v>39519</v>
      </c>
      <c r="G1125" s="44">
        <v>1308.7700199999999</v>
      </c>
      <c r="H1125" s="44">
        <v>765.70001200000002</v>
      </c>
      <c r="I1125" s="44">
        <v>667.30999799999995</v>
      </c>
      <c r="J1125" s="44">
        <v>71.559997999999993</v>
      </c>
      <c r="K1125" s="44">
        <v>102.55999799999999</v>
      </c>
    </row>
    <row r="1126" spans="6:11" x14ac:dyDescent="0.3">
      <c r="F1126" s="43">
        <v>39520</v>
      </c>
      <c r="G1126" s="44">
        <v>1315.4799800000001</v>
      </c>
      <c r="H1126" s="44">
        <v>775.51000999999997</v>
      </c>
      <c r="I1126" s="44">
        <v>679.71002199999998</v>
      </c>
      <c r="J1126" s="44">
        <v>71.680000000000007</v>
      </c>
      <c r="K1126" s="44">
        <v>102.120003</v>
      </c>
    </row>
    <row r="1127" spans="6:11" x14ac:dyDescent="0.3">
      <c r="F1127" s="43">
        <v>39521</v>
      </c>
      <c r="G1127" s="44">
        <v>1288.1400149999999</v>
      </c>
      <c r="H1127" s="44">
        <v>761.09002699999996</v>
      </c>
      <c r="I1127" s="44">
        <v>662.90002400000003</v>
      </c>
      <c r="J1127" s="44">
        <v>69.949996999999996</v>
      </c>
      <c r="K1127" s="44">
        <v>102.550003</v>
      </c>
    </row>
    <row r="1128" spans="6:11" x14ac:dyDescent="0.3">
      <c r="F1128" s="43">
        <v>39524</v>
      </c>
      <c r="G1128" s="44">
        <v>1276.599976</v>
      </c>
      <c r="H1128" s="44">
        <v>745.07000700000003</v>
      </c>
      <c r="I1128" s="44">
        <v>650.47997999999995</v>
      </c>
      <c r="J1128" s="44">
        <v>68.889999000000003</v>
      </c>
      <c r="K1128" s="44">
        <v>102.989998</v>
      </c>
    </row>
    <row r="1129" spans="6:11" x14ac:dyDescent="0.3">
      <c r="F1129" s="43">
        <v>39525</v>
      </c>
      <c r="G1129" s="44">
        <v>1330.73999</v>
      </c>
      <c r="H1129" s="44">
        <v>775.05999799999995</v>
      </c>
      <c r="I1129" s="44">
        <v>681.92999299999997</v>
      </c>
      <c r="J1129" s="44">
        <v>71</v>
      </c>
      <c r="K1129" s="44">
        <v>102.75</v>
      </c>
    </row>
    <row r="1130" spans="6:11" x14ac:dyDescent="0.3">
      <c r="F1130" s="43">
        <v>39526</v>
      </c>
      <c r="G1130" s="44">
        <v>1298.420044</v>
      </c>
      <c r="H1130" s="44">
        <v>755.79998799999998</v>
      </c>
      <c r="I1130" s="44">
        <v>664.13000499999998</v>
      </c>
      <c r="J1130" s="44">
        <v>68.430000000000007</v>
      </c>
      <c r="K1130" s="44">
        <v>103.05999799999999</v>
      </c>
    </row>
    <row r="1131" spans="6:11" x14ac:dyDescent="0.3">
      <c r="F1131" s="43">
        <v>39527</v>
      </c>
      <c r="G1131" s="44">
        <v>1329.51001</v>
      </c>
      <c r="H1131" s="44">
        <v>769.84997599999997</v>
      </c>
      <c r="I1131" s="44">
        <v>681.419983</v>
      </c>
      <c r="J1131" s="44">
        <v>69.459998999999996</v>
      </c>
      <c r="K1131" s="44">
        <v>103.41999800000001</v>
      </c>
    </row>
    <row r="1132" spans="6:11" x14ac:dyDescent="0.3">
      <c r="F1132" s="43">
        <v>39531</v>
      </c>
      <c r="G1132" s="44">
        <v>1349.880005</v>
      </c>
      <c r="H1132" s="44">
        <v>787.47997999999995</v>
      </c>
      <c r="I1132" s="44">
        <v>701.28002900000001</v>
      </c>
      <c r="J1132" s="44">
        <v>70.730002999999996</v>
      </c>
      <c r="K1132" s="44">
        <v>102.660004</v>
      </c>
    </row>
    <row r="1133" spans="6:11" x14ac:dyDescent="0.3">
      <c r="F1133" s="43">
        <v>39532</v>
      </c>
      <c r="G1133" s="44">
        <v>1352.98999</v>
      </c>
      <c r="H1133" s="44">
        <v>795.39001499999995</v>
      </c>
      <c r="I1133" s="44">
        <v>705.27002000000005</v>
      </c>
      <c r="J1133" s="44">
        <v>71.760002</v>
      </c>
      <c r="K1133" s="44">
        <v>102.849998</v>
      </c>
    </row>
    <row r="1134" spans="6:11" x14ac:dyDescent="0.3">
      <c r="F1134" s="43">
        <v>39533</v>
      </c>
      <c r="G1134" s="44">
        <v>1341.130005</v>
      </c>
      <c r="H1134" s="44">
        <v>788.86999500000002</v>
      </c>
      <c r="I1134" s="44">
        <v>702.10998500000005</v>
      </c>
      <c r="J1134" s="44">
        <v>71.760002</v>
      </c>
      <c r="K1134" s="44">
        <v>102.550003</v>
      </c>
    </row>
    <row r="1135" spans="6:11" x14ac:dyDescent="0.3">
      <c r="F1135" s="43">
        <v>39534</v>
      </c>
      <c r="G1135" s="44">
        <v>1325.76001</v>
      </c>
      <c r="H1135" s="44">
        <v>779.53997800000002</v>
      </c>
      <c r="I1135" s="44">
        <v>692.39001499999995</v>
      </c>
      <c r="J1135" s="44">
        <v>71.699996999999996</v>
      </c>
      <c r="K1135" s="44">
        <v>102.589996</v>
      </c>
    </row>
    <row r="1136" spans="6:11" x14ac:dyDescent="0.3">
      <c r="F1136" s="43">
        <v>39535</v>
      </c>
      <c r="G1136" s="44">
        <v>1315.219971</v>
      </c>
      <c r="H1136" s="44">
        <v>772.47997999999995</v>
      </c>
      <c r="I1136" s="44">
        <v>683.17999299999997</v>
      </c>
      <c r="J1136" s="44">
        <v>71.639999000000003</v>
      </c>
      <c r="K1136" s="44">
        <v>102.839996</v>
      </c>
    </row>
    <row r="1137" spans="6:11" x14ac:dyDescent="0.3">
      <c r="F1137" s="43">
        <v>39538</v>
      </c>
      <c r="G1137" s="44">
        <v>1322.6999510000001</v>
      </c>
      <c r="H1137" s="44">
        <v>779.51000999999997</v>
      </c>
      <c r="I1137" s="44">
        <v>687.96997099999999</v>
      </c>
      <c r="J1137" s="44">
        <v>71.900002000000001</v>
      </c>
      <c r="K1137" s="44">
        <v>102.68</v>
      </c>
    </row>
    <row r="1138" spans="6:11" x14ac:dyDescent="0.3">
      <c r="F1138" s="43">
        <v>39539</v>
      </c>
      <c r="G1138" s="44">
        <v>1370.1800539999999</v>
      </c>
      <c r="H1138" s="44">
        <v>805.07000700000003</v>
      </c>
      <c r="I1138" s="44">
        <v>710.65002400000003</v>
      </c>
      <c r="J1138" s="44">
        <v>74.169998000000007</v>
      </c>
      <c r="K1138" s="44">
        <v>101.57</v>
      </c>
    </row>
    <row r="1139" spans="6:11" x14ac:dyDescent="0.3">
      <c r="F1139" s="43">
        <v>39540</v>
      </c>
      <c r="G1139" s="44">
        <v>1367.530029</v>
      </c>
      <c r="H1139" s="44">
        <v>808.55999799999995</v>
      </c>
      <c r="I1139" s="44">
        <v>712.27002000000005</v>
      </c>
      <c r="J1139" s="44">
        <v>74.330001999999993</v>
      </c>
      <c r="K1139" s="44">
        <v>101.620003</v>
      </c>
    </row>
    <row r="1140" spans="6:11" x14ac:dyDescent="0.3">
      <c r="F1140" s="43">
        <v>39541</v>
      </c>
      <c r="G1140" s="44">
        <v>1369.3100589999999</v>
      </c>
      <c r="H1140" s="44">
        <v>811.84002699999996</v>
      </c>
      <c r="I1140" s="44">
        <v>713.57000700000003</v>
      </c>
      <c r="J1140" s="44">
        <v>74.550003000000004</v>
      </c>
      <c r="K1140" s="44">
        <v>101.94000200000001</v>
      </c>
    </row>
    <row r="1141" spans="6:11" x14ac:dyDescent="0.3">
      <c r="F1141" s="43">
        <v>39542</v>
      </c>
      <c r="G1141" s="44">
        <v>1370.400024</v>
      </c>
      <c r="H1141" s="44">
        <v>815.169983</v>
      </c>
      <c r="I1141" s="44">
        <v>713.72997999999995</v>
      </c>
      <c r="J1141" s="44">
        <v>74.800003000000004</v>
      </c>
      <c r="K1141" s="44">
        <v>102.459999</v>
      </c>
    </row>
    <row r="1142" spans="6:11" x14ac:dyDescent="0.3">
      <c r="F1142" s="43">
        <v>39545</v>
      </c>
      <c r="G1142" s="44">
        <v>1372.540039</v>
      </c>
      <c r="H1142" s="44">
        <v>817.38000499999998</v>
      </c>
      <c r="I1142" s="44">
        <v>712.67999299999997</v>
      </c>
      <c r="J1142" s="44">
        <v>75.260002</v>
      </c>
      <c r="K1142" s="44">
        <v>102.449997</v>
      </c>
    </row>
    <row r="1143" spans="6:11" x14ac:dyDescent="0.3">
      <c r="F1143" s="43">
        <v>39546</v>
      </c>
      <c r="G1143" s="44">
        <v>1365.540039</v>
      </c>
      <c r="H1143" s="44">
        <v>816.75</v>
      </c>
      <c r="I1143" s="44">
        <v>711.919983</v>
      </c>
      <c r="J1143" s="44">
        <v>74.470000999999996</v>
      </c>
      <c r="K1143" s="44">
        <v>102.44000200000001</v>
      </c>
    </row>
    <row r="1144" spans="6:11" x14ac:dyDescent="0.3">
      <c r="F1144" s="43">
        <v>39547</v>
      </c>
      <c r="G1144" s="44">
        <v>1354.48999</v>
      </c>
      <c r="H1144" s="44">
        <v>804.05999799999995</v>
      </c>
      <c r="I1144" s="44">
        <v>698.38000499999998</v>
      </c>
      <c r="J1144" s="44">
        <v>73.860000999999997</v>
      </c>
      <c r="K1144" s="44">
        <v>102.889999</v>
      </c>
    </row>
    <row r="1145" spans="6:11" x14ac:dyDescent="0.3">
      <c r="F1145" s="43">
        <v>39548</v>
      </c>
      <c r="G1145" s="44">
        <v>1360.5500489999999</v>
      </c>
      <c r="H1145" s="44">
        <v>814.080017</v>
      </c>
      <c r="I1145" s="44">
        <v>707.419983</v>
      </c>
      <c r="J1145" s="44">
        <v>73.629997000000003</v>
      </c>
      <c r="K1145" s="44">
        <v>102.57</v>
      </c>
    </row>
    <row r="1146" spans="6:11" x14ac:dyDescent="0.3">
      <c r="F1146" s="43">
        <v>39549</v>
      </c>
      <c r="G1146" s="44">
        <v>1332.829956</v>
      </c>
      <c r="H1146" s="44">
        <v>799.35998500000005</v>
      </c>
      <c r="I1146" s="44">
        <v>688.15997300000004</v>
      </c>
      <c r="J1146" s="44">
        <v>72.639999000000003</v>
      </c>
      <c r="K1146" s="44">
        <v>102.790001</v>
      </c>
    </row>
    <row r="1147" spans="6:11" x14ac:dyDescent="0.3">
      <c r="F1147" s="43">
        <v>39552</v>
      </c>
      <c r="G1147" s="44">
        <v>1328.3199460000001</v>
      </c>
      <c r="H1147" s="44">
        <v>797.79998799999998</v>
      </c>
      <c r="I1147" s="44">
        <v>686.07000700000003</v>
      </c>
      <c r="J1147" s="44">
        <v>72.800003000000004</v>
      </c>
      <c r="K1147" s="44">
        <v>102.66999800000001</v>
      </c>
    </row>
    <row r="1148" spans="6:11" x14ac:dyDescent="0.3">
      <c r="F1148" s="43">
        <v>39553</v>
      </c>
      <c r="G1148" s="44">
        <v>1334.4300539999999</v>
      </c>
      <c r="H1148" s="44">
        <v>801.98999000000003</v>
      </c>
      <c r="I1148" s="44">
        <v>692.05999799999995</v>
      </c>
      <c r="J1148" s="44">
        <v>73.309997999999993</v>
      </c>
      <c r="K1148" s="44">
        <v>102.120003</v>
      </c>
    </row>
    <row r="1149" spans="6:11" x14ac:dyDescent="0.3">
      <c r="F1149" s="43">
        <v>39554</v>
      </c>
      <c r="G1149" s="44">
        <v>1364.709961</v>
      </c>
      <c r="H1149" s="44">
        <v>825.19000200000005</v>
      </c>
      <c r="I1149" s="44">
        <v>713.39001499999995</v>
      </c>
      <c r="J1149" s="44">
        <v>75.620002999999997</v>
      </c>
      <c r="K1149" s="44">
        <v>101.75</v>
      </c>
    </row>
    <row r="1150" spans="6:11" x14ac:dyDescent="0.3">
      <c r="F1150" s="43">
        <v>39555</v>
      </c>
      <c r="G1150" s="44">
        <v>1365.5600589999999</v>
      </c>
      <c r="H1150" s="44">
        <v>822.09997599999997</v>
      </c>
      <c r="I1150" s="44">
        <v>708</v>
      </c>
      <c r="J1150" s="44">
        <v>74.779999000000004</v>
      </c>
      <c r="K1150" s="44">
        <v>101.730003</v>
      </c>
    </row>
    <row r="1151" spans="6:11" x14ac:dyDescent="0.3">
      <c r="F1151" s="43">
        <v>39556</v>
      </c>
      <c r="G1151" s="44">
        <v>1390.329956</v>
      </c>
      <c r="H1151" s="44">
        <v>834.70001200000002</v>
      </c>
      <c r="I1151" s="44">
        <v>721.07000700000003</v>
      </c>
      <c r="J1151" s="44">
        <v>75.309997999999993</v>
      </c>
      <c r="K1151" s="44">
        <v>102</v>
      </c>
    </row>
    <row r="1152" spans="6:11" x14ac:dyDescent="0.3">
      <c r="F1152" s="43">
        <v>39559</v>
      </c>
      <c r="G1152" s="44">
        <v>1388.170044</v>
      </c>
      <c r="H1152" s="44">
        <v>835.05999799999995</v>
      </c>
      <c r="I1152" s="44">
        <v>718</v>
      </c>
      <c r="J1152" s="44">
        <v>75.900002000000001</v>
      </c>
      <c r="K1152" s="44">
        <v>102.010002</v>
      </c>
    </row>
    <row r="1153" spans="6:11" x14ac:dyDescent="0.3">
      <c r="F1153" s="43">
        <v>39560</v>
      </c>
      <c r="G1153" s="44">
        <v>1375.9399410000001</v>
      </c>
      <c r="H1153" s="44">
        <v>823.01000999999997</v>
      </c>
      <c r="I1153" s="44">
        <v>703.71002199999998</v>
      </c>
      <c r="J1153" s="44">
        <v>75.110000999999997</v>
      </c>
      <c r="K1153" s="44">
        <v>102.160004</v>
      </c>
    </row>
    <row r="1154" spans="6:11" x14ac:dyDescent="0.3">
      <c r="F1154" s="43">
        <v>39561</v>
      </c>
      <c r="G1154" s="44">
        <v>1379.9300539999999</v>
      </c>
      <c r="H1154" s="44">
        <v>825.86999500000002</v>
      </c>
      <c r="I1154" s="44">
        <v>708.10998500000005</v>
      </c>
      <c r="J1154" s="44">
        <v>75.5</v>
      </c>
      <c r="K1154" s="44">
        <v>102.05999799999999</v>
      </c>
    </row>
    <row r="1155" spans="6:11" x14ac:dyDescent="0.3">
      <c r="F1155" s="43">
        <v>39562</v>
      </c>
      <c r="G1155" s="44">
        <v>1388.8199460000001</v>
      </c>
      <c r="H1155" s="44">
        <v>832.21997099999999</v>
      </c>
      <c r="I1155" s="44">
        <v>717.07000700000003</v>
      </c>
      <c r="J1155" s="44">
        <v>75.010002</v>
      </c>
      <c r="K1155" s="44">
        <v>101.68</v>
      </c>
    </row>
    <row r="1156" spans="6:11" x14ac:dyDescent="0.3">
      <c r="F1156" s="43">
        <v>39563</v>
      </c>
      <c r="G1156" s="44">
        <v>1397.839966</v>
      </c>
      <c r="H1156" s="44">
        <v>843.82000700000003</v>
      </c>
      <c r="I1156" s="44">
        <v>721.88000499999998</v>
      </c>
      <c r="J1156" s="44">
        <v>75.629997000000003</v>
      </c>
      <c r="K1156" s="44">
        <v>101.58000199999999</v>
      </c>
    </row>
    <row r="1157" spans="6:11" x14ac:dyDescent="0.3">
      <c r="F1157" s="43">
        <v>39566</v>
      </c>
      <c r="G1157" s="44">
        <v>1396.369995</v>
      </c>
      <c r="H1157" s="44">
        <v>845.51000999999997</v>
      </c>
      <c r="I1157" s="44">
        <v>725.36999500000002</v>
      </c>
      <c r="J1157" s="44">
        <v>76.069999999999993</v>
      </c>
      <c r="K1157" s="44">
        <v>101.83000199999999</v>
      </c>
    </row>
    <row r="1158" spans="6:11" x14ac:dyDescent="0.3">
      <c r="F1158" s="43">
        <v>39567</v>
      </c>
      <c r="G1158" s="44">
        <v>1390.9399410000001</v>
      </c>
      <c r="H1158" s="44">
        <v>839.90002400000003</v>
      </c>
      <c r="I1158" s="44">
        <v>718.92999299999997</v>
      </c>
      <c r="J1158" s="44">
        <v>75.400002000000001</v>
      </c>
      <c r="K1158" s="44">
        <v>101.980003</v>
      </c>
    </row>
    <row r="1159" spans="6:11" x14ac:dyDescent="0.3">
      <c r="F1159" s="43">
        <v>39568</v>
      </c>
      <c r="G1159" s="44">
        <v>1385.589966</v>
      </c>
      <c r="H1159" s="44">
        <v>838.84002699999996</v>
      </c>
      <c r="I1159" s="44">
        <v>716.17999299999997</v>
      </c>
      <c r="J1159" s="44">
        <v>75.809997999999993</v>
      </c>
      <c r="K1159" s="44">
        <v>102.599998</v>
      </c>
    </row>
    <row r="1160" spans="6:11" x14ac:dyDescent="0.3">
      <c r="F1160" s="43">
        <v>39569</v>
      </c>
      <c r="G1160" s="44">
        <v>1409.339966</v>
      </c>
      <c r="H1160" s="44">
        <v>849.76000999999997</v>
      </c>
      <c r="I1160" s="44">
        <v>729.75</v>
      </c>
      <c r="J1160" s="44">
        <v>76.269997000000004</v>
      </c>
      <c r="K1160" s="44">
        <v>102.099998</v>
      </c>
    </row>
    <row r="1161" spans="6:11" x14ac:dyDescent="0.3">
      <c r="F1161" s="43">
        <v>39570</v>
      </c>
      <c r="G1161" s="44">
        <v>1413.900024</v>
      </c>
      <c r="H1161" s="44">
        <v>850.84002699999996</v>
      </c>
      <c r="I1161" s="44">
        <v>725.73999000000003</v>
      </c>
      <c r="J1161" s="44">
        <v>76.480002999999996</v>
      </c>
      <c r="K1161" s="44">
        <v>101.93</v>
      </c>
    </row>
    <row r="1162" spans="6:11" x14ac:dyDescent="0.3">
      <c r="F1162" s="43">
        <v>39573</v>
      </c>
      <c r="G1162" s="44">
        <v>1407.48999</v>
      </c>
      <c r="H1162" s="44">
        <v>849.98999000000003</v>
      </c>
      <c r="I1162" s="44">
        <v>724.34997599999997</v>
      </c>
      <c r="J1162" s="44">
        <v>76.610000999999997</v>
      </c>
      <c r="K1162" s="44">
        <v>101.970001</v>
      </c>
    </row>
    <row r="1163" spans="6:11" x14ac:dyDescent="0.3">
      <c r="F1163" s="43">
        <v>39574</v>
      </c>
      <c r="G1163" s="44">
        <v>1418.26001</v>
      </c>
      <c r="H1163" s="44">
        <v>856.79998799999998</v>
      </c>
      <c r="I1163" s="44">
        <v>729.78997800000002</v>
      </c>
      <c r="J1163" s="44">
        <v>77.180000000000007</v>
      </c>
      <c r="K1163" s="44">
        <v>101.639999</v>
      </c>
    </row>
    <row r="1164" spans="6:11" x14ac:dyDescent="0.3">
      <c r="F1164" s="43">
        <v>39575</v>
      </c>
      <c r="G1164" s="44">
        <v>1392.5699460000001</v>
      </c>
      <c r="H1164" s="44">
        <v>846.78997800000002</v>
      </c>
      <c r="I1164" s="44">
        <v>716.21002199999998</v>
      </c>
      <c r="J1164" s="44">
        <v>75.830001999999993</v>
      </c>
      <c r="K1164" s="44">
        <v>101.93</v>
      </c>
    </row>
    <row r="1165" spans="6:11" x14ac:dyDescent="0.3">
      <c r="F1165" s="43">
        <v>39576</v>
      </c>
      <c r="G1165" s="44">
        <v>1397.6800539999999</v>
      </c>
      <c r="H1165" s="44">
        <v>853.21002199999998</v>
      </c>
      <c r="I1165" s="44">
        <v>719.54998799999998</v>
      </c>
      <c r="J1165" s="44">
        <v>76.489998</v>
      </c>
      <c r="K1165" s="44">
        <v>102.19000200000001</v>
      </c>
    </row>
    <row r="1166" spans="6:11" x14ac:dyDescent="0.3">
      <c r="F1166" s="43">
        <v>39577</v>
      </c>
      <c r="G1166" s="44">
        <v>1388.280029</v>
      </c>
      <c r="H1166" s="44">
        <v>853.92999299999997</v>
      </c>
      <c r="I1166" s="44">
        <v>720.04998799999998</v>
      </c>
      <c r="J1166" s="44">
        <v>75.879997000000003</v>
      </c>
      <c r="K1166" s="44">
        <v>102.230003</v>
      </c>
    </row>
    <row r="1167" spans="6:11" x14ac:dyDescent="0.3">
      <c r="F1167" s="43">
        <v>39580</v>
      </c>
      <c r="G1167" s="44">
        <v>1403.579956</v>
      </c>
      <c r="H1167" s="44">
        <v>863.830017</v>
      </c>
      <c r="I1167" s="44">
        <v>733.22997999999995</v>
      </c>
      <c r="J1167" s="44">
        <v>76.639999000000003</v>
      </c>
      <c r="K1167" s="44">
        <v>102.050003</v>
      </c>
    </row>
    <row r="1168" spans="6:11" x14ac:dyDescent="0.3">
      <c r="F1168" s="43">
        <v>39581</v>
      </c>
      <c r="G1168" s="44">
        <v>1403.040039</v>
      </c>
      <c r="H1168" s="44">
        <v>869.080017</v>
      </c>
      <c r="I1168" s="44">
        <v>736.84997599999997</v>
      </c>
      <c r="J1168" s="44">
        <v>76.379997000000003</v>
      </c>
      <c r="K1168" s="44">
        <v>101.470001</v>
      </c>
    </row>
    <row r="1169" spans="6:11" x14ac:dyDescent="0.3">
      <c r="F1169" s="43">
        <v>39582</v>
      </c>
      <c r="G1169" s="44">
        <v>1408.660034</v>
      </c>
      <c r="H1169" s="44">
        <v>870.82000700000003</v>
      </c>
      <c r="I1169" s="44">
        <v>736.07000700000003</v>
      </c>
      <c r="J1169" s="44">
        <v>76.379997000000003</v>
      </c>
      <c r="K1169" s="44">
        <v>101.620003</v>
      </c>
    </row>
    <row r="1170" spans="6:11" x14ac:dyDescent="0.3">
      <c r="F1170" s="43">
        <v>39583</v>
      </c>
      <c r="G1170" s="44">
        <v>1423.5699460000001</v>
      </c>
      <c r="H1170" s="44">
        <v>881.09997599999997</v>
      </c>
      <c r="I1170" s="44">
        <v>743.38000499999998</v>
      </c>
      <c r="J1170" s="44">
        <v>77.680000000000007</v>
      </c>
      <c r="K1170" s="44">
        <v>102.160004</v>
      </c>
    </row>
    <row r="1171" spans="6:11" x14ac:dyDescent="0.3">
      <c r="F1171" s="43">
        <v>39584</v>
      </c>
      <c r="G1171" s="44">
        <v>1425.349976</v>
      </c>
      <c r="H1171" s="44">
        <v>883.65002400000003</v>
      </c>
      <c r="I1171" s="44">
        <v>741.169983</v>
      </c>
      <c r="J1171" s="44">
        <v>78.519997000000004</v>
      </c>
      <c r="K1171" s="44">
        <v>101.910004</v>
      </c>
    </row>
    <row r="1172" spans="6:11" x14ac:dyDescent="0.3">
      <c r="F1172" s="43">
        <v>39587</v>
      </c>
      <c r="G1172" s="44">
        <v>1426.630005</v>
      </c>
      <c r="H1172" s="44">
        <v>880.95001200000002</v>
      </c>
      <c r="I1172" s="44">
        <v>738.45001200000002</v>
      </c>
      <c r="J1172" s="44">
        <v>78.199996999999996</v>
      </c>
      <c r="K1172" s="44">
        <v>102.08000199999999</v>
      </c>
    </row>
    <row r="1173" spans="6:11" x14ac:dyDescent="0.3">
      <c r="F1173" s="43">
        <v>39588</v>
      </c>
      <c r="G1173" s="44">
        <v>1413.400024</v>
      </c>
      <c r="H1173" s="44">
        <v>879.59002699999996</v>
      </c>
      <c r="I1173" s="44">
        <v>735.64001499999995</v>
      </c>
      <c r="J1173" s="44">
        <v>77.480002999999996</v>
      </c>
      <c r="K1173" s="44">
        <v>102.300003</v>
      </c>
    </row>
    <row r="1174" spans="6:11" x14ac:dyDescent="0.3">
      <c r="F1174" s="43">
        <v>39589</v>
      </c>
      <c r="G1174" s="44">
        <v>1390.709961</v>
      </c>
      <c r="H1174" s="44">
        <v>866.04998799999998</v>
      </c>
      <c r="I1174" s="44">
        <v>727.10998500000005</v>
      </c>
      <c r="J1174" s="44">
        <v>76.599997999999999</v>
      </c>
      <c r="K1174" s="44">
        <v>102.160004</v>
      </c>
    </row>
    <row r="1175" spans="6:11" x14ac:dyDescent="0.3">
      <c r="F1175" s="43">
        <v>39590</v>
      </c>
      <c r="G1175" s="44">
        <v>1394.349976</v>
      </c>
      <c r="H1175" s="44">
        <v>868.84002699999996</v>
      </c>
      <c r="I1175" s="44">
        <v>733.01000999999997</v>
      </c>
      <c r="J1175" s="44">
        <v>77.489998</v>
      </c>
      <c r="K1175" s="44">
        <v>101.550003</v>
      </c>
    </row>
    <row r="1176" spans="6:11" x14ac:dyDescent="0.3">
      <c r="F1176" s="43">
        <v>39591</v>
      </c>
      <c r="G1176" s="44">
        <v>1375.9300539999999</v>
      </c>
      <c r="H1176" s="44">
        <v>858.5</v>
      </c>
      <c r="I1176" s="44">
        <v>724.09997599999997</v>
      </c>
      <c r="J1176" s="44">
        <v>76.610000999999997</v>
      </c>
      <c r="K1176" s="44">
        <v>101.94000200000001</v>
      </c>
    </row>
    <row r="1177" spans="6:11" x14ac:dyDescent="0.3">
      <c r="F1177" s="43">
        <v>39595</v>
      </c>
      <c r="G1177" s="44">
        <v>1385.349976</v>
      </c>
      <c r="H1177" s="44">
        <v>865.59997599999997</v>
      </c>
      <c r="I1177" s="44">
        <v>734.39001499999995</v>
      </c>
      <c r="J1177" s="44">
        <v>76.459998999999996</v>
      </c>
      <c r="K1177" s="44">
        <v>101.370003</v>
      </c>
    </row>
    <row r="1178" spans="6:11" x14ac:dyDescent="0.3">
      <c r="F1178" s="43">
        <v>39596</v>
      </c>
      <c r="G1178" s="44">
        <v>1390.839966</v>
      </c>
      <c r="H1178" s="44">
        <v>873.04998799999998</v>
      </c>
      <c r="I1178" s="44">
        <v>738.46002199999998</v>
      </c>
      <c r="J1178" s="44">
        <v>76.449996999999996</v>
      </c>
      <c r="K1178" s="44">
        <v>100.900002</v>
      </c>
    </row>
    <row r="1179" spans="6:11" x14ac:dyDescent="0.3">
      <c r="F1179" s="43">
        <v>39597</v>
      </c>
      <c r="G1179" s="44">
        <v>1398.26001</v>
      </c>
      <c r="H1179" s="44">
        <v>876</v>
      </c>
      <c r="I1179" s="44">
        <v>745.54998799999998</v>
      </c>
      <c r="J1179" s="44">
        <v>76.279999000000004</v>
      </c>
      <c r="K1179" s="44">
        <v>100.620003</v>
      </c>
    </row>
    <row r="1180" spans="6:11" x14ac:dyDescent="0.3">
      <c r="F1180" s="43">
        <v>39598</v>
      </c>
      <c r="G1180" s="44">
        <v>1400.380005</v>
      </c>
      <c r="H1180" s="44">
        <v>881.96002199999998</v>
      </c>
      <c r="I1180" s="44">
        <v>748.28002900000001</v>
      </c>
      <c r="J1180" s="44">
        <v>76.709998999999996</v>
      </c>
      <c r="K1180" s="44">
        <v>100.980003</v>
      </c>
    </row>
    <row r="1181" spans="6:11" x14ac:dyDescent="0.3">
      <c r="F1181" s="43">
        <v>39601</v>
      </c>
      <c r="G1181" s="44">
        <v>1385.670044</v>
      </c>
      <c r="H1181" s="44">
        <v>874.54998799999998</v>
      </c>
      <c r="I1181" s="44">
        <v>741.02002000000005</v>
      </c>
      <c r="J1181" s="44">
        <v>75.910004000000001</v>
      </c>
      <c r="K1181" s="44">
        <v>100.959999</v>
      </c>
    </row>
    <row r="1182" spans="6:11" x14ac:dyDescent="0.3">
      <c r="F1182" s="43">
        <v>39602</v>
      </c>
      <c r="G1182" s="44">
        <v>1377.650024</v>
      </c>
      <c r="H1182" s="44">
        <v>874.78997800000002</v>
      </c>
      <c r="I1182" s="44">
        <v>739</v>
      </c>
      <c r="J1182" s="44">
        <v>75.75</v>
      </c>
      <c r="K1182" s="44">
        <v>101.150002</v>
      </c>
    </row>
    <row r="1183" spans="6:11" x14ac:dyDescent="0.3">
      <c r="F1183" s="43">
        <v>39603</v>
      </c>
      <c r="G1183" s="44">
        <v>1377.1999510000001</v>
      </c>
      <c r="H1183" s="44">
        <v>877.080017</v>
      </c>
      <c r="I1183" s="44">
        <v>743.71002199999998</v>
      </c>
      <c r="J1183" s="44">
        <v>75.309997999999993</v>
      </c>
      <c r="K1183" s="44">
        <v>100.790001</v>
      </c>
    </row>
    <row r="1184" spans="6:11" x14ac:dyDescent="0.3">
      <c r="F1184" s="43">
        <v>39604</v>
      </c>
      <c r="G1184" s="44">
        <v>1404.0500489999999</v>
      </c>
      <c r="H1184" s="44">
        <v>897.27002000000005</v>
      </c>
      <c r="I1184" s="44">
        <v>763.27002000000005</v>
      </c>
      <c r="J1184" s="44">
        <v>76.559997999999993</v>
      </c>
      <c r="K1184" s="44">
        <v>100.41999800000001</v>
      </c>
    </row>
    <row r="1185" spans="6:11" x14ac:dyDescent="0.3">
      <c r="F1185" s="43">
        <v>39605</v>
      </c>
      <c r="G1185" s="44">
        <v>1360.6800539999999</v>
      </c>
      <c r="H1185" s="44">
        <v>873.75</v>
      </c>
      <c r="I1185" s="44">
        <v>740.36999500000002</v>
      </c>
      <c r="J1185" s="44">
        <v>74.360000999999997</v>
      </c>
      <c r="K1185" s="44">
        <v>100.980003</v>
      </c>
    </row>
    <row r="1186" spans="6:11" x14ac:dyDescent="0.3">
      <c r="F1186" s="43">
        <v>39608</v>
      </c>
      <c r="G1186" s="44">
        <v>1361.76001</v>
      </c>
      <c r="H1186" s="44">
        <v>872.84002699999996</v>
      </c>
      <c r="I1186" s="44">
        <v>735.25</v>
      </c>
      <c r="J1186" s="44">
        <v>74.260002</v>
      </c>
      <c r="K1186" s="44">
        <v>100.470001</v>
      </c>
    </row>
    <row r="1187" spans="6:11" x14ac:dyDescent="0.3">
      <c r="F1187" s="43">
        <v>39609</v>
      </c>
      <c r="G1187" s="44">
        <v>1358.4399410000001</v>
      </c>
      <c r="H1187" s="44">
        <v>866.59997599999997</v>
      </c>
      <c r="I1187" s="44">
        <v>732.61999500000002</v>
      </c>
      <c r="J1187" s="44">
        <v>73</v>
      </c>
      <c r="K1187" s="44">
        <v>99.940002000000007</v>
      </c>
    </row>
    <row r="1188" spans="6:11" x14ac:dyDescent="0.3">
      <c r="F1188" s="43">
        <v>39610</v>
      </c>
      <c r="G1188" s="44">
        <v>1335.48999</v>
      </c>
      <c r="H1188" s="44">
        <v>851.45001200000002</v>
      </c>
      <c r="I1188" s="44">
        <v>717.88000499999998</v>
      </c>
      <c r="J1188" s="44">
        <v>72.069999999999993</v>
      </c>
      <c r="K1188" s="44">
        <v>100.07</v>
      </c>
    </row>
    <row r="1189" spans="6:11" x14ac:dyDescent="0.3">
      <c r="F1189" s="43">
        <v>39611</v>
      </c>
      <c r="G1189" s="44">
        <v>1339.869995</v>
      </c>
      <c r="H1189" s="44">
        <v>851.97997999999995</v>
      </c>
      <c r="I1189" s="44">
        <v>719.84002699999996</v>
      </c>
      <c r="J1189" s="44">
        <v>71.819999999999993</v>
      </c>
      <c r="K1189" s="44">
        <v>99.449996999999996</v>
      </c>
    </row>
    <row r="1190" spans="6:11" x14ac:dyDescent="0.3">
      <c r="F1190" s="43">
        <v>39612</v>
      </c>
      <c r="G1190" s="44">
        <v>1360.030029</v>
      </c>
      <c r="H1190" s="44">
        <v>865.63000499999998</v>
      </c>
      <c r="I1190" s="44">
        <v>733.60998500000005</v>
      </c>
      <c r="J1190" s="44">
        <v>72.480002999999996</v>
      </c>
      <c r="K1190" s="44">
        <v>99.199996999999996</v>
      </c>
    </row>
    <row r="1191" spans="6:11" x14ac:dyDescent="0.3">
      <c r="F1191" s="43">
        <v>39615</v>
      </c>
      <c r="G1191" s="44">
        <v>1360.1400149999999</v>
      </c>
      <c r="H1191" s="44">
        <v>872.70001200000002</v>
      </c>
      <c r="I1191" s="44">
        <v>740.73999000000003</v>
      </c>
      <c r="J1191" s="44">
        <v>72.849997999999999</v>
      </c>
      <c r="K1191" s="44">
        <v>99.309997999999993</v>
      </c>
    </row>
    <row r="1192" spans="6:11" x14ac:dyDescent="0.3">
      <c r="F1192" s="43">
        <v>39616</v>
      </c>
      <c r="G1192" s="44">
        <v>1350.9300539999999</v>
      </c>
      <c r="H1192" s="44">
        <v>872.28002900000001</v>
      </c>
      <c r="I1192" s="44">
        <v>736.57000700000003</v>
      </c>
      <c r="J1192" s="44">
        <v>73.069999999999993</v>
      </c>
      <c r="K1192" s="44">
        <v>99.650002000000001</v>
      </c>
    </row>
    <row r="1193" spans="6:11" x14ac:dyDescent="0.3">
      <c r="F1193" s="43">
        <v>39617</v>
      </c>
      <c r="G1193" s="44">
        <v>1337.8100589999999</v>
      </c>
      <c r="H1193" s="44">
        <v>865.65002400000003</v>
      </c>
      <c r="I1193" s="44">
        <v>730.71002199999998</v>
      </c>
      <c r="J1193" s="44">
        <v>72.470000999999996</v>
      </c>
      <c r="K1193" s="44">
        <v>100.07</v>
      </c>
    </row>
    <row r="1194" spans="6:11" x14ac:dyDescent="0.3">
      <c r="F1194" s="43">
        <v>39618</v>
      </c>
      <c r="G1194" s="44">
        <v>1342.829956</v>
      </c>
      <c r="H1194" s="44">
        <v>869.669983</v>
      </c>
      <c r="I1194" s="44">
        <v>737.830017</v>
      </c>
      <c r="J1194" s="44">
        <v>72.330001999999993</v>
      </c>
      <c r="K1194" s="44">
        <v>99.559997999999993</v>
      </c>
    </row>
    <row r="1195" spans="6:11" x14ac:dyDescent="0.3">
      <c r="F1195" s="43">
        <v>39619</v>
      </c>
      <c r="G1195" s="44">
        <v>1317.9300539999999</v>
      </c>
      <c r="H1195" s="44">
        <v>854.40002400000003</v>
      </c>
      <c r="I1195" s="44">
        <v>725.72997999999995</v>
      </c>
      <c r="J1195" s="44">
        <v>70.75</v>
      </c>
      <c r="K1195" s="44">
        <v>99.860000999999997</v>
      </c>
    </row>
    <row r="1196" spans="6:11" x14ac:dyDescent="0.3">
      <c r="F1196" s="43">
        <v>39622</v>
      </c>
      <c r="G1196" s="44">
        <v>1318</v>
      </c>
      <c r="H1196" s="44">
        <v>853.90997300000004</v>
      </c>
      <c r="I1196" s="44">
        <v>719.80999799999995</v>
      </c>
      <c r="J1196" s="44">
        <v>70.739998</v>
      </c>
      <c r="K1196" s="44">
        <v>99.730002999999996</v>
      </c>
    </row>
    <row r="1197" spans="6:11" x14ac:dyDescent="0.3">
      <c r="F1197" s="43">
        <v>39623</v>
      </c>
      <c r="G1197" s="44">
        <v>1314.290039</v>
      </c>
      <c r="H1197" s="44">
        <v>843.27002000000005</v>
      </c>
      <c r="I1197" s="44">
        <v>707.919983</v>
      </c>
      <c r="J1197" s="44">
        <v>70.419998000000007</v>
      </c>
      <c r="K1197" s="44">
        <v>99.93</v>
      </c>
    </row>
    <row r="1198" spans="6:11" x14ac:dyDescent="0.3">
      <c r="F1198" s="43">
        <v>39624</v>
      </c>
      <c r="G1198" s="44">
        <v>1321.969971</v>
      </c>
      <c r="H1198" s="44">
        <v>849.13000499999998</v>
      </c>
      <c r="I1198" s="44">
        <v>716.29998799999998</v>
      </c>
      <c r="J1198" s="44">
        <v>69.849997999999999</v>
      </c>
      <c r="K1198" s="44">
        <v>99.980002999999996</v>
      </c>
    </row>
    <row r="1199" spans="6:11" x14ac:dyDescent="0.3">
      <c r="F1199" s="43">
        <v>39625</v>
      </c>
      <c r="G1199" s="44">
        <v>1283.150024</v>
      </c>
      <c r="H1199" s="44">
        <v>826.60998500000005</v>
      </c>
      <c r="I1199" s="44">
        <v>698.419983</v>
      </c>
      <c r="J1199" s="44">
        <v>68.080001999999993</v>
      </c>
      <c r="K1199" s="44">
        <v>100.110001</v>
      </c>
    </row>
    <row r="1200" spans="6:11" x14ac:dyDescent="0.3">
      <c r="F1200" s="43">
        <v>39626</v>
      </c>
      <c r="G1200" s="44">
        <v>1278.380005</v>
      </c>
      <c r="H1200" s="44">
        <v>823.28002900000001</v>
      </c>
      <c r="I1200" s="44">
        <v>698.14001499999995</v>
      </c>
      <c r="J1200" s="44">
        <v>68.260002</v>
      </c>
      <c r="K1200" s="44">
        <v>100.349998</v>
      </c>
    </row>
    <row r="1201" spans="6:11" x14ac:dyDescent="0.3">
      <c r="F1201" s="43">
        <v>39629</v>
      </c>
      <c r="G1201" s="44">
        <v>1280</v>
      </c>
      <c r="H1201" s="44">
        <v>818.98999000000003</v>
      </c>
      <c r="I1201" s="44">
        <v>689.65997300000004</v>
      </c>
      <c r="J1201" s="44">
        <v>68.669998000000007</v>
      </c>
      <c r="K1201" s="44">
        <v>100.400002</v>
      </c>
    </row>
    <row r="1202" spans="6:11" x14ac:dyDescent="0.3">
      <c r="F1202" s="43">
        <v>39630</v>
      </c>
      <c r="G1202" s="44">
        <v>1284.910034</v>
      </c>
      <c r="H1202" s="44">
        <v>820.10998500000005</v>
      </c>
      <c r="I1202" s="44">
        <v>691.59002699999996</v>
      </c>
      <c r="J1202" s="44">
        <v>67.930000000000007</v>
      </c>
      <c r="K1202" s="44">
        <v>99.669998000000007</v>
      </c>
    </row>
    <row r="1203" spans="6:11" x14ac:dyDescent="0.3">
      <c r="F1203" s="43">
        <v>39631</v>
      </c>
      <c r="G1203" s="44">
        <v>1261.5200199999999</v>
      </c>
      <c r="H1203" s="44">
        <v>795.5</v>
      </c>
      <c r="I1203" s="44">
        <v>672.34002699999996</v>
      </c>
      <c r="J1203" s="44">
        <v>66.849997999999999</v>
      </c>
      <c r="K1203" s="44">
        <v>99.550003000000004</v>
      </c>
    </row>
    <row r="1204" spans="6:11" x14ac:dyDescent="0.3">
      <c r="F1204" s="43">
        <v>39632</v>
      </c>
      <c r="G1204" s="44">
        <v>1262.900024</v>
      </c>
      <c r="H1204" s="44">
        <v>786.79998799999998</v>
      </c>
      <c r="I1204" s="44">
        <v>665.78002900000001</v>
      </c>
      <c r="J1204" s="44">
        <v>67.279999000000004</v>
      </c>
      <c r="K1204" s="44">
        <v>99.580001999999993</v>
      </c>
    </row>
    <row r="1205" spans="6:11" x14ac:dyDescent="0.3">
      <c r="F1205" s="43">
        <v>39636</v>
      </c>
      <c r="G1205" s="44">
        <v>1252.3100589999999</v>
      </c>
      <c r="H1205" s="44">
        <v>780.63000499999998</v>
      </c>
      <c r="I1205" s="44">
        <v>658.26000999999997</v>
      </c>
      <c r="J1205" s="44">
        <v>66.699996999999996</v>
      </c>
      <c r="K1205" s="44">
        <v>99.93</v>
      </c>
    </row>
    <row r="1206" spans="6:11" x14ac:dyDescent="0.3">
      <c r="F1206" s="43">
        <v>39637</v>
      </c>
      <c r="G1206" s="44">
        <v>1273.6999510000001</v>
      </c>
      <c r="H1206" s="44">
        <v>798.07000700000003</v>
      </c>
      <c r="I1206" s="44">
        <v>682.71997099999999</v>
      </c>
      <c r="J1206" s="44">
        <v>67.050003000000004</v>
      </c>
      <c r="K1206" s="44">
        <v>100.32</v>
      </c>
    </row>
    <row r="1207" spans="6:11" x14ac:dyDescent="0.3">
      <c r="F1207" s="43">
        <v>39638</v>
      </c>
      <c r="G1207" s="44">
        <v>1244.6899410000001</v>
      </c>
      <c r="H1207" s="44">
        <v>786.60998500000005</v>
      </c>
      <c r="I1207" s="44">
        <v>663.75</v>
      </c>
      <c r="J1207" s="44">
        <v>66.180000000000007</v>
      </c>
      <c r="K1207" s="44">
        <v>100.709999</v>
      </c>
    </row>
    <row r="1208" spans="6:11" x14ac:dyDescent="0.3">
      <c r="F1208" s="43">
        <v>39639</v>
      </c>
      <c r="G1208" s="44">
        <v>1253.3900149999999</v>
      </c>
      <c r="H1208" s="44">
        <v>790.75</v>
      </c>
      <c r="I1208" s="44">
        <v>670.44000200000005</v>
      </c>
      <c r="J1208" s="44">
        <v>66.75</v>
      </c>
      <c r="K1208" s="44">
        <v>100.800003</v>
      </c>
    </row>
    <row r="1209" spans="6:11" x14ac:dyDescent="0.3">
      <c r="F1209" s="43">
        <v>39640</v>
      </c>
      <c r="G1209" s="44">
        <v>1239.48999</v>
      </c>
      <c r="H1209" s="44">
        <v>787.78002900000001</v>
      </c>
      <c r="I1209" s="44">
        <v>674.95001200000002</v>
      </c>
      <c r="J1209" s="44">
        <v>65.699996999999996</v>
      </c>
      <c r="K1209" s="44">
        <v>100.230003</v>
      </c>
    </row>
    <row r="1210" spans="6:11" x14ac:dyDescent="0.3">
      <c r="F1210" s="43">
        <v>39643</v>
      </c>
      <c r="G1210" s="44">
        <v>1228.3000489999999</v>
      </c>
      <c r="H1210" s="44">
        <v>779.96002199999998</v>
      </c>
      <c r="I1210" s="44">
        <v>664.5</v>
      </c>
      <c r="J1210" s="44">
        <v>65.559997999999993</v>
      </c>
      <c r="K1210" s="44">
        <v>100.379997</v>
      </c>
    </row>
    <row r="1211" spans="6:11" x14ac:dyDescent="0.3">
      <c r="F1211" s="43">
        <v>39644</v>
      </c>
      <c r="G1211" s="44">
        <v>1214.910034</v>
      </c>
      <c r="H1211" s="44">
        <v>772.79998799999998</v>
      </c>
      <c r="I1211" s="44">
        <v>662.34997599999997</v>
      </c>
      <c r="J1211" s="44">
        <v>64.510002</v>
      </c>
      <c r="K1211" s="44">
        <v>100.769997</v>
      </c>
    </row>
    <row r="1212" spans="6:11" x14ac:dyDescent="0.3">
      <c r="F1212" s="43">
        <v>39645</v>
      </c>
      <c r="G1212" s="44">
        <v>1245.3599850000001</v>
      </c>
      <c r="H1212" s="44">
        <v>791.52002000000005</v>
      </c>
      <c r="I1212" s="44">
        <v>686.75</v>
      </c>
      <c r="J1212" s="44">
        <v>65.699996999999996</v>
      </c>
      <c r="K1212" s="44">
        <v>100</v>
      </c>
    </row>
    <row r="1213" spans="6:11" x14ac:dyDescent="0.3">
      <c r="F1213" s="43">
        <v>39646</v>
      </c>
      <c r="G1213" s="44">
        <v>1260.3199460000001</v>
      </c>
      <c r="H1213" s="44">
        <v>802.30999799999995</v>
      </c>
      <c r="I1213" s="44">
        <v>696.63000499999998</v>
      </c>
      <c r="J1213" s="44">
        <v>66.699996999999996</v>
      </c>
      <c r="K1213" s="44">
        <v>99.559997999999993</v>
      </c>
    </row>
    <row r="1214" spans="6:11" x14ac:dyDescent="0.3">
      <c r="F1214" s="43">
        <v>39647</v>
      </c>
      <c r="G1214" s="44">
        <v>1260.6800539999999</v>
      </c>
      <c r="H1214" s="44">
        <v>800.38000499999998</v>
      </c>
      <c r="I1214" s="44">
        <v>693.080017</v>
      </c>
      <c r="J1214" s="44">
        <v>67.129997000000003</v>
      </c>
      <c r="K1214" s="44">
        <v>98.980002999999996</v>
      </c>
    </row>
    <row r="1215" spans="6:11" x14ac:dyDescent="0.3">
      <c r="F1215" s="43">
        <v>39650</v>
      </c>
      <c r="G1215" s="44">
        <v>1260</v>
      </c>
      <c r="H1215" s="44">
        <v>805.72997999999995</v>
      </c>
      <c r="I1215" s="44">
        <v>697.63000499999998</v>
      </c>
      <c r="J1215" s="44">
        <v>67.519997000000004</v>
      </c>
      <c r="K1215" s="44">
        <v>99.5</v>
      </c>
    </row>
    <row r="1216" spans="6:11" x14ac:dyDescent="0.3">
      <c r="F1216" s="43">
        <v>39651</v>
      </c>
      <c r="G1216" s="44">
        <v>1277</v>
      </c>
      <c r="H1216" s="44">
        <v>816.15997300000004</v>
      </c>
      <c r="I1216" s="44">
        <v>716.82000700000003</v>
      </c>
      <c r="J1216" s="44">
        <v>67.75</v>
      </c>
      <c r="K1216" s="44">
        <v>99.160004000000001</v>
      </c>
    </row>
    <row r="1217" spans="6:11" x14ac:dyDescent="0.3">
      <c r="F1217" s="43">
        <v>39652</v>
      </c>
      <c r="G1217" s="44">
        <v>1282.1899410000001</v>
      </c>
      <c r="H1217" s="44">
        <v>816.89001499999995</v>
      </c>
      <c r="I1217" s="44">
        <v>719.19000200000005</v>
      </c>
      <c r="J1217" s="44">
        <v>68</v>
      </c>
      <c r="K1217" s="44">
        <v>99.279999000000004</v>
      </c>
    </row>
    <row r="1218" spans="6:11" x14ac:dyDescent="0.3">
      <c r="F1218" s="43">
        <v>39653</v>
      </c>
      <c r="G1218" s="44">
        <v>1252.540039</v>
      </c>
      <c r="H1218" s="44">
        <v>792.09997599999997</v>
      </c>
      <c r="I1218" s="44">
        <v>702.39001499999995</v>
      </c>
      <c r="J1218" s="44">
        <v>66.760002</v>
      </c>
      <c r="K1218" s="44">
        <v>99.970000999999996</v>
      </c>
    </row>
    <row r="1219" spans="6:11" x14ac:dyDescent="0.3">
      <c r="F1219" s="43">
        <v>39654</v>
      </c>
      <c r="G1219" s="44">
        <v>1257.76001</v>
      </c>
      <c r="H1219" s="44">
        <v>795.53997800000002</v>
      </c>
      <c r="I1219" s="44">
        <v>710.34002699999996</v>
      </c>
      <c r="J1219" s="44">
        <v>66.900002000000001</v>
      </c>
      <c r="K1219" s="44">
        <v>99.459998999999996</v>
      </c>
    </row>
    <row r="1220" spans="6:11" x14ac:dyDescent="0.3">
      <c r="F1220" s="43">
        <v>39657</v>
      </c>
      <c r="G1220" s="44">
        <v>1234.369995</v>
      </c>
      <c r="H1220" s="44">
        <v>786.07000700000003</v>
      </c>
      <c r="I1220" s="44">
        <v>696.10998500000005</v>
      </c>
      <c r="J1220" s="44">
        <v>65.779999000000004</v>
      </c>
      <c r="K1220" s="44">
        <v>99.910004000000001</v>
      </c>
    </row>
    <row r="1221" spans="6:11" x14ac:dyDescent="0.3">
      <c r="F1221" s="43">
        <v>39658</v>
      </c>
      <c r="G1221" s="44">
        <v>1263.1999510000001</v>
      </c>
      <c r="H1221" s="44">
        <v>802.84002699999996</v>
      </c>
      <c r="I1221" s="44">
        <v>714.54998799999998</v>
      </c>
      <c r="J1221" s="44">
        <v>66.430000000000007</v>
      </c>
      <c r="K1221" s="44">
        <v>99.790001000000004</v>
      </c>
    </row>
    <row r="1222" spans="6:11" x14ac:dyDescent="0.3">
      <c r="F1222" s="43">
        <v>39659</v>
      </c>
      <c r="G1222" s="44">
        <v>1284.26001</v>
      </c>
      <c r="H1222" s="44">
        <v>814.64001499999995</v>
      </c>
      <c r="I1222" s="44">
        <v>718.85998500000005</v>
      </c>
      <c r="J1222" s="44">
        <v>67.050003000000004</v>
      </c>
      <c r="K1222" s="44">
        <v>99.900002000000001</v>
      </c>
    </row>
    <row r="1223" spans="6:11" x14ac:dyDescent="0.3">
      <c r="F1223" s="43">
        <v>39660</v>
      </c>
      <c r="G1223" s="44">
        <v>1267.380005</v>
      </c>
      <c r="H1223" s="44">
        <v>803.01000999999997</v>
      </c>
      <c r="I1223" s="44">
        <v>714.52002000000005</v>
      </c>
      <c r="J1223" s="44">
        <v>66.389999000000003</v>
      </c>
      <c r="K1223" s="44">
        <v>100.410004</v>
      </c>
    </row>
    <row r="1224" spans="6:11" x14ac:dyDescent="0.3">
      <c r="F1224" s="43">
        <v>39661</v>
      </c>
      <c r="G1224" s="44">
        <v>1260.3100589999999</v>
      </c>
      <c r="H1224" s="44">
        <v>801.07000700000003</v>
      </c>
      <c r="I1224" s="44">
        <v>716.15997300000004</v>
      </c>
      <c r="J1224" s="44">
        <v>65.400002000000001</v>
      </c>
      <c r="K1224" s="44">
        <v>99.889999000000003</v>
      </c>
    </row>
    <row r="1225" spans="6:11" x14ac:dyDescent="0.3">
      <c r="F1225" s="43">
        <v>39664</v>
      </c>
      <c r="G1225" s="44">
        <v>1249.01001</v>
      </c>
      <c r="H1225" s="44">
        <v>786.15002400000003</v>
      </c>
      <c r="I1225" s="44">
        <v>704.14001499999995</v>
      </c>
      <c r="J1225" s="44">
        <v>64.779999000000004</v>
      </c>
      <c r="K1225" s="44">
        <v>99.599997999999999</v>
      </c>
    </row>
    <row r="1226" spans="6:11" x14ac:dyDescent="0.3">
      <c r="F1226" s="43">
        <v>39665</v>
      </c>
      <c r="G1226" s="44">
        <v>1284.880005</v>
      </c>
      <c r="H1226" s="44">
        <v>802.67999299999997</v>
      </c>
      <c r="I1226" s="44">
        <v>721.03997800000002</v>
      </c>
      <c r="J1226" s="44">
        <v>66.419998000000007</v>
      </c>
      <c r="K1226" s="44">
        <v>99.43</v>
      </c>
    </row>
    <row r="1227" spans="6:11" x14ac:dyDescent="0.3">
      <c r="F1227" s="43">
        <v>39666</v>
      </c>
      <c r="G1227" s="44">
        <v>1289.1899410000001</v>
      </c>
      <c r="H1227" s="44">
        <v>808.53002900000001</v>
      </c>
      <c r="I1227" s="44">
        <v>725.90002400000003</v>
      </c>
      <c r="J1227" s="44">
        <v>66.440002000000007</v>
      </c>
      <c r="K1227" s="44">
        <v>99.32</v>
      </c>
    </row>
    <row r="1228" spans="6:11" x14ac:dyDescent="0.3">
      <c r="F1228" s="43">
        <v>39667</v>
      </c>
      <c r="G1228" s="44">
        <v>1266.0699460000001</v>
      </c>
      <c r="H1228" s="44">
        <v>796.34002699999996</v>
      </c>
      <c r="I1228" s="44">
        <v>713.40997300000004</v>
      </c>
      <c r="J1228" s="44">
        <v>65.110000999999997</v>
      </c>
      <c r="K1228" s="44">
        <v>99.839995999999999</v>
      </c>
    </row>
    <row r="1229" spans="6:11" x14ac:dyDescent="0.3">
      <c r="F1229" s="43">
        <v>39668</v>
      </c>
      <c r="G1229" s="44">
        <v>1296.3199460000001</v>
      </c>
      <c r="H1229" s="44">
        <v>813.94000200000005</v>
      </c>
      <c r="I1229" s="44">
        <v>734.29998799999998</v>
      </c>
      <c r="J1229" s="44">
        <v>65.379997000000003</v>
      </c>
      <c r="K1229" s="44">
        <v>99.690002000000007</v>
      </c>
    </row>
    <row r="1230" spans="6:11" x14ac:dyDescent="0.3">
      <c r="F1230" s="43">
        <v>39671</v>
      </c>
      <c r="G1230" s="44">
        <v>1305.3199460000001</v>
      </c>
      <c r="H1230" s="44">
        <v>821.47997999999995</v>
      </c>
      <c r="I1230" s="44">
        <v>751.05999799999995</v>
      </c>
      <c r="J1230" s="44">
        <v>65.319999999999993</v>
      </c>
      <c r="K1230" s="44">
        <v>99.440002000000007</v>
      </c>
    </row>
    <row r="1231" spans="6:11" x14ac:dyDescent="0.3">
      <c r="F1231" s="43">
        <v>39672</v>
      </c>
      <c r="G1231" s="44">
        <v>1289.589966</v>
      </c>
      <c r="H1231" s="44">
        <v>813.34997599999997</v>
      </c>
      <c r="I1231" s="44">
        <v>744.94000200000005</v>
      </c>
      <c r="J1231" s="44">
        <v>64.849997999999999</v>
      </c>
      <c r="K1231" s="44">
        <v>99.860000999999997</v>
      </c>
    </row>
    <row r="1232" spans="6:11" x14ac:dyDescent="0.3">
      <c r="F1232" s="43">
        <v>39673</v>
      </c>
      <c r="G1232" s="44">
        <v>1285.829956</v>
      </c>
      <c r="H1232" s="44">
        <v>815.82000700000003</v>
      </c>
      <c r="I1232" s="44">
        <v>747.69000200000005</v>
      </c>
      <c r="J1232" s="44">
        <v>63.830002</v>
      </c>
      <c r="K1232" s="44">
        <v>99.690002000000007</v>
      </c>
    </row>
    <row r="1233" spans="6:11" x14ac:dyDescent="0.3">
      <c r="F1233" s="43">
        <v>39674</v>
      </c>
      <c r="G1233" s="44">
        <v>1292.9300539999999</v>
      </c>
      <c r="H1233" s="44">
        <v>822.22997999999995</v>
      </c>
      <c r="I1233" s="44">
        <v>754.38000499999998</v>
      </c>
      <c r="J1233" s="44">
        <v>63.580002</v>
      </c>
      <c r="K1233" s="44">
        <v>99.93</v>
      </c>
    </row>
    <row r="1234" spans="6:11" x14ac:dyDescent="0.3">
      <c r="F1234" s="43">
        <v>39675</v>
      </c>
      <c r="G1234" s="44">
        <v>1298.1999510000001</v>
      </c>
      <c r="H1234" s="44">
        <v>821.84002699999996</v>
      </c>
      <c r="I1234" s="44">
        <v>753.36999500000002</v>
      </c>
      <c r="J1234" s="44">
        <v>63.16</v>
      </c>
      <c r="K1234" s="44">
        <v>100.220001</v>
      </c>
    </row>
    <row r="1235" spans="6:11" x14ac:dyDescent="0.3">
      <c r="F1235" s="43">
        <v>39678</v>
      </c>
      <c r="G1235" s="44">
        <v>1278.599976</v>
      </c>
      <c r="H1235" s="44">
        <v>811.080017</v>
      </c>
      <c r="I1235" s="44">
        <v>741.96997099999999</v>
      </c>
      <c r="J1235" s="44">
        <v>62.84</v>
      </c>
      <c r="K1235" s="44">
        <v>100.389999</v>
      </c>
    </row>
    <row r="1236" spans="6:11" x14ac:dyDescent="0.3">
      <c r="F1236" s="43">
        <v>39679</v>
      </c>
      <c r="G1236" s="44">
        <v>1266.6899410000001</v>
      </c>
      <c r="H1236" s="44">
        <v>803</v>
      </c>
      <c r="I1236" s="44">
        <v>730.03002900000001</v>
      </c>
      <c r="J1236" s="44">
        <v>62.130001</v>
      </c>
      <c r="K1236" s="44">
        <v>100.30999799999999</v>
      </c>
    </row>
    <row r="1237" spans="6:11" x14ac:dyDescent="0.3">
      <c r="F1237" s="43">
        <v>39680</v>
      </c>
      <c r="G1237" s="44">
        <v>1274.540039</v>
      </c>
      <c r="H1237" s="44">
        <v>806.29998799999998</v>
      </c>
      <c r="I1237" s="44">
        <v>731.59997599999997</v>
      </c>
      <c r="J1237" s="44">
        <v>62.5</v>
      </c>
      <c r="K1237" s="44">
        <v>100.470001</v>
      </c>
    </row>
    <row r="1238" spans="6:11" x14ac:dyDescent="0.3">
      <c r="F1238" s="43">
        <v>39681</v>
      </c>
      <c r="G1238" s="44">
        <v>1277.719971</v>
      </c>
      <c r="H1238" s="44">
        <v>807.40997300000004</v>
      </c>
      <c r="I1238" s="44">
        <v>725.25</v>
      </c>
      <c r="J1238" s="44">
        <v>62.75</v>
      </c>
      <c r="K1238" s="44">
        <v>100.489998</v>
      </c>
    </row>
    <row r="1239" spans="6:11" x14ac:dyDescent="0.3">
      <c r="F1239" s="43">
        <v>39682</v>
      </c>
      <c r="G1239" s="44">
        <v>1292.1999510000001</v>
      </c>
      <c r="H1239" s="44">
        <v>814.919983</v>
      </c>
      <c r="I1239" s="44">
        <v>737.59997599999997</v>
      </c>
      <c r="J1239" s="44">
        <v>63.040000999999997</v>
      </c>
      <c r="K1239" s="44">
        <v>100.379997</v>
      </c>
    </row>
    <row r="1240" spans="6:11" x14ac:dyDescent="0.3">
      <c r="F1240" s="43">
        <v>39685</v>
      </c>
      <c r="G1240" s="44">
        <v>1266.839966</v>
      </c>
      <c r="H1240" s="44">
        <v>798.42999299999997</v>
      </c>
      <c r="I1240" s="44">
        <v>720.53997800000002</v>
      </c>
      <c r="J1240" s="44">
        <v>62.049999</v>
      </c>
      <c r="K1240" s="44">
        <v>100.69000200000001</v>
      </c>
    </row>
    <row r="1241" spans="6:11" x14ac:dyDescent="0.3">
      <c r="F1241" s="43">
        <v>39686</v>
      </c>
      <c r="G1241" s="44">
        <v>1271.51001</v>
      </c>
      <c r="H1241" s="44">
        <v>802.14001499999995</v>
      </c>
      <c r="I1241" s="44">
        <v>723.51000999999997</v>
      </c>
      <c r="J1241" s="44">
        <v>62.360000999999997</v>
      </c>
      <c r="K1241" s="44">
        <v>100.57</v>
      </c>
    </row>
    <row r="1242" spans="6:11" x14ac:dyDescent="0.3">
      <c r="F1242" s="43">
        <v>39687</v>
      </c>
      <c r="G1242" s="44">
        <v>1281.660034</v>
      </c>
      <c r="H1242" s="44">
        <v>812.21002199999998</v>
      </c>
      <c r="I1242" s="44">
        <v>732.95001200000002</v>
      </c>
      <c r="J1242" s="44">
        <v>62.950001</v>
      </c>
      <c r="K1242" s="44">
        <v>100.69000200000001</v>
      </c>
    </row>
    <row r="1243" spans="6:11" x14ac:dyDescent="0.3">
      <c r="F1243" s="43">
        <v>39688</v>
      </c>
      <c r="G1243" s="44">
        <v>1300.6800539999999</v>
      </c>
      <c r="H1243" s="44">
        <v>824.98999000000003</v>
      </c>
      <c r="I1243" s="44">
        <v>747.78997800000002</v>
      </c>
      <c r="J1243" s="44">
        <v>63.759998000000003</v>
      </c>
      <c r="K1243" s="44">
        <v>100.779999</v>
      </c>
    </row>
    <row r="1244" spans="6:11" x14ac:dyDescent="0.3">
      <c r="F1244" s="43">
        <v>39689</v>
      </c>
      <c r="G1244" s="44">
        <v>1282.829956</v>
      </c>
      <c r="H1244" s="44">
        <v>815.59997599999997</v>
      </c>
      <c r="I1244" s="44">
        <v>739.5</v>
      </c>
      <c r="J1244" s="44">
        <v>63.57</v>
      </c>
      <c r="K1244" s="44">
        <v>100.75</v>
      </c>
    </row>
    <row r="1245" spans="6:11" x14ac:dyDescent="0.3">
      <c r="F1245" s="43">
        <v>39693</v>
      </c>
      <c r="G1245" s="44">
        <v>1277.579956</v>
      </c>
      <c r="H1245" s="44">
        <v>807.59997599999997</v>
      </c>
      <c r="I1245" s="44">
        <v>738.51000999999997</v>
      </c>
      <c r="J1245" s="44">
        <v>62.59</v>
      </c>
      <c r="K1245" s="44">
        <v>100.69000200000001</v>
      </c>
    </row>
    <row r="1246" spans="6:11" x14ac:dyDescent="0.3">
      <c r="F1246" s="43">
        <v>39694</v>
      </c>
      <c r="G1246" s="44">
        <v>1274.9799800000001</v>
      </c>
      <c r="H1246" s="44">
        <v>802.11999500000002</v>
      </c>
      <c r="I1246" s="44">
        <v>741.90997300000004</v>
      </c>
      <c r="J1246" s="44">
        <v>62.330002</v>
      </c>
      <c r="K1246" s="44">
        <v>100.66999800000001</v>
      </c>
    </row>
    <row r="1247" spans="6:11" x14ac:dyDescent="0.3">
      <c r="F1247" s="43">
        <v>39695</v>
      </c>
      <c r="G1247" s="44">
        <v>1236.829956</v>
      </c>
      <c r="H1247" s="44">
        <v>782.76000999999997</v>
      </c>
      <c r="I1247" s="44">
        <v>718.61999500000002</v>
      </c>
      <c r="J1247" s="44">
        <v>59.66</v>
      </c>
      <c r="K1247" s="44">
        <v>101.040001</v>
      </c>
    </row>
    <row r="1248" spans="6:11" x14ac:dyDescent="0.3">
      <c r="F1248" s="43">
        <v>39696</v>
      </c>
      <c r="G1248" s="44">
        <v>1242.3100589999999</v>
      </c>
      <c r="H1248" s="44">
        <v>785.669983</v>
      </c>
      <c r="I1248" s="44">
        <v>718.84997599999997</v>
      </c>
      <c r="J1248" s="44">
        <v>59.439999</v>
      </c>
      <c r="K1248" s="44">
        <v>100.739998</v>
      </c>
    </row>
    <row r="1249" spans="6:11" x14ac:dyDescent="0.3">
      <c r="F1249" s="43">
        <v>39699</v>
      </c>
      <c r="G1249" s="44">
        <v>1267.790039</v>
      </c>
      <c r="H1249" s="44">
        <v>795.96002199999998</v>
      </c>
      <c r="I1249" s="44">
        <v>732.85998500000005</v>
      </c>
      <c r="J1249" s="44">
        <v>60.77</v>
      </c>
      <c r="K1249" s="44">
        <v>101.370003</v>
      </c>
    </row>
    <row r="1250" spans="6:11" x14ac:dyDescent="0.3">
      <c r="F1250" s="43">
        <v>39700</v>
      </c>
      <c r="G1250" s="44">
        <v>1224.51001</v>
      </c>
      <c r="H1250" s="44">
        <v>765.21997099999999</v>
      </c>
      <c r="I1250" s="44">
        <v>707.28997800000002</v>
      </c>
      <c r="J1250" s="44">
        <v>58.799999</v>
      </c>
      <c r="K1250" s="44">
        <v>101.82</v>
      </c>
    </row>
    <row r="1251" spans="6:11" x14ac:dyDescent="0.3">
      <c r="F1251" s="43">
        <v>39701</v>
      </c>
      <c r="G1251" s="44">
        <v>1232.040039</v>
      </c>
      <c r="H1251" s="44">
        <v>775.669983</v>
      </c>
      <c r="I1251" s="44">
        <v>717.15997300000004</v>
      </c>
      <c r="J1251" s="44">
        <v>59.369999</v>
      </c>
      <c r="K1251" s="44">
        <v>101.75</v>
      </c>
    </row>
    <row r="1252" spans="6:11" x14ac:dyDescent="0.3">
      <c r="F1252" s="43">
        <v>39702</v>
      </c>
      <c r="G1252" s="44">
        <v>1249.0500489999999</v>
      </c>
      <c r="H1252" s="44">
        <v>779.69000200000005</v>
      </c>
      <c r="I1252" s="44">
        <v>719</v>
      </c>
      <c r="J1252" s="44">
        <v>59.240001999999997</v>
      </c>
      <c r="K1252" s="44">
        <v>101.620003</v>
      </c>
    </row>
    <row r="1253" spans="6:11" x14ac:dyDescent="0.3">
      <c r="F1253" s="43">
        <v>39703</v>
      </c>
      <c r="G1253" s="44">
        <v>1251.6999510000001</v>
      </c>
      <c r="H1253" s="44">
        <v>788.47997999999995</v>
      </c>
      <c r="I1253" s="44">
        <v>720.26000999999997</v>
      </c>
      <c r="J1253" s="44">
        <v>60.400002000000001</v>
      </c>
      <c r="K1253" s="44">
        <v>101.209999</v>
      </c>
    </row>
    <row r="1254" spans="6:11" x14ac:dyDescent="0.3">
      <c r="F1254" s="43">
        <v>39706</v>
      </c>
      <c r="G1254" s="44">
        <v>1192.6999510000001</v>
      </c>
      <c r="H1254" s="44">
        <v>753.78002900000001</v>
      </c>
      <c r="I1254" s="44">
        <v>689.76000999999997</v>
      </c>
      <c r="J1254" s="44">
        <v>57.830002</v>
      </c>
      <c r="K1254" s="44">
        <v>101.610001</v>
      </c>
    </row>
    <row r="1255" spans="6:11" x14ac:dyDescent="0.3">
      <c r="F1255" s="43">
        <v>39707</v>
      </c>
      <c r="G1255" s="44">
        <v>1213.599976</v>
      </c>
      <c r="H1255" s="44">
        <v>769.79998799999998</v>
      </c>
      <c r="I1255" s="44">
        <v>710.65002400000003</v>
      </c>
      <c r="J1255" s="44">
        <v>57.400002000000001</v>
      </c>
      <c r="K1255" s="44">
        <v>100.58000199999999</v>
      </c>
    </row>
    <row r="1256" spans="6:11" x14ac:dyDescent="0.3">
      <c r="F1256" s="43">
        <v>39708</v>
      </c>
      <c r="G1256" s="44">
        <v>1156.3900149999999</v>
      </c>
      <c r="H1256" s="44">
        <v>736.25</v>
      </c>
      <c r="I1256" s="44">
        <v>676.38000499999998</v>
      </c>
      <c r="J1256" s="44">
        <v>55.209999000000003</v>
      </c>
      <c r="K1256" s="44">
        <v>100.83000199999999</v>
      </c>
    </row>
    <row r="1257" spans="6:11" x14ac:dyDescent="0.3">
      <c r="F1257" s="43">
        <v>39709</v>
      </c>
      <c r="G1257" s="44">
        <v>1206.51001</v>
      </c>
      <c r="H1257" s="44">
        <v>772.35998500000005</v>
      </c>
      <c r="I1257" s="44">
        <v>723.67999299999997</v>
      </c>
      <c r="J1257" s="44">
        <v>57.720001000000003</v>
      </c>
      <c r="K1257" s="44">
        <v>100.550003</v>
      </c>
    </row>
    <row r="1258" spans="6:11" x14ac:dyDescent="0.3">
      <c r="F1258" s="43">
        <v>39710</v>
      </c>
      <c r="G1258" s="44">
        <v>1255.079956</v>
      </c>
      <c r="H1258" s="44">
        <v>805.080017</v>
      </c>
      <c r="I1258" s="44">
        <v>753.73999000000003</v>
      </c>
      <c r="J1258" s="44">
        <v>61.810001</v>
      </c>
      <c r="K1258" s="44">
        <v>101</v>
      </c>
    </row>
    <row r="1259" spans="6:11" x14ac:dyDescent="0.3">
      <c r="F1259" s="43">
        <v>39713</v>
      </c>
      <c r="G1259" s="44">
        <v>1207.089966</v>
      </c>
      <c r="H1259" s="44">
        <v>767.580017</v>
      </c>
      <c r="I1259" s="44">
        <v>720.44000200000005</v>
      </c>
      <c r="J1259" s="44">
        <v>59.700001</v>
      </c>
      <c r="K1259" s="44">
        <v>99.419998000000007</v>
      </c>
    </row>
    <row r="1260" spans="6:11" x14ac:dyDescent="0.3">
      <c r="F1260" s="43">
        <v>39714</v>
      </c>
      <c r="G1260" s="44">
        <v>1188.219971</v>
      </c>
      <c r="H1260" s="44">
        <v>758.75</v>
      </c>
      <c r="I1260" s="44">
        <v>709.19000200000005</v>
      </c>
      <c r="J1260" s="44">
        <v>58.860000999999997</v>
      </c>
      <c r="K1260" s="44">
        <v>99.269997000000004</v>
      </c>
    </row>
    <row r="1261" spans="6:11" x14ac:dyDescent="0.3">
      <c r="F1261" s="43">
        <v>39715</v>
      </c>
      <c r="G1261" s="44">
        <v>1185.869995</v>
      </c>
      <c r="H1261" s="44">
        <v>750.21997099999999</v>
      </c>
      <c r="I1261" s="44">
        <v>697.77002000000005</v>
      </c>
      <c r="J1261" s="44">
        <v>59.029998999999997</v>
      </c>
      <c r="K1261" s="44">
        <v>99.389999000000003</v>
      </c>
    </row>
    <row r="1262" spans="6:11" x14ac:dyDescent="0.3">
      <c r="F1262" s="43">
        <v>39716</v>
      </c>
      <c r="G1262" s="44">
        <v>1209.1800539999999</v>
      </c>
      <c r="H1262" s="44">
        <v>758.61999500000002</v>
      </c>
      <c r="I1262" s="44">
        <v>705.73999000000003</v>
      </c>
      <c r="J1262" s="44">
        <v>60.389999000000003</v>
      </c>
      <c r="K1262" s="44">
        <v>99.209998999999996</v>
      </c>
    </row>
    <row r="1263" spans="6:11" x14ac:dyDescent="0.3">
      <c r="F1263" s="43">
        <v>39717</v>
      </c>
      <c r="G1263" s="44">
        <v>1213.2700199999999</v>
      </c>
      <c r="H1263" s="44">
        <v>753.27002000000005</v>
      </c>
      <c r="I1263" s="44">
        <v>704.78997800000002</v>
      </c>
      <c r="J1263" s="44">
        <v>59.75</v>
      </c>
      <c r="K1263" s="44">
        <v>98.709998999999996</v>
      </c>
    </row>
    <row r="1264" spans="6:11" x14ac:dyDescent="0.3">
      <c r="F1264" s="43">
        <v>39720</v>
      </c>
      <c r="G1264" s="44">
        <v>1106.420044</v>
      </c>
      <c r="H1264" s="44">
        <v>698.21002199999998</v>
      </c>
      <c r="I1264" s="44">
        <v>657.71997099999999</v>
      </c>
      <c r="J1264" s="44">
        <v>53.080002</v>
      </c>
      <c r="K1264" s="44">
        <v>98.260002</v>
      </c>
    </row>
    <row r="1265" spans="6:11" x14ac:dyDescent="0.3">
      <c r="F1265" s="43">
        <v>39721</v>
      </c>
      <c r="G1265" s="44">
        <v>1166.3599850000001</v>
      </c>
      <c r="H1265" s="44">
        <v>727.28997800000002</v>
      </c>
      <c r="I1265" s="44">
        <v>679.580017</v>
      </c>
      <c r="J1265" s="44">
        <v>56.299999</v>
      </c>
      <c r="K1265" s="44">
        <v>98.589995999999999</v>
      </c>
    </row>
    <row r="1266" spans="6:11" x14ac:dyDescent="0.3">
      <c r="F1266" s="43">
        <v>39722</v>
      </c>
      <c r="G1266" s="44">
        <v>1161.0600589999999</v>
      </c>
      <c r="H1266" s="44">
        <v>718.88000499999998</v>
      </c>
      <c r="I1266" s="44">
        <v>671.59002699999996</v>
      </c>
      <c r="J1266" s="44">
        <v>55.880001</v>
      </c>
      <c r="K1266" s="44">
        <v>97.5</v>
      </c>
    </row>
    <row r="1267" spans="6:11" x14ac:dyDescent="0.3">
      <c r="F1267" s="43">
        <v>39723</v>
      </c>
      <c r="G1267" s="44">
        <v>1114.280029</v>
      </c>
      <c r="H1267" s="44">
        <v>678.86999500000002</v>
      </c>
      <c r="I1267" s="44">
        <v>637.669983</v>
      </c>
      <c r="J1267" s="44">
        <v>53.439999</v>
      </c>
      <c r="K1267" s="44">
        <v>97.879997000000003</v>
      </c>
    </row>
    <row r="1268" spans="6:11" x14ac:dyDescent="0.3">
      <c r="F1268" s="43">
        <v>39724</v>
      </c>
      <c r="G1268" s="44">
        <v>1099.2299800000001</v>
      </c>
      <c r="H1268" s="44">
        <v>661.96997099999999</v>
      </c>
      <c r="I1268" s="44">
        <v>619.40002400000003</v>
      </c>
      <c r="J1268" s="44">
        <v>53.23</v>
      </c>
      <c r="K1268" s="44">
        <v>98.620002999999997</v>
      </c>
    </row>
    <row r="1269" spans="6:11" x14ac:dyDescent="0.3">
      <c r="F1269" s="43">
        <v>39727</v>
      </c>
      <c r="G1269" s="44">
        <v>1056.8900149999999</v>
      </c>
      <c r="H1269" s="44">
        <v>632.80999799999995</v>
      </c>
      <c r="I1269" s="44">
        <v>595.90997300000004</v>
      </c>
      <c r="J1269" s="44">
        <v>50.220001000000003</v>
      </c>
      <c r="K1269" s="44">
        <v>98.650002000000001</v>
      </c>
    </row>
    <row r="1270" spans="6:11" x14ac:dyDescent="0.3">
      <c r="F1270" s="43">
        <v>39728</v>
      </c>
      <c r="G1270" s="44">
        <v>996.22997999999995</v>
      </c>
      <c r="H1270" s="44">
        <v>598.60998500000005</v>
      </c>
      <c r="I1270" s="44">
        <v>558.95001200000002</v>
      </c>
      <c r="J1270" s="44">
        <v>47.869999</v>
      </c>
      <c r="K1270" s="44">
        <v>96.610000999999997</v>
      </c>
    </row>
    <row r="1271" spans="6:11" x14ac:dyDescent="0.3">
      <c r="F1271" s="43">
        <v>39729</v>
      </c>
      <c r="G1271" s="44">
        <v>984.94000200000005</v>
      </c>
      <c r="H1271" s="44">
        <v>591.419983</v>
      </c>
      <c r="I1271" s="44">
        <v>546.57000700000003</v>
      </c>
      <c r="J1271" s="44">
        <v>46.799999</v>
      </c>
      <c r="K1271" s="44">
        <v>94.669998000000007</v>
      </c>
    </row>
    <row r="1272" spans="6:11" x14ac:dyDescent="0.3">
      <c r="F1272" s="43">
        <v>39730</v>
      </c>
      <c r="G1272" s="44">
        <v>909.919983</v>
      </c>
      <c r="H1272" s="44">
        <v>548.70001200000002</v>
      </c>
      <c r="I1272" s="44">
        <v>499.20001200000002</v>
      </c>
      <c r="J1272" s="44">
        <v>44</v>
      </c>
      <c r="K1272" s="44">
        <v>94.889999000000003</v>
      </c>
    </row>
    <row r="1273" spans="6:11" x14ac:dyDescent="0.3">
      <c r="F1273" s="43">
        <v>39731</v>
      </c>
      <c r="G1273" s="44">
        <v>899.21997099999999</v>
      </c>
      <c r="H1273" s="44">
        <v>549.84997599999997</v>
      </c>
      <c r="I1273" s="44">
        <v>522.47997999999995</v>
      </c>
      <c r="J1273" s="44">
        <v>42.360000999999997</v>
      </c>
      <c r="K1273" s="44">
        <v>88.400002000000001</v>
      </c>
    </row>
    <row r="1274" spans="6:11" x14ac:dyDescent="0.3">
      <c r="F1274" s="43">
        <v>39734</v>
      </c>
      <c r="G1274" s="44">
        <v>1003.349976</v>
      </c>
      <c r="H1274" s="44">
        <v>607.45001200000002</v>
      </c>
      <c r="I1274" s="44">
        <v>570.89001499999995</v>
      </c>
      <c r="J1274" s="44">
        <v>49.09</v>
      </c>
      <c r="K1274" s="44">
        <v>91.82</v>
      </c>
    </row>
    <row r="1275" spans="6:11" x14ac:dyDescent="0.3">
      <c r="F1275" s="43">
        <v>39735</v>
      </c>
      <c r="G1275" s="44">
        <v>998.01000999999997</v>
      </c>
      <c r="H1275" s="44">
        <v>593.72997999999995</v>
      </c>
      <c r="I1275" s="44">
        <v>554.65002400000003</v>
      </c>
      <c r="J1275" s="44">
        <v>48.080002</v>
      </c>
      <c r="K1275" s="44">
        <v>93.75</v>
      </c>
    </row>
    <row r="1276" spans="6:11" x14ac:dyDescent="0.3">
      <c r="F1276" s="43">
        <v>39736</v>
      </c>
      <c r="G1276" s="44">
        <v>907.84002699999996</v>
      </c>
      <c r="H1276" s="44">
        <v>536.26000999999997</v>
      </c>
      <c r="I1276" s="44">
        <v>502.10998499999999</v>
      </c>
      <c r="J1276" s="44">
        <v>42.950001</v>
      </c>
      <c r="K1276" s="44">
        <v>95.25</v>
      </c>
    </row>
    <row r="1277" spans="6:11" x14ac:dyDescent="0.3">
      <c r="F1277" s="43">
        <v>39737</v>
      </c>
      <c r="G1277" s="44">
        <v>946.42999299999997</v>
      </c>
      <c r="H1277" s="44">
        <v>557.15997300000004</v>
      </c>
      <c r="I1277" s="44">
        <v>536.57000700000003</v>
      </c>
      <c r="J1277" s="44">
        <v>45.48</v>
      </c>
      <c r="K1277" s="44">
        <v>93.75</v>
      </c>
    </row>
    <row r="1278" spans="6:11" x14ac:dyDescent="0.3">
      <c r="F1278" s="43">
        <v>39738</v>
      </c>
      <c r="G1278" s="44">
        <v>940.54998799999998</v>
      </c>
      <c r="H1278" s="44">
        <v>555.01000999999997</v>
      </c>
      <c r="I1278" s="44">
        <v>526.42999299999997</v>
      </c>
      <c r="J1278" s="44">
        <v>44.509998000000003</v>
      </c>
      <c r="K1278" s="44">
        <v>94.089995999999999</v>
      </c>
    </row>
    <row r="1279" spans="6:11" x14ac:dyDescent="0.3">
      <c r="F1279" s="43">
        <v>39741</v>
      </c>
      <c r="G1279" s="44">
        <v>985.40002400000003</v>
      </c>
      <c r="H1279" s="44">
        <v>579.52002000000005</v>
      </c>
      <c r="I1279" s="44">
        <v>546.84002699999996</v>
      </c>
      <c r="J1279" s="44">
        <v>47.349997999999999</v>
      </c>
      <c r="K1279" s="44">
        <v>95.769997000000004</v>
      </c>
    </row>
    <row r="1280" spans="6:11" x14ac:dyDescent="0.3">
      <c r="F1280" s="43">
        <v>39742</v>
      </c>
      <c r="G1280" s="44">
        <v>955.04998799999998</v>
      </c>
      <c r="H1280" s="44">
        <v>563.29998799999998</v>
      </c>
      <c r="I1280" s="44">
        <v>530.65002400000003</v>
      </c>
      <c r="J1280" s="44">
        <v>44.68</v>
      </c>
      <c r="K1280" s="44">
        <v>96.610000999999997</v>
      </c>
    </row>
    <row r="1281" spans="6:11" x14ac:dyDescent="0.3">
      <c r="F1281" s="43">
        <v>39743</v>
      </c>
      <c r="G1281" s="44">
        <v>896.78002900000001</v>
      </c>
      <c r="H1281" s="44">
        <v>530.19000200000005</v>
      </c>
      <c r="I1281" s="44">
        <v>501.97000100000002</v>
      </c>
      <c r="J1281" s="44">
        <v>41.419998</v>
      </c>
      <c r="K1281" s="44">
        <v>97.730002999999996</v>
      </c>
    </row>
    <row r="1282" spans="6:11" x14ac:dyDescent="0.3">
      <c r="F1282" s="43">
        <v>39744</v>
      </c>
      <c r="G1282" s="44">
        <v>908.10998500000005</v>
      </c>
      <c r="H1282" s="44">
        <v>516.38000499999998</v>
      </c>
      <c r="I1282" s="44">
        <v>489.92001299999998</v>
      </c>
      <c r="J1282" s="44">
        <v>42.330002</v>
      </c>
      <c r="K1282" s="44">
        <v>96.010002</v>
      </c>
    </row>
    <row r="1283" spans="6:11" x14ac:dyDescent="0.3">
      <c r="F1283" s="43">
        <v>39745</v>
      </c>
      <c r="G1283" s="44">
        <v>876.77002000000005</v>
      </c>
      <c r="H1283" s="44">
        <v>501.52999899999998</v>
      </c>
      <c r="I1283" s="44">
        <v>471.11999500000002</v>
      </c>
      <c r="J1283" s="44">
        <v>39.590000000000003</v>
      </c>
      <c r="K1283" s="44">
        <v>95.199996999999996</v>
      </c>
    </row>
    <row r="1284" spans="6:11" x14ac:dyDescent="0.3">
      <c r="F1284" s="43">
        <v>39748</v>
      </c>
      <c r="G1284" s="44">
        <v>848.919983</v>
      </c>
      <c r="H1284" s="44">
        <v>479.98998999999998</v>
      </c>
      <c r="I1284" s="44">
        <v>448.39999399999999</v>
      </c>
      <c r="J1284" s="44">
        <v>37.509998000000003</v>
      </c>
      <c r="K1284" s="44">
        <v>94.25</v>
      </c>
    </row>
    <row r="1285" spans="6:11" x14ac:dyDescent="0.3">
      <c r="F1285" s="43">
        <v>39749</v>
      </c>
      <c r="G1285" s="44">
        <v>940.51000999999997</v>
      </c>
      <c r="H1285" s="44">
        <v>521.30999799999995</v>
      </c>
      <c r="I1285" s="44">
        <v>482.54998799999998</v>
      </c>
      <c r="J1285" s="44">
        <v>42.68</v>
      </c>
      <c r="K1285" s="44">
        <v>94.580001999999993</v>
      </c>
    </row>
    <row r="1286" spans="6:11" x14ac:dyDescent="0.3">
      <c r="F1286" s="43">
        <v>39750</v>
      </c>
      <c r="G1286" s="44">
        <v>930.09002699999996</v>
      </c>
      <c r="H1286" s="44">
        <v>530.67999299999997</v>
      </c>
      <c r="I1286" s="44">
        <v>490.88000499999998</v>
      </c>
      <c r="J1286" s="44">
        <v>42.779998999999997</v>
      </c>
      <c r="K1286" s="44">
        <v>96.379997000000003</v>
      </c>
    </row>
    <row r="1287" spans="6:11" x14ac:dyDescent="0.3">
      <c r="F1287" s="43">
        <v>39751</v>
      </c>
      <c r="G1287" s="44">
        <v>954.09002699999996</v>
      </c>
      <c r="H1287" s="44">
        <v>552.71002199999998</v>
      </c>
      <c r="I1287" s="44">
        <v>514.17999299999997</v>
      </c>
      <c r="J1287" s="44">
        <v>44.279998999999997</v>
      </c>
      <c r="K1287" s="44">
        <v>96.260002</v>
      </c>
    </row>
    <row r="1288" spans="6:11" x14ac:dyDescent="0.3">
      <c r="F1288" s="43">
        <v>39752</v>
      </c>
      <c r="G1288" s="44">
        <v>968.75</v>
      </c>
      <c r="H1288" s="44">
        <v>568.48999000000003</v>
      </c>
      <c r="I1288" s="44">
        <v>537.52002000000005</v>
      </c>
      <c r="J1288" s="44">
        <v>44.57</v>
      </c>
      <c r="K1288" s="44">
        <v>95.959998999999996</v>
      </c>
    </row>
    <row r="1289" spans="6:11" x14ac:dyDescent="0.3">
      <c r="F1289" s="43">
        <v>39755</v>
      </c>
      <c r="G1289" s="44">
        <v>966.29998799999998</v>
      </c>
      <c r="H1289" s="44">
        <v>568.44000200000005</v>
      </c>
      <c r="I1289" s="44">
        <v>538.5</v>
      </c>
      <c r="J1289" s="44">
        <v>44.75</v>
      </c>
      <c r="K1289" s="44">
        <v>94.040001000000004</v>
      </c>
    </row>
    <row r="1290" spans="6:11" x14ac:dyDescent="0.3">
      <c r="F1290" s="43">
        <v>39756</v>
      </c>
      <c r="G1290" s="44">
        <v>1005.75</v>
      </c>
      <c r="H1290" s="44">
        <v>581.44000200000005</v>
      </c>
      <c r="I1290" s="44">
        <v>545.96997099999999</v>
      </c>
      <c r="J1290" s="44">
        <v>47.82</v>
      </c>
      <c r="K1290" s="44">
        <v>95.550003000000004</v>
      </c>
    </row>
    <row r="1291" spans="6:11" x14ac:dyDescent="0.3">
      <c r="F1291" s="43">
        <v>39757</v>
      </c>
      <c r="G1291" s="44">
        <v>952.77002000000005</v>
      </c>
      <c r="H1291" s="44">
        <v>551.72997999999995</v>
      </c>
      <c r="I1291" s="44">
        <v>514.64001499999995</v>
      </c>
      <c r="J1291" s="44">
        <v>45.220001000000003</v>
      </c>
      <c r="K1291" s="44">
        <v>97</v>
      </c>
    </row>
    <row r="1292" spans="6:11" x14ac:dyDescent="0.3">
      <c r="F1292" s="43">
        <v>39758</v>
      </c>
      <c r="G1292" s="44">
        <v>904.88000499999998</v>
      </c>
      <c r="H1292" s="44">
        <v>526.34997599999997</v>
      </c>
      <c r="I1292" s="44">
        <v>495.83999599999999</v>
      </c>
      <c r="J1292" s="44">
        <v>42.299999</v>
      </c>
      <c r="K1292" s="44">
        <v>96.599997999999999</v>
      </c>
    </row>
    <row r="1293" spans="6:11" x14ac:dyDescent="0.3">
      <c r="F1293" s="43">
        <v>39759</v>
      </c>
      <c r="G1293" s="44">
        <v>930.98999000000003</v>
      </c>
      <c r="H1293" s="44">
        <v>539.48999000000003</v>
      </c>
      <c r="I1293" s="44">
        <v>505.790009</v>
      </c>
      <c r="J1293" s="44">
        <v>44.689999</v>
      </c>
      <c r="K1293" s="44">
        <v>97.089995999999999</v>
      </c>
    </row>
    <row r="1294" spans="6:11" x14ac:dyDescent="0.3">
      <c r="F1294" s="43">
        <v>39762</v>
      </c>
      <c r="G1294" s="44">
        <v>919.21002199999998</v>
      </c>
      <c r="H1294" s="44">
        <v>526.11999500000002</v>
      </c>
      <c r="I1294" s="44">
        <v>493.10000600000001</v>
      </c>
      <c r="J1294" s="44">
        <v>44.02</v>
      </c>
      <c r="K1294" s="44">
        <v>96.470000999999996</v>
      </c>
    </row>
    <row r="1295" spans="6:11" x14ac:dyDescent="0.3">
      <c r="F1295" s="43">
        <v>39763</v>
      </c>
      <c r="G1295" s="44">
        <v>898.95001200000002</v>
      </c>
      <c r="H1295" s="44">
        <v>513.75</v>
      </c>
      <c r="I1295" s="44">
        <v>482.290009</v>
      </c>
      <c r="J1295" s="44">
        <v>42.57</v>
      </c>
      <c r="K1295" s="44">
        <v>97.199996999999996</v>
      </c>
    </row>
    <row r="1296" spans="6:11" x14ac:dyDescent="0.3">
      <c r="F1296" s="43">
        <v>39764</v>
      </c>
      <c r="G1296" s="44">
        <v>852.29998799999998</v>
      </c>
      <c r="H1296" s="44">
        <v>485.709991</v>
      </c>
      <c r="I1296" s="44">
        <v>452.79998799999998</v>
      </c>
      <c r="J1296" s="44">
        <v>40.279998999999997</v>
      </c>
      <c r="K1296" s="44">
        <v>96.360000999999997</v>
      </c>
    </row>
    <row r="1297" spans="6:11" x14ac:dyDescent="0.3">
      <c r="F1297" s="43">
        <v>39765</v>
      </c>
      <c r="G1297" s="44">
        <v>911.28997800000002</v>
      </c>
      <c r="H1297" s="44">
        <v>525.51000999999997</v>
      </c>
      <c r="I1297" s="44">
        <v>491.23001099999999</v>
      </c>
      <c r="J1297" s="44">
        <v>43.709999000000003</v>
      </c>
      <c r="K1297" s="44">
        <v>96.690002000000007</v>
      </c>
    </row>
    <row r="1298" spans="6:11" x14ac:dyDescent="0.3">
      <c r="F1298" s="43">
        <v>39766</v>
      </c>
      <c r="G1298" s="44">
        <v>873.28997800000002</v>
      </c>
      <c r="H1298" s="44">
        <v>497.51998900000001</v>
      </c>
      <c r="I1298" s="44">
        <v>456.51998900000001</v>
      </c>
      <c r="J1298" s="44">
        <v>41.200001</v>
      </c>
      <c r="K1298" s="44">
        <v>96.980002999999996</v>
      </c>
    </row>
    <row r="1299" spans="6:11" x14ac:dyDescent="0.3">
      <c r="F1299" s="43">
        <v>39769</v>
      </c>
      <c r="G1299" s="44">
        <v>850.75</v>
      </c>
      <c r="H1299" s="44">
        <v>489.80999800000001</v>
      </c>
      <c r="I1299" s="44">
        <v>451.29998799999998</v>
      </c>
      <c r="J1299" s="44">
        <v>40.450001</v>
      </c>
      <c r="K1299" s="44">
        <v>97.239998</v>
      </c>
    </row>
    <row r="1300" spans="6:11" x14ac:dyDescent="0.3">
      <c r="F1300" s="43">
        <v>39770</v>
      </c>
      <c r="G1300" s="44">
        <v>859.11999500000002</v>
      </c>
      <c r="H1300" s="44">
        <v>488.48998999999998</v>
      </c>
      <c r="I1300" s="44">
        <v>447.51001000000002</v>
      </c>
      <c r="J1300" s="44">
        <v>40.520000000000003</v>
      </c>
      <c r="K1300" s="44">
        <v>97.099997999999999</v>
      </c>
    </row>
    <row r="1301" spans="6:11" x14ac:dyDescent="0.3">
      <c r="F1301" s="43">
        <v>39771</v>
      </c>
      <c r="G1301" s="44">
        <v>806.580017</v>
      </c>
      <c r="H1301" s="44">
        <v>452.39001500000001</v>
      </c>
      <c r="I1301" s="44">
        <v>412.38000499999998</v>
      </c>
      <c r="J1301" s="44">
        <v>37.810001</v>
      </c>
      <c r="K1301" s="44">
        <v>97.379997000000003</v>
      </c>
    </row>
    <row r="1302" spans="6:11" x14ac:dyDescent="0.3">
      <c r="F1302" s="43">
        <v>39772</v>
      </c>
      <c r="G1302" s="44">
        <v>752.44000200000005</v>
      </c>
      <c r="H1302" s="44">
        <v>417.11999500000002</v>
      </c>
      <c r="I1302" s="44">
        <v>385.30999800000001</v>
      </c>
      <c r="J1302" s="44">
        <v>35.729999999999997</v>
      </c>
      <c r="K1302" s="44">
        <v>97.400002000000001</v>
      </c>
    </row>
    <row r="1303" spans="6:11" x14ac:dyDescent="0.3">
      <c r="F1303" s="43">
        <v>39773</v>
      </c>
      <c r="G1303" s="44">
        <v>800.03002900000001</v>
      </c>
      <c r="H1303" s="44">
        <v>441.51001000000002</v>
      </c>
      <c r="I1303" s="44">
        <v>406.540009</v>
      </c>
      <c r="J1303" s="44">
        <v>38.270000000000003</v>
      </c>
      <c r="K1303" s="44">
        <v>96.620002999999997</v>
      </c>
    </row>
    <row r="1304" spans="6:11" x14ac:dyDescent="0.3">
      <c r="F1304" s="43">
        <v>39776</v>
      </c>
      <c r="G1304" s="44">
        <v>851.80999799999995</v>
      </c>
      <c r="H1304" s="44">
        <v>474.51001000000002</v>
      </c>
      <c r="I1304" s="44">
        <v>436.79998799999998</v>
      </c>
      <c r="J1304" s="44">
        <v>40.560001</v>
      </c>
      <c r="K1304" s="44">
        <v>96.610000999999997</v>
      </c>
    </row>
    <row r="1305" spans="6:11" x14ac:dyDescent="0.3">
      <c r="F1305" s="43">
        <v>39777</v>
      </c>
      <c r="G1305" s="44">
        <v>857.39001499999995</v>
      </c>
      <c r="H1305" s="44">
        <v>483.64001500000001</v>
      </c>
      <c r="I1305" s="44">
        <v>443.17999300000002</v>
      </c>
      <c r="J1305" s="44">
        <v>41.299999</v>
      </c>
      <c r="K1305" s="44">
        <v>99.019997000000004</v>
      </c>
    </row>
    <row r="1306" spans="6:11" x14ac:dyDescent="0.3">
      <c r="F1306" s="43">
        <v>39778</v>
      </c>
      <c r="G1306" s="44">
        <v>887.67999299999997</v>
      </c>
      <c r="H1306" s="44">
        <v>509.48001099999999</v>
      </c>
      <c r="I1306" s="44">
        <v>468.85998499999999</v>
      </c>
      <c r="J1306" s="44">
        <v>41.75</v>
      </c>
      <c r="K1306" s="44">
        <v>98.639999000000003</v>
      </c>
    </row>
    <row r="1307" spans="6:11" x14ac:dyDescent="0.3">
      <c r="F1307" s="43">
        <v>39780</v>
      </c>
      <c r="G1307" s="44">
        <v>896.23999000000003</v>
      </c>
      <c r="H1307" s="44">
        <v>514.55999799999995</v>
      </c>
      <c r="I1307" s="44">
        <v>473.14001500000001</v>
      </c>
      <c r="J1307" s="44">
        <v>41.73</v>
      </c>
      <c r="K1307" s="44">
        <v>98.449996999999996</v>
      </c>
    </row>
    <row r="1308" spans="6:11" x14ac:dyDescent="0.3">
      <c r="F1308" s="43">
        <v>39783</v>
      </c>
      <c r="G1308" s="44">
        <v>816.21002199999998</v>
      </c>
      <c r="H1308" s="44">
        <v>458.540009</v>
      </c>
      <c r="I1308" s="44">
        <v>417.07000699999998</v>
      </c>
      <c r="J1308" s="44">
        <v>38.32</v>
      </c>
      <c r="K1308" s="44">
        <v>99.43</v>
      </c>
    </row>
    <row r="1309" spans="6:11" x14ac:dyDescent="0.3">
      <c r="F1309" s="43">
        <v>39784</v>
      </c>
      <c r="G1309" s="44">
        <v>848.80999799999995</v>
      </c>
      <c r="H1309" s="44">
        <v>480.47000100000002</v>
      </c>
      <c r="I1309" s="44">
        <v>441.82000699999998</v>
      </c>
      <c r="J1309" s="44">
        <v>40.400002000000001</v>
      </c>
      <c r="K1309" s="44">
        <v>99.529999000000004</v>
      </c>
    </row>
    <row r="1310" spans="6:11" x14ac:dyDescent="0.3">
      <c r="F1310" s="43">
        <v>39785</v>
      </c>
      <c r="G1310" s="44">
        <v>870.73999000000003</v>
      </c>
      <c r="H1310" s="44">
        <v>492.35000600000001</v>
      </c>
      <c r="I1310" s="44">
        <v>453.76001000000002</v>
      </c>
      <c r="J1310" s="44">
        <v>40.939999</v>
      </c>
      <c r="K1310" s="44">
        <v>99.540001000000004</v>
      </c>
    </row>
    <row r="1311" spans="6:11" x14ac:dyDescent="0.3">
      <c r="F1311" s="43">
        <v>39786</v>
      </c>
      <c r="G1311" s="44">
        <v>845.21997099999999</v>
      </c>
      <c r="H1311" s="44">
        <v>475.27999899999998</v>
      </c>
      <c r="I1311" s="44">
        <v>439.52999899999998</v>
      </c>
      <c r="J1311" s="44">
        <v>39.68</v>
      </c>
      <c r="K1311" s="44">
        <v>99.870002999999997</v>
      </c>
    </row>
    <row r="1312" spans="6:11" x14ac:dyDescent="0.3">
      <c r="F1312" s="43">
        <v>39787</v>
      </c>
      <c r="G1312" s="44">
        <v>876.07000700000003</v>
      </c>
      <c r="H1312" s="44">
        <v>498.11999500000002</v>
      </c>
      <c r="I1312" s="44">
        <v>461.08999599999999</v>
      </c>
      <c r="J1312" s="44">
        <v>40.18</v>
      </c>
      <c r="K1312" s="44">
        <v>99.32</v>
      </c>
    </row>
    <row r="1313" spans="6:11" x14ac:dyDescent="0.3">
      <c r="F1313" s="43">
        <v>39790</v>
      </c>
      <c r="G1313" s="44">
        <v>909.70001200000002</v>
      </c>
      <c r="H1313" s="44">
        <v>517.09002699999996</v>
      </c>
      <c r="I1313" s="44">
        <v>481.38000499999998</v>
      </c>
      <c r="J1313" s="44">
        <v>42.09</v>
      </c>
      <c r="K1313" s="44">
        <v>99.190002000000007</v>
      </c>
    </row>
    <row r="1314" spans="6:11" x14ac:dyDescent="0.3">
      <c r="F1314" s="43">
        <v>39791</v>
      </c>
      <c r="G1314" s="44">
        <v>888.669983</v>
      </c>
      <c r="H1314" s="44">
        <v>503.66000400000001</v>
      </c>
      <c r="I1314" s="44">
        <v>465.709991</v>
      </c>
      <c r="J1314" s="44">
        <v>41.700001</v>
      </c>
      <c r="K1314" s="44">
        <v>100.120003</v>
      </c>
    </row>
    <row r="1315" spans="6:11" x14ac:dyDescent="0.3">
      <c r="F1315" s="43">
        <v>39792</v>
      </c>
      <c r="G1315" s="44">
        <v>899.23999000000003</v>
      </c>
      <c r="H1315" s="44">
        <v>517.23999000000003</v>
      </c>
      <c r="I1315" s="44">
        <v>476.39999399999999</v>
      </c>
      <c r="J1315" s="44">
        <v>42.799999</v>
      </c>
      <c r="K1315" s="44">
        <v>99.940002000000007</v>
      </c>
    </row>
    <row r="1316" spans="6:11" x14ac:dyDescent="0.3">
      <c r="F1316" s="43">
        <v>39793</v>
      </c>
      <c r="G1316" s="44">
        <v>873.59002699999996</v>
      </c>
      <c r="H1316" s="44">
        <v>493.02999899999998</v>
      </c>
      <c r="I1316" s="44">
        <v>451.209991</v>
      </c>
      <c r="J1316" s="44">
        <v>42.610000999999997</v>
      </c>
      <c r="K1316" s="44">
        <v>100.459999</v>
      </c>
    </row>
    <row r="1317" spans="6:11" x14ac:dyDescent="0.3">
      <c r="F1317" s="43">
        <v>39794</v>
      </c>
      <c r="G1317" s="44">
        <v>879.72997999999995</v>
      </c>
      <c r="H1317" s="44">
        <v>507.51998900000001</v>
      </c>
      <c r="I1317" s="44">
        <v>468.42999300000002</v>
      </c>
      <c r="J1317" s="44">
        <v>43.029998999999997</v>
      </c>
      <c r="K1317" s="44">
        <v>100.489998</v>
      </c>
    </row>
    <row r="1318" spans="6:11" x14ac:dyDescent="0.3">
      <c r="F1318" s="43">
        <v>39797</v>
      </c>
      <c r="G1318" s="44">
        <v>868.57000700000003</v>
      </c>
      <c r="H1318" s="44">
        <v>494.32998700000002</v>
      </c>
      <c r="I1318" s="44">
        <v>452.57000699999998</v>
      </c>
      <c r="J1318" s="44">
        <v>43.139999000000003</v>
      </c>
      <c r="K1318" s="44">
        <v>100.730003</v>
      </c>
    </row>
    <row r="1319" spans="6:11" x14ac:dyDescent="0.3">
      <c r="F1319" s="43">
        <v>39798</v>
      </c>
      <c r="G1319" s="44">
        <v>913.17999299999997</v>
      </c>
      <c r="H1319" s="44">
        <v>524.64001499999995</v>
      </c>
      <c r="I1319" s="44">
        <v>482.85000600000001</v>
      </c>
      <c r="J1319" s="44">
        <v>45.619999</v>
      </c>
      <c r="K1319" s="44">
        <v>101.129997</v>
      </c>
    </row>
    <row r="1320" spans="6:11" x14ac:dyDescent="0.3">
      <c r="F1320" s="43">
        <v>39799</v>
      </c>
      <c r="G1320" s="44">
        <v>904.419983</v>
      </c>
      <c r="H1320" s="44">
        <v>529.59997599999997</v>
      </c>
      <c r="I1320" s="44">
        <v>486.58999599999999</v>
      </c>
      <c r="J1320" s="44">
        <v>45.389999000000003</v>
      </c>
      <c r="K1320" s="44">
        <v>101.66999800000001</v>
      </c>
    </row>
    <row r="1321" spans="6:11" x14ac:dyDescent="0.3">
      <c r="F1321" s="43">
        <v>39800</v>
      </c>
      <c r="G1321" s="44">
        <v>885.28002900000001</v>
      </c>
      <c r="H1321" s="44">
        <v>519.84002699999996</v>
      </c>
      <c r="I1321" s="44">
        <v>479.17001299999998</v>
      </c>
      <c r="J1321" s="44">
        <v>44</v>
      </c>
      <c r="K1321" s="44">
        <v>102.30999799999999</v>
      </c>
    </row>
    <row r="1322" spans="6:11" x14ac:dyDescent="0.3">
      <c r="F1322" s="43">
        <v>39801</v>
      </c>
      <c r="G1322" s="44">
        <v>887.88000499999998</v>
      </c>
      <c r="H1322" s="44">
        <v>523.39001499999995</v>
      </c>
      <c r="I1322" s="44">
        <v>486.26001000000002</v>
      </c>
      <c r="J1322" s="44">
        <v>43.360000999999997</v>
      </c>
      <c r="K1322" s="44">
        <v>101.980003</v>
      </c>
    </row>
    <row r="1323" spans="6:11" x14ac:dyDescent="0.3">
      <c r="F1323" s="43">
        <v>39804</v>
      </c>
      <c r="G1323" s="44">
        <v>871.63000499999998</v>
      </c>
      <c r="H1323" s="44">
        <v>510.64001500000001</v>
      </c>
      <c r="I1323" s="44">
        <v>475.07000699999998</v>
      </c>
      <c r="J1323" s="44">
        <v>43.060001</v>
      </c>
      <c r="K1323" s="44">
        <v>102.529999</v>
      </c>
    </row>
    <row r="1324" spans="6:11" x14ac:dyDescent="0.3">
      <c r="F1324" s="43">
        <v>39805</v>
      </c>
      <c r="G1324" s="44">
        <v>863.15997300000004</v>
      </c>
      <c r="H1324" s="44">
        <v>506.10998499999999</v>
      </c>
      <c r="I1324" s="44">
        <v>468.64001500000001</v>
      </c>
      <c r="J1324" s="44">
        <v>42.200001</v>
      </c>
      <c r="K1324" s="44">
        <v>103.529999</v>
      </c>
    </row>
    <row r="1325" spans="6:11" x14ac:dyDescent="0.3">
      <c r="F1325" s="43">
        <v>39806</v>
      </c>
      <c r="G1325" s="44">
        <v>868.15002400000003</v>
      </c>
      <c r="H1325" s="44">
        <v>508.209991</v>
      </c>
      <c r="I1325" s="44">
        <v>470.48998999999998</v>
      </c>
      <c r="J1325" s="44">
        <v>42.759998000000003</v>
      </c>
      <c r="K1325" s="44">
        <v>104.019997</v>
      </c>
    </row>
    <row r="1326" spans="6:11" x14ac:dyDescent="0.3">
      <c r="F1326" s="43">
        <v>39808</v>
      </c>
      <c r="G1326" s="44">
        <v>872.79998799999998</v>
      </c>
      <c r="H1326" s="44">
        <v>514.90002400000003</v>
      </c>
      <c r="I1326" s="44">
        <v>476.76998900000001</v>
      </c>
      <c r="J1326" s="44">
        <v>42.959999000000003</v>
      </c>
      <c r="K1326" s="44">
        <v>103.66999800000001</v>
      </c>
    </row>
    <row r="1327" spans="6:11" x14ac:dyDescent="0.3">
      <c r="F1327" s="43">
        <v>39811</v>
      </c>
      <c r="G1327" s="44">
        <v>869.419983</v>
      </c>
      <c r="H1327" s="44">
        <v>507.44000199999999</v>
      </c>
      <c r="I1327" s="44">
        <v>466.14999399999999</v>
      </c>
      <c r="J1327" s="44">
        <v>42.970001000000003</v>
      </c>
      <c r="K1327" s="44">
        <v>104.089996</v>
      </c>
    </row>
    <row r="1328" spans="6:11" x14ac:dyDescent="0.3">
      <c r="F1328" s="43">
        <v>39812</v>
      </c>
      <c r="G1328" s="44">
        <v>890.64001499999995</v>
      </c>
      <c r="H1328" s="44">
        <v>524.61999500000002</v>
      </c>
      <c r="I1328" s="44">
        <v>482.76998900000001</v>
      </c>
      <c r="J1328" s="44">
        <v>44.259998000000003</v>
      </c>
      <c r="K1328" s="44">
        <v>104.129997</v>
      </c>
    </row>
    <row r="1329" spans="6:11" x14ac:dyDescent="0.3">
      <c r="F1329" s="43">
        <v>39813</v>
      </c>
      <c r="G1329" s="44">
        <v>903.25</v>
      </c>
      <c r="H1329" s="44">
        <v>538.28002900000001</v>
      </c>
      <c r="I1329" s="44">
        <v>499.45001200000002</v>
      </c>
      <c r="J1329" s="44">
        <v>44.860000999999997</v>
      </c>
      <c r="K1329" s="44">
        <v>104.199997</v>
      </c>
    </row>
    <row r="1330" spans="6:11" x14ac:dyDescent="0.3">
      <c r="F1330" s="43">
        <v>39815</v>
      </c>
      <c r="G1330" s="44">
        <v>931.79998799999998</v>
      </c>
      <c r="H1330" s="44">
        <v>551.34002699999996</v>
      </c>
      <c r="I1330" s="44">
        <v>505.83999599999999</v>
      </c>
      <c r="J1330" s="44">
        <v>45.439999</v>
      </c>
      <c r="K1330" s="44">
        <v>103.550003</v>
      </c>
    </row>
    <row r="1331" spans="6:11" x14ac:dyDescent="0.3">
      <c r="F1331" s="43">
        <v>39818</v>
      </c>
      <c r="G1331" s="44">
        <v>927.45001200000002</v>
      </c>
      <c r="H1331" s="44">
        <v>550.51000999999997</v>
      </c>
      <c r="I1331" s="44">
        <v>505.02999899999998</v>
      </c>
      <c r="J1331" s="44">
        <v>44.709999000000003</v>
      </c>
      <c r="K1331" s="44">
        <v>105.199997</v>
      </c>
    </row>
    <row r="1332" spans="6:11" x14ac:dyDescent="0.3">
      <c r="F1332" s="43">
        <v>39819</v>
      </c>
      <c r="G1332" s="44">
        <v>934.70001200000002</v>
      </c>
      <c r="H1332" s="44">
        <v>559.36999500000002</v>
      </c>
      <c r="I1332" s="44">
        <v>514.71002199999998</v>
      </c>
      <c r="J1332" s="44">
        <v>45.189999</v>
      </c>
      <c r="K1332" s="44">
        <v>104.610001</v>
      </c>
    </row>
    <row r="1333" spans="6:11" x14ac:dyDescent="0.3">
      <c r="F1333" s="43">
        <v>39820</v>
      </c>
      <c r="G1333" s="44">
        <v>906.65002400000003</v>
      </c>
      <c r="H1333" s="44">
        <v>541.15002400000003</v>
      </c>
      <c r="I1333" s="44">
        <v>497.10000600000001</v>
      </c>
      <c r="J1333" s="44">
        <v>44.41</v>
      </c>
      <c r="K1333" s="44">
        <v>103.650002</v>
      </c>
    </row>
    <row r="1334" spans="6:11" x14ac:dyDescent="0.3">
      <c r="F1334" s="43">
        <v>39821</v>
      </c>
      <c r="G1334" s="44">
        <v>909.72997999999995</v>
      </c>
      <c r="H1334" s="44">
        <v>545.36999500000002</v>
      </c>
      <c r="I1334" s="44">
        <v>502.01001000000002</v>
      </c>
      <c r="J1334" s="44">
        <v>45.07</v>
      </c>
      <c r="K1334" s="44">
        <v>102.860001</v>
      </c>
    </row>
    <row r="1335" spans="6:11" x14ac:dyDescent="0.3">
      <c r="F1335" s="43">
        <v>39822</v>
      </c>
      <c r="G1335" s="44">
        <v>890.34997599999997</v>
      </c>
      <c r="H1335" s="44">
        <v>530.51000999999997</v>
      </c>
      <c r="I1335" s="44">
        <v>481.29998799999998</v>
      </c>
      <c r="J1335" s="44">
        <v>43.509998000000003</v>
      </c>
      <c r="K1335" s="44">
        <v>102.510002</v>
      </c>
    </row>
    <row r="1336" spans="6:11" x14ac:dyDescent="0.3">
      <c r="F1336" s="43">
        <v>39825</v>
      </c>
      <c r="G1336" s="44">
        <v>870.26000999999997</v>
      </c>
      <c r="H1336" s="44">
        <v>515.75</v>
      </c>
      <c r="I1336" s="44">
        <v>468.79998799999998</v>
      </c>
      <c r="J1336" s="44">
        <v>42.459999000000003</v>
      </c>
      <c r="K1336" s="44">
        <v>103.050003</v>
      </c>
    </row>
    <row r="1337" spans="6:11" x14ac:dyDescent="0.3">
      <c r="F1337" s="43">
        <v>39826</v>
      </c>
      <c r="G1337" s="44">
        <v>871.78997800000002</v>
      </c>
      <c r="H1337" s="44">
        <v>521.48999000000003</v>
      </c>
      <c r="I1337" s="44">
        <v>473.790009</v>
      </c>
      <c r="J1337" s="44">
        <v>41.68</v>
      </c>
      <c r="K1337" s="44">
        <v>103.220001</v>
      </c>
    </row>
    <row r="1338" spans="6:11" x14ac:dyDescent="0.3">
      <c r="F1338" s="43">
        <v>39827</v>
      </c>
      <c r="G1338" s="44">
        <v>842.61999500000002</v>
      </c>
      <c r="H1338" s="44">
        <v>500.709991</v>
      </c>
      <c r="I1338" s="44">
        <v>453.17001299999998</v>
      </c>
      <c r="J1338" s="44">
        <v>39.970001000000003</v>
      </c>
      <c r="K1338" s="44">
        <v>103.08000199999999</v>
      </c>
    </row>
    <row r="1339" spans="6:11" x14ac:dyDescent="0.3">
      <c r="F1339" s="43">
        <v>39828</v>
      </c>
      <c r="G1339" s="44">
        <v>843.73999000000003</v>
      </c>
      <c r="H1339" s="44">
        <v>509.32000699999998</v>
      </c>
      <c r="I1339" s="44">
        <v>462.61999500000002</v>
      </c>
      <c r="J1339" s="44">
        <v>40.330002</v>
      </c>
      <c r="K1339" s="44">
        <v>103.07</v>
      </c>
    </row>
    <row r="1340" spans="6:11" x14ac:dyDescent="0.3">
      <c r="F1340" s="43">
        <v>39829</v>
      </c>
      <c r="G1340" s="44">
        <v>850.11999500000002</v>
      </c>
      <c r="H1340" s="44">
        <v>516.75</v>
      </c>
      <c r="I1340" s="44">
        <v>466.45001200000002</v>
      </c>
      <c r="J1340" s="44">
        <v>40.57</v>
      </c>
      <c r="K1340" s="44">
        <v>103.599998</v>
      </c>
    </row>
    <row r="1341" spans="6:11" x14ac:dyDescent="0.3">
      <c r="F1341" s="43">
        <v>39833</v>
      </c>
      <c r="G1341" s="44">
        <v>805.21997099999999</v>
      </c>
      <c r="H1341" s="44">
        <v>485.76998900000001</v>
      </c>
      <c r="I1341" s="44">
        <v>433.64999399999999</v>
      </c>
      <c r="J1341" s="44">
        <v>37.599997999999999</v>
      </c>
      <c r="K1341" s="44">
        <v>103.05999799999999</v>
      </c>
    </row>
    <row r="1342" spans="6:11" x14ac:dyDescent="0.3">
      <c r="F1342" s="43">
        <v>39834</v>
      </c>
      <c r="G1342" s="44">
        <v>840.23999000000003</v>
      </c>
      <c r="H1342" s="44">
        <v>508.16000400000001</v>
      </c>
      <c r="I1342" s="44">
        <v>456.76001000000002</v>
      </c>
      <c r="J1342" s="44">
        <v>39.439999</v>
      </c>
      <c r="K1342" s="44">
        <v>102.519997</v>
      </c>
    </row>
    <row r="1343" spans="6:11" x14ac:dyDescent="0.3">
      <c r="F1343" s="43">
        <v>39835</v>
      </c>
      <c r="G1343" s="44">
        <v>827.5</v>
      </c>
      <c r="H1343" s="44">
        <v>496.63000499999998</v>
      </c>
      <c r="I1343" s="44">
        <v>442.85000600000001</v>
      </c>
      <c r="J1343" s="44">
        <v>38.520000000000003</v>
      </c>
      <c r="K1343" s="44">
        <v>102.08000199999999</v>
      </c>
    </row>
    <row r="1344" spans="6:11" x14ac:dyDescent="0.3">
      <c r="F1344" s="43">
        <v>39836</v>
      </c>
      <c r="G1344" s="44">
        <v>831.95001200000002</v>
      </c>
      <c r="H1344" s="44">
        <v>501.39999399999999</v>
      </c>
      <c r="I1344" s="44">
        <v>444.35998499999999</v>
      </c>
      <c r="J1344" s="44">
        <v>38.25</v>
      </c>
      <c r="K1344" s="44">
        <v>101.91999800000001</v>
      </c>
    </row>
    <row r="1345" spans="6:11" x14ac:dyDescent="0.3">
      <c r="F1345" s="43">
        <v>39839</v>
      </c>
      <c r="G1345" s="44">
        <v>836.57000700000003</v>
      </c>
      <c r="H1345" s="44">
        <v>504.38000499999998</v>
      </c>
      <c r="I1345" s="44">
        <v>450.05999800000001</v>
      </c>
      <c r="J1345" s="44">
        <v>39</v>
      </c>
      <c r="K1345" s="44">
        <v>101.82</v>
      </c>
    </row>
    <row r="1346" spans="6:11" x14ac:dyDescent="0.3">
      <c r="F1346" s="43">
        <v>39840</v>
      </c>
      <c r="G1346" s="44">
        <v>845.71002199999998</v>
      </c>
      <c r="H1346" s="44">
        <v>511.540009</v>
      </c>
      <c r="I1346" s="44">
        <v>455.57998700000002</v>
      </c>
      <c r="J1346" s="44">
        <v>39.759998000000003</v>
      </c>
      <c r="K1346" s="44">
        <v>102.339996</v>
      </c>
    </row>
    <row r="1347" spans="6:11" x14ac:dyDescent="0.3">
      <c r="F1347" s="43">
        <v>39841</v>
      </c>
      <c r="G1347" s="44">
        <v>874.09002699999996</v>
      </c>
      <c r="H1347" s="44">
        <v>530.51000999999997</v>
      </c>
      <c r="I1347" s="44">
        <v>473.01998900000001</v>
      </c>
      <c r="J1347" s="44">
        <v>40.93</v>
      </c>
      <c r="K1347" s="44">
        <v>102.400002</v>
      </c>
    </row>
    <row r="1348" spans="6:11" x14ac:dyDescent="0.3">
      <c r="F1348" s="43">
        <v>39842</v>
      </c>
      <c r="G1348" s="44">
        <v>845.14001499999995</v>
      </c>
      <c r="H1348" s="44">
        <v>512.169983</v>
      </c>
      <c r="I1348" s="44">
        <v>453.23998999999998</v>
      </c>
      <c r="J1348" s="44">
        <v>39.07</v>
      </c>
      <c r="K1348" s="44">
        <v>101.489998</v>
      </c>
    </row>
    <row r="1349" spans="6:11" x14ac:dyDescent="0.3">
      <c r="F1349" s="43">
        <v>39843</v>
      </c>
      <c r="G1349" s="44">
        <v>825.88000499999998</v>
      </c>
      <c r="H1349" s="44">
        <v>498.67999300000002</v>
      </c>
      <c r="I1349" s="44">
        <v>443.52999899999998</v>
      </c>
      <c r="J1349" s="44">
        <v>38.700001</v>
      </c>
      <c r="K1349" s="44">
        <v>102.129997</v>
      </c>
    </row>
    <row r="1350" spans="6:11" x14ac:dyDescent="0.3">
      <c r="F1350" s="43">
        <v>39846</v>
      </c>
      <c r="G1350" s="44">
        <v>825.44000200000005</v>
      </c>
      <c r="H1350" s="44">
        <v>500.26998900000001</v>
      </c>
      <c r="I1350" s="44">
        <v>449.60998499999999</v>
      </c>
      <c r="J1350" s="44">
        <v>38.32</v>
      </c>
      <c r="K1350" s="44">
        <v>101.589996</v>
      </c>
    </row>
    <row r="1351" spans="6:11" x14ac:dyDescent="0.3">
      <c r="F1351" s="43">
        <v>39847</v>
      </c>
      <c r="G1351" s="44">
        <v>838.51000999999997</v>
      </c>
      <c r="H1351" s="44">
        <v>504.16000400000001</v>
      </c>
      <c r="I1351" s="44">
        <v>452.89999399999999</v>
      </c>
      <c r="J1351" s="44">
        <v>39.419998</v>
      </c>
      <c r="K1351" s="44">
        <v>101.139999</v>
      </c>
    </row>
    <row r="1352" spans="6:11" x14ac:dyDescent="0.3">
      <c r="F1352" s="43">
        <v>39848</v>
      </c>
      <c r="G1352" s="44">
        <v>832.22997999999995</v>
      </c>
      <c r="H1352" s="44">
        <v>503.08999599999999</v>
      </c>
      <c r="I1352" s="44">
        <v>448.48001099999999</v>
      </c>
      <c r="J1352" s="44">
        <v>39.220001000000003</v>
      </c>
      <c r="K1352" s="44">
        <v>101</v>
      </c>
    </row>
    <row r="1353" spans="6:11" x14ac:dyDescent="0.3">
      <c r="F1353" s="43">
        <v>39849</v>
      </c>
      <c r="G1353" s="44">
        <v>845.84997599999997</v>
      </c>
      <c r="H1353" s="44">
        <v>511.10000600000001</v>
      </c>
      <c r="I1353" s="44">
        <v>455.07998700000002</v>
      </c>
      <c r="J1353" s="44">
        <v>39.779998999999997</v>
      </c>
      <c r="K1353" s="44">
        <v>100.68</v>
      </c>
    </row>
    <row r="1354" spans="6:11" x14ac:dyDescent="0.3">
      <c r="F1354" s="43">
        <v>39850</v>
      </c>
      <c r="G1354" s="44">
        <v>868.59997599999997</v>
      </c>
      <c r="H1354" s="44">
        <v>530.580017</v>
      </c>
      <c r="I1354" s="44">
        <v>470.70001200000002</v>
      </c>
      <c r="J1354" s="44">
        <v>40.700001</v>
      </c>
      <c r="K1354" s="44">
        <v>100.949997</v>
      </c>
    </row>
    <row r="1355" spans="6:11" x14ac:dyDescent="0.3">
      <c r="F1355" s="43">
        <v>39853</v>
      </c>
      <c r="G1355" s="44">
        <v>869.89001499999995</v>
      </c>
      <c r="H1355" s="44">
        <v>529.36999500000002</v>
      </c>
      <c r="I1355" s="44">
        <v>467.94000199999999</v>
      </c>
      <c r="J1355" s="44">
        <v>40.689999</v>
      </c>
      <c r="K1355" s="44">
        <v>100.959999</v>
      </c>
    </row>
    <row r="1356" spans="6:11" x14ac:dyDescent="0.3">
      <c r="F1356" s="43">
        <v>39854</v>
      </c>
      <c r="G1356" s="44">
        <v>827.15997300000004</v>
      </c>
      <c r="H1356" s="44">
        <v>505.54998799999998</v>
      </c>
      <c r="I1356" s="44">
        <v>445.76998900000001</v>
      </c>
      <c r="J1356" s="44">
        <v>38.669998</v>
      </c>
      <c r="K1356" s="44">
        <v>101.58000199999999</v>
      </c>
    </row>
    <row r="1357" spans="6:11" x14ac:dyDescent="0.3">
      <c r="F1357" s="43">
        <v>39855</v>
      </c>
      <c r="G1357" s="44">
        <v>833.73999000000003</v>
      </c>
      <c r="H1357" s="44">
        <v>506.89001500000001</v>
      </c>
      <c r="I1357" s="44">
        <v>447.95001200000002</v>
      </c>
      <c r="J1357" s="44">
        <v>39.090000000000003</v>
      </c>
      <c r="K1357" s="44">
        <v>101.55999799999999</v>
      </c>
    </row>
    <row r="1358" spans="6:11" x14ac:dyDescent="0.3">
      <c r="F1358" s="43">
        <v>39856</v>
      </c>
      <c r="G1358" s="44">
        <v>835.19000200000005</v>
      </c>
      <c r="H1358" s="44">
        <v>509.51001000000002</v>
      </c>
      <c r="I1358" s="44">
        <v>450.42001299999998</v>
      </c>
      <c r="J1358" s="44">
        <v>38.970001000000003</v>
      </c>
      <c r="K1358" s="44">
        <v>102.099998</v>
      </c>
    </row>
    <row r="1359" spans="6:11" x14ac:dyDescent="0.3">
      <c r="F1359" s="43">
        <v>39857</v>
      </c>
      <c r="G1359" s="44">
        <v>826.84002699999996</v>
      </c>
      <c r="H1359" s="44">
        <v>505.51998900000001</v>
      </c>
      <c r="I1359" s="44">
        <v>448.35998499999999</v>
      </c>
      <c r="J1359" s="44">
        <v>38.549999</v>
      </c>
      <c r="K1359" s="44">
        <v>101.790001</v>
      </c>
    </row>
    <row r="1360" spans="6:11" x14ac:dyDescent="0.3">
      <c r="F1360" s="43">
        <v>39861</v>
      </c>
      <c r="G1360" s="44">
        <v>789.169983</v>
      </c>
      <c r="H1360" s="44">
        <v>484.10998499999999</v>
      </c>
      <c r="I1360" s="44">
        <v>428.89999399999999</v>
      </c>
      <c r="J1360" s="44">
        <v>36.5</v>
      </c>
      <c r="K1360" s="44">
        <v>101.870003</v>
      </c>
    </row>
    <row r="1361" spans="6:11" x14ac:dyDescent="0.3">
      <c r="F1361" s="43">
        <v>39862</v>
      </c>
      <c r="G1361" s="44">
        <v>788.419983</v>
      </c>
      <c r="H1361" s="44">
        <v>478.11999500000002</v>
      </c>
      <c r="I1361" s="44">
        <v>423.17999300000002</v>
      </c>
      <c r="J1361" s="44">
        <v>36.470001000000003</v>
      </c>
      <c r="K1361" s="44">
        <v>101.660004</v>
      </c>
    </row>
    <row r="1362" spans="6:11" x14ac:dyDescent="0.3">
      <c r="F1362" s="43">
        <v>39863</v>
      </c>
      <c r="G1362" s="44">
        <v>778.94000200000005</v>
      </c>
      <c r="H1362" s="44">
        <v>470.54998799999998</v>
      </c>
      <c r="I1362" s="44">
        <v>416.709991</v>
      </c>
      <c r="J1362" s="44">
        <v>36.419998</v>
      </c>
      <c r="K1362" s="44">
        <v>101.5</v>
      </c>
    </row>
    <row r="1363" spans="6:11" x14ac:dyDescent="0.3">
      <c r="F1363" s="43">
        <v>39864</v>
      </c>
      <c r="G1363" s="44">
        <v>770.04998799999998</v>
      </c>
      <c r="H1363" s="44">
        <v>466.61999500000002</v>
      </c>
      <c r="I1363" s="44">
        <v>410.959991</v>
      </c>
      <c r="J1363" s="44">
        <v>35.889999000000003</v>
      </c>
      <c r="K1363" s="44">
        <v>100.980003</v>
      </c>
    </row>
    <row r="1364" spans="6:11" x14ac:dyDescent="0.3">
      <c r="F1364" s="43">
        <v>39867</v>
      </c>
      <c r="G1364" s="44">
        <v>743.330017</v>
      </c>
      <c r="H1364" s="44">
        <v>447.92999300000002</v>
      </c>
      <c r="I1364" s="44">
        <v>394.57998700000002</v>
      </c>
      <c r="J1364" s="44">
        <v>34.520000000000003</v>
      </c>
      <c r="K1364" s="44">
        <v>101.5</v>
      </c>
    </row>
    <row r="1365" spans="6:11" x14ac:dyDescent="0.3">
      <c r="F1365" s="43">
        <v>39868</v>
      </c>
      <c r="G1365" s="44">
        <v>773.14001499999995</v>
      </c>
      <c r="H1365" s="44">
        <v>467.85000600000001</v>
      </c>
      <c r="I1365" s="44">
        <v>412.48001099999999</v>
      </c>
      <c r="J1365" s="44">
        <v>35.959999000000003</v>
      </c>
      <c r="K1365" s="44">
        <v>101.300003</v>
      </c>
    </row>
    <row r="1366" spans="6:11" x14ac:dyDescent="0.3">
      <c r="F1366" s="43">
        <v>39869</v>
      </c>
      <c r="G1366" s="44">
        <v>764.90002400000003</v>
      </c>
      <c r="H1366" s="44">
        <v>461.209991</v>
      </c>
      <c r="I1366" s="44">
        <v>401.44000199999999</v>
      </c>
      <c r="J1366" s="44">
        <v>34.970001000000003</v>
      </c>
      <c r="K1366" s="44">
        <v>101.209999</v>
      </c>
    </row>
    <row r="1367" spans="6:11" x14ac:dyDescent="0.3">
      <c r="F1367" s="43">
        <v>39870</v>
      </c>
      <c r="G1367" s="44">
        <v>752.830017</v>
      </c>
      <c r="H1367" s="44">
        <v>452.97000100000002</v>
      </c>
      <c r="I1367" s="44">
        <v>392.95001200000002</v>
      </c>
      <c r="J1367" s="44">
        <v>34.68</v>
      </c>
      <c r="K1367" s="44">
        <v>100.68</v>
      </c>
    </row>
    <row r="1368" spans="6:11" x14ac:dyDescent="0.3">
      <c r="F1368" s="43">
        <v>39871</v>
      </c>
      <c r="G1368" s="44">
        <v>735.09002699999996</v>
      </c>
      <c r="H1368" s="44">
        <v>449.44000199999999</v>
      </c>
      <c r="I1368" s="44">
        <v>389.01998900000001</v>
      </c>
      <c r="J1368" s="44">
        <v>34.68</v>
      </c>
      <c r="K1368" s="44">
        <v>100.69000200000001</v>
      </c>
    </row>
    <row r="1369" spans="6:11" x14ac:dyDescent="0.3">
      <c r="F1369" s="43">
        <v>39874</v>
      </c>
      <c r="G1369" s="44">
        <v>700.82000700000003</v>
      </c>
      <c r="H1369" s="44">
        <v>422.07000699999998</v>
      </c>
      <c r="I1369" s="44">
        <v>367.79998799999998</v>
      </c>
      <c r="J1369" s="44">
        <v>32.689999</v>
      </c>
      <c r="K1369" s="44">
        <v>100.699997</v>
      </c>
    </row>
    <row r="1370" spans="6:11" x14ac:dyDescent="0.3">
      <c r="F1370" s="43">
        <v>39875</v>
      </c>
      <c r="G1370" s="44">
        <v>696.330017</v>
      </c>
      <c r="H1370" s="44">
        <v>419.26001000000002</v>
      </c>
      <c r="I1370" s="44">
        <v>361.01001000000002</v>
      </c>
      <c r="J1370" s="44">
        <v>32.560001</v>
      </c>
      <c r="K1370" s="44">
        <v>100.57</v>
      </c>
    </row>
    <row r="1371" spans="6:11" x14ac:dyDescent="0.3">
      <c r="F1371" s="43">
        <v>39876</v>
      </c>
      <c r="G1371" s="44">
        <v>712.86999500000002</v>
      </c>
      <c r="H1371" s="44">
        <v>432.01998900000001</v>
      </c>
      <c r="I1371" s="44">
        <v>371.29998799999998</v>
      </c>
      <c r="J1371" s="44">
        <v>34.009998000000003</v>
      </c>
      <c r="K1371" s="44">
        <v>100.099998</v>
      </c>
    </row>
    <row r="1372" spans="6:11" x14ac:dyDescent="0.3">
      <c r="F1372" s="43">
        <v>39877</v>
      </c>
      <c r="G1372" s="44">
        <v>682.54998799999998</v>
      </c>
      <c r="H1372" s="44">
        <v>411.08999599999999</v>
      </c>
      <c r="I1372" s="44">
        <v>349.45001200000002</v>
      </c>
      <c r="J1372" s="44">
        <v>32.639999000000003</v>
      </c>
      <c r="K1372" s="44">
        <v>100.43</v>
      </c>
    </row>
    <row r="1373" spans="6:11" x14ac:dyDescent="0.3">
      <c r="F1373" s="43">
        <v>39878</v>
      </c>
      <c r="G1373" s="44">
        <v>683.38000499999998</v>
      </c>
      <c r="H1373" s="44">
        <v>408.13000499999998</v>
      </c>
      <c r="I1373" s="44">
        <v>351.04998799999998</v>
      </c>
      <c r="J1373" s="44">
        <v>32.580002</v>
      </c>
      <c r="K1373" s="44">
        <v>100.699997</v>
      </c>
    </row>
    <row r="1374" spans="6:11" x14ac:dyDescent="0.3">
      <c r="F1374" s="43">
        <v>39881</v>
      </c>
      <c r="G1374" s="44">
        <v>676.53002900000001</v>
      </c>
      <c r="H1374" s="44">
        <v>404.61999500000002</v>
      </c>
      <c r="I1374" s="44">
        <v>343.26001000000002</v>
      </c>
      <c r="J1374" s="44">
        <v>31.700001</v>
      </c>
      <c r="K1374" s="44">
        <v>100.010002</v>
      </c>
    </row>
    <row r="1375" spans="6:11" x14ac:dyDescent="0.3">
      <c r="F1375" s="43">
        <v>39882</v>
      </c>
      <c r="G1375" s="44">
        <v>719.59997599999997</v>
      </c>
      <c r="H1375" s="44">
        <v>432.69000199999999</v>
      </c>
      <c r="I1375" s="44">
        <v>367.75</v>
      </c>
      <c r="J1375" s="44">
        <v>33.830002</v>
      </c>
      <c r="K1375" s="44">
        <v>100.239998</v>
      </c>
    </row>
    <row r="1376" spans="6:11" x14ac:dyDescent="0.3">
      <c r="F1376" s="43">
        <v>39883</v>
      </c>
      <c r="G1376" s="44">
        <v>721.35998500000005</v>
      </c>
      <c r="H1376" s="44">
        <v>434.26998900000001</v>
      </c>
      <c r="I1376" s="44">
        <v>366.29998799999998</v>
      </c>
      <c r="J1376" s="44">
        <v>34.020000000000003</v>
      </c>
      <c r="K1376" s="44">
        <v>100.480003</v>
      </c>
    </row>
    <row r="1377" spans="6:11" x14ac:dyDescent="0.3">
      <c r="F1377" s="43">
        <v>39884</v>
      </c>
      <c r="G1377" s="44">
        <v>750.73999000000003</v>
      </c>
      <c r="H1377" s="44">
        <v>454.72000100000002</v>
      </c>
      <c r="I1377" s="44">
        <v>390.11999500000002</v>
      </c>
      <c r="J1377" s="44">
        <v>34.790000999999997</v>
      </c>
      <c r="K1377" s="44">
        <v>100.57</v>
      </c>
    </row>
    <row r="1378" spans="6:11" x14ac:dyDescent="0.3">
      <c r="F1378" s="43">
        <v>39885</v>
      </c>
      <c r="G1378" s="44">
        <v>756.54998799999998</v>
      </c>
      <c r="H1378" s="44">
        <v>456.709991</v>
      </c>
      <c r="I1378" s="44">
        <v>393.08999599999999</v>
      </c>
      <c r="J1378" s="44">
        <v>35.020000000000003</v>
      </c>
      <c r="K1378" s="44">
        <v>100.66999800000001</v>
      </c>
    </row>
    <row r="1379" spans="6:11" x14ac:dyDescent="0.3">
      <c r="F1379" s="43">
        <v>39888</v>
      </c>
      <c r="G1379" s="44">
        <v>753.89001499999995</v>
      </c>
      <c r="H1379" s="44">
        <v>450.20001200000002</v>
      </c>
      <c r="I1379" s="44">
        <v>386.35998499999999</v>
      </c>
      <c r="J1379" s="44">
        <v>35.400002000000001</v>
      </c>
      <c r="K1379" s="44">
        <v>100.360001</v>
      </c>
    </row>
    <row r="1380" spans="6:11" x14ac:dyDescent="0.3">
      <c r="F1380" s="43">
        <v>39889</v>
      </c>
      <c r="G1380" s="44">
        <v>778.11999500000002</v>
      </c>
      <c r="H1380" s="44">
        <v>466.61999500000002</v>
      </c>
      <c r="I1380" s="44">
        <v>403.58999599999999</v>
      </c>
      <c r="J1380" s="44">
        <v>36.330002</v>
      </c>
      <c r="K1380" s="44">
        <v>100.05999799999999</v>
      </c>
    </row>
    <row r="1381" spans="6:11" x14ac:dyDescent="0.3">
      <c r="F1381" s="43">
        <v>39890</v>
      </c>
      <c r="G1381" s="44">
        <v>794.34997599999997</v>
      </c>
      <c r="H1381" s="44">
        <v>481.14999399999999</v>
      </c>
      <c r="I1381" s="44">
        <v>417.63000499999998</v>
      </c>
      <c r="J1381" s="44">
        <v>37.369999</v>
      </c>
      <c r="K1381" s="44">
        <v>101.650002</v>
      </c>
    </row>
    <row r="1382" spans="6:11" x14ac:dyDescent="0.3">
      <c r="F1382" s="43">
        <v>39891</v>
      </c>
      <c r="G1382" s="44">
        <v>784.03997800000002</v>
      </c>
      <c r="H1382" s="44">
        <v>478.32998700000002</v>
      </c>
      <c r="I1382" s="44">
        <v>413.26001000000002</v>
      </c>
      <c r="J1382" s="44">
        <v>37.349997999999999</v>
      </c>
      <c r="K1382" s="44">
        <v>101.900002</v>
      </c>
    </row>
    <row r="1383" spans="6:11" x14ac:dyDescent="0.3">
      <c r="F1383" s="43">
        <v>39892</v>
      </c>
      <c r="G1383" s="44">
        <v>768.53997800000002</v>
      </c>
      <c r="H1383" s="44">
        <v>464.38000499999998</v>
      </c>
      <c r="I1383" s="44">
        <v>400.10998499999999</v>
      </c>
      <c r="J1383" s="44">
        <v>36.830002</v>
      </c>
      <c r="K1383" s="44">
        <v>101.33000199999999</v>
      </c>
    </row>
    <row r="1384" spans="6:11" x14ac:dyDescent="0.3">
      <c r="F1384" s="43">
        <v>39895</v>
      </c>
      <c r="G1384" s="44">
        <v>822.919983</v>
      </c>
      <c r="H1384" s="44">
        <v>498.60000600000001</v>
      </c>
      <c r="I1384" s="44">
        <v>433.72000100000002</v>
      </c>
      <c r="J1384" s="44">
        <v>39.479999999999997</v>
      </c>
      <c r="K1384" s="44">
        <v>101.33000199999999</v>
      </c>
    </row>
    <row r="1385" spans="6:11" x14ac:dyDescent="0.3">
      <c r="F1385" s="43">
        <v>39896</v>
      </c>
      <c r="G1385" s="44">
        <v>806.11999500000002</v>
      </c>
      <c r="H1385" s="44">
        <v>486.22000100000002</v>
      </c>
      <c r="I1385" s="44">
        <v>416.39001500000001</v>
      </c>
      <c r="J1385" s="44">
        <v>38.240001999999997</v>
      </c>
      <c r="K1385" s="44">
        <v>100.639999</v>
      </c>
    </row>
    <row r="1386" spans="6:11" x14ac:dyDescent="0.3">
      <c r="F1386" s="43">
        <v>39897</v>
      </c>
      <c r="G1386" s="44">
        <v>813.88000499999998</v>
      </c>
      <c r="H1386" s="44">
        <v>492.17999300000002</v>
      </c>
      <c r="I1386" s="44">
        <v>426.51998900000001</v>
      </c>
      <c r="J1386" s="44">
        <v>38.830002</v>
      </c>
      <c r="K1386" s="44">
        <v>100.199997</v>
      </c>
    </row>
    <row r="1387" spans="6:11" x14ac:dyDescent="0.3">
      <c r="F1387" s="43">
        <v>39898</v>
      </c>
      <c r="G1387" s="44">
        <v>832.85998500000005</v>
      </c>
      <c r="H1387" s="44">
        <v>511.42999300000002</v>
      </c>
      <c r="I1387" s="44">
        <v>445.29998799999998</v>
      </c>
      <c r="J1387" s="44">
        <v>39.349997999999999</v>
      </c>
      <c r="K1387" s="44">
        <v>100.400002</v>
      </c>
    </row>
    <row r="1388" spans="6:11" x14ac:dyDescent="0.3">
      <c r="F1388" s="43">
        <v>39899</v>
      </c>
      <c r="G1388" s="44">
        <v>815.94000200000005</v>
      </c>
      <c r="H1388" s="44">
        <v>498.82998700000002</v>
      </c>
      <c r="I1388" s="44">
        <v>429</v>
      </c>
      <c r="J1388" s="44">
        <v>38.090000000000003</v>
      </c>
      <c r="K1388" s="44">
        <v>100.480003</v>
      </c>
    </row>
    <row r="1389" spans="6:11" x14ac:dyDescent="0.3">
      <c r="F1389" s="43">
        <v>39902</v>
      </c>
      <c r="G1389" s="44">
        <v>787.53002900000001</v>
      </c>
      <c r="H1389" s="44">
        <v>481.41000400000001</v>
      </c>
      <c r="I1389" s="44">
        <v>415.97000100000002</v>
      </c>
      <c r="J1389" s="44">
        <v>36.639999000000003</v>
      </c>
      <c r="K1389" s="44">
        <v>100.949997</v>
      </c>
    </row>
    <row r="1390" spans="6:11" x14ac:dyDescent="0.3">
      <c r="F1390" s="43">
        <v>39903</v>
      </c>
      <c r="G1390" s="44">
        <v>797.86999500000002</v>
      </c>
      <c r="H1390" s="44">
        <v>489</v>
      </c>
      <c r="I1390" s="44">
        <v>422.75</v>
      </c>
      <c r="J1390" s="44">
        <v>37.590000000000003</v>
      </c>
      <c r="K1390" s="44">
        <v>101.470001</v>
      </c>
    </row>
    <row r="1391" spans="6:11" x14ac:dyDescent="0.3">
      <c r="F1391" s="43">
        <v>39904</v>
      </c>
      <c r="G1391" s="44">
        <v>811.080017</v>
      </c>
      <c r="H1391" s="44">
        <v>494.45001200000002</v>
      </c>
      <c r="I1391" s="44">
        <v>429.16000400000001</v>
      </c>
      <c r="J1391" s="44">
        <v>38.57</v>
      </c>
      <c r="K1391" s="44">
        <v>101.07</v>
      </c>
    </row>
    <row r="1392" spans="6:11" x14ac:dyDescent="0.3">
      <c r="F1392" s="43">
        <v>39905</v>
      </c>
      <c r="G1392" s="44">
        <v>834.38000499999998</v>
      </c>
      <c r="H1392" s="44">
        <v>515.52002000000005</v>
      </c>
      <c r="I1392" s="44">
        <v>450.19000199999999</v>
      </c>
      <c r="J1392" s="44">
        <v>40.310001</v>
      </c>
      <c r="K1392" s="44">
        <v>100.75</v>
      </c>
    </row>
    <row r="1393" spans="6:11" x14ac:dyDescent="0.3">
      <c r="F1393" s="43">
        <v>39906</v>
      </c>
      <c r="G1393" s="44">
        <v>842.5</v>
      </c>
      <c r="H1393" s="44">
        <v>524.51000999999997</v>
      </c>
      <c r="I1393" s="44">
        <v>456.13000499999998</v>
      </c>
      <c r="J1393" s="44">
        <v>40.540000999999997</v>
      </c>
      <c r="K1393" s="44">
        <v>100.41999800000001</v>
      </c>
    </row>
    <row r="1394" spans="6:11" x14ac:dyDescent="0.3">
      <c r="F1394" s="43">
        <v>39909</v>
      </c>
      <c r="G1394" s="44">
        <v>835.47997999999995</v>
      </c>
      <c r="H1394" s="44">
        <v>517.98999000000003</v>
      </c>
      <c r="I1394" s="44">
        <v>447.55999800000001</v>
      </c>
      <c r="J1394" s="44">
        <v>39.700001</v>
      </c>
      <c r="K1394" s="44">
        <v>100.400002</v>
      </c>
    </row>
    <row r="1395" spans="6:11" x14ac:dyDescent="0.3">
      <c r="F1395" s="43">
        <v>39910</v>
      </c>
      <c r="G1395" s="44">
        <v>815.54998799999998</v>
      </c>
      <c r="H1395" s="44">
        <v>500.86999500000002</v>
      </c>
      <c r="I1395" s="44">
        <v>431.70001200000002</v>
      </c>
      <c r="J1395" s="44">
        <v>38.869999</v>
      </c>
      <c r="K1395" s="44">
        <v>100.239998</v>
      </c>
    </row>
    <row r="1396" spans="6:11" x14ac:dyDescent="0.3">
      <c r="F1396" s="43">
        <v>39911</v>
      </c>
      <c r="G1396" s="44">
        <v>825.15997300000004</v>
      </c>
      <c r="H1396" s="44">
        <v>508.45001200000002</v>
      </c>
      <c r="I1396" s="44">
        <v>442.11999500000002</v>
      </c>
      <c r="J1396" s="44">
        <v>39.259998000000003</v>
      </c>
      <c r="K1396" s="44">
        <v>100.57</v>
      </c>
    </row>
    <row r="1397" spans="6:11" x14ac:dyDescent="0.3">
      <c r="F1397" s="43">
        <v>39912</v>
      </c>
      <c r="G1397" s="44">
        <v>856.55999799999995</v>
      </c>
      <c r="H1397" s="44">
        <v>536.42999299999997</v>
      </c>
      <c r="I1397" s="44">
        <v>468.20001200000002</v>
      </c>
      <c r="J1397" s="44">
        <v>40.310001</v>
      </c>
      <c r="K1397" s="44">
        <v>100.41999800000001</v>
      </c>
    </row>
    <row r="1398" spans="6:11" x14ac:dyDescent="0.3">
      <c r="F1398" s="43">
        <v>39916</v>
      </c>
      <c r="G1398" s="44">
        <v>858.72997999999995</v>
      </c>
      <c r="H1398" s="44">
        <v>536.07000700000003</v>
      </c>
      <c r="I1398" s="44">
        <v>468.04998799999998</v>
      </c>
      <c r="J1398" s="44">
        <v>40.709999000000003</v>
      </c>
      <c r="K1398" s="44">
        <v>101.150002</v>
      </c>
    </row>
    <row r="1399" spans="6:11" x14ac:dyDescent="0.3">
      <c r="F1399" s="43">
        <v>39917</v>
      </c>
      <c r="G1399" s="44">
        <v>841.5</v>
      </c>
      <c r="H1399" s="44">
        <v>522.02002000000005</v>
      </c>
      <c r="I1399" s="44">
        <v>453.22000100000002</v>
      </c>
      <c r="J1399" s="44">
        <v>40.32</v>
      </c>
      <c r="K1399" s="44">
        <v>101.129997</v>
      </c>
    </row>
    <row r="1400" spans="6:11" x14ac:dyDescent="0.3">
      <c r="F1400" s="43">
        <v>39918</v>
      </c>
      <c r="G1400" s="44">
        <v>852.05999799999995</v>
      </c>
      <c r="H1400" s="44">
        <v>529.20001200000002</v>
      </c>
      <c r="I1400" s="44">
        <v>461.13000499999998</v>
      </c>
      <c r="J1400" s="44">
        <v>40.849997999999999</v>
      </c>
      <c r="K1400" s="44">
        <v>101.410004</v>
      </c>
    </row>
    <row r="1401" spans="6:11" x14ac:dyDescent="0.3">
      <c r="F1401" s="43">
        <v>39919</v>
      </c>
      <c r="G1401" s="44">
        <v>865.29998799999998</v>
      </c>
      <c r="H1401" s="44">
        <v>543.59002699999996</v>
      </c>
      <c r="I1401" s="44">
        <v>473.88000499999998</v>
      </c>
      <c r="J1401" s="44">
        <v>41.110000999999997</v>
      </c>
      <c r="K1401" s="44">
        <v>101.230003</v>
      </c>
    </row>
    <row r="1402" spans="6:11" x14ac:dyDescent="0.3">
      <c r="F1402" s="43">
        <v>39920</v>
      </c>
      <c r="G1402" s="44">
        <v>869.59997599999997</v>
      </c>
      <c r="H1402" s="44">
        <v>550.20001200000002</v>
      </c>
      <c r="I1402" s="44">
        <v>479.36999500000002</v>
      </c>
      <c r="J1402" s="44">
        <v>40.970001000000003</v>
      </c>
      <c r="K1402" s="44">
        <v>100.66999800000001</v>
      </c>
    </row>
    <row r="1403" spans="6:11" x14ac:dyDescent="0.3">
      <c r="F1403" s="43">
        <v>39923</v>
      </c>
      <c r="G1403" s="44">
        <v>832.39001499999995</v>
      </c>
      <c r="H1403" s="44">
        <v>520.34997599999997</v>
      </c>
      <c r="I1403" s="44">
        <v>452.48998999999998</v>
      </c>
      <c r="J1403" s="44">
        <v>39.290000999999997</v>
      </c>
      <c r="K1403" s="44">
        <v>101.25</v>
      </c>
    </row>
    <row r="1404" spans="6:11" x14ac:dyDescent="0.3">
      <c r="F1404" s="43">
        <v>39924</v>
      </c>
      <c r="G1404" s="44">
        <v>850.080017</v>
      </c>
      <c r="H1404" s="44">
        <v>536.38000499999998</v>
      </c>
      <c r="I1404" s="44">
        <v>470.04998799999998</v>
      </c>
      <c r="J1404" s="44">
        <v>40.189999</v>
      </c>
      <c r="K1404" s="44">
        <v>100.93</v>
      </c>
    </row>
    <row r="1405" spans="6:11" x14ac:dyDescent="0.3">
      <c r="F1405" s="43">
        <v>39925</v>
      </c>
      <c r="G1405" s="44">
        <v>843.54998799999998</v>
      </c>
      <c r="H1405" s="44">
        <v>537.919983</v>
      </c>
      <c r="I1405" s="44">
        <v>470.73001099999999</v>
      </c>
      <c r="J1405" s="44">
        <v>39.869999</v>
      </c>
      <c r="K1405" s="44">
        <v>101.199997</v>
      </c>
    </row>
    <row r="1406" spans="6:11" x14ac:dyDescent="0.3">
      <c r="F1406" s="43">
        <v>39926</v>
      </c>
      <c r="G1406" s="44">
        <v>851.919983</v>
      </c>
      <c r="H1406" s="44">
        <v>535.94000200000005</v>
      </c>
      <c r="I1406" s="44">
        <v>466.61999500000002</v>
      </c>
      <c r="J1406" s="44">
        <v>40.869999</v>
      </c>
      <c r="K1406" s="44">
        <v>101.33000199999999</v>
      </c>
    </row>
    <row r="1407" spans="6:11" x14ac:dyDescent="0.3">
      <c r="F1407" s="43">
        <v>39927</v>
      </c>
      <c r="G1407" s="44">
        <v>866.22997999999995</v>
      </c>
      <c r="H1407" s="44">
        <v>550.32000700000003</v>
      </c>
      <c r="I1407" s="44">
        <v>478.73998999999998</v>
      </c>
      <c r="J1407" s="44">
        <v>41.5</v>
      </c>
      <c r="K1407" s="44">
        <v>101.44000200000001</v>
      </c>
    </row>
    <row r="1408" spans="6:11" x14ac:dyDescent="0.3">
      <c r="F1408" s="43">
        <v>39930</v>
      </c>
      <c r="G1408" s="44">
        <v>857.51000999999997</v>
      </c>
      <c r="H1408" s="44">
        <v>543.53002900000001</v>
      </c>
      <c r="I1408" s="44">
        <v>469.52999899999998</v>
      </c>
      <c r="J1408" s="44">
        <v>41.009998000000003</v>
      </c>
      <c r="K1408" s="44">
        <v>101.599998</v>
      </c>
    </row>
    <row r="1409" spans="6:11" x14ac:dyDescent="0.3">
      <c r="F1409" s="43">
        <v>39931</v>
      </c>
      <c r="G1409" s="44">
        <v>855.15997300000004</v>
      </c>
      <c r="H1409" s="44">
        <v>546.330017</v>
      </c>
      <c r="I1409" s="44">
        <v>472.83999599999999</v>
      </c>
      <c r="J1409" s="44">
        <v>40.619999</v>
      </c>
      <c r="K1409" s="44">
        <v>101.57</v>
      </c>
    </row>
    <row r="1410" spans="6:11" x14ac:dyDescent="0.3">
      <c r="F1410" s="43">
        <v>39932</v>
      </c>
      <c r="G1410" s="44">
        <v>873.64001499999995</v>
      </c>
      <c r="H1410" s="44">
        <v>561.67999299999997</v>
      </c>
      <c r="I1410" s="44">
        <v>491.47000100000002</v>
      </c>
      <c r="J1410" s="44">
        <v>41.66</v>
      </c>
      <c r="K1410" s="44">
        <v>101.150002</v>
      </c>
    </row>
    <row r="1411" spans="6:11" x14ac:dyDescent="0.3">
      <c r="F1411" s="43">
        <v>39933</v>
      </c>
      <c r="G1411" s="44">
        <v>872.80999799999995</v>
      </c>
      <c r="H1411" s="44">
        <v>561.14001499999995</v>
      </c>
      <c r="I1411" s="44">
        <v>487.55999800000001</v>
      </c>
      <c r="J1411" s="44">
        <v>41.919998</v>
      </c>
      <c r="K1411" s="44">
        <v>101.639999</v>
      </c>
    </row>
    <row r="1412" spans="6:11" x14ac:dyDescent="0.3">
      <c r="F1412" s="43">
        <v>39934</v>
      </c>
      <c r="G1412" s="44">
        <v>877.52002000000005</v>
      </c>
      <c r="H1412" s="44">
        <v>558.86999500000002</v>
      </c>
      <c r="I1412" s="44">
        <v>486.98001099999999</v>
      </c>
      <c r="J1412" s="44">
        <v>42.41</v>
      </c>
      <c r="K1412" s="44">
        <v>100.91999800000001</v>
      </c>
    </row>
    <row r="1413" spans="6:11" x14ac:dyDescent="0.3">
      <c r="F1413" s="43">
        <v>39937</v>
      </c>
      <c r="G1413" s="44">
        <v>907.23999000000003</v>
      </c>
      <c r="H1413" s="44">
        <v>582.05999799999995</v>
      </c>
      <c r="I1413" s="44">
        <v>506.82000699999998</v>
      </c>
      <c r="J1413" s="44">
        <v>44.169998</v>
      </c>
      <c r="K1413" s="44">
        <v>101</v>
      </c>
    </row>
    <row r="1414" spans="6:11" x14ac:dyDescent="0.3">
      <c r="F1414" s="43">
        <v>39938</v>
      </c>
      <c r="G1414" s="44">
        <v>903.79998799999998</v>
      </c>
      <c r="H1414" s="44">
        <v>577.38000499999998</v>
      </c>
      <c r="I1414" s="44">
        <v>502.54998799999998</v>
      </c>
      <c r="J1414" s="44">
        <v>43.73</v>
      </c>
      <c r="K1414" s="44">
        <v>101.209999</v>
      </c>
    </row>
    <row r="1415" spans="6:11" x14ac:dyDescent="0.3">
      <c r="F1415" s="43">
        <v>39939</v>
      </c>
      <c r="G1415" s="44">
        <v>919.53002900000001</v>
      </c>
      <c r="H1415" s="44">
        <v>582.32000700000003</v>
      </c>
      <c r="I1415" s="44">
        <v>505.08999599999999</v>
      </c>
      <c r="J1415" s="44">
        <v>44.790000999999997</v>
      </c>
      <c r="K1415" s="44">
        <v>101.44000200000001</v>
      </c>
    </row>
    <row r="1416" spans="6:11" x14ac:dyDescent="0.3">
      <c r="F1416" s="43">
        <v>39940</v>
      </c>
      <c r="G1416" s="44">
        <v>907.39001499999995</v>
      </c>
      <c r="H1416" s="44">
        <v>567.77002000000005</v>
      </c>
      <c r="I1416" s="44">
        <v>492.94000199999999</v>
      </c>
      <c r="J1416" s="44">
        <v>44.040000999999997</v>
      </c>
      <c r="K1416" s="44">
        <v>100.989998</v>
      </c>
    </row>
    <row r="1417" spans="6:11" x14ac:dyDescent="0.3">
      <c r="F1417" s="43">
        <v>39941</v>
      </c>
      <c r="G1417" s="44">
        <v>929.22997999999995</v>
      </c>
      <c r="H1417" s="44">
        <v>586.90997300000004</v>
      </c>
      <c r="I1417" s="44">
        <v>511.82000699999998</v>
      </c>
      <c r="J1417" s="44">
        <v>45.950001</v>
      </c>
      <c r="K1417" s="44">
        <v>101.18</v>
      </c>
    </row>
    <row r="1418" spans="6:11" x14ac:dyDescent="0.3">
      <c r="F1418" s="43">
        <v>39944</v>
      </c>
      <c r="G1418" s="44">
        <v>909.23999000000003</v>
      </c>
      <c r="H1418" s="44">
        <v>573.45001200000002</v>
      </c>
      <c r="I1418" s="44">
        <v>501.94000199999999</v>
      </c>
      <c r="J1418" s="44">
        <v>44.779998999999997</v>
      </c>
      <c r="K1418" s="44">
        <v>101.25</v>
      </c>
    </row>
    <row r="1419" spans="6:11" x14ac:dyDescent="0.3">
      <c r="F1419" s="43">
        <v>39945</v>
      </c>
      <c r="G1419" s="44">
        <v>908.34997599999997</v>
      </c>
      <c r="H1419" s="44">
        <v>567.54998799999998</v>
      </c>
      <c r="I1419" s="44">
        <v>495.17999300000002</v>
      </c>
      <c r="J1419" s="44">
        <v>45.259998000000003</v>
      </c>
      <c r="K1419" s="44">
        <v>101.80999799999999</v>
      </c>
    </row>
    <row r="1420" spans="6:11" x14ac:dyDescent="0.3">
      <c r="F1420" s="43">
        <v>39946</v>
      </c>
      <c r="G1420" s="44">
        <v>883.919983</v>
      </c>
      <c r="H1420" s="44">
        <v>542.71002199999998</v>
      </c>
      <c r="I1420" s="44">
        <v>471.82000699999998</v>
      </c>
      <c r="J1420" s="44">
        <v>43.720001000000003</v>
      </c>
      <c r="K1420" s="44">
        <v>101.900002</v>
      </c>
    </row>
    <row r="1421" spans="6:11" x14ac:dyDescent="0.3">
      <c r="F1421" s="43">
        <v>39947</v>
      </c>
      <c r="G1421" s="44">
        <v>893.07000700000003</v>
      </c>
      <c r="H1421" s="44">
        <v>551.59997599999997</v>
      </c>
      <c r="I1421" s="44">
        <v>480.709991</v>
      </c>
      <c r="J1421" s="44">
        <v>44.150002000000001</v>
      </c>
      <c r="K1421" s="44">
        <v>101.959999</v>
      </c>
    </row>
    <row r="1422" spans="6:11" x14ac:dyDescent="0.3">
      <c r="F1422" s="43">
        <v>39948</v>
      </c>
      <c r="G1422" s="44">
        <v>882.88000499999998</v>
      </c>
      <c r="H1422" s="44">
        <v>545.71997099999999</v>
      </c>
      <c r="I1422" s="44">
        <v>475.83999599999999</v>
      </c>
      <c r="J1422" s="44">
        <v>43.75</v>
      </c>
      <c r="K1422" s="44">
        <v>102.19000200000001</v>
      </c>
    </row>
    <row r="1423" spans="6:11" x14ac:dyDescent="0.3">
      <c r="F1423" s="43">
        <v>39951</v>
      </c>
      <c r="G1423" s="44">
        <v>909.71002199999998</v>
      </c>
      <c r="H1423" s="44">
        <v>566.64001499999995</v>
      </c>
      <c r="I1423" s="44">
        <v>494.790009</v>
      </c>
      <c r="J1423" s="44">
        <v>45.419998</v>
      </c>
      <c r="K1423" s="44">
        <v>101.889999</v>
      </c>
    </row>
    <row r="1424" spans="6:11" x14ac:dyDescent="0.3">
      <c r="F1424" s="43">
        <v>39952</v>
      </c>
      <c r="G1424" s="44">
        <v>908.13000499999998</v>
      </c>
      <c r="H1424" s="44">
        <v>567.78002900000001</v>
      </c>
      <c r="I1424" s="44">
        <v>493.26001000000002</v>
      </c>
      <c r="J1424" s="44">
        <v>45.830002</v>
      </c>
      <c r="K1424" s="44">
        <v>101.980003</v>
      </c>
    </row>
    <row r="1425" spans="6:11" x14ac:dyDescent="0.3">
      <c r="F1425" s="43">
        <v>39953</v>
      </c>
      <c r="G1425" s="44">
        <v>903.46997099999999</v>
      </c>
      <c r="H1425" s="44">
        <v>564.26000999999997</v>
      </c>
      <c r="I1425" s="44">
        <v>489.35000600000001</v>
      </c>
      <c r="J1425" s="44">
        <v>46.130001</v>
      </c>
      <c r="K1425" s="44">
        <v>102.290001</v>
      </c>
    </row>
    <row r="1426" spans="6:11" x14ac:dyDescent="0.3">
      <c r="F1426" s="43">
        <v>39954</v>
      </c>
      <c r="G1426" s="44">
        <v>888.330017</v>
      </c>
      <c r="H1426" s="44">
        <v>554.09002699999996</v>
      </c>
      <c r="I1426" s="44">
        <v>481.22000100000002</v>
      </c>
      <c r="J1426" s="44">
        <v>45.779998999999997</v>
      </c>
      <c r="K1426" s="44">
        <v>101.970001</v>
      </c>
    </row>
    <row r="1427" spans="6:11" x14ac:dyDescent="0.3">
      <c r="F1427" s="43">
        <v>39955</v>
      </c>
      <c r="G1427" s="44">
        <v>887</v>
      </c>
      <c r="H1427" s="44">
        <v>551.28002900000001</v>
      </c>
      <c r="I1427" s="44">
        <v>477.61999500000002</v>
      </c>
      <c r="J1427" s="44">
        <v>46.040000999999997</v>
      </c>
      <c r="K1427" s="44">
        <v>101.699997</v>
      </c>
    </row>
    <row r="1428" spans="6:11" x14ac:dyDescent="0.3">
      <c r="F1428" s="43">
        <v>39959</v>
      </c>
      <c r="G1428" s="44">
        <v>910.330017</v>
      </c>
      <c r="H1428" s="44">
        <v>572.169983</v>
      </c>
      <c r="I1428" s="44">
        <v>500.30999800000001</v>
      </c>
      <c r="J1428" s="44">
        <v>46.959999000000003</v>
      </c>
      <c r="K1428" s="44">
        <v>101.470001</v>
      </c>
    </row>
    <row r="1429" spans="6:11" x14ac:dyDescent="0.3">
      <c r="F1429" s="43">
        <v>39960</v>
      </c>
      <c r="G1429" s="44">
        <v>893.05999799999995</v>
      </c>
      <c r="H1429" s="44">
        <v>561.90002400000003</v>
      </c>
      <c r="I1429" s="44">
        <v>489.85998499999999</v>
      </c>
      <c r="J1429" s="44">
        <v>46.049999</v>
      </c>
      <c r="K1429" s="44">
        <v>100.910004</v>
      </c>
    </row>
    <row r="1430" spans="6:11" x14ac:dyDescent="0.3">
      <c r="F1430" s="43">
        <v>39961</v>
      </c>
      <c r="G1430" s="44">
        <v>906.830017</v>
      </c>
      <c r="H1430" s="44">
        <v>566.53002900000001</v>
      </c>
      <c r="I1430" s="44">
        <v>492.209991</v>
      </c>
      <c r="J1430" s="44">
        <v>46.52</v>
      </c>
      <c r="K1430" s="44">
        <v>100.949997</v>
      </c>
    </row>
    <row r="1431" spans="6:11" x14ac:dyDescent="0.3">
      <c r="F1431" s="43">
        <v>39962</v>
      </c>
      <c r="G1431" s="44">
        <v>919.14001499999995</v>
      </c>
      <c r="H1431" s="44">
        <v>575.52002000000005</v>
      </c>
      <c r="I1431" s="44">
        <v>501.57998700000002</v>
      </c>
      <c r="J1431" s="44">
        <v>47.450001</v>
      </c>
      <c r="K1431" s="44">
        <v>102.029999</v>
      </c>
    </row>
    <row r="1432" spans="6:11" x14ac:dyDescent="0.3">
      <c r="F1432" s="43">
        <v>39965</v>
      </c>
      <c r="G1432" s="44">
        <v>942.86999500000002</v>
      </c>
      <c r="H1432" s="44">
        <v>596.51000999999997</v>
      </c>
      <c r="I1432" s="44">
        <v>521.330017</v>
      </c>
      <c r="J1432" s="44">
        <v>48.619999</v>
      </c>
      <c r="K1432" s="44">
        <v>100.459999</v>
      </c>
    </row>
    <row r="1433" spans="6:11" x14ac:dyDescent="0.3">
      <c r="F1433" s="43">
        <v>39966</v>
      </c>
      <c r="G1433" s="44">
        <v>944.73999000000003</v>
      </c>
      <c r="H1433" s="44">
        <v>598.71002199999998</v>
      </c>
      <c r="I1433" s="44">
        <v>526.63000499999998</v>
      </c>
      <c r="J1433" s="44">
        <v>49.040000999999997</v>
      </c>
      <c r="K1433" s="44">
        <v>101.150002</v>
      </c>
    </row>
    <row r="1434" spans="6:11" x14ac:dyDescent="0.3">
      <c r="F1434" s="43">
        <v>39967</v>
      </c>
      <c r="G1434" s="44">
        <v>931.76000999999997</v>
      </c>
      <c r="H1434" s="44">
        <v>585.169983</v>
      </c>
      <c r="I1434" s="44">
        <v>522.71002199999998</v>
      </c>
      <c r="J1434" s="44">
        <v>47.580002</v>
      </c>
      <c r="K1434" s="44">
        <v>101.43</v>
      </c>
    </row>
    <row r="1435" spans="6:11" x14ac:dyDescent="0.3">
      <c r="F1435" s="43">
        <v>39968</v>
      </c>
      <c r="G1435" s="44">
        <v>942.46002199999998</v>
      </c>
      <c r="H1435" s="44">
        <v>596.94000200000005</v>
      </c>
      <c r="I1435" s="44">
        <v>531.67999299999997</v>
      </c>
      <c r="J1435" s="44">
        <v>47.880001</v>
      </c>
      <c r="K1435" s="44">
        <v>100.589996</v>
      </c>
    </row>
    <row r="1436" spans="6:11" x14ac:dyDescent="0.3">
      <c r="F1436" s="43">
        <v>39969</v>
      </c>
      <c r="G1436" s="44">
        <v>940.09002699999996</v>
      </c>
      <c r="H1436" s="44">
        <v>596.09997599999997</v>
      </c>
      <c r="I1436" s="44">
        <v>530.35998500000005</v>
      </c>
      <c r="J1436" s="44">
        <v>47.290000999999997</v>
      </c>
      <c r="K1436" s="44">
        <v>100.07</v>
      </c>
    </row>
    <row r="1437" spans="6:11" x14ac:dyDescent="0.3">
      <c r="F1437" s="43">
        <v>39972</v>
      </c>
      <c r="G1437" s="44">
        <v>939.14001499999995</v>
      </c>
      <c r="H1437" s="44">
        <v>592.21997099999999</v>
      </c>
      <c r="I1437" s="44">
        <v>524.78997800000002</v>
      </c>
      <c r="J1437" s="44">
        <v>47.189999</v>
      </c>
      <c r="K1437" s="44">
        <v>99.800003000000004</v>
      </c>
    </row>
    <row r="1438" spans="6:11" x14ac:dyDescent="0.3">
      <c r="F1438" s="43">
        <v>39973</v>
      </c>
      <c r="G1438" s="44">
        <v>942.42999299999997</v>
      </c>
      <c r="H1438" s="44">
        <v>598.169983</v>
      </c>
      <c r="I1438" s="44">
        <v>527.92999299999997</v>
      </c>
      <c r="J1438" s="44">
        <v>47.77</v>
      </c>
      <c r="K1438" s="44">
        <v>100.25</v>
      </c>
    </row>
    <row r="1439" spans="6:11" x14ac:dyDescent="0.3">
      <c r="F1439" s="43">
        <v>39974</v>
      </c>
      <c r="G1439" s="44">
        <v>939.15002400000003</v>
      </c>
      <c r="H1439" s="44">
        <v>595.09002699999996</v>
      </c>
      <c r="I1439" s="44">
        <v>523.71002199999998</v>
      </c>
      <c r="J1439" s="44">
        <v>47.860000999999997</v>
      </c>
      <c r="K1439" s="44">
        <v>99.970000999999996</v>
      </c>
    </row>
    <row r="1440" spans="6:11" x14ac:dyDescent="0.3">
      <c r="F1440" s="43">
        <v>39975</v>
      </c>
      <c r="G1440" s="44">
        <v>944.89001499999995</v>
      </c>
      <c r="H1440" s="44">
        <v>598.64001499999995</v>
      </c>
      <c r="I1440" s="44">
        <v>526.080017</v>
      </c>
      <c r="J1440" s="44">
        <v>48.68</v>
      </c>
      <c r="K1440" s="44">
        <v>100.32</v>
      </c>
    </row>
    <row r="1441" spans="6:11" x14ac:dyDescent="0.3">
      <c r="F1441" s="43">
        <v>39976</v>
      </c>
      <c r="G1441" s="44">
        <v>946.21002199999998</v>
      </c>
      <c r="H1441" s="44">
        <v>597.02002000000005</v>
      </c>
      <c r="I1441" s="44">
        <v>526.830017</v>
      </c>
      <c r="J1441" s="44">
        <v>48.43</v>
      </c>
      <c r="K1441" s="44">
        <v>100.80999799999999</v>
      </c>
    </row>
    <row r="1442" spans="6:11" x14ac:dyDescent="0.3">
      <c r="F1442" s="43">
        <v>39979</v>
      </c>
      <c r="G1442" s="44">
        <v>923.71997099999999</v>
      </c>
      <c r="H1442" s="44">
        <v>581.51000999999997</v>
      </c>
      <c r="I1442" s="44">
        <v>511.82998700000002</v>
      </c>
      <c r="J1442" s="44">
        <v>46.689999</v>
      </c>
      <c r="K1442" s="44">
        <v>101.19000200000001</v>
      </c>
    </row>
    <row r="1443" spans="6:11" x14ac:dyDescent="0.3">
      <c r="F1443" s="43">
        <v>39980</v>
      </c>
      <c r="G1443" s="44">
        <v>911.96997099999999</v>
      </c>
      <c r="H1443" s="44">
        <v>571.86999500000002</v>
      </c>
      <c r="I1443" s="44">
        <v>503.73998999999998</v>
      </c>
      <c r="J1443" s="44">
        <v>46.150002000000001</v>
      </c>
      <c r="K1443" s="44">
        <v>101.33000199999999</v>
      </c>
    </row>
    <row r="1444" spans="6:11" x14ac:dyDescent="0.3">
      <c r="F1444" s="43">
        <v>39981</v>
      </c>
      <c r="G1444" s="44">
        <v>910.71002199999998</v>
      </c>
      <c r="H1444" s="44">
        <v>571.65997300000004</v>
      </c>
      <c r="I1444" s="44">
        <v>507.02999899999998</v>
      </c>
      <c r="J1444" s="44">
        <v>46.279998999999997</v>
      </c>
      <c r="K1444" s="44">
        <v>101.529999</v>
      </c>
    </row>
    <row r="1445" spans="6:11" x14ac:dyDescent="0.3">
      <c r="F1445" s="43">
        <v>39982</v>
      </c>
      <c r="G1445" s="44">
        <v>918.36999500000002</v>
      </c>
      <c r="H1445" s="44">
        <v>575.40002400000003</v>
      </c>
      <c r="I1445" s="44">
        <v>509.48001099999999</v>
      </c>
      <c r="J1445" s="44">
        <v>46.200001</v>
      </c>
      <c r="K1445" s="44">
        <v>100.870003</v>
      </c>
    </row>
    <row r="1446" spans="6:11" x14ac:dyDescent="0.3">
      <c r="F1446" s="43">
        <v>39983</v>
      </c>
      <c r="G1446" s="44">
        <v>921.22997999999995</v>
      </c>
      <c r="H1446" s="44">
        <v>577.97997999999995</v>
      </c>
      <c r="I1446" s="44">
        <v>512.71997099999999</v>
      </c>
      <c r="J1446" s="44">
        <v>46.93</v>
      </c>
      <c r="K1446" s="44">
        <v>101.239998</v>
      </c>
    </row>
    <row r="1447" spans="6:11" x14ac:dyDescent="0.3">
      <c r="F1447" s="43">
        <v>39986</v>
      </c>
      <c r="G1447" s="44">
        <v>893.03997800000002</v>
      </c>
      <c r="H1447" s="44">
        <v>556.80999799999995</v>
      </c>
      <c r="I1447" s="44">
        <v>492.80999800000001</v>
      </c>
      <c r="J1447" s="44">
        <v>45.419998</v>
      </c>
      <c r="K1447" s="44">
        <v>101.389999</v>
      </c>
    </row>
    <row r="1448" spans="6:11" x14ac:dyDescent="0.3">
      <c r="F1448" s="43">
        <v>39987</v>
      </c>
      <c r="G1448" s="44">
        <v>895.09997599999997</v>
      </c>
      <c r="H1448" s="44">
        <v>554.45001200000002</v>
      </c>
      <c r="I1448" s="44">
        <v>489.76998900000001</v>
      </c>
      <c r="J1448" s="44">
        <v>45.060001</v>
      </c>
      <c r="K1448" s="44">
        <v>101.720001</v>
      </c>
    </row>
    <row r="1449" spans="6:11" x14ac:dyDescent="0.3">
      <c r="F1449" s="43">
        <v>39988</v>
      </c>
      <c r="G1449" s="44">
        <v>900.94000200000005</v>
      </c>
      <c r="H1449" s="44">
        <v>561.77002000000005</v>
      </c>
      <c r="I1449" s="44">
        <v>494.95001200000002</v>
      </c>
      <c r="J1449" s="44">
        <v>45.099997999999999</v>
      </c>
      <c r="K1449" s="44">
        <v>101.449997</v>
      </c>
    </row>
    <row r="1450" spans="6:11" x14ac:dyDescent="0.3">
      <c r="F1450" s="43">
        <v>39989</v>
      </c>
      <c r="G1450" s="44">
        <v>920.26000999999997</v>
      </c>
      <c r="H1450" s="44">
        <v>575.69000200000005</v>
      </c>
      <c r="I1450" s="44">
        <v>509.17999300000002</v>
      </c>
      <c r="J1450" s="44">
        <v>46.049999</v>
      </c>
      <c r="K1450" s="44">
        <v>101.91999800000001</v>
      </c>
    </row>
    <row r="1451" spans="6:11" x14ac:dyDescent="0.3">
      <c r="F1451" s="43">
        <v>39990</v>
      </c>
      <c r="G1451" s="44">
        <v>918.90002400000003</v>
      </c>
      <c r="H1451" s="44">
        <v>576.72997999999995</v>
      </c>
      <c r="I1451" s="44">
        <v>513.21997099999999</v>
      </c>
      <c r="J1451" s="44">
        <v>45.959999000000003</v>
      </c>
      <c r="K1451" s="44">
        <v>102.220001</v>
      </c>
    </row>
    <row r="1452" spans="6:11" x14ac:dyDescent="0.3">
      <c r="F1452" s="43">
        <v>39993</v>
      </c>
      <c r="G1452" s="44">
        <v>927.22997999999995</v>
      </c>
      <c r="H1452" s="44">
        <v>580.63000499999998</v>
      </c>
      <c r="I1452" s="44">
        <v>510.60998499999999</v>
      </c>
      <c r="J1452" s="44">
        <v>46.349997999999999</v>
      </c>
      <c r="K1452" s="44">
        <v>102.129997</v>
      </c>
    </row>
    <row r="1453" spans="6:11" x14ac:dyDescent="0.3">
      <c r="F1453" s="43">
        <v>39994</v>
      </c>
      <c r="G1453" s="44">
        <v>919.32000700000003</v>
      </c>
      <c r="H1453" s="44">
        <v>578.14001499999995</v>
      </c>
      <c r="I1453" s="44">
        <v>508.27999899999998</v>
      </c>
      <c r="J1453" s="44">
        <v>45.810001</v>
      </c>
      <c r="K1453" s="44">
        <v>102.150002</v>
      </c>
    </row>
    <row r="1454" spans="6:11" x14ac:dyDescent="0.3">
      <c r="F1454" s="43">
        <v>39995</v>
      </c>
      <c r="G1454" s="44">
        <v>923.330017</v>
      </c>
      <c r="H1454" s="44">
        <v>584.23999000000003</v>
      </c>
      <c r="I1454" s="44">
        <v>517.46002199999998</v>
      </c>
      <c r="J1454" s="44">
        <v>46.57</v>
      </c>
      <c r="K1454" s="44">
        <v>101.769997</v>
      </c>
    </row>
    <row r="1455" spans="6:11" x14ac:dyDescent="0.3">
      <c r="F1455" s="43">
        <v>39996</v>
      </c>
      <c r="G1455" s="44">
        <v>896.419983</v>
      </c>
      <c r="H1455" s="44">
        <v>565.03002900000001</v>
      </c>
      <c r="I1455" s="44">
        <v>497.209991</v>
      </c>
      <c r="J1455" s="44">
        <v>45.23</v>
      </c>
      <c r="K1455" s="44">
        <v>102.010002</v>
      </c>
    </row>
    <row r="1456" spans="6:11" x14ac:dyDescent="0.3">
      <c r="F1456" s="43">
        <v>40000</v>
      </c>
      <c r="G1456" s="44">
        <v>898.71997099999999</v>
      </c>
      <c r="H1456" s="44">
        <v>562.01000999999997</v>
      </c>
      <c r="I1456" s="44">
        <v>494.02999899999998</v>
      </c>
      <c r="J1456" s="44">
        <v>45.290000999999997</v>
      </c>
      <c r="K1456" s="44">
        <v>101.93</v>
      </c>
    </row>
    <row r="1457" spans="6:11" x14ac:dyDescent="0.3">
      <c r="F1457" s="43">
        <v>40001</v>
      </c>
      <c r="G1457" s="44">
        <v>881.03002900000001</v>
      </c>
      <c r="H1457" s="44">
        <v>549.40997300000004</v>
      </c>
      <c r="I1457" s="44">
        <v>484.25</v>
      </c>
      <c r="J1457" s="44">
        <v>44.189999</v>
      </c>
      <c r="K1457" s="44">
        <v>102.260002</v>
      </c>
    </row>
    <row r="1458" spans="6:11" x14ac:dyDescent="0.3">
      <c r="F1458" s="43">
        <v>40002</v>
      </c>
      <c r="G1458" s="44">
        <v>879.55999799999995</v>
      </c>
      <c r="H1458" s="44">
        <v>546.53002900000001</v>
      </c>
      <c r="I1458" s="44">
        <v>479.67999300000002</v>
      </c>
      <c r="J1458" s="44">
        <v>44.009998000000003</v>
      </c>
      <c r="K1458" s="44">
        <v>102.82</v>
      </c>
    </row>
    <row r="1459" spans="6:11" x14ac:dyDescent="0.3">
      <c r="F1459" s="43">
        <v>40003</v>
      </c>
      <c r="G1459" s="44">
        <v>882.67999299999997</v>
      </c>
      <c r="H1459" s="44">
        <v>548.03002900000001</v>
      </c>
      <c r="I1459" s="44">
        <v>479.26998900000001</v>
      </c>
      <c r="J1459" s="44">
        <v>44.549999</v>
      </c>
      <c r="K1459" s="44">
        <v>102.529999</v>
      </c>
    </row>
    <row r="1460" spans="6:11" x14ac:dyDescent="0.3">
      <c r="F1460" s="43">
        <v>40004</v>
      </c>
      <c r="G1460" s="44">
        <v>879.13000499999998</v>
      </c>
      <c r="H1460" s="44">
        <v>547.080017</v>
      </c>
      <c r="I1460" s="44">
        <v>480.98001099999999</v>
      </c>
      <c r="J1460" s="44">
        <v>44.029998999999997</v>
      </c>
      <c r="K1460" s="44">
        <v>102.879997</v>
      </c>
    </row>
    <row r="1461" spans="6:11" x14ac:dyDescent="0.3">
      <c r="F1461" s="43">
        <v>40007</v>
      </c>
      <c r="G1461" s="44">
        <v>901.04998799999998</v>
      </c>
      <c r="H1461" s="44">
        <v>560.39001499999995</v>
      </c>
      <c r="I1461" s="44">
        <v>493.30999800000001</v>
      </c>
      <c r="J1461" s="44">
        <v>44.799999</v>
      </c>
      <c r="K1461" s="44">
        <v>102.83000199999999</v>
      </c>
    </row>
    <row r="1462" spans="6:11" x14ac:dyDescent="0.3">
      <c r="F1462" s="43">
        <v>40008</v>
      </c>
      <c r="G1462" s="44">
        <v>905.84002699999996</v>
      </c>
      <c r="H1462" s="44">
        <v>564.98999000000003</v>
      </c>
      <c r="I1462" s="44">
        <v>496.51998900000001</v>
      </c>
      <c r="J1462" s="44">
        <v>45.040000999999997</v>
      </c>
      <c r="K1462" s="44">
        <v>102.519997</v>
      </c>
    </row>
    <row r="1463" spans="6:11" x14ac:dyDescent="0.3">
      <c r="F1463" s="43">
        <v>40009</v>
      </c>
      <c r="G1463" s="44">
        <v>932.67999299999997</v>
      </c>
      <c r="H1463" s="44">
        <v>582.40997300000004</v>
      </c>
      <c r="I1463" s="44">
        <v>515.64001499999995</v>
      </c>
      <c r="J1463" s="44">
        <v>46.580002</v>
      </c>
      <c r="K1463" s="44">
        <v>101.849998</v>
      </c>
    </row>
    <row r="1464" spans="6:11" x14ac:dyDescent="0.3">
      <c r="F1464" s="43">
        <v>40010</v>
      </c>
      <c r="G1464" s="44">
        <v>940.73999000000003</v>
      </c>
      <c r="H1464" s="44">
        <v>590.65002400000003</v>
      </c>
      <c r="I1464" s="44">
        <v>522.02002000000005</v>
      </c>
      <c r="J1464" s="44">
        <v>46.990001999999997</v>
      </c>
      <c r="K1464" s="44">
        <v>102.16999800000001</v>
      </c>
    </row>
    <row r="1465" spans="6:11" x14ac:dyDescent="0.3">
      <c r="F1465" s="43">
        <v>40011</v>
      </c>
      <c r="G1465" s="44">
        <v>940.38000499999998</v>
      </c>
      <c r="H1465" s="44">
        <v>589</v>
      </c>
      <c r="I1465" s="44">
        <v>519.21997099999999</v>
      </c>
      <c r="J1465" s="44">
        <v>46.82</v>
      </c>
      <c r="K1465" s="44">
        <v>102.16999800000001</v>
      </c>
    </row>
    <row r="1466" spans="6:11" x14ac:dyDescent="0.3">
      <c r="F1466" s="43">
        <v>40014</v>
      </c>
      <c r="G1466" s="44">
        <v>951.13000499999998</v>
      </c>
      <c r="H1466" s="44">
        <v>597.79998799999998</v>
      </c>
      <c r="I1466" s="44">
        <v>526.96002199999998</v>
      </c>
      <c r="J1466" s="44">
        <v>47.73</v>
      </c>
      <c r="K1466" s="44">
        <v>102.290001</v>
      </c>
    </row>
    <row r="1467" spans="6:11" x14ac:dyDescent="0.3">
      <c r="F1467" s="43">
        <v>40015</v>
      </c>
      <c r="G1467" s="44">
        <v>954.580017</v>
      </c>
      <c r="H1467" s="44">
        <v>598.04998799999998</v>
      </c>
      <c r="I1467" s="44">
        <v>525.21997099999999</v>
      </c>
      <c r="J1467" s="44">
        <v>48.029998999999997</v>
      </c>
      <c r="K1467" s="44">
        <v>103</v>
      </c>
    </row>
    <row r="1468" spans="6:11" x14ac:dyDescent="0.3">
      <c r="F1468" s="43">
        <v>40016</v>
      </c>
      <c r="G1468" s="44">
        <v>954.07000700000003</v>
      </c>
      <c r="H1468" s="44">
        <v>600.70001200000002</v>
      </c>
      <c r="I1468" s="44">
        <v>528.70001200000002</v>
      </c>
      <c r="J1468" s="44">
        <v>48.150002000000001</v>
      </c>
      <c r="K1468" s="44">
        <v>102.650002</v>
      </c>
    </row>
    <row r="1469" spans="6:11" x14ac:dyDescent="0.3">
      <c r="F1469" s="43">
        <v>40017</v>
      </c>
      <c r="G1469" s="44">
        <v>976.28997800000002</v>
      </c>
      <c r="H1469" s="44">
        <v>617.72997999999995</v>
      </c>
      <c r="I1469" s="44">
        <v>545.84997599999997</v>
      </c>
      <c r="J1469" s="44">
        <v>48.959999000000003</v>
      </c>
      <c r="K1469" s="44">
        <v>102.389999</v>
      </c>
    </row>
    <row r="1470" spans="6:11" x14ac:dyDescent="0.3">
      <c r="F1470" s="43">
        <v>40018</v>
      </c>
      <c r="G1470" s="44">
        <v>979.26000999999997</v>
      </c>
      <c r="H1470" s="44">
        <v>621.70001200000002</v>
      </c>
      <c r="I1470" s="44">
        <v>548.46002199999998</v>
      </c>
      <c r="J1470" s="44">
        <v>49.259998000000003</v>
      </c>
      <c r="K1470" s="44">
        <v>102.389999</v>
      </c>
    </row>
    <row r="1471" spans="6:11" x14ac:dyDescent="0.3">
      <c r="F1471" s="43">
        <v>40021</v>
      </c>
      <c r="G1471" s="44">
        <v>982.17999299999997</v>
      </c>
      <c r="H1471" s="44">
        <v>624.48999000000003</v>
      </c>
      <c r="I1471" s="44">
        <v>550.88000499999998</v>
      </c>
      <c r="J1471" s="44">
        <v>49.310001</v>
      </c>
      <c r="K1471" s="44">
        <v>102.08000199999999</v>
      </c>
    </row>
    <row r="1472" spans="6:11" x14ac:dyDescent="0.3">
      <c r="F1472" s="43">
        <v>40022</v>
      </c>
      <c r="G1472" s="44">
        <v>979.61999500000002</v>
      </c>
      <c r="H1472" s="44">
        <v>623.36999500000002</v>
      </c>
      <c r="I1472" s="44">
        <v>551.95001200000002</v>
      </c>
      <c r="J1472" s="44">
        <v>49.099997999999999</v>
      </c>
      <c r="K1472" s="44">
        <v>102.269997</v>
      </c>
    </row>
    <row r="1473" spans="6:11" x14ac:dyDescent="0.3">
      <c r="F1473" s="43">
        <v>40023</v>
      </c>
      <c r="G1473" s="44">
        <v>975.15002400000003</v>
      </c>
      <c r="H1473" s="44">
        <v>619.13000499999998</v>
      </c>
      <c r="I1473" s="44">
        <v>548.38000499999998</v>
      </c>
      <c r="J1473" s="44">
        <v>48.700001</v>
      </c>
      <c r="K1473" s="44">
        <v>102.449997</v>
      </c>
    </row>
    <row r="1474" spans="6:11" x14ac:dyDescent="0.3">
      <c r="F1474" s="43">
        <v>40024</v>
      </c>
      <c r="G1474" s="44">
        <v>986.75</v>
      </c>
      <c r="H1474" s="44">
        <v>627.39001499999995</v>
      </c>
      <c r="I1474" s="44">
        <v>557.79998799999998</v>
      </c>
      <c r="J1474" s="44">
        <v>49.650002000000001</v>
      </c>
      <c r="K1474" s="44">
        <v>102.58000199999999</v>
      </c>
    </row>
    <row r="1475" spans="6:11" x14ac:dyDescent="0.3">
      <c r="F1475" s="43">
        <v>40025</v>
      </c>
      <c r="G1475" s="44">
        <v>987.47997999999995</v>
      </c>
      <c r="H1475" s="44">
        <v>628.04998799999998</v>
      </c>
      <c r="I1475" s="44">
        <v>556.71002199999998</v>
      </c>
      <c r="J1475" s="44">
        <v>50.41</v>
      </c>
      <c r="K1475" s="44">
        <v>103.099998</v>
      </c>
    </row>
    <row r="1476" spans="6:11" x14ac:dyDescent="0.3">
      <c r="F1476" s="43">
        <v>40028</v>
      </c>
      <c r="G1476" s="44">
        <v>1002.630005</v>
      </c>
      <c r="H1476" s="44">
        <v>640.94000200000005</v>
      </c>
      <c r="I1476" s="44">
        <v>565.78002900000001</v>
      </c>
      <c r="J1476" s="44">
        <v>51.580002</v>
      </c>
      <c r="K1476" s="44">
        <v>102.550003</v>
      </c>
    </row>
    <row r="1477" spans="6:11" x14ac:dyDescent="0.3">
      <c r="F1477" s="43">
        <v>40029</v>
      </c>
      <c r="G1477" s="44">
        <v>1005.650024</v>
      </c>
      <c r="H1477" s="44">
        <v>645.76000999999997</v>
      </c>
      <c r="I1477" s="44">
        <v>570.73999000000003</v>
      </c>
      <c r="J1477" s="44">
        <v>51.5</v>
      </c>
      <c r="K1477" s="44">
        <v>102.239998</v>
      </c>
    </row>
    <row r="1478" spans="6:11" x14ac:dyDescent="0.3">
      <c r="F1478" s="43">
        <v>40030</v>
      </c>
      <c r="G1478" s="44">
        <v>1002.719971</v>
      </c>
      <c r="H1478" s="44">
        <v>643.64001499999995</v>
      </c>
      <c r="I1478" s="44">
        <v>565.98999000000003</v>
      </c>
      <c r="J1478" s="44">
        <v>51.290000999999997</v>
      </c>
      <c r="K1478" s="44">
        <v>102.150002</v>
      </c>
    </row>
    <row r="1479" spans="6:11" x14ac:dyDescent="0.3">
      <c r="F1479" s="43">
        <v>40031</v>
      </c>
      <c r="G1479" s="44">
        <v>997.080017</v>
      </c>
      <c r="H1479" s="44">
        <v>638.5</v>
      </c>
      <c r="I1479" s="44">
        <v>557.61999500000002</v>
      </c>
      <c r="J1479" s="44">
        <v>50.970001000000003</v>
      </c>
      <c r="K1479" s="44">
        <v>102.199997</v>
      </c>
    </row>
    <row r="1480" spans="6:11" x14ac:dyDescent="0.3">
      <c r="F1480" s="43">
        <v>40032</v>
      </c>
      <c r="G1480" s="44">
        <v>1010.47998</v>
      </c>
      <c r="H1480" s="44">
        <v>655.09997599999997</v>
      </c>
      <c r="I1480" s="44">
        <v>572.40002400000003</v>
      </c>
      <c r="J1480" s="44">
        <v>50.919998</v>
      </c>
      <c r="K1480" s="44">
        <v>101.589996</v>
      </c>
    </row>
    <row r="1481" spans="6:11" x14ac:dyDescent="0.3">
      <c r="F1481" s="43">
        <v>40035</v>
      </c>
      <c r="G1481" s="44">
        <v>1007.099976</v>
      </c>
      <c r="H1481" s="44">
        <v>650.69000200000005</v>
      </c>
      <c r="I1481" s="44">
        <v>571.86999500000002</v>
      </c>
      <c r="J1481" s="44">
        <v>50.610000999999997</v>
      </c>
      <c r="K1481" s="44">
        <v>102.379997</v>
      </c>
    </row>
    <row r="1482" spans="6:11" x14ac:dyDescent="0.3">
      <c r="F1482" s="43">
        <v>40036</v>
      </c>
      <c r="G1482" s="44">
        <v>994.34997599999997</v>
      </c>
      <c r="H1482" s="44">
        <v>641.78002900000001</v>
      </c>
      <c r="I1482" s="44">
        <v>562.11999500000002</v>
      </c>
      <c r="J1482" s="44">
        <v>50.32</v>
      </c>
      <c r="K1482" s="44">
        <v>102.739998</v>
      </c>
    </row>
    <row r="1483" spans="6:11" x14ac:dyDescent="0.3">
      <c r="F1483" s="43">
        <v>40037</v>
      </c>
      <c r="G1483" s="44">
        <v>1005.809998</v>
      </c>
      <c r="H1483" s="44">
        <v>650.20001200000002</v>
      </c>
      <c r="I1483" s="44">
        <v>572.169983</v>
      </c>
      <c r="J1483" s="44">
        <v>50.889999000000003</v>
      </c>
      <c r="K1483" s="44">
        <v>102.69000200000001</v>
      </c>
    </row>
    <row r="1484" spans="6:11" x14ac:dyDescent="0.3">
      <c r="F1484" s="43">
        <v>40038</v>
      </c>
      <c r="G1484" s="44">
        <v>1012.72998</v>
      </c>
      <c r="H1484" s="44">
        <v>655.15002400000003</v>
      </c>
      <c r="I1484" s="44">
        <v>575.19000200000005</v>
      </c>
      <c r="J1484" s="44">
        <v>51.669998</v>
      </c>
      <c r="K1484" s="44">
        <v>102.949997</v>
      </c>
    </row>
    <row r="1485" spans="6:11" x14ac:dyDescent="0.3">
      <c r="F1485" s="43">
        <v>40039</v>
      </c>
      <c r="G1485" s="44">
        <v>1004.090027</v>
      </c>
      <c r="H1485" s="44">
        <v>645.98999000000003</v>
      </c>
      <c r="I1485" s="44">
        <v>563.90002400000003</v>
      </c>
      <c r="J1485" s="44">
        <v>51.23</v>
      </c>
      <c r="K1485" s="44">
        <v>103.129997</v>
      </c>
    </row>
    <row r="1486" spans="6:11" x14ac:dyDescent="0.3">
      <c r="F1486" s="43">
        <v>40042</v>
      </c>
      <c r="G1486" s="44">
        <v>979.72997999999995</v>
      </c>
      <c r="H1486" s="44">
        <v>627.80999799999995</v>
      </c>
      <c r="I1486" s="44">
        <v>548.17999299999997</v>
      </c>
      <c r="J1486" s="44">
        <v>49.580002</v>
      </c>
      <c r="K1486" s="44">
        <v>103.55999799999999</v>
      </c>
    </row>
    <row r="1487" spans="6:11" x14ac:dyDescent="0.3">
      <c r="F1487" s="43">
        <v>40043</v>
      </c>
      <c r="G1487" s="44">
        <v>989.669983</v>
      </c>
      <c r="H1487" s="44">
        <v>636.03002900000001</v>
      </c>
      <c r="I1487" s="44">
        <v>556.42999299999997</v>
      </c>
      <c r="J1487" s="44">
        <v>50.439999</v>
      </c>
      <c r="K1487" s="44">
        <v>103.220001</v>
      </c>
    </row>
    <row r="1488" spans="6:11" x14ac:dyDescent="0.3">
      <c r="F1488" s="43">
        <v>40044</v>
      </c>
      <c r="G1488" s="44">
        <v>996.46002199999998</v>
      </c>
      <c r="H1488" s="44">
        <v>640.28002900000001</v>
      </c>
      <c r="I1488" s="44">
        <v>561.65002400000003</v>
      </c>
      <c r="J1488" s="44">
        <v>50.869999</v>
      </c>
      <c r="K1488" s="44">
        <v>103.43</v>
      </c>
    </row>
    <row r="1489" spans="6:11" x14ac:dyDescent="0.3">
      <c r="F1489" s="43">
        <v>40045</v>
      </c>
      <c r="G1489" s="44">
        <v>1007.369995</v>
      </c>
      <c r="H1489" s="44">
        <v>647.07000700000003</v>
      </c>
      <c r="I1489" s="44">
        <v>568.67999299999997</v>
      </c>
      <c r="J1489" s="44">
        <v>51.23</v>
      </c>
      <c r="K1489" s="44">
        <v>103.599998</v>
      </c>
    </row>
    <row r="1490" spans="6:11" x14ac:dyDescent="0.3">
      <c r="F1490" s="43">
        <v>40046</v>
      </c>
      <c r="G1490" s="44">
        <v>1026.130005</v>
      </c>
      <c r="H1490" s="44">
        <v>659.59997599999997</v>
      </c>
      <c r="I1490" s="44">
        <v>581.51000999999997</v>
      </c>
      <c r="J1490" s="44">
        <v>52.349997999999999</v>
      </c>
      <c r="K1490" s="44">
        <v>103</v>
      </c>
    </row>
    <row r="1491" spans="6:11" x14ac:dyDescent="0.3">
      <c r="F1491" s="43">
        <v>40049</v>
      </c>
      <c r="G1491" s="44">
        <v>1025.5699460000001</v>
      </c>
      <c r="H1491" s="44">
        <v>656.92999299999997</v>
      </c>
      <c r="I1491" s="44">
        <v>580.23999000000003</v>
      </c>
      <c r="J1491" s="44">
        <v>52.34</v>
      </c>
      <c r="K1491" s="44">
        <v>103.41999800000001</v>
      </c>
    </row>
    <row r="1492" spans="6:11" x14ac:dyDescent="0.3">
      <c r="F1492" s="43">
        <v>40050</v>
      </c>
      <c r="G1492" s="44">
        <v>1028</v>
      </c>
      <c r="H1492" s="44">
        <v>660.169983</v>
      </c>
      <c r="I1492" s="44">
        <v>583.21997099999999</v>
      </c>
      <c r="J1492" s="44">
        <v>52.860000999999997</v>
      </c>
      <c r="K1492" s="44">
        <v>103.589996</v>
      </c>
    </row>
    <row r="1493" spans="6:11" x14ac:dyDescent="0.3">
      <c r="F1493" s="43">
        <v>40051</v>
      </c>
      <c r="G1493" s="44">
        <v>1028.119995</v>
      </c>
      <c r="H1493" s="44">
        <v>659.47997999999995</v>
      </c>
      <c r="I1493" s="44">
        <v>584.02002000000005</v>
      </c>
      <c r="J1493" s="44">
        <v>52.639999000000003</v>
      </c>
      <c r="K1493" s="44">
        <v>103.739998</v>
      </c>
    </row>
    <row r="1494" spans="6:11" x14ac:dyDescent="0.3">
      <c r="F1494" s="43">
        <v>40052</v>
      </c>
      <c r="G1494" s="44">
        <v>1030.9799800000001</v>
      </c>
      <c r="H1494" s="44">
        <v>661.89001499999995</v>
      </c>
      <c r="I1494" s="44">
        <v>583.77002000000005</v>
      </c>
      <c r="J1494" s="44">
        <v>53.040000999999997</v>
      </c>
      <c r="K1494" s="44">
        <v>103.660004</v>
      </c>
    </row>
    <row r="1495" spans="6:11" x14ac:dyDescent="0.3">
      <c r="F1495" s="43">
        <v>40053</v>
      </c>
      <c r="G1495" s="44">
        <v>1028.9300539999999</v>
      </c>
      <c r="H1495" s="44">
        <v>663.15002400000003</v>
      </c>
      <c r="I1495" s="44">
        <v>579.85998500000005</v>
      </c>
      <c r="J1495" s="44">
        <v>53.07</v>
      </c>
      <c r="K1495" s="44">
        <v>103.589996</v>
      </c>
    </row>
    <row r="1496" spans="6:11" x14ac:dyDescent="0.3">
      <c r="F1496" s="43">
        <v>40056</v>
      </c>
      <c r="G1496" s="44">
        <v>1020.619995</v>
      </c>
      <c r="H1496" s="44">
        <v>654.53997800000002</v>
      </c>
      <c r="I1496" s="44">
        <v>572.07000700000003</v>
      </c>
      <c r="J1496" s="44">
        <v>52.68</v>
      </c>
      <c r="K1496" s="44">
        <v>104.019997</v>
      </c>
    </row>
    <row r="1497" spans="6:11" x14ac:dyDescent="0.3">
      <c r="F1497" s="43">
        <v>40057</v>
      </c>
      <c r="G1497" s="44">
        <v>998.03997800000002</v>
      </c>
      <c r="H1497" s="44">
        <v>640.09997599999997</v>
      </c>
      <c r="I1497" s="44">
        <v>558.05999799999995</v>
      </c>
      <c r="J1497" s="44">
        <v>51.369999</v>
      </c>
      <c r="K1497" s="44">
        <v>103.510002</v>
      </c>
    </row>
    <row r="1498" spans="6:11" x14ac:dyDescent="0.3">
      <c r="F1498" s="43">
        <v>40058</v>
      </c>
      <c r="G1498" s="44">
        <v>994.75</v>
      </c>
      <c r="H1498" s="44">
        <v>636.71002199999998</v>
      </c>
      <c r="I1498" s="44">
        <v>555.830017</v>
      </c>
      <c r="J1498" s="44">
        <v>51.310001</v>
      </c>
      <c r="K1498" s="44">
        <v>104.05999799999999</v>
      </c>
    </row>
    <row r="1499" spans="6:11" x14ac:dyDescent="0.3">
      <c r="F1499" s="43">
        <v>40059</v>
      </c>
      <c r="G1499" s="44">
        <v>1003.23999</v>
      </c>
      <c r="H1499" s="44">
        <v>645.30999799999995</v>
      </c>
      <c r="I1499" s="44">
        <v>562.48999000000003</v>
      </c>
      <c r="J1499" s="44">
        <v>51.709999000000003</v>
      </c>
      <c r="K1499" s="44">
        <v>103.870003</v>
      </c>
    </row>
    <row r="1500" spans="6:11" x14ac:dyDescent="0.3">
      <c r="F1500" s="43">
        <v>40060</v>
      </c>
      <c r="G1500" s="44">
        <v>1016.400024</v>
      </c>
      <c r="H1500" s="44">
        <v>653.34997599999997</v>
      </c>
      <c r="I1500" s="44">
        <v>570.5</v>
      </c>
      <c r="J1500" s="44">
        <v>52.5</v>
      </c>
      <c r="K1500" s="44">
        <v>103.66999800000001</v>
      </c>
    </row>
    <row r="1501" spans="6:11" x14ac:dyDescent="0.3">
      <c r="F1501" s="43">
        <v>40064</v>
      </c>
      <c r="G1501" s="44">
        <v>1025.3900149999999</v>
      </c>
      <c r="H1501" s="44">
        <v>661.78997800000002</v>
      </c>
      <c r="I1501" s="44">
        <v>576.38000499999998</v>
      </c>
      <c r="J1501" s="44">
        <v>53.540000999999997</v>
      </c>
      <c r="K1501" s="44">
        <v>103.519997</v>
      </c>
    </row>
    <row r="1502" spans="6:11" x14ac:dyDescent="0.3">
      <c r="F1502" s="43">
        <v>40065</v>
      </c>
      <c r="G1502" s="44">
        <v>1033.369995</v>
      </c>
      <c r="H1502" s="44">
        <v>670.92999299999997</v>
      </c>
      <c r="I1502" s="44">
        <v>586.40002400000003</v>
      </c>
      <c r="J1502" s="44">
        <v>54.200001</v>
      </c>
      <c r="K1502" s="44">
        <v>103.720001</v>
      </c>
    </row>
    <row r="1503" spans="6:11" x14ac:dyDescent="0.3">
      <c r="F1503" s="43">
        <v>40066</v>
      </c>
      <c r="G1503" s="44">
        <v>1044.1400149999999</v>
      </c>
      <c r="H1503" s="44">
        <v>678.69000200000005</v>
      </c>
      <c r="I1503" s="44">
        <v>594.90002400000003</v>
      </c>
      <c r="J1503" s="44">
        <v>54.68</v>
      </c>
      <c r="K1503" s="44">
        <v>104.25</v>
      </c>
    </row>
    <row r="1504" spans="6:11" x14ac:dyDescent="0.3">
      <c r="F1504" s="43">
        <v>40067</v>
      </c>
      <c r="G1504" s="44">
        <v>1042.7299800000001</v>
      </c>
      <c r="H1504" s="44">
        <v>679.40997300000004</v>
      </c>
      <c r="I1504" s="44">
        <v>593.59002699999996</v>
      </c>
      <c r="J1504" s="44">
        <v>54.610000999999997</v>
      </c>
      <c r="K1504" s="44">
        <v>104.239998</v>
      </c>
    </row>
    <row r="1505" spans="6:11" x14ac:dyDescent="0.3">
      <c r="F1505" s="43">
        <v>40070</v>
      </c>
      <c r="G1505" s="44">
        <v>1049.339966</v>
      </c>
      <c r="H1505" s="44">
        <v>686.88000499999998</v>
      </c>
      <c r="I1505" s="44">
        <v>600.03002900000001</v>
      </c>
      <c r="J1505" s="44">
        <v>54.720001000000003</v>
      </c>
      <c r="K1505" s="44">
        <v>104.089996</v>
      </c>
    </row>
    <row r="1506" spans="6:11" x14ac:dyDescent="0.3">
      <c r="F1506" s="43">
        <v>40071</v>
      </c>
      <c r="G1506" s="44">
        <v>1052.630005</v>
      </c>
      <c r="H1506" s="44">
        <v>692.54998799999998</v>
      </c>
      <c r="I1506" s="44">
        <v>604.84002699999996</v>
      </c>
      <c r="J1506" s="44">
        <v>54.73</v>
      </c>
      <c r="K1506" s="44">
        <v>103.93</v>
      </c>
    </row>
    <row r="1507" spans="6:11" x14ac:dyDescent="0.3">
      <c r="F1507" s="43">
        <v>40072</v>
      </c>
      <c r="G1507" s="44">
        <v>1068.76001</v>
      </c>
      <c r="H1507" s="44">
        <v>706.29998799999998</v>
      </c>
      <c r="I1507" s="44">
        <v>617.38000499999998</v>
      </c>
      <c r="J1507" s="44">
        <v>55.810001</v>
      </c>
      <c r="K1507" s="44">
        <v>104.010002</v>
      </c>
    </row>
    <row r="1508" spans="6:11" x14ac:dyDescent="0.3">
      <c r="F1508" s="43">
        <v>40073</v>
      </c>
      <c r="G1508" s="44">
        <v>1065.48999</v>
      </c>
      <c r="H1508" s="44">
        <v>701.94000200000005</v>
      </c>
      <c r="I1508" s="44">
        <v>615.46997099999999</v>
      </c>
      <c r="J1508" s="44">
        <v>55.450001</v>
      </c>
      <c r="K1508" s="44">
        <v>104.5</v>
      </c>
    </row>
    <row r="1509" spans="6:11" x14ac:dyDescent="0.3">
      <c r="F1509" s="43">
        <v>40074</v>
      </c>
      <c r="G1509" s="44">
        <v>1068.3000489999999</v>
      </c>
      <c r="H1509" s="44">
        <v>701.53002900000001</v>
      </c>
      <c r="I1509" s="44">
        <v>617.88000499999998</v>
      </c>
      <c r="J1509" s="44">
        <v>55.599997999999999</v>
      </c>
      <c r="K1509" s="44">
        <v>104.239998</v>
      </c>
    </row>
    <row r="1510" spans="6:11" x14ac:dyDescent="0.3">
      <c r="F1510" s="43">
        <v>40077</v>
      </c>
      <c r="G1510" s="44">
        <v>1064.660034</v>
      </c>
      <c r="H1510" s="44">
        <v>699.65997300000004</v>
      </c>
      <c r="I1510" s="44">
        <v>615.96997099999999</v>
      </c>
      <c r="J1510" s="44">
        <v>55.009998000000003</v>
      </c>
      <c r="K1510" s="44">
        <v>104.160004</v>
      </c>
    </row>
    <row r="1511" spans="6:11" x14ac:dyDescent="0.3">
      <c r="F1511" s="43">
        <v>40078</v>
      </c>
      <c r="G1511" s="44">
        <v>1071.660034</v>
      </c>
      <c r="H1511" s="44">
        <v>704.20001200000002</v>
      </c>
      <c r="I1511" s="44">
        <v>620.69000200000005</v>
      </c>
      <c r="J1511" s="44">
        <v>55.77</v>
      </c>
      <c r="K1511" s="44">
        <v>104.089996</v>
      </c>
    </row>
    <row r="1512" spans="6:11" x14ac:dyDescent="0.3">
      <c r="F1512" s="43">
        <v>40079</v>
      </c>
      <c r="G1512" s="44">
        <v>1060.869995</v>
      </c>
      <c r="H1512" s="44">
        <v>693.96997099999999</v>
      </c>
      <c r="I1512" s="44">
        <v>613.36999500000002</v>
      </c>
      <c r="J1512" s="44">
        <v>55.290000999999997</v>
      </c>
      <c r="K1512" s="44">
        <v>104.349998</v>
      </c>
    </row>
    <row r="1513" spans="6:11" x14ac:dyDescent="0.3">
      <c r="F1513" s="43">
        <v>40080</v>
      </c>
      <c r="G1513" s="44">
        <v>1050.780029</v>
      </c>
      <c r="H1513" s="44">
        <v>682.47997999999995</v>
      </c>
      <c r="I1513" s="44">
        <v>601.75</v>
      </c>
      <c r="J1513" s="44">
        <v>54.48</v>
      </c>
      <c r="K1513" s="44">
        <v>104.480003</v>
      </c>
    </row>
    <row r="1514" spans="6:11" x14ac:dyDescent="0.3">
      <c r="F1514" s="43">
        <v>40081</v>
      </c>
      <c r="G1514" s="44">
        <v>1044.380005</v>
      </c>
      <c r="H1514" s="44">
        <v>678.30999799999995</v>
      </c>
      <c r="I1514" s="44">
        <v>598.94000200000005</v>
      </c>
      <c r="J1514" s="44">
        <v>54.25</v>
      </c>
      <c r="K1514" s="44">
        <v>104.790001</v>
      </c>
    </row>
    <row r="1515" spans="6:11" x14ac:dyDescent="0.3">
      <c r="F1515" s="43">
        <v>40084</v>
      </c>
      <c r="G1515" s="44">
        <v>1062.9799800000001</v>
      </c>
      <c r="H1515" s="44">
        <v>692.71997099999999</v>
      </c>
      <c r="I1515" s="44">
        <v>613.21997099999999</v>
      </c>
      <c r="J1515" s="44">
        <v>54.990001999999997</v>
      </c>
      <c r="K1515" s="44">
        <v>104.779999</v>
      </c>
    </row>
    <row r="1516" spans="6:11" x14ac:dyDescent="0.3">
      <c r="F1516" s="43">
        <v>40085</v>
      </c>
      <c r="G1516" s="44">
        <v>1060.6099850000001</v>
      </c>
      <c r="H1516" s="44">
        <v>695.03997800000002</v>
      </c>
      <c r="I1516" s="44">
        <v>610.45001200000002</v>
      </c>
      <c r="J1516" s="44">
        <v>54.66</v>
      </c>
      <c r="K1516" s="44">
        <v>104.730003</v>
      </c>
    </row>
    <row r="1517" spans="6:11" x14ac:dyDescent="0.3">
      <c r="F1517" s="43">
        <v>40086</v>
      </c>
      <c r="G1517" s="44">
        <v>1057.079956</v>
      </c>
      <c r="H1517" s="44">
        <v>691.02002000000005</v>
      </c>
      <c r="I1517" s="44">
        <v>604.28002900000001</v>
      </c>
      <c r="J1517" s="44">
        <v>54.68</v>
      </c>
      <c r="K1517" s="44">
        <v>104.91999800000001</v>
      </c>
    </row>
    <row r="1518" spans="6:11" x14ac:dyDescent="0.3">
      <c r="F1518" s="43">
        <v>40087</v>
      </c>
      <c r="G1518" s="44">
        <v>1029.849976</v>
      </c>
      <c r="H1518" s="44">
        <v>669.89001499999995</v>
      </c>
      <c r="I1518" s="44">
        <v>583.75</v>
      </c>
      <c r="J1518" s="44">
        <v>53.25</v>
      </c>
      <c r="K1518" s="44">
        <v>104.82</v>
      </c>
    </row>
    <row r="1519" spans="6:11" x14ac:dyDescent="0.3">
      <c r="F1519" s="43">
        <v>40088</v>
      </c>
      <c r="G1519" s="44">
        <v>1025.209961</v>
      </c>
      <c r="H1519" s="44">
        <v>663.42999299999997</v>
      </c>
      <c r="I1519" s="44">
        <v>580.20001200000002</v>
      </c>
      <c r="J1519" s="44">
        <v>52.66</v>
      </c>
      <c r="K1519" s="44">
        <v>104.620003</v>
      </c>
    </row>
    <row r="1520" spans="6:11" x14ac:dyDescent="0.3">
      <c r="F1520" s="43">
        <v>40091</v>
      </c>
      <c r="G1520" s="44">
        <v>1040.459961</v>
      </c>
      <c r="H1520" s="44">
        <v>677.44000200000005</v>
      </c>
      <c r="I1520" s="44">
        <v>591.10998500000005</v>
      </c>
      <c r="J1520" s="44">
        <v>53.419998</v>
      </c>
      <c r="K1520" s="44">
        <v>104.69000200000001</v>
      </c>
    </row>
    <row r="1521" spans="6:11" x14ac:dyDescent="0.3">
      <c r="F1521" s="43">
        <v>40092</v>
      </c>
      <c r="G1521" s="44">
        <v>1054.719971</v>
      </c>
      <c r="H1521" s="44">
        <v>686.97997999999995</v>
      </c>
      <c r="I1521" s="44">
        <v>601.97997999999995</v>
      </c>
      <c r="J1521" s="44">
        <v>54.32</v>
      </c>
      <c r="K1521" s="44">
        <v>104.540001</v>
      </c>
    </row>
    <row r="1522" spans="6:11" x14ac:dyDescent="0.3">
      <c r="F1522" s="43">
        <v>40093</v>
      </c>
      <c r="G1522" s="44">
        <v>1057.579956</v>
      </c>
      <c r="H1522" s="44">
        <v>687.27002000000005</v>
      </c>
      <c r="I1522" s="44">
        <v>602.080017</v>
      </c>
      <c r="J1522" s="44">
        <v>54.52</v>
      </c>
      <c r="K1522" s="44">
        <v>104.959999</v>
      </c>
    </row>
    <row r="1523" spans="6:11" x14ac:dyDescent="0.3">
      <c r="F1523" s="43">
        <v>40094</v>
      </c>
      <c r="G1523" s="44">
        <v>1065.4799800000001</v>
      </c>
      <c r="H1523" s="44">
        <v>697.11999500000002</v>
      </c>
      <c r="I1523" s="44">
        <v>607.75</v>
      </c>
      <c r="J1523" s="44">
        <v>55.310001</v>
      </c>
      <c r="K1523" s="44">
        <v>104.889999</v>
      </c>
    </row>
    <row r="1524" spans="6:11" x14ac:dyDescent="0.3">
      <c r="F1524" s="43">
        <v>40095</v>
      </c>
      <c r="G1524" s="44">
        <v>1071.48999</v>
      </c>
      <c r="H1524" s="44">
        <v>702.19000200000005</v>
      </c>
      <c r="I1524" s="44">
        <v>614.919983</v>
      </c>
      <c r="J1524" s="44">
        <v>55.169998</v>
      </c>
      <c r="K1524" s="44">
        <v>104.160004</v>
      </c>
    </row>
    <row r="1525" spans="6:11" x14ac:dyDescent="0.3">
      <c r="F1525" s="43">
        <v>40098</v>
      </c>
      <c r="G1525" s="44">
        <v>1076.1899410000001</v>
      </c>
      <c r="H1525" s="44">
        <v>702.85998500000005</v>
      </c>
      <c r="I1525" s="44">
        <v>613.80999799999995</v>
      </c>
      <c r="J1525" s="44">
        <v>55.5</v>
      </c>
      <c r="K1525" s="44">
        <v>104.400002</v>
      </c>
    </row>
    <row r="1526" spans="6:11" x14ac:dyDescent="0.3">
      <c r="F1526" s="43">
        <v>40099</v>
      </c>
      <c r="G1526" s="44">
        <v>1073.1899410000001</v>
      </c>
      <c r="H1526" s="44">
        <v>699.84997599999997</v>
      </c>
      <c r="I1526" s="44">
        <v>611.70001200000002</v>
      </c>
      <c r="J1526" s="44">
        <v>55.380001</v>
      </c>
      <c r="K1526" s="44">
        <v>104.660004</v>
      </c>
    </row>
    <row r="1527" spans="6:11" x14ac:dyDescent="0.3">
      <c r="F1527" s="43">
        <v>40100</v>
      </c>
      <c r="G1527" s="44">
        <v>1092.0200199999999</v>
      </c>
      <c r="H1527" s="44">
        <v>712.580017</v>
      </c>
      <c r="I1527" s="44">
        <v>623.94000200000005</v>
      </c>
      <c r="J1527" s="44">
        <v>56.709999000000003</v>
      </c>
      <c r="K1527" s="44">
        <v>104.410004</v>
      </c>
    </row>
    <row r="1528" spans="6:11" x14ac:dyDescent="0.3">
      <c r="F1528" s="43">
        <v>40101</v>
      </c>
      <c r="G1528" s="44">
        <v>1096.5600589999999</v>
      </c>
      <c r="H1528" s="44">
        <v>714.65002400000003</v>
      </c>
      <c r="I1528" s="44">
        <v>623.34002699999996</v>
      </c>
      <c r="J1528" s="44">
        <v>56.970001000000003</v>
      </c>
      <c r="K1528" s="44">
        <v>104.25</v>
      </c>
    </row>
    <row r="1529" spans="6:11" x14ac:dyDescent="0.3">
      <c r="F1529" s="43">
        <v>40102</v>
      </c>
      <c r="G1529" s="44">
        <v>1087.6800539999999</v>
      </c>
      <c r="H1529" s="44">
        <v>707.86999500000002</v>
      </c>
      <c r="I1529" s="44">
        <v>616.17999299999997</v>
      </c>
      <c r="J1529" s="44">
        <v>56.110000999999997</v>
      </c>
      <c r="K1529" s="44">
        <v>104.239998</v>
      </c>
    </row>
    <row r="1530" spans="6:11" x14ac:dyDescent="0.3">
      <c r="F1530" s="43">
        <v>40105</v>
      </c>
      <c r="G1530" s="44">
        <v>1097.910034</v>
      </c>
      <c r="H1530" s="44">
        <v>715.59997599999997</v>
      </c>
      <c r="I1530" s="44">
        <v>622.34002699999996</v>
      </c>
      <c r="J1530" s="44">
        <v>57.009998000000003</v>
      </c>
      <c r="K1530" s="44">
        <v>104.449997</v>
      </c>
    </row>
    <row r="1531" spans="6:11" x14ac:dyDescent="0.3">
      <c r="F1531" s="43">
        <v>40106</v>
      </c>
      <c r="G1531" s="44">
        <v>1091.0600589999999</v>
      </c>
      <c r="H1531" s="44">
        <v>708.92999299999997</v>
      </c>
      <c r="I1531" s="44">
        <v>613.40997300000004</v>
      </c>
      <c r="J1531" s="44">
        <v>56.709999000000003</v>
      </c>
      <c r="K1531" s="44">
        <v>104.699997</v>
      </c>
    </row>
    <row r="1532" spans="6:11" x14ac:dyDescent="0.3">
      <c r="F1532" s="43">
        <v>40107</v>
      </c>
      <c r="G1532" s="44">
        <v>1081.400024</v>
      </c>
      <c r="H1532" s="44">
        <v>701.42999299999997</v>
      </c>
      <c r="I1532" s="44">
        <v>605.10998500000005</v>
      </c>
      <c r="J1532" s="44">
        <v>56.52</v>
      </c>
      <c r="K1532" s="44">
        <v>104.629997</v>
      </c>
    </row>
    <row r="1533" spans="6:11" x14ac:dyDescent="0.3">
      <c r="F1533" s="43">
        <v>40108</v>
      </c>
      <c r="G1533" s="44">
        <v>1092.910034</v>
      </c>
      <c r="H1533" s="44">
        <v>710.79998799999998</v>
      </c>
      <c r="I1533" s="44">
        <v>613.38000499999998</v>
      </c>
      <c r="J1533" s="44">
        <v>57.07</v>
      </c>
      <c r="K1533" s="44">
        <v>104.470001</v>
      </c>
    </row>
    <row r="1534" spans="6:11" x14ac:dyDescent="0.3">
      <c r="F1534" s="43">
        <v>40109</v>
      </c>
      <c r="G1534" s="44">
        <v>1079.599976</v>
      </c>
      <c r="H1534" s="44">
        <v>701.330017</v>
      </c>
      <c r="I1534" s="44">
        <v>600.85998500000005</v>
      </c>
      <c r="J1534" s="44">
        <v>56.169998</v>
      </c>
      <c r="K1534" s="44">
        <v>104.339996</v>
      </c>
    </row>
    <row r="1535" spans="6:11" x14ac:dyDescent="0.3">
      <c r="F1535" s="43">
        <v>40112</v>
      </c>
      <c r="G1535" s="44">
        <v>1066.9499510000001</v>
      </c>
      <c r="H1535" s="44">
        <v>693.57000700000003</v>
      </c>
      <c r="I1535" s="44">
        <v>593.67999299999997</v>
      </c>
      <c r="J1535" s="44">
        <v>55.32</v>
      </c>
      <c r="K1535" s="44">
        <v>104.05999799999999</v>
      </c>
    </row>
    <row r="1536" spans="6:11" x14ac:dyDescent="0.3">
      <c r="F1536" s="43">
        <v>40113</v>
      </c>
      <c r="G1536" s="44">
        <v>1063.410034</v>
      </c>
      <c r="H1536" s="44">
        <v>685.80999799999995</v>
      </c>
      <c r="I1536" s="44">
        <v>586.98999000000003</v>
      </c>
      <c r="J1536" s="44">
        <v>54.880001</v>
      </c>
      <c r="K1536" s="44">
        <v>104.470001</v>
      </c>
    </row>
    <row r="1537" spans="6:11" x14ac:dyDescent="0.3">
      <c r="F1537" s="43">
        <v>40114</v>
      </c>
      <c r="G1537" s="44">
        <v>1042.630005</v>
      </c>
      <c r="H1537" s="44">
        <v>663.36999500000002</v>
      </c>
      <c r="I1537" s="44">
        <v>566.35998500000005</v>
      </c>
      <c r="J1537" s="44">
        <v>53.560001</v>
      </c>
      <c r="K1537" s="44">
        <v>104.620003</v>
      </c>
    </row>
    <row r="1538" spans="6:11" x14ac:dyDescent="0.3">
      <c r="F1538" s="43">
        <v>40115</v>
      </c>
      <c r="G1538" s="44">
        <v>1066.1099850000001</v>
      </c>
      <c r="H1538" s="44">
        <v>678.22997999999995</v>
      </c>
      <c r="I1538" s="44">
        <v>580.21997099999999</v>
      </c>
      <c r="J1538" s="44">
        <v>55.139999000000003</v>
      </c>
      <c r="K1538" s="44">
        <v>104.410004</v>
      </c>
    </row>
    <row r="1539" spans="6:11" x14ac:dyDescent="0.3">
      <c r="F1539" s="43">
        <v>40116</v>
      </c>
      <c r="G1539" s="44">
        <v>1036.1899410000001</v>
      </c>
      <c r="H1539" s="44">
        <v>659.15002400000003</v>
      </c>
      <c r="I1539" s="44">
        <v>562.77002000000005</v>
      </c>
      <c r="J1539" s="44">
        <v>53.299999</v>
      </c>
      <c r="K1539" s="44">
        <v>104.80999799999999</v>
      </c>
    </row>
    <row r="1540" spans="6:11" x14ac:dyDescent="0.3">
      <c r="F1540" s="43">
        <v>40119</v>
      </c>
      <c r="G1540" s="44">
        <v>1042.880005</v>
      </c>
      <c r="H1540" s="44">
        <v>662.15997300000004</v>
      </c>
      <c r="I1540" s="44">
        <v>562.40002400000003</v>
      </c>
      <c r="J1540" s="44">
        <v>53.82</v>
      </c>
      <c r="K1540" s="44">
        <v>104.32</v>
      </c>
    </row>
    <row r="1541" spans="6:11" x14ac:dyDescent="0.3">
      <c r="F1541" s="43">
        <v>40120</v>
      </c>
      <c r="G1541" s="44">
        <v>1045.410034</v>
      </c>
      <c r="H1541" s="44">
        <v>670.03002900000001</v>
      </c>
      <c r="I1541" s="44">
        <v>570.61999500000002</v>
      </c>
      <c r="J1541" s="44">
        <v>53.610000999999997</v>
      </c>
      <c r="K1541" s="44">
        <v>104.18</v>
      </c>
    </row>
    <row r="1542" spans="6:11" x14ac:dyDescent="0.3">
      <c r="F1542" s="43">
        <v>40121</v>
      </c>
      <c r="G1542" s="44">
        <v>1046.5</v>
      </c>
      <c r="H1542" s="44">
        <v>666.71997099999999</v>
      </c>
      <c r="I1542" s="44">
        <v>563.11999500000002</v>
      </c>
      <c r="J1542" s="44">
        <v>54.150002000000001</v>
      </c>
      <c r="K1542" s="44">
        <v>104.010002</v>
      </c>
    </row>
    <row r="1543" spans="6:11" x14ac:dyDescent="0.3">
      <c r="F1543" s="43">
        <v>40122</v>
      </c>
      <c r="G1543" s="44">
        <v>1066.630005</v>
      </c>
      <c r="H1543" s="44">
        <v>682.36999500000002</v>
      </c>
      <c r="I1543" s="44">
        <v>581.15002400000003</v>
      </c>
      <c r="J1543" s="44">
        <v>54.849997999999999</v>
      </c>
      <c r="K1543" s="44">
        <v>104.279999</v>
      </c>
    </row>
    <row r="1544" spans="6:11" x14ac:dyDescent="0.3">
      <c r="F1544" s="43">
        <v>40123</v>
      </c>
      <c r="G1544" s="44">
        <v>1069.3000489999999</v>
      </c>
      <c r="H1544" s="44">
        <v>681.34997599999997</v>
      </c>
      <c r="I1544" s="44">
        <v>580.34997599999997</v>
      </c>
      <c r="J1544" s="44">
        <v>55.009998000000003</v>
      </c>
      <c r="K1544" s="44">
        <v>104.370003</v>
      </c>
    </row>
    <row r="1545" spans="6:11" x14ac:dyDescent="0.3">
      <c r="F1545" s="43">
        <v>40126</v>
      </c>
      <c r="G1545" s="44">
        <v>1093.079956</v>
      </c>
      <c r="H1545" s="44">
        <v>697.77002000000005</v>
      </c>
      <c r="I1545" s="44">
        <v>592.30999799999995</v>
      </c>
      <c r="J1545" s="44">
        <v>56.549999</v>
      </c>
      <c r="K1545" s="44">
        <v>104.510002</v>
      </c>
    </row>
    <row r="1546" spans="6:11" x14ac:dyDescent="0.3">
      <c r="F1546" s="43">
        <v>40127</v>
      </c>
      <c r="G1546" s="44">
        <v>1093.01001</v>
      </c>
      <c r="H1546" s="44">
        <v>696.75</v>
      </c>
      <c r="I1546" s="44">
        <v>586.96997099999999</v>
      </c>
      <c r="J1546" s="44">
        <v>56.25</v>
      </c>
      <c r="K1546" s="44">
        <v>104.540001</v>
      </c>
    </row>
    <row r="1547" spans="6:11" x14ac:dyDescent="0.3">
      <c r="F1547" s="43">
        <v>40128</v>
      </c>
      <c r="G1547" s="44">
        <v>1098.51001</v>
      </c>
      <c r="H1547" s="44">
        <v>701.97997999999995</v>
      </c>
      <c r="I1547" s="44">
        <v>592.71002199999998</v>
      </c>
      <c r="J1547" s="44">
        <v>56.419998</v>
      </c>
      <c r="K1547" s="44">
        <v>104.58000199999999</v>
      </c>
    </row>
    <row r="1548" spans="6:11" x14ac:dyDescent="0.3">
      <c r="F1548" s="43">
        <v>40129</v>
      </c>
      <c r="G1548" s="44">
        <v>1087.23999</v>
      </c>
      <c r="H1548" s="44">
        <v>691.44000200000005</v>
      </c>
      <c r="I1548" s="44">
        <v>580.32000700000003</v>
      </c>
      <c r="J1548" s="44">
        <v>55.599997999999999</v>
      </c>
      <c r="K1548" s="44">
        <v>104.790001</v>
      </c>
    </row>
    <row r="1549" spans="6:11" x14ac:dyDescent="0.3">
      <c r="F1549" s="43">
        <v>40130</v>
      </c>
      <c r="G1549" s="44">
        <v>1093.4799800000001</v>
      </c>
      <c r="H1549" s="44">
        <v>698.26000999999997</v>
      </c>
      <c r="I1549" s="44">
        <v>586.28002900000001</v>
      </c>
      <c r="J1549" s="44">
        <v>56.380001</v>
      </c>
      <c r="K1549" s="44">
        <v>104.900002</v>
      </c>
    </row>
    <row r="1550" spans="6:11" x14ac:dyDescent="0.3">
      <c r="F1550" s="43">
        <v>40133</v>
      </c>
      <c r="G1550" s="44">
        <v>1109.3000489999999</v>
      </c>
      <c r="H1550" s="44">
        <v>710.57000700000003</v>
      </c>
      <c r="I1550" s="44">
        <v>602.86999500000002</v>
      </c>
      <c r="J1550" s="44">
        <v>57.279998999999997</v>
      </c>
      <c r="K1550" s="44">
        <v>105.150002</v>
      </c>
    </row>
    <row r="1551" spans="6:11" x14ac:dyDescent="0.3">
      <c r="F1551" s="43">
        <v>40134</v>
      </c>
      <c r="G1551" s="44">
        <v>1110.3199460000001</v>
      </c>
      <c r="H1551" s="44">
        <v>709.34997599999997</v>
      </c>
      <c r="I1551" s="44">
        <v>602.34002699999996</v>
      </c>
      <c r="J1551" s="44">
        <v>56.900002000000001</v>
      </c>
      <c r="K1551" s="44">
        <v>105.239998</v>
      </c>
    </row>
    <row r="1552" spans="6:11" x14ac:dyDescent="0.3">
      <c r="F1552" s="43">
        <v>40135</v>
      </c>
      <c r="G1552" s="44">
        <v>1109.8000489999999</v>
      </c>
      <c r="H1552" s="44">
        <v>705.89001499999995</v>
      </c>
      <c r="I1552" s="44">
        <v>600.15002400000003</v>
      </c>
      <c r="J1552" s="44">
        <v>56.720001000000003</v>
      </c>
      <c r="K1552" s="44">
        <v>105.019997</v>
      </c>
    </row>
    <row r="1553" spans="6:11" x14ac:dyDescent="0.3">
      <c r="F1553" s="43">
        <v>40136</v>
      </c>
      <c r="G1553" s="44">
        <v>1094.900024</v>
      </c>
      <c r="H1553" s="44">
        <v>691.39001499999995</v>
      </c>
      <c r="I1553" s="44">
        <v>585.67999299999997</v>
      </c>
      <c r="J1553" s="44">
        <v>55.650002000000001</v>
      </c>
      <c r="K1553" s="44">
        <v>105.129997</v>
      </c>
    </row>
    <row r="1554" spans="6:11" x14ac:dyDescent="0.3">
      <c r="F1554" s="43">
        <v>40137</v>
      </c>
      <c r="G1554" s="44">
        <v>1091.380005</v>
      </c>
      <c r="H1554" s="44">
        <v>687.53997800000002</v>
      </c>
      <c r="I1554" s="44">
        <v>584.67999299999997</v>
      </c>
      <c r="J1554" s="44">
        <v>55.34</v>
      </c>
      <c r="K1554" s="44">
        <v>105.16999800000001</v>
      </c>
    </row>
    <row r="1555" spans="6:11" x14ac:dyDescent="0.3">
      <c r="F1555" s="43">
        <v>40140</v>
      </c>
      <c r="G1555" s="44">
        <v>1106.23999</v>
      </c>
      <c r="H1555" s="44">
        <v>694.79998799999998</v>
      </c>
      <c r="I1555" s="44">
        <v>594.80999799999995</v>
      </c>
      <c r="J1555" s="44">
        <v>56.330002</v>
      </c>
      <c r="K1555" s="44">
        <v>105.150002</v>
      </c>
    </row>
    <row r="1556" spans="6:11" x14ac:dyDescent="0.3">
      <c r="F1556" s="43">
        <v>40141</v>
      </c>
      <c r="G1556" s="44">
        <v>1105.650024</v>
      </c>
      <c r="H1556" s="44">
        <v>692.89001499999995</v>
      </c>
      <c r="I1556" s="44">
        <v>592.580017</v>
      </c>
      <c r="J1556" s="44">
        <v>56.099997999999999</v>
      </c>
      <c r="K1556" s="44">
        <v>105.459999</v>
      </c>
    </row>
    <row r="1557" spans="6:11" x14ac:dyDescent="0.3">
      <c r="F1557" s="43">
        <v>40142</v>
      </c>
      <c r="G1557" s="44">
        <v>1110.630005</v>
      </c>
      <c r="H1557" s="44">
        <v>697.78002900000001</v>
      </c>
      <c r="I1557" s="44">
        <v>592.19000200000005</v>
      </c>
      <c r="J1557" s="44">
        <v>56.849997999999999</v>
      </c>
      <c r="K1557" s="44">
        <v>105.55999799999999</v>
      </c>
    </row>
    <row r="1558" spans="6:11" x14ac:dyDescent="0.3">
      <c r="F1558" s="43">
        <v>40144</v>
      </c>
      <c r="G1558" s="44">
        <v>1091.48999</v>
      </c>
      <c r="H1558" s="44">
        <v>683.78997800000002</v>
      </c>
      <c r="I1558" s="44">
        <v>577.21002199999998</v>
      </c>
      <c r="J1558" s="44">
        <v>55.209999000000003</v>
      </c>
      <c r="K1558" s="44">
        <v>105.650002</v>
      </c>
    </row>
    <row r="1559" spans="6:11" x14ac:dyDescent="0.3">
      <c r="F1559" s="43">
        <v>40147</v>
      </c>
      <c r="G1559" s="44">
        <v>1095.630005</v>
      </c>
      <c r="H1559" s="44">
        <v>684.77002000000005</v>
      </c>
      <c r="I1559" s="44">
        <v>579.72997999999995</v>
      </c>
      <c r="J1559" s="44">
        <v>55.389999000000003</v>
      </c>
      <c r="K1559" s="44">
        <v>105.83000199999999</v>
      </c>
    </row>
    <row r="1560" spans="6:11" x14ac:dyDescent="0.3">
      <c r="F1560" s="43">
        <v>40148</v>
      </c>
      <c r="G1560" s="44">
        <v>1108.8599850000001</v>
      </c>
      <c r="H1560" s="44">
        <v>695.30999799999995</v>
      </c>
      <c r="I1560" s="44">
        <v>589.20001200000002</v>
      </c>
      <c r="J1560" s="44">
        <v>56.91</v>
      </c>
      <c r="K1560" s="44">
        <v>105.220001</v>
      </c>
    </row>
    <row r="1561" spans="6:11" x14ac:dyDescent="0.3">
      <c r="F1561" s="43">
        <v>40149</v>
      </c>
      <c r="G1561" s="44">
        <v>1109.23999</v>
      </c>
      <c r="H1561" s="44">
        <v>699.84002699999996</v>
      </c>
      <c r="I1561" s="44">
        <v>596.09002699999996</v>
      </c>
      <c r="J1561" s="44">
        <v>57</v>
      </c>
      <c r="K1561" s="44">
        <v>105.019997</v>
      </c>
    </row>
    <row r="1562" spans="6:11" x14ac:dyDescent="0.3">
      <c r="F1562" s="43">
        <v>40150</v>
      </c>
      <c r="G1562" s="44">
        <v>1099.920044</v>
      </c>
      <c r="H1562" s="44">
        <v>692.53997800000002</v>
      </c>
      <c r="I1562" s="44">
        <v>588.78002900000001</v>
      </c>
      <c r="J1562" s="44">
        <v>56.869999</v>
      </c>
      <c r="K1562" s="44">
        <v>105.029999</v>
      </c>
    </row>
    <row r="1563" spans="6:11" x14ac:dyDescent="0.3">
      <c r="F1563" s="43">
        <v>40151</v>
      </c>
      <c r="G1563" s="44">
        <v>1105.9799800000001</v>
      </c>
      <c r="H1563" s="44">
        <v>702.14001499999995</v>
      </c>
      <c r="I1563" s="44">
        <v>602.78997800000002</v>
      </c>
      <c r="J1563" s="44">
        <v>56.669998</v>
      </c>
      <c r="K1563" s="44">
        <v>104.82</v>
      </c>
    </row>
    <row r="1564" spans="6:11" x14ac:dyDescent="0.3">
      <c r="F1564" s="43">
        <v>40154</v>
      </c>
      <c r="G1564" s="44">
        <v>1103.25</v>
      </c>
      <c r="H1564" s="44">
        <v>701.40002400000003</v>
      </c>
      <c r="I1564" s="44">
        <v>603.55999799999995</v>
      </c>
      <c r="J1564" s="44">
        <v>56.360000999999997</v>
      </c>
      <c r="K1564" s="44">
        <v>104.91999800000001</v>
      </c>
    </row>
    <row r="1565" spans="6:11" x14ac:dyDescent="0.3">
      <c r="F1565" s="43">
        <v>40155</v>
      </c>
      <c r="G1565" s="44">
        <v>1091.9399410000001</v>
      </c>
      <c r="H1565" s="44">
        <v>695.72997999999995</v>
      </c>
      <c r="I1565" s="44">
        <v>597.70001200000002</v>
      </c>
      <c r="J1565" s="44">
        <v>55.380001</v>
      </c>
      <c r="K1565" s="44">
        <v>105.05999799999999</v>
      </c>
    </row>
    <row r="1566" spans="6:11" x14ac:dyDescent="0.3">
      <c r="F1566" s="43">
        <v>40156</v>
      </c>
      <c r="G1566" s="44">
        <v>1095.9499510000001</v>
      </c>
      <c r="H1566" s="44">
        <v>696.14001499999995</v>
      </c>
      <c r="I1566" s="44">
        <v>598.03002900000001</v>
      </c>
      <c r="J1566" s="44">
        <v>55.310001</v>
      </c>
      <c r="K1566" s="44">
        <v>104.949997</v>
      </c>
    </row>
    <row r="1567" spans="6:11" x14ac:dyDescent="0.3">
      <c r="F1567" s="43">
        <v>40157</v>
      </c>
      <c r="G1567" s="44">
        <v>1102.349976</v>
      </c>
      <c r="H1567" s="44">
        <v>700.54998799999998</v>
      </c>
      <c r="I1567" s="44">
        <v>595.38000499999998</v>
      </c>
      <c r="J1567" s="44">
        <v>55.48</v>
      </c>
      <c r="K1567" s="44">
        <v>104.870003</v>
      </c>
    </row>
    <row r="1568" spans="6:11" x14ac:dyDescent="0.3">
      <c r="F1568" s="43">
        <v>40158</v>
      </c>
      <c r="G1568" s="44">
        <v>1106.410034</v>
      </c>
      <c r="H1568" s="44">
        <v>705.94000200000005</v>
      </c>
      <c r="I1568" s="44">
        <v>600.36999500000002</v>
      </c>
      <c r="J1568" s="44">
        <v>55.459999000000003</v>
      </c>
      <c r="K1568" s="44">
        <v>104.620003</v>
      </c>
    </row>
    <row r="1569" spans="6:11" x14ac:dyDescent="0.3">
      <c r="F1569" s="43">
        <v>40161</v>
      </c>
      <c r="G1569" s="44">
        <v>1114.1099850000001</v>
      </c>
      <c r="H1569" s="44">
        <v>716.40997300000004</v>
      </c>
      <c r="I1569" s="44">
        <v>609.78997800000002</v>
      </c>
      <c r="J1569" s="44">
        <v>56</v>
      </c>
      <c r="K1569" s="44">
        <v>104.68</v>
      </c>
    </row>
    <row r="1570" spans="6:11" x14ac:dyDescent="0.3">
      <c r="F1570" s="43">
        <v>40162</v>
      </c>
      <c r="G1570" s="44">
        <v>1107.9300539999999</v>
      </c>
      <c r="H1570" s="44">
        <v>715.65002400000003</v>
      </c>
      <c r="I1570" s="44">
        <v>606.30999799999995</v>
      </c>
      <c r="J1570" s="44">
        <v>55.380001</v>
      </c>
      <c r="K1570" s="44">
        <v>104.389999</v>
      </c>
    </row>
    <row r="1571" spans="6:11" x14ac:dyDescent="0.3">
      <c r="F1571" s="43">
        <v>40163</v>
      </c>
      <c r="G1571" s="44">
        <v>1109.1800539999999</v>
      </c>
      <c r="H1571" s="44">
        <v>719.46002199999998</v>
      </c>
      <c r="I1571" s="44">
        <v>611.21002199999998</v>
      </c>
      <c r="J1571" s="44">
        <v>56.029998999999997</v>
      </c>
      <c r="K1571" s="44">
        <v>104.58000199999999</v>
      </c>
    </row>
    <row r="1572" spans="6:11" x14ac:dyDescent="0.3">
      <c r="F1572" s="43">
        <v>40164</v>
      </c>
      <c r="G1572" s="44">
        <v>1096.079956</v>
      </c>
      <c r="H1572" s="44">
        <v>711.26000999999997</v>
      </c>
      <c r="I1572" s="44">
        <v>604.25</v>
      </c>
      <c r="J1572" s="44">
        <v>54.709999000000003</v>
      </c>
      <c r="K1572" s="44">
        <v>104.75</v>
      </c>
    </row>
    <row r="1573" spans="6:11" x14ac:dyDescent="0.3">
      <c r="F1573" s="43">
        <v>40165</v>
      </c>
      <c r="G1573" s="44">
        <v>1102.469971</v>
      </c>
      <c r="H1573" s="44">
        <v>714.89001499999995</v>
      </c>
      <c r="I1573" s="44">
        <v>610.57000700000003</v>
      </c>
      <c r="J1573" s="44">
        <v>54.84</v>
      </c>
      <c r="K1573" s="44">
        <v>104.75</v>
      </c>
    </row>
    <row r="1574" spans="6:11" x14ac:dyDescent="0.3">
      <c r="F1574" s="43">
        <v>40168</v>
      </c>
      <c r="G1574" s="44">
        <v>1114.0500489999999</v>
      </c>
      <c r="H1574" s="44">
        <v>724.57000700000003</v>
      </c>
      <c r="I1574" s="44">
        <v>618.59997599999997</v>
      </c>
      <c r="J1574" s="44">
        <v>55</v>
      </c>
      <c r="K1574" s="44">
        <v>104.30999799999999</v>
      </c>
    </row>
    <row r="1575" spans="6:11" x14ac:dyDescent="0.3">
      <c r="F1575" s="43">
        <v>40169</v>
      </c>
      <c r="G1575" s="44">
        <v>1118.0200199999999</v>
      </c>
      <c r="H1575" s="44">
        <v>730.53997800000002</v>
      </c>
      <c r="I1575" s="44">
        <v>623.59997599999997</v>
      </c>
      <c r="J1575" s="44">
        <v>54.849997999999999</v>
      </c>
      <c r="K1575" s="44">
        <v>104.010002</v>
      </c>
    </row>
    <row r="1576" spans="6:11" x14ac:dyDescent="0.3">
      <c r="F1576" s="43">
        <v>40170</v>
      </c>
      <c r="G1576" s="44">
        <v>1120.589966</v>
      </c>
      <c r="H1576" s="44">
        <v>735.95001200000002</v>
      </c>
      <c r="I1576" s="44">
        <v>630.97997999999995</v>
      </c>
      <c r="J1576" s="44">
        <v>55.349997999999999</v>
      </c>
      <c r="K1576" s="44">
        <v>104.050003</v>
      </c>
    </row>
    <row r="1577" spans="6:11" x14ac:dyDescent="0.3">
      <c r="F1577" s="43">
        <v>40171</v>
      </c>
      <c r="G1577" s="44">
        <v>1126.4799800000001</v>
      </c>
      <c r="H1577" s="44">
        <v>739.71002199999998</v>
      </c>
      <c r="I1577" s="44">
        <v>634.07000700000003</v>
      </c>
      <c r="J1577" s="44">
        <v>55.57</v>
      </c>
      <c r="K1577" s="44">
        <v>103.870003</v>
      </c>
    </row>
    <row r="1578" spans="6:11" x14ac:dyDescent="0.3">
      <c r="F1578" s="43">
        <v>40175</v>
      </c>
      <c r="G1578" s="44">
        <v>1127.780029</v>
      </c>
      <c r="H1578" s="44">
        <v>739.44000200000005</v>
      </c>
      <c r="I1578" s="44">
        <v>633.75</v>
      </c>
      <c r="J1578" s="44">
        <v>55.810001</v>
      </c>
      <c r="K1578" s="44">
        <v>103.239998</v>
      </c>
    </row>
    <row r="1579" spans="6:11" x14ac:dyDescent="0.3">
      <c r="F1579" s="43">
        <v>40176</v>
      </c>
      <c r="G1579" s="44">
        <v>1126.1999510000001</v>
      </c>
      <c r="H1579" s="44">
        <v>737.84002699999996</v>
      </c>
      <c r="I1579" s="44">
        <v>633.17999299999997</v>
      </c>
      <c r="J1579" s="44">
        <v>55.900002000000001</v>
      </c>
      <c r="K1579" s="44">
        <v>103.05999799999999</v>
      </c>
    </row>
    <row r="1580" spans="6:11" x14ac:dyDescent="0.3">
      <c r="F1580" s="43">
        <v>40177</v>
      </c>
      <c r="G1580" s="44">
        <v>1126.420044</v>
      </c>
      <c r="H1580" s="44">
        <v>736.169983</v>
      </c>
      <c r="I1580" s="44">
        <v>633.40997300000004</v>
      </c>
      <c r="J1580" s="44">
        <v>55.669998</v>
      </c>
      <c r="K1580" s="44">
        <v>103.32</v>
      </c>
    </row>
    <row r="1581" spans="6:11" x14ac:dyDescent="0.3">
      <c r="F1581" s="43">
        <v>40178</v>
      </c>
      <c r="G1581" s="44">
        <v>1115.099976</v>
      </c>
      <c r="H1581" s="44">
        <v>726.669983</v>
      </c>
      <c r="I1581" s="44">
        <v>625.39001499999995</v>
      </c>
      <c r="J1581" s="44">
        <v>55.279998999999997</v>
      </c>
      <c r="K1581" s="44">
        <v>103.19000200000001</v>
      </c>
    </row>
    <row r="1582" spans="6:11" x14ac:dyDescent="0.3">
      <c r="F1582" s="43">
        <v>40182</v>
      </c>
      <c r="G1582" s="44">
        <v>1132.98999</v>
      </c>
      <c r="H1582" s="44">
        <v>738.15002400000003</v>
      </c>
      <c r="I1582" s="44">
        <v>640.09997599999997</v>
      </c>
      <c r="J1582" s="44">
        <v>56.73</v>
      </c>
      <c r="K1582" s="44">
        <v>103.30999799999999</v>
      </c>
    </row>
    <row r="1583" spans="6:11" x14ac:dyDescent="0.3">
      <c r="F1583" s="43">
        <v>40183</v>
      </c>
      <c r="G1583" s="44">
        <v>1136.5200199999999</v>
      </c>
      <c r="H1583" s="44">
        <v>740.10998500000005</v>
      </c>
      <c r="I1583" s="44">
        <v>638.48999000000003</v>
      </c>
      <c r="J1583" s="44">
        <v>56.779998999999997</v>
      </c>
      <c r="K1583" s="44">
        <v>103.779999</v>
      </c>
    </row>
    <row r="1584" spans="6:11" x14ac:dyDescent="0.3">
      <c r="F1584" s="43">
        <v>40184</v>
      </c>
      <c r="G1584" s="44">
        <v>1137.1400149999999</v>
      </c>
      <c r="H1584" s="44">
        <v>744.01000999999997</v>
      </c>
      <c r="I1584" s="44">
        <v>637.95001200000002</v>
      </c>
      <c r="J1584" s="44">
        <v>57.02</v>
      </c>
      <c r="K1584" s="44">
        <v>103.720001</v>
      </c>
    </row>
    <row r="1585" spans="6:11" x14ac:dyDescent="0.3">
      <c r="F1585" s="43">
        <v>40185</v>
      </c>
      <c r="G1585" s="44">
        <v>1141.6899410000001</v>
      </c>
      <c r="H1585" s="44">
        <v>747.77002000000005</v>
      </c>
      <c r="I1585" s="44">
        <v>641.96997099999999</v>
      </c>
      <c r="J1585" s="44">
        <v>56.799999</v>
      </c>
      <c r="K1585" s="44">
        <v>103.599998</v>
      </c>
    </row>
    <row r="1586" spans="6:11" x14ac:dyDescent="0.3">
      <c r="F1586" s="43">
        <v>40186</v>
      </c>
      <c r="G1586" s="44">
        <v>1144.9799800000001</v>
      </c>
      <c r="H1586" s="44">
        <v>752.080017</v>
      </c>
      <c r="I1586" s="44">
        <v>644.55999799999995</v>
      </c>
      <c r="J1586" s="44">
        <v>57.25</v>
      </c>
      <c r="K1586" s="44">
        <v>103.660004</v>
      </c>
    </row>
    <row r="1587" spans="6:11" x14ac:dyDescent="0.3">
      <c r="F1587" s="43">
        <v>40189</v>
      </c>
      <c r="G1587" s="44">
        <v>1146.9799800000001</v>
      </c>
      <c r="H1587" s="44">
        <v>751.53002900000001</v>
      </c>
      <c r="I1587" s="44">
        <v>643.98999000000003</v>
      </c>
      <c r="J1587" s="44">
        <v>57.720001000000003</v>
      </c>
      <c r="K1587" s="44">
        <v>103.58000199999999</v>
      </c>
    </row>
    <row r="1588" spans="6:11" x14ac:dyDescent="0.3">
      <c r="F1588" s="43">
        <v>40190</v>
      </c>
      <c r="G1588" s="44">
        <v>1136.219971</v>
      </c>
      <c r="H1588" s="44">
        <v>742.03002900000001</v>
      </c>
      <c r="I1588" s="44">
        <v>635.5</v>
      </c>
      <c r="J1588" s="44">
        <v>57.040000999999997</v>
      </c>
      <c r="K1588" s="44">
        <v>104.239998</v>
      </c>
    </row>
    <row r="1589" spans="6:11" x14ac:dyDescent="0.3">
      <c r="F1589" s="43">
        <v>40191</v>
      </c>
      <c r="G1589" s="44">
        <v>1145.6800539999999</v>
      </c>
      <c r="H1589" s="44">
        <v>751.55999799999995</v>
      </c>
      <c r="I1589" s="44">
        <v>643.55999799999995</v>
      </c>
      <c r="J1589" s="44">
        <v>57.52</v>
      </c>
      <c r="K1589" s="44">
        <v>103.800003</v>
      </c>
    </row>
    <row r="1590" spans="6:11" x14ac:dyDescent="0.3">
      <c r="F1590" s="43">
        <v>40192</v>
      </c>
      <c r="G1590" s="44">
        <v>1148.459961</v>
      </c>
      <c r="H1590" s="44">
        <v>753.02002000000005</v>
      </c>
      <c r="I1590" s="44">
        <v>646.42999299999997</v>
      </c>
      <c r="J1590" s="44">
        <v>57.959999000000003</v>
      </c>
      <c r="K1590" s="44">
        <v>104.07</v>
      </c>
    </row>
    <row r="1591" spans="6:11" x14ac:dyDescent="0.3">
      <c r="F1591" s="43">
        <v>40193</v>
      </c>
      <c r="G1591" s="44">
        <v>1136.030029</v>
      </c>
      <c r="H1591" s="44">
        <v>743.10998500000005</v>
      </c>
      <c r="I1591" s="44">
        <v>637.96002199999998</v>
      </c>
      <c r="J1591" s="44">
        <v>57.049999</v>
      </c>
      <c r="K1591" s="44">
        <v>104.269997</v>
      </c>
    </row>
    <row r="1592" spans="6:11" x14ac:dyDescent="0.3">
      <c r="F1592" s="43">
        <v>40197</v>
      </c>
      <c r="G1592" s="44">
        <v>1150.2299800000001</v>
      </c>
      <c r="H1592" s="44">
        <v>752.77002000000005</v>
      </c>
      <c r="I1592" s="44">
        <v>649.15002400000003</v>
      </c>
      <c r="J1592" s="44">
        <v>57.610000999999997</v>
      </c>
      <c r="K1592" s="44">
        <v>104.099998</v>
      </c>
    </row>
    <row r="1593" spans="6:11" x14ac:dyDescent="0.3">
      <c r="F1593" s="43">
        <v>40198</v>
      </c>
      <c r="G1593" s="44">
        <v>1138.040039</v>
      </c>
      <c r="H1593" s="44">
        <v>746.75</v>
      </c>
      <c r="I1593" s="44">
        <v>639.60998500000005</v>
      </c>
      <c r="J1593" s="44">
        <v>56.139999000000003</v>
      </c>
      <c r="K1593" s="44">
        <v>104.370003</v>
      </c>
    </row>
    <row r="1594" spans="6:11" x14ac:dyDescent="0.3">
      <c r="F1594" s="43">
        <v>40199</v>
      </c>
      <c r="G1594" s="44">
        <v>1116.4799800000001</v>
      </c>
      <c r="H1594" s="44">
        <v>736.919983</v>
      </c>
      <c r="I1594" s="44">
        <v>628.35998500000005</v>
      </c>
      <c r="J1594" s="44">
        <v>54.939999</v>
      </c>
      <c r="K1594" s="44">
        <v>104.400002</v>
      </c>
    </row>
    <row r="1595" spans="6:11" x14ac:dyDescent="0.3">
      <c r="F1595" s="43">
        <v>40200</v>
      </c>
      <c r="G1595" s="44">
        <v>1091.76001</v>
      </c>
      <c r="H1595" s="44">
        <v>721.64001499999995</v>
      </c>
      <c r="I1595" s="44">
        <v>617.11999500000002</v>
      </c>
      <c r="J1595" s="44">
        <v>53.869999</v>
      </c>
      <c r="K1595" s="44">
        <v>104.459999</v>
      </c>
    </row>
    <row r="1596" spans="6:11" x14ac:dyDescent="0.3">
      <c r="F1596" s="43">
        <v>40203</v>
      </c>
      <c r="G1596" s="44">
        <v>1096.780029</v>
      </c>
      <c r="H1596" s="44">
        <v>723.22997999999995</v>
      </c>
      <c r="I1596" s="44">
        <v>618.10998500000005</v>
      </c>
      <c r="J1596" s="44">
        <v>54.529998999999997</v>
      </c>
      <c r="K1596" s="44">
        <v>104.449997</v>
      </c>
    </row>
    <row r="1597" spans="6:11" x14ac:dyDescent="0.3">
      <c r="F1597" s="43">
        <v>40204</v>
      </c>
      <c r="G1597" s="44">
        <v>1092.170044</v>
      </c>
      <c r="H1597" s="44">
        <v>720.580017</v>
      </c>
      <c r="I1597" s="44">
        <v>612.15997300000004</v>
      </c>
      <c r="J1597" s="44">
        <v>54.220001000000003</v>
      </c>
      <c r="K1597" s="44">
        <v>104.58000199999999</v>
      </c>
    </row>
    <row r="1598" spans="6:11" x14ac:dyDescent="0.3">
      <c r="F1598" s="43">
        <v>40205</v>
      </c>
      <c r="G1598" s="44">
        <v>1097.5</v>
      </c>
      <c r="H1598" s="44">
        <v>721.88000499999998</v>
      </c>
      <c r="I1598" s="44">
        <v>618.38000499999998</v>
      </c>
      <c r="J1598" s="44">
        <v>54.16</v>
      </c>
      <c r="K1598" s="44">
        <v>104.5</v>
      </c>
    </row>
    <row r="1599" spans="6:11" x14ac:dyDescent="0.3">
      <c r="F1599" s="43">
        <v>40206</v>
      </c>
      <c r="G1599" s="44">
        <v>1084.530029</v>
      </c>
      <c r="H1599" s="44">
        <v>712.44000200000005</v>
      </c>
      <c r="I1599" s="44">
        <v>607.92999299999997</v>
      </c>
      <c r="J1599" s="44">
        <v>53.25</v>
      </c>
      <c r="K1599" s="44">
        <v>104.410004</v>
      </c>
    </row>
    <row r="1600" spans="6:11" x14ac:dyDescent="0.3">
      <c r="F1600" s="43">
        <v>40207</v>
      </c>
      <c r="G1600" s="44">
        <v>1073.869995</v>
      </c>
      <c r="H1600" s="44">
        <v>702.79998799999998</v>
      </c>
      <c r="I1600" s="44">
        <v>602.03997800000002</v>
      </c>
      <c r="J1600" s="44">
        <v>52.48</v>
      </c>
      <c r="K1600" s="44">
        <v>104.650002</v>
      </c>
    </row>
    <row r="1601" spans="6:11" x14ac:dyDescent="0.3">
      <c r="F1601" s="43">
        <v>40210</v>
      </c>
      <c r="G1601" s="44">
        <v>1089.1899410000001</v>
      </c>
      <c r="H1601" s="44">
        <v>713.54998799999998</v>
      </c>
      <c r="I1601" s="44">
        <v>609.25</v>
      </c>
      <c r="J1601" s="44">
        <v>53.439999</v>
      </c>
      <c r="K1601" s="44">
        <v>104.18</v>
      </c>
    </row>
    <row r="1602" spans="6:11" x14ac:dyDescent="0.3">
      <c r="F1602" s="43">
        <v>40211</v>
      </c>
      <c r="G1602" s="44">
        <v>1103.3199460000001</v>
      </c>
      <c r="H1602" s="44">
        <v>723.5</v>
      </c>
      <c r="I1602" s="44">
        <v>614.04998799999998</v>
      </c>
      <c r="J1602" s="44">
        <v>54.330002</v>
      </c>
      <c r="K1602" s="44">
        <v>104.300003</v>
      </c>
    </row>
    <row r="1603" spans="6:11" x14ac:dyDescent="0.3">
      <c r="F1603" s="43">
        <v>40212</v>
      </c>
      <c r="G1603" s="44">
        <v>1097.280029</v>
      </c>
      <c r="H1603" s="44">
        <v>718.63000499999998</v>
      </c>
      <c r="I1603" s="44">
        <v>610.65997300000004</v>
      </c>
      <c r="J1603" s="44">
        <v>53.759998000000003</v>
      </c>
      <c r="K1603" s="44">
        <v>104.110001</v>
      </c>
    </row>
    <row r="1604" spans="6:11" x14ac:dyDescent="0.3">
      <c r="F1604" s="43">
        <v>40213</v>
      </c>
      <c r="G1604" s="44">
        <v>1063.1099850000001</v>
      </c>
      <c r="H1604" s="44">
        <v>695.80999799999995</v>
      </c>
      <c r="I1604" s="44">
        <v>589.67999299999997</v>
      </c>
      <c r="J1604" s="44">
        <v>51.57</v>
      </c>
      <c r="K1604" s="44">
        <v>104.360001</v>
      </c>
    </row>
    <row r="1605" spans="6:11" x14ac:dyDescent="0.3">
      <c r="F1605" s="43">
        <v>40214</v>
      </c>
      <c r="G1605" s="44">
        <v>1066.1899410000001</v>
      </c>
      <c r="H1605" s="44">
        <v>697.09002699999996</v>
      </c>
      <c r="I1605" s="44">
        <v>592.97997999999995</v>
      </c>
      <c r="J1605" s="44">
        <v>51.48</v>
      </c>
      <c r="K1605" s="44">
        <v>104.400002</v>
      </c>
    </row>
    <row r="1606" spans="6:11" x14ac:dyDescent="0.3">
      <c r="F1606" s="43">
        <v>40217</v>
      </c>
      <c r="G1606" s="44">
        <v>1056.73999</v>
      </c>
      <c r="H1606" s="44">
        <v>692.52002000000005</v>
      </c>
      <c r="I1606" s="44">
        <v>586.48999000000003</v>
      </c>
      <c r="J1606" s="44">
        <v>50.459999000000003</v>
      </c>
      <c r="K1606" s="44">
        <v>104.599998</v>
      </c>
    </row>
    <row r="1607" spans="6:11" x14ac:dyDescent="0.3">
      <c r="F1607" s="43">
        <v>40218</v>
      </c>
      <c r="G1607" s="44">
        <v>1070.5200199999999</v>
      </c>
      <c r="H1607" s="44">
        <v>701.03997800000002</v>
      </c>
      <c r="I1607" s="44">
        <v>595.169983</v>
      </c>
      <c r="J1607" s="44">
        <v>52.049999</v>
      </c>
      <c r="K1607" s="44">
        <v>104.410004</v>
      </c>
    </row>
    <row r="1608" spans="6:11" x14ac:dyDescent="0.3">
      <c r="F1608" s="43">
        <v>40219</v>
      </c>
      <c r="G1608" s="44">
        <v>1068.130005</v>
      </c>
      <c r="H1608" s="44">
        <v>700.59002699999996</v>
      </c>
      <c r="I1608" s="44">
        <v>595.82000700000003</v>
      </c>
      <c r="J1608" s="44">
        <v>51.720001000000003</v>
      </c>
      <c r="K1608" s="44">
        <v>104.16999800000001</v>
      </c>
    </row>
    <row r="1609" spans="6:11" x14ac:dyDescent="0.3">
      <c r="F1609" s="43">
        <v>40220</v>
      </c>
      <c r="G1609" s="44">
        <v>1078.469971</v>
      </c>
      <c r="H1609" s="44">
        <v>710.48999000000003</v>
      </c>
      <c r="I1609" s="44">
        <v>605.46002199999998</v>
      </c>
      <c r="J1609" s="44">
        <v>52.200001</v>
      </c>
      <c r="K1609" s="44">
        <v>104</v>
      </c>
    </row>
    <row r="1610" spans="6:11" x14ac:dyDescent="0.3">
      <c r="F1610" s="43">
        <v>40221</v>
      </c>
      <c r="G1610" s="44">
        <v>1075.51001</v>
      </c>
      <c r="H1610" s="44">
        <v>715.96002199999998</v>
      </c>
      <c r="I1610" s="44">
        <v>610.71997099999999</v>
      </c>
      <c r="J1610" s="44">
        <v>51.75</v>
      </c>
      <c r="K1610" s="44">
        <v>104.019997</v>
      </c>
    </row>
    <row r="1611" spans="6:11" x14ac:dyDescent="0.3">
      <c r="F1611" s="43">
        <v>40225</v>
      </c>
      <c r="G1611" s="44">
        <v>1094.869995</v>
      </c>
      <c r="H1611" s="44">
        <v>727.67999299999997</v>
      </c>
      <c r="I1611" s="44">
        <v>620.84002699999996</v>
      </c>
      <c r="J1611" s="44">
        <v>52.900002000000001</v>
      </c>
      <c r="K1611" s="44">
        <v>104.279999</v>
      </c>
    </row>
    <row r="1612" spans="6:11" x14ac:dyDescent="0.3">
      <c r="F1612" s="43">
        <v>40226</v>
      </c>
      <c r="G1612" s="44">
        <v>1099.51001</v>
      </c>
      <c r="H1612" s="44">
        <v>732.14001499999995</v>
      </c>
      <c r="I1612" s="44">
        <v>624.830017</v>
      </c>
      <c r="J1612" s="44">
        <v>52.970001000000003</v>
      </c>
      <c r="K1612" s="44">
        <v>103.959999</v>
      </c>
    </row>
    <row r="1613" spans="6:11" x14ac:dyDescent="0.3">
      <c r="F1613" s="43">
        <v>40227</v>
      </c>
      <c r="G1613" s="44">
        <v>1106.75</v>
      </c>
      <c r="H1613" s="44">
        <v>736.75</v>
      </c>
      <c r="I1613" s="44">
        <v>629.32000700000003</v>
      </c>
      <c r="J1613" s="44">
        <v>53.27</v>
      </c>
      <c r="K1613" s="44">
        <v>103.91999800000001</v>
      </c>
    </row>
    <row r="1614" spans="6:11" x14ac:dyDescent="0.3">
      <c r="F1614" s="43">
        <v>40228</v>
      </c>
      <c r="G1614" s="44">
        <v>1109.170044</v>
      </c>
      <c r="H1614" s="44">
        <v>740.15997300000004</v>
      </c>
      <c r="I1614" s="44">
        <v>631.61999500000002</v>
      </c>
      <c r="J1614" s="44">
        <v>52.939999</v>
      </c>
      <c r="K1614" s="44">
        <v>104</v>
      </c>
    </row>
    <row r="1615" spans="6:11" x14ac:dyDescent="0.3">
      <c r="F1615" s="43">
        <v>40231</v>
      </c>
      <c r="G1615" s="44">
        <v>1108.01001</v>
      </c>
      <c r="H1615" s="44">
        <v>740.10998500000005</v>
      </c>
      <c r="I1615" s="44">
        <v>632.25</v>
      </c>
      <c r="J1615" s="44">
        <v>53.040000999999997</v>
      </c>
      <c r="K1615" s="44">
        <v>103.82</v>
      </c>
    </row>
    <row r="1616" spans="6:11" x14ac:dyDescent="0.3">
      <c r="F1616" s="43">
        <v>40232</v>
      </c>
      <c r="G1616" s="44">
        <v>1094.599976</v>
      </c>
      <c r="H1616" s="44">
        <v>730.34997599999997</v>
      </c>
      <c r="I1616" s="44">
        <v>625.07000700000003</v>
      </c>
      <c r="J1616" s="44">
        <v>52.290000999999997</v>
      </c>
      <c r="K1616" s="44">
        <v>104.19000200000001</v>
      </c>
    </row>
    <row r="1617" spans="6:11" x14ac:dyDescent="0.3">
      <c r="F1617" s="43">
        <v>40233</v>
      </c>
      <c r="G1617" s="44">
        <v>1105.23999</v>
      </c>
      <c r="H1617" s="44">
        <v>737.17999299999997</v>
      </c>
      <c r="I1617" s="44">
        <v>630.42999299999997</v>
      </c>
      <c r="J1617" s="44">
        <v>52.619999</v>
      </c>
      <c r="K1617" s="44">
        <v>104.300003</v>
      </c>
    </row>
    <row r="1618" spans="6:11" x14ac:dyDescent="0.3">
      <c r="F1618" s="43">
        <v>40234</v>
      </c>
      <c r="G1618" s="44">
        <v>1102.9399410000001</v>
      </c>
      <c r="H1618" s="44">
        <v>737.89001499999995</v>
      </c>
      <c r="I1618" s="44">
        <v>630.46002199999998</v>
      </c>
      <c r="J1618" s="44">
        <v>52.299999</v>
      </c>
      <c r="K1618" s="44">
        <v>104.510002</v>
      </c>
    </row>
    <row r="1619" spans="6:11" x14ac:dyDescent="0.3">
      <c r="F1619" s="43">
        <v>40235</v>
      </c>
      <c r="G1619" s="44">
        <v>1104.48999</v>
      </c>
      <c r="H1619" s="44">
        <v>738.35998500000005</v>
      </c>
      <c r="I1619" s="44">
        <v>628.55999799999995</v>
      </c>
      <c r="J1619" s="44">
        <v>52.619999</v>
      </c>
      <c r="K1619" s="44">
        <v>104.529999</v>
      </c>
    </row>
    <row r="1620" spans="6:11" x14ac:dyDescent="0.3">
      <c r="F1620" s="43">
        <v>40238</v>
      </c>
      <c r="G1620" s="44">
        <v>1115.709961</v>
      </c>
      <c r="H1620" s="44">
        <v>751.02002000000005</v>
      </c>
      <c r="I1620" s="44">
        <v>642.65002400000003</v>
      </c>
      <c r="J1620" s="44">
        <v>53.029998999999997</v>
      </c>
      <c r="K1620" s="44">
        <v>104.360001</v>
      </c>
    </row>
    <row r="1621" spans="6:11" x14ac:dyDescent="0.3">
      <c r="F1621" s="43">
        <v>40239</v>
      </c>
      <c r="G1621" s="44">
        <v>1118.3100589999999</v>
      </c>
      <c r="H1621" s="44">
        <v>756.88000499999998</v>
      </c>
      <c r="I1621" s="44">
        <v>648.30999799999995</v>
      </c>
      <c r="J1621" s="44">
        <v>53.43</v>
      </c>
      <c r="K1621" s="44">
        <v>104.400002</v>
      </c>
    </row>
    <row r="1622" spans="6:11" x14ac:dyDescent="0.3">
      <c r="F1622" s="43">
        <v>40240</v>
      </c>
      <c r="G1622" s="44">
        <v>1118.790039</v>
      </c>
      <c r="H1622" s="44">
        <v>758.40002400000003</v>
      </c>
      <c r="I1622" s="44">
        <v>649.26000999999997</v>
      </c>
      <c r="J1622" s="44">
        <v>54.07</v>
      </c>
      <c r="K1622" s="44">
        <v>104.400002</v>
      </c>
    </row>
    <row r="1623" spans="6:11" x14ac:dyDescent="0.3">
      <c r="F1623" s="43">
        <v>40241</v>
      </c>
      <c r="G1623" s="44">
        <v>1122.969971</v>
      </c>
      <c r="H1623" s="44">
        <v>759.15997300000004</v>
      </c>
      <c r="I1623" s="44">
        <v>652.46997099999999</v>
      </c>
      <c r="J1623" s="44">
        <v>53.93</v>
      </c>
      <c r="K1623" s="44">
        <v>104.589996</v>
      </c>
    </row>
    <row r="1624" spans="6:11" x14ac:dyDescent="0.3">
      <c r="F1624" s="43">
        <v>40242</v>
      </c>
      <c r="G1624" s="44">
        <v>1138.6999510000001</v>
      </c>
      <c r="H1624" s="44">
        <v>770.46997099999999</v>
      </c>
      <c r="I1624" s="44">
        <v>666.02002000000005</v>
      </c>
      <c r="J1624" s="44">
        <v>54.98</v>
      </c>
      <c r="K1624" s="44">
        <v>104.389999</v>
      </c>
    </row>
    <row r="1625" spans="6:11" x14ac:dyDescent="0.3">
      <c r="F1625" s="43">
        <v>40245</v>
      </c>
      <c r="G1625" s="44">
        <v>1138.5</v>
      </c>
      <c r="H1625" s="44">
        <v>772.07000700000003</v>
      </c>
      <c r="I1625" s="44">
        <v>667.10998500000005</v>
      </c>
      <c r="J1625" s="44">
        <v>54.98</v>
      </c>
      <c r="K1625" s="44">
        <v>104.459999</v>
      </c>
    </row>
    <row r="1626" spans="6:11" x14ac:dyDescent="0.3">
      <c r="F1626" s="43">
        <v>40246</v>
      </c>
      <c r="G1626" s="44">
        <v>1140.4499510000001</v>
      </c>
      <c r="H1626" s="44">
        <v>772.59002699999996</v>
      </c>
      <c r="I1626" s="44">
        <v>669.63000499999998</v>
      </c>
      <c r="J1626" s="44">
        <v>54.849997999999999</v>
      </c>
      <c r="K1626" s="44">
        <v>104.58000199999999</v>
      </c>
    </row>
    <row r="1627" spans="6:11" x14ac:dyDescent="0.3">
      <c r="F1627" s="43">
        <v>40247</v>
      </c>
      <c r="G1627" s="44">
        <v>1145.6099850000001</v>
      </c>
      <c r="H1627" s="44">
        <v>778.79998799999998</v>
      </c>
      <c r="I1627" s="44">
        <v>674.92999299999997</v>
      </c>
      <c r="J1627" s="44">
        <v>55.080002</v>
      </c>
      <c r="K1627" s="44">
        <v>104.510002</v>
      </c>
    </row>
    <row r="1628" spans="6:11" x14ac:dyDescent="0.3">
      <c r="F1628" s="43">
        <v>40248</v>
      </c>
      <c r="G1628" s="44">
        <v>1150.23999</v>
      </c>
      <c r="H1628" s="44">
        <v>782.51000999999997</v>
      </c>
      <c r="I1628" s="44">
        <v>677.21997099999999</v>
      </c>
      <c r="J1628" s="44">
        <v>55.290000999999997</v>
      </c>
      <c r="K1628" s="44">
        <v>104.510002</v>
      </c>
    </row>
    <row r="1629" spans="6:11" x14ac:dyDescent="0.3">
      <c r="F1629" s="43">
        <v>40249</v>
      </c>
      <c r="G1629" s="44">
        <v>1149.98999</v>
      </c>
      <c r="H1629" s="44">
        <v>783.88000499999998</v>
      </c>
      <c r="I1629" s="44">
        <v>676.59002699999996</v>
      </c>
      <c r="J1629" s="44">
        <v>55.66</v>
      </c>
      <c r="K1629" s="44">
        <v>104.519997</v>
      </c>
    </row>
    <row r="1630" spans="6:11" x14ac:dyDescent="0.3">
      <c r="F1630" s="43">
        <v>40252</v>
      </c>
      <c r="G1630" s="44">
        <v>1150.51001</v>
      </c>
      <c r="H1630" s="44">
        <v>782.28997800000002</v>
      </c>
      <c r="I1630" s="44">
        <v>674.40997300000004</v>
      </c>
      <c r="J1630" s="44">
        <v>55.27</v>
      </c>
      <c r="K1630" s="44">
        <v>104.650002</v>
      </c>
    </row>
    <row r="1631" spans="6:11" x14ac:dyDescent="0.3">
      <c r="F1631" s="43">
        <v>40253</v>
      </c>
      <c r="G1631" s="44">
        <v>1159.459961</v>
      </c>
      <c r="H1631" s="44">
        <v>790.21997099999999</v>
      </c>
      <c r="I1631" s="44">
        <v>679.580017</v>
      </c>
      <c r="J1631" s="44">
        <v>55.970001000000003</v>
      </c>
      <c r="K1631" s="44">
        <v>104.839996</v>
      </c>
    </row>
    <row r="1632" spans="6:11" x14ac:dyDescent="0.3">
      <c r="F1632" s="43">
        <v>40254</v>
      </c>
      <c r="G1632" s="44">
        <v>1166.209961</v>
      </c>
      <c r="H1632" s="44">
        <v>796.09997599999997</v>
      </c>
      <c r="I1632" s="44">
        <v>683.97997999999995</v>
      </c>
      <c r="J1632" s="44">
        <v>56.27</v>
      </c>
      <c r="K1632" s="44">
        <v>104.91999800000001</v>
      </c>
    </row>
    <row r="1633" spans="6:11" x14ac:dyDescent="0.3">
      <c r="F1633" s="43">
        <v>40255</v>
      </c>
      <c r="G1633" s="44">
        <v>1165.829956</v>
      </c>
      <c r="H1633" s="44">
        <v>792.75</v>
      </c>
      <c r="I1633" s="44">
        <v>681.60998500000005</v>
      </c>
      <c r="J1633" s="44">
        <v>55.939999</v>
      </c>
      <c r="K1633" s="44">
        <v>104.83000199999999</v>
      </c>
    </row>
    <row r="1634" spans="6:11" x14ac:dyDescent="0.3">
      <c r="F1634" s="43">
        <v>40256</v>
      </c>
      <c r="G1634" s="44">
        <v>1159.900024</v>
      </c>
      <c r="H1634" s="44">
        <v>785.13000499999998</v>
      </c>
      <c r="I1634" s="44">
        <v>673.89001499999995</v>
      </c>
      <c r="J1634" s="44">
        <v>55.369999</v>
      </c>
      <c r="K1634" s="44">
        <v>104.75</v>
      </c>
    </row>
    <row r="1635" spans="6:11" x14ac:dyDescent="0.3">
      <c r="F1635" s="43">
        <v>40259</v>
      </c>
      <c r="G1635" s="44">
        <v>1165.8100589999999</v>
      </c>
      <c r="H1635" s="44">
        <v>793.78997800000002</v>
      </c>
      <c r="I1635" s="44">
        <v>682.90997300000004</v>
      </c>
      <c r="J1635" s="44">
        <v>55.529998999999997</v>
      </c>
      <c r="K1635" s="44">
        <v>104.83000199999999</v>
      </c>
    </row>
    <row r="1636" spans="6:11" x14ac:dyDescent="0.3">
      <c r="F1636" s="43">
        <v>40260</v>
      </c>
      <c r="G1636" s="44">
        <v>1174.170044</v>
      </c>
      <c r="H1636" s="44">
        <v>799.95001200000002</v>
      </c>
      <c r="I1636" s="44">
        <v>690.29998799999998</v>
      </c>
      <c r="J1636" s="44">
        <v>55.919998</v>
      </c>
      <c r="K1636" s="44">
        <v>104.849998</v>
      </c>
    </row>
    <row r="1637" spans="6:11" x14ac:dyDescent="0.3">
      <c r="F1637" s="43">
        <v>40261</v>
      </c>
      <c r="G1637" s="44">
        <v>1167.719971</v>
      </c>
      <c r="H1637" s="44">
        <v>793.30999799999995</v>
      </c>
      <c r="I1637" s="44">
        <v>683.67999299999997</v>
      </c>
      <c r="J1637" s="44">
        <v>55</v>
      </c>
      <c r="K1637" s="44">
        <v>104.32</v>
      </c>
    </row>
    <row r="1638" spans="6:11" x14ac:dyDescent="0.3">
      <c r="F1638" s="43">
        <v>40262</v>
      </c>
      <c r="G1638" s="44">
        <v>1165.7299800000001</v>
      </c>
      <c r="H1638" s="44">
        <v>787.73999000000003</v>
      </c>
      <c r="I1638" s="44">
        <v>679.09997599999997</v>
      </c>
      <c r="J1638" s="44">
        <v>54.970001000000003</v>
      </c>
      <c r="K1638" s="44">
        <v>104.050003</v>
      </c>
    </row>
    <row r="1639" spans="6:11" x14ac:dyDescent="0.3">
      <c r="F1639" s="43">
        <v>40263</v>
      </c>
      <c r="G1639" s="44">
        <v>1166.589966</v>
      </c>
      <c r="H1639" s="44">
        <v>787.02002000000005</v>
      </c>
      <c r="I1639" s="44">
        <v>678.96997099999999</v>
      </c>
      <c r="J1639" s="44">
        <v>55.509998000000003</v>
      </c>
      <c r="K1639" s="44">
        <v>104.220001</v>
      </c>
    </row>
    <row r="1640" spans="6:11" x14ac:dyDescent="0.3">
      <c r="F1640" s="43">
        <v>40266</v>
      </c>
      <c r="G1640" s="44">
        <v>1173.219971</v>
      </c>
      <c r="H1640" s="44">
        <v>793.169983</v>
      </c>
      <c r="I1640" s="44">
        <v>682.25</v>
      </c>
      <c r="J1640" s="44">
        <v>55.98</v>
      </c>
      <c r="K1640" s="44">
        <v>104.099998</v>
      </c>
    </row>
    <row r="1641" spans="6:11" x14ac:dyDescent="0.3">
      <c r="F1641" s="43">
        <v>40267</v>
      </c>
      <c r="G1641" s="44">
        <v>1173.2700199999999</v>
      </c>
      <c r="H1641" s="44">
        <v>794.13000499999998</v>
      </c>
      <c r="I1641" s="44">
        <v>683.94000200000005</v>
      </c>
      <c r="J1641" s="44">
        <v>55.98</v>
      </c>
      <c r="K1641" s="44">
        <v>104.139999</v>
      </c>
    </row>
    <row r="1642" spans="6:11" x14ac:dyDescent="0.3">
      <c r="F1642" s="43">
        <v>40268</v>
      </c>
      <c r="G1642" s="44">
        <v>1169.4300539999999</v>
      </c>
      <c r="H1642" s="44">
        <v>789.90002400000003</v>
      </c>
      <c r="I1642" s="44">
        <v>678.64001499999995</v>
      </c>
      <c r="J1642" s="44">
        <v>55.98</v>
      </c>
      <c r="K1642" s="44">
        <v>104.199997</v>
      </c>
    </row>
    <row r="1643" spans="6:11" x14ac:dyDescent="0.3">
      <c r="F1643" s="43">
        <v>40269</v>
      </c>
      <c r="G1643" s="44">
        <v>1178.099976</v>
      </c>
      <c r="H1643" s="44">
        <v>797.28997800000002</v>
      </c>
      <c r="I1643" s="44">
        <v>683.97997999999995</v>
      </c>
      <c r="J1643" s="44">
        <v>56.970001000000003</v>
      </c>
      <c r="K1643" s="44">
        <v>103.839996</v>
      </c>
    </row>
    <row r="1644" spans="6:11" x14ac:dyDescent="0.3">
      <c r="F1644" s="43">
        <v>40273</v>
      </c>
      <c r="G1644" s="44">
        <v>1187.4399410000001</v>
      </c>
      <c r="H1644" s="44">
        <v>810.13000499999998</v>
      </c>
      <c r="I1644" s="44">
        <v>697.65002400000003</v>
      </c>
      <c r="J1644" s="44">
        <v>57.029998999999997</v>
      </c>
      <c r="K1644" s="44">
        <v>103.199997</v>
      </c>
    </row>
    <row r="1645" spans="6:11" x14ac:dyDescent="0.3">
      <c r="F1645" s="43">
        <v>40274</v>
      </c>
      <c r="G1645" s="44">
        <v>1189.4399410000001</v>
      </c>
      <c r="H1645" s="44">
        <v>814.169983</v>
      </c>
      <c r="I1645" s="44">
        <v>701.47997999999995</v>
      </c>
      <c r="J1645" s="44">
        <v>56.869999</v>
      </c>
      <c r="K1645" s="44">
        <v>103.33000199999999</v>
      </c>
    </row>
    <row r="1646" spans="6:11" x14ac:dyDescent="0.3">
      <c r="F1646" s="43">
        <v>40275</v>
      </c>
      <c r="G1646" s="44">
        <v>1182.4499510000001</v>
      </c>
      <c r="H1646" s="44">
        <v>808.77002000000005</v>
      </c>
      <c r="I1646" s="44">
        <v>699.46002199999998</v>
      </c>
      <c r="J1646" s="44">
        <v>56.470001000000003</v>
      </c>
      <c r="K1646" s="44">
        <v>103.769997</v>
      </c>
    </row>
    <row r="1647" spans="6:11" x14ac:dyDescent="0.3">
      <c r="F1647" s="43">
        <v>40276</v>
      </c>
      <c r="G1647" s="44">
        <v>1186.4399410000001</v>
      </c>
      <c r="H1647" s="44">
        <v>807.45001200000002</v>
      </c>
      <c r="I1647" s="44">
        <v>699.64001499999995</v>
      </c>
      <c r="J1647" s="44">
        <v>56.41</v>
      </c>
      <c r="K1647" s="44">
        <v>103.66999800000001</v>
      </c>
    </row>
    <row r="1648" spans="6:11" x14ac:dyDescent="0.3">
      <c r="F1648" s="43">
        <v>40277</v>
      </c>
      <c r="G1648" s="44">
        <v>1194.369995</v>
      </c>
      <c r="H1648" s="44">
        <v>814.47997999999995</v>
      </c>
      <c r="I1648" s="44">
        <v>702.95001200000002</v>
      </c>
      <c r="J1648" s="44">
        <v>57.150002000000001</v>
      </c>
      <c r="K1648" s="44">
        <v>103.779999</v>
      </c>
    </row>
    <row r="1649" spans="6:11" x14ac:dyDescent="0.3">
      <c r="F1649" s="43">
        <v>40280</v>
      </c>
      <c r="G1649" s="44">
        <v>1196.4799800000001</v>
      </c>
      <c r="H1649" s="44">
        <v>815.419983</v>
      </c>
      <c r="I1649" s="44">
        <v>705.05999799999995</v>
      </c>
      <c r="J1649" s="44">
        <v>57.330002</v>
      </c>
      <c r="K1649" s="44">
        <v>104.019997</v>
      </c>
    </row>
    <row r="1650" spans="6:11" x14ac:dyDescent="0.3">
      <c r="F1650" s="43">
        <v>40281</v>
      </c>
      <c r="G1650" s="44">
        <v>1197.3000489999999</v>
      </c>
      <c r="H1650" s="44">
        <v>818.69000200000005</v>
      </c>
      <c r="I1650" s="44">
        <v>707.03002900000001</v>
      </c>
      <c r="J1650" s="44">
        <v>57.279998999999997</v>
      </c>
      <c r="K1650" s="44">
        <v>104.19000200000001</v>
      </c>
    </row>
    <row r="1651" spans="6:11" x14ac:dyDescent="0.3">
      <c r="F1651" s="43">
        <v>40282</v>
      </c>
      <c r="G1651" s="44">
        <v>1210.650024</v>
      </c>
      <c r="H1651" s="44">
        <v>831.07000700000003</v>
      </c>
      <c r="I1651" s="44">
        <v>722.40002400000003</v>
      </c>
      <c r="J1651" s="44">
        <v>58.040000999999997</v>
      </c>
      <c r="K1651" s="44">
        <v>104.07</v>
      </c>
    </row>
    <row r="1652" spans="6:11" x14ac:dyDescent="0.3">
      <c r="F1652" s="43">
        <v>40283</v>
      </c>
      <c r="G1652" s="44">
        <v>1211.670044</v>
      </c>
      <c r="H1652" s="44">
        <v>830.61999500000002</v>
      </c>
      <c r="I1652" s="44">
        <v>724.21002199999998</v>
      </c>
      <c r="J1652" s="44">
        <v>58</v>
      </c>
      <c r="K1652" s="44">
        <v>104.260002</v>
      </c>
    </row>
    <row r="1653" spans="6:11" x14ac:dyDescent="0.3">
      <c r="F1653" s="43">
        <v>40284</v>
      </c>
      <c r="G1653" s="44">
        <v>1192.130005</v>
      </c>
      <c r="H1653" s="44">
        <v>820.61999500000002</v>
      </c>
      <c r="I1653" s="44">
        <v>714.61999500000002</v>
      </c>
      <c r="J1653" s="44">
        <v>56.720001000000003</v>
      </c>
      <c r="K1653" s="44">
        <v>104.41999800000001</v>
      </c>
    </row>
    <row r="1654" spans="6:11" x14ac:dyDescent="0.3">
      <c r="F1654" s="43">
        <v>40287</v>
      </c>
      <c r="G1654" s="44">
        <v>1197.5200199999999</v>
      </c>
      <c r="H1654" s="44">
        <v>818.080017</v>
      </c>
      <c r="I1654" s="44">
        <v>711.40002400000003</v>
      </c>
      <c r="J1654" s="44">
        <v>56.57</v>
      </c>
      <c r="K1654" s="44">
        <v>104.230003</v>
      </c>
    </row>
    <row r="1655" spans="6:11" x14ac:dyDescent="0.3">
      <c r="F1655" s="43">
        <v>40288</v>
      </c>
      <c r="G1655" s="44">
        <v>1207.170044</v>
      </c>
      <c r="H1655" s="44">
        <v>828.57000700000003</v>
      </c>
      <c r="I1655" s="44">
        <v>721.54998799999998</v>
      </c>
      <c r="J1655" s="44">
        <v>56.919998</v>
      </c>
      <c r="K1655" s="44">
        <v>104.400002</v>
      </c>
    </row>
    <row r="1656" spans="6:11" x14ac:dyDescent="0.3">
      <c r="F1656" s="43">
        <v>40289</v>
      </c>
      <c r="G1656" s="44">
        <v>1205.9399410000001</v>
      </c>
      <c r="H1656" s="44">
        <v>831.78002900000001</v>
      </c>
      <c r="I1656" s="44">
        <v>726.19000200000005</v>
      </c>
      <c r="J1656" s="44">
        <v>56.549999</v>
      </c>
      <c r="K1656" s="44">
        <v>104.58000199999999</v>
      </c>
    </row>
    <row r="1657" spans="6:11" x14ac:dyDescent="0.3">
      <c r="F1657" s="43">
        <v>40290</v>
      </c>
      <c r="G1657" s="44">
        <v>1208.670044</v>
      </c>
      <c r="H1657" s="44">
        <v>841.59997599999997</v>
      </c>
      <c r="I1657" s="44">
        <v>734.30999799999995</v>
      </c>
      <c r="J1657" s="44">
        <v>56.040000999999997</v>
      </c>
      <c r="K1657" s="44">
        <v>104.370003</v>
      </c>
    </row>
    <row r="1658" spans="6:11" x14ac:dyDescent="0.3">
      <c r="F1658" s="43">
        <v>40291</v>
      </c>
      <c r="G1658" s="44">
        <v>1217.280029</v>
      </c>
      <c r="H1658" s="44">
        <v>849.82000700000003</v>
      </c>
      <c r="I1658" s="44">
        <v>741.919983</v>
      </c>
      <c r="J1658" s="44">
        <v>56.459999000000003</v>
      </c>
      <c r="K1658" s="44">
        <v>104.239998</v>
      </c>
    </row>
    <row r="1659" spans="6:11" x14ac:dyDescent="0.3">
      <c r="F1659" s="43">
        <v>40294</v>
      </c>
      <c r="G1659" s="44">
        <v>1212.0500489999999</v>
      </c>
      <c r="H1659" s="44">
        <v>846.04998799999998</v>
      </c>
      <c r="I1659" s="44">
        <v>738.85998500000005</v>
      </c>
      <c r="J1659" s="44">
        <v>56.52</v>
      </c>
      <c r="K1659" s="44">
        <v>104.230003</v>
      </c>
    </row>
    <row r="1660" spans="6:11" x14ac:dyDescent="0.3">
      <c r="F1660" s="43">
        <v>40295</v>
      </c>
      <c r="G1660" s="44">
        <v>1183.709961</v>
      </c>
      <c r="H1660" s="44">
        <v>825.60998500000005</v>
      </c>
      <c r="I1660" s="44">
        <v>721.27002000000005</v>
      </c>
      <c r="J1660" s="44">
        <v>54.25</v>
      </c>
      <c r="K1660" s="44">
        <v>104.55999799999999</v>
      </c>
    </row>
    <row r="1661" spans="6:11" x14ac:dyDescent="0.3">
      <c r="F1661" s="43">
        <v>40296</v>
      </c>
      <c r="G1661" s="44">
        <v>1191.3599850000001</v>
      </c>
      <c r="H1661" s="44">
        <v>827.419983</v>
      </c>
      <c r="I1661" s="44">
        <v>722.39001499999995</v>
      </c>
      <c r="J1661" s="44">
        <v>54.259998000000003</v>
      </c>
      <c r="K1661" s="44">
        <v>104.400002</v>
      </c>
    </row>
    <row r="1662" spans="6:11" x14ac:dyDescent="0.3">
      <c r="F1662" s="43">
        <v>40297</v>
      </c>
      <c r="G1662" s="44">
        <v>1206.780029</v>
      </c>
      <c r="H1662" s="44">
        <v>839.54998799999998</v>
      </c>
      <c r="I1662" s="44">
        <v>737.73999000000003</v>
      </c>
      <c r="J1662" s="44">
        <v>55.099997999999999</v>
      </c>
      <c r="K1662" s="44">
        <v>104.44000200000001</v>
      </c>
    </row>
    <row r="1663" spans="6:11" x14ac:dyDescent="0.3">
      <c r="F1663" s="43">
        <v>40298</v>
      </c>
      <c r="G1663" s="44">
        <v>1186.6899410000001</v>
      </c>
      <c r="H1663" s="44">
        <v>823.05999799999995</v>
      </c>
      <c r="I1663" s="44">
        <v>716.59997599999997</v>
      </c>
      <c r="J1663" s="44">
        <v>54.41</v>
      </c>
      <c r="K1663" s="44">
        <v>104.889999</v>
      </c>
    </row>
    <row r="1664" spans="6:11" x14ac:dyDescent="0.3">
      <c r="F1664" s="43">
        <v>40301</v>
      </c>
      <c r="G1664" s="44">
        <v>1202.26001</v>
      </c>
      <c r="H1664" s="44">
        <v>836.23999000000003</v>
      </c>
      <c r="I1664" s="44">
        <v>732.82000700000003</v>
      </c>
      <c r="J1664" s="44">
        <v>54.799999</v>
      </c>
      <c r="K1664" s="44">
        <v>104.379997</v>
      </c>
    </row>
    <row r="1665" spans="6:11" x14ac:dyDescent="0.3">
      <c r="F1665" s="43">
        <v>40302</v>
      </c>
      <c r="G1665" s="44">
        <v>1173.599976</v>
      </c>
      <c r="H1665" s="44">
        <v>812.169983</v>
      </c>
      <c r="I1665" s="44">
        <v>709.70001200000002</v>
      </c>
      <c r="J1665" s="44">
        <v>52.630001</v>
      </c>
      <c r="K1665" s="44">
        <v>104.800003</v>
      </c>
    </row>
    <row r="1666" spans="6:11" x14ac:dyDescent="0.3">
      <c r="F1666" s="43">
        <v>40303</v>
      </c>
      <c r="G1666" s="44">
        <v>1165.869995</v>
      </c>
      <c r="H1666" s="44">
        <v>803.21997099999999</v>
      </c>
      <c r="I1666" s="44">
        <v>698.580017</v>
      </c>
      <c r="J1666" s="44">
        <v>51.619999</v>
      </c>
      <c r="K1666" s="44">
        <v>104.720001</v>
      </c>
    </row>
    <row r="1667" spans="6:11" x14ac:dyDescent="0.3">
      <c r="F1667" s="43">
        <v>40304</v>
      </c>
      <c r="G1667" s="44">
        <v>1128.150024</v>
      </c>
      <c r="H1667" s="44">
        <v>776.21002199999998</v>
      </c>
      <c r="I1667" s="44">
        <v>672.22997999999995</v>
      </c>
      <c r="J1667" s="44">
        <v>49.32</v>
      </c>
      <c r="K1667" s="44">
        <v>104.870003</v>
      </c>
    </row>
    <row r="1668" spans="6:11" x14ac:dyDescent="0.3">
      <c r="F1668" s="43">
        <v>40305</v>
      </c>
      <c r="G1668" s="44">
        <v>1110.880005</v>
      </c>
      <c r="H1668" s="44">
        <v>756.64001499999995</v>
      </c>
      <c r="I1668" s="44">
        <v>653</v>
      </c>
      <c r="J1668" s="44">
        <v>49.209999000000003</v>
      </c>
      <c r="K1668" s="44">
        <v>104.410004</v>
      </c>
    </row>
    <row r="1669" spans="6:11" x14ac:dyDescent="0.3">
      <c r="F1669" s="43">
        <v>40308</v>
      </c>
      <c r="G1669" s="44">
        <v>1159.7299800000001</v>
      </c>
      <c r="H1669" s="44">
        <v>796.14001499999995</v>
      </c>
      <c r="I1669" s="44">
        <v>689.60998500000005</v>
      </c>
      <c r="J1669" s="44">
        <v>52.400002000000001</v>
      </c>
      <c r="K1669" s="44">
        <v>104.400002</v>
      </c>
    </row>
    <row r="1670" spans="6:11" x14ac:dyDescent="0.3">
      <c r="F1670" s="43">
        <v>40309</v>
      </c>
      <c r="G1670" s="44">
        <v>1155.790039</v>
      </c>
      <c r="H1670" s="44">
        <v>798.34002699999996</v>
      </c>
      <c r="I1670" s="44">
        <v>695.47997999999995</v>
      </c>
      <c r="J1670" s="44">
        <v>51.549999</v>
      </c>
      <c r="K1670" s="44">
        <v>104.790001</v>
      </c>
    </row>
    <row r="1671" spans="6:11" x14ac:dyDescent="0.3">
      <c r="F1671" s="43">
        <v>40310</v>
      </c>
      <c r="G1671" s="44">
        <v>1171.670044</v>
      </c>
      <c r="H1671" s="44">
        <v>816.09997599999997</v>
      </c>
      <c r="I1671" s="44">
        <v>716.10998500000005</v>
      </c>
      <c r="J1671" s="44">
        <v>52.130001</v>
      </c>
      <c r="K1671" s="44">
        <v>104.68</v>
      </c>
    </row>
    <row r="1672" spans="6:11" x14ac:dyDescent="0.3">
      <c r="F1672" s="43">
        <v>40311</v>
      </c>
      <c r="G1672" s="44">
        <v>1157.4399410000001</v>
      </c>
      <c r="H1672" s="44">
        <v>808.63000499999998</v>
      </c>
      <c r="I1672" s="44">
        <v>709.84997599999997</v>
      </c>
      <c r="J1672" s="44">
        <v>51.450001</v>
      </c>
      <c r="K1672" s="44">
        <v>104.83000199999999</v>
      </c>
    </row>
    <row r="1673" spans="6:11" x14ac:dyDescent="0.3">
      <c r="F1673" s="43">
        <v>40312</v>
      </c>
      <c r="G1673" s="44">
        <v>1135.6800539999999</v>
      </c>
      <c r="H1673" s="44">
        <v>789.30999799999995</v>
      </c>
      <c r="I1673" s="44">
        <v>693.97997999999995</v>
      </c>
      <c r="J1673" s="44">
        <v>49.990001999999997</v>
      </c>
      <c r="K1673" s="44">
        <v>105.209999</v>
      </c>
    </row>
    <row r="1674" spans="6:11" x14ac:dyDescent="0.3">
      <c r="F1674" s="43">
        <v>40315</v>
      </c>
      <c r="G1674" s="44">
        <v>1136.9399410000001</v>
      </c>
      <c r="H1674" s="44">
        <v>790.79998799999998</v>
      </c>
      <c r="I1674" s="44">
        <v>695.71002199999998</v>
      </c>
      <c r="J1674" s="44">
        <v>50.060001</v>
      </c>
      <c r="K1674" s="44">
        <v>105.129997</v>
      </c>
    </row>
    <row r="1675" spans="6:11" x14ac:dyDescent="0.3">
      <c r="F1675" s="43">
        <v>40316</v>
      </c>
      <c r="G1675" s="44">
        <v>1120.8000489999999</v>
      </c>
      <c r="H1675" s="44">
        <v>778.94000200000005</v>
      </c>
      <c r="I1675" s="44">
        <v>682.75</v>
      </c>
      <c r="J1675" s="44">
        <v>48.98</v>
      </c>
      <c r="K1675" s="44">
        <v>105.489998</v>
      </c>
    </row>
    <row r="1676" spans="6:11" x14ac:dyDescent="0.3">
      <c r="F1676" s="43">
        <v>40317</v>
      </c>
      <c r="G1676" s="44">
        <v>1115.0500489999999</v>
      </c>
      <c r="H1676" s="44">
        <v>771.21997099999999</v>
      </c>
      <c r="I1676" s="44">
        <v>674.40002400000003</v>
      </c>
      <c r="J1676" s="44">
        <v>49.169998</v>
      </c>
      <c r="K1676" s="44">
        <v>105.540001</v>
      </c>
    </row>
    <row r="1677" spans="6:11" x14ac:dyDescent="0.3">
      <c r="F1677" s="43">
        <v>40318</v>
      </c>
      <c r="G1677" s="44">
        <v>1071.589966</v>
      </c>
      <c r="H1677" s="44">
        <v>738.14001499999995</v>
      </c>
      <c r="I1677" s="44">
        <v>640.03997800000002</v>
      </c>
      <c r="J1677" s="44">
        <v>47.459999000000003</v>
      </c>
      <c r="K1677" s="44">
        <v>105.449997</v>
      </c>
    </row>
    <row r="1678" spans="6:11" x14ac:dyDescent="0.3">
      <c r="F1678" s="43">
        <v>40319</v>
      </c>
      <c r="G1678" s="44">
        <v>1087.6899410000001</v>
      </c>
      <c r="H1678" s="44">
        <v>749.96997099999999</v>
      </c>
      <c r="I1678" s="44">
        <v>649.28997800000002</v>
      </c>
      <c r="J1678" s="44">
        <v>48.619999</v>
      </c>
      <c r="K1678" s="44">
        <v>105.900002</v>
      </c>
    </row>
    <row r="1679" spans="6:11" x14ac:dyDescent="0.3">
      <c r="F1679" s="43">
        <v>40322</v>
      </c>
      <c r="G1679" s="44">
        <v>1073.650024</v>
      </c>
      <c r="H1679" s="44">
        <v>742.15002400000003</v>
      </c>
      <c r="I1679" s="44">
        <v>641.21002199999998</v>
      </c>
      <c r="J1679" s="44">
        <v>47.5</v>
      </c>
      <c r="K1679" s="44">
        <v>105.839996</v>
      </c>
    </row>
    <row r="1680" spans="6:11" x14ac:dyDescent="0.3">
      <c r="F1680" s="43">
        <v>40323</v>
      </c>
      <c r="G1680" s="44">
        <v>1074.030029</v>
      </c>
      <c r="H1680" s="44">
        <v>741.28002900000001</v>
      </c>
      <c r="I1680" s="44">
        <v>640.02002000000005</v>
      </c>
      <c r="J1680" s="44">
        <v>47.32</v>
      </c>
      <c r="K1680" s="44">
        <v>105.970001</v>
      </c>
    </row>
    <row r="1681" spans="6:11" x14ac:dyDescent="0.3">
      <c r="F1681" s="43">
        <v>40324</v>
      </c>
      <c r="G1681" s="44">
        <v>1067.9499510000001</v>
      </c>
      <c r="H1681" s="44">
        <v>743.20001200000002</v>
      </c>
      <c r="I1681" s="44">
        <v>642.61999500000002</v>
      </c>
      <c r="J1681" s="44">
        <v>46.619999</v>
      </c>
      <c r="K1681" s="44">
        <v>105.849998</v>
      </c>
    </row>
    <row r="1682" spans="6:11" x14ac:dyDescent="0.3">
      <c r="F1682" s="43">
        <v>40325</v>
      </c>
      <c r="G1682" s="44">
        <v>1103.0600589999999</v>
      </c>
      <c r="H1682" s="44">
        <v>771.42999299999997</v>
      </c>
      <c r="I1682" s="44">
        <v>670.51000999999997</v>
      </c>
      <c r="J1682" s="44">
        <v>49.27</v>
      </c>
      <c r="K1682" s="44">
        <v>105.599998</v>
      </c>
    </row>
    <row r="1683" spans="6:11" x14ac:dyDescent="0.3">
      <c r="F1683" s="43">
        <v>40326</v>
      </c>
      <c r="G1683" s="44">
        <v>1089.410034</v>
      </c>
      <c r="H1683" s="44">
        <v>762.76000999999997</v>
      </c>
      <c r="I1683" s="44">
        <v>661.60998500000005</v>
      </c>
      <c r="J1683" s="44">
        <v>48.32</v>
      </c>
      <c r="K1683" s="44">
        <v>105.709999</v>
      </c>
    </row>
    <row r="1684" spans="6:11" x14ac:dyDescent="0.3">
      <c r="F1684" s="43">
        <v>40330</v>
      </c>
      <c r="G1684" s="44">
        <v>1070.709961</v>
      </c>
      <c r="H1684" s="44">
        <v>742.580017</v>
      </c>
      <c r="I1684" s="44">
        <v>640.96002199999998</v>
      </c>
      <c r="J1684" s="44">
        <v>47.84</v>
      </c>
      <c r="K1684" s="44">
        <v>105.55999799999999</v>
      </c>
    </row>
    <row r="1685" spans="6:11" x14ac:dyDescent="0.3">
      <c r="F1685" s="43">
        <v>40331</v>
      </c>
      <c r="G1685" s="44">
        <v>1098.380005</v>
      </c>
      <c r="H1685" s="44">
        <v>762.23999000000003</v>
      </c>
      <c r="I1685" s="44">
        <v>660.52002000000005</v>
      </c>
      <c r="J1685" s="44">
        <v>49.119999</v>
      </c>
      <c r="K1685" s="44">
        <v>105.449997</v>
      </c>
    </row>
    <row r="1686" spans="6:11" x14ac:dyDescent="0.3">
      <c r="F1686" s="43">
        <v>40332</v>
      </c>
      <c r="G1686" s="44">
        <v>1102.829956</v>
      </c>
      <c r="H1686" s="44">
        <v>767.71997099999999</v>
      </c>
      <c r="I1686" s="44">
        <v>667.36999500000002</v>
      </c>
      <c r="J1686" s="44">
        <v>48.970001000000003</v>
      </c>
      <c r="K1686" s="44">
        <v>105.400002</v>
      </c>
    </row>
    <row r="1687" spans="6:11" x14ac:dyDescent="0.3">
      <c r="F1687" s="43">
        <v>40333</v>
      </c>
      <c r="G1687" s="44">
        <v>1064.880005</v>
      </c>
      <c r="H1687" s="44">
        <v>736.27002000000005</v>
      </c>
      <c r="I1687" s="44">
        <v>633.96997099999999</v>
      </c>
      <c r="J1687" s="44">
        <v>46.880001</v>
      </c>
      <c r="K1687" s="44">
        <v>105.66999800000001</v>
      </c>
    </row>
    <row r="1688" spans="6:11" x14ac:dyDescent="0.3">
      <c r="F1688" s="43">
        <v>40336</v>
      </c>
      <c r="G1688" s="44">
        <v>1050.469971</v>
      </c>
      <c r="H1688" s="44">
        <v>721.30999799999995</v>
      </c>
      <c r="I1688" s="44">
        <v>618.48999000000003</v>
      </c>
      <c r="J1688" s="44">
        <v>46.290000999999997</v>
      </c>
      <c r="K1688" s="44">
        <v>105.980003</v>
      </c>
    </row>
    <row r="1689" spans="6:11" x14ac:dyDescent="0.3">
      <c r="F1689" s="43">
        <v>40337</v>
      </c>
      <c r="G1689" s="44">
        <v>1062</v>
      </c>
      <c r="H1689" s="44">
        <v>725.46002199999998</v>
      </c>
      <c r="I1689" s="44">
        <v>617.69000200000005</v>
      </c>
      <c r="J1689" s="44">
        <v>47.029998999999997</v>
      </c>
      <c r="K1689" s="44">
        <v>105.860001</v>
      </c>
    </row>
    <row r="1690" spans="6:11" x14ac:dyDescent="0.3">
      <c r="F1690" s="43">
        <v>40338</v>
      </c>
      <c r="G1690" s="44">
        <v>1055.6899410000001</v>
      </c>
      <c r="H1690" s="44">
        <v>727.169983</v>
      </c>
      <c r="I1690" s="44">
        <v>618.28997800000002</v>
      </c>
      <c r="J1690" s="44">
        <v>46.860000999999997</v>
      </c>
      <c r="K1690" s="44">
        <v>105.91999800000001</v>
      </c>
    </row>
    <row r="1691" spans="6:11" x14ac:dyDescent="0.3">
      <c r="F1691" s="43">
        <v>40339</v>
      </c>
      <c r="G1691" s="44">
        <v>1086.839966</v>
      </c>
      <c r="H1691" s="44">
        <v>750.59997599999997</v>
      </c>
      <c r="I1691" s="44">
        <v>639.78997800000002</v>
      </c>
      <c r="J1691" s="44">
        <v>48.84</v>
      </c>
      <c r="K1691" s="44">
        <v>105.599998</v>
      </c>
    </row>
    <row r="1692" spans="6:11" x14ac:dyDescent="0.3">
      <c r="F1692" s="43">
        <v>40340</v>
      </c>
      <c r="G1692" s="44">
        <v>1091.599976</v>
      </c>
      <c r="H1692" s="44">
        <v>758.57000700000003</v>
      </c>
      <c r="I1692" s="44">
        <v>649</v>
      </c>
      <c r="J1692" s="44">
        <v>48.91</v>
      </c>
      <c r="K1692" s="44">
        <v>105.660004</v>
      </c>
    </row>
    <row r="1693" spans="6:11" x14ac:dyDescent="0.3">
      <c r="F1693" s="43">
        <v>40343</v>
      </c>
      <c r="G1693" s="44">
        <v>1089.630005</v>
      </c>
      <c r="H1693" s="44">
        <v>761.79998799999998</v>
      </c>
      <c r="I1693" s="44">
        <v>652.27002000000005</v>
      </c>
      <c r="J1693" s="44">
        <v>49.220001000000003</v>
      </c>
      <c r="K1693" s="44">
        <v>105.80999799999999</v>
      </c>
    </row>
    <row r="1694" spans="6:11" x14ac:dyDescent="0.3">
      <c r="F1694" s="43">
        <v>40344</v>
      </c>
      <c r="G1694" s="44">
        <v>1115.2299800000001</v>
      </c>
      <c r="H1694" s="44">
        <v>779.78997800000002</v>
      </c>
      <c r="I1694" s="44">
        <v>668.77002000000005</v>
      </c>
      <c r="J1694" s="44">
        <v>50.779998999999997</v>
      </c>
      <c r="K1694" s="44">
        <v>105.80999799999999</v>
      </c>
    </row>
    <row r="1695" spans="6:11" x14ac:dyDescent="0.3">
      <c r="F1695" s="43">
        <v>40345</v>
      </c>
      <c r="G1695" s="44">
        <v>1114.6099850000001</v>
      </c>
      <c r="H1695" s="44">
        <v>776.72997999999995</v>
      </c>
      <c r="I1695" s="44">
        <v>666.13000499999998</v>
      </c>
      <c r="J1695" s="44">
        <v>50.540000999999997</v>
      </c>
      <c r="K1695" s="44">
        <v>105.970001</v>
      </c>
    </row>
    <row r="1696" spans="6:11" x14ac:dyDescent="0.3">
      <c r="F1696" s="43">
        <v>40346</v>
      </c>
      <c r="G1696" s="44">
        <v>1116.040039</v>
      </c>
      <c r="H1696" s="44">
        <v>774.90002400000003</v>
      </c>
      <c r="I1696" s="44">
        <v>665.84997599999997</v>
      </c>
      <c r="J1696" s="44">
        <v>50.700001</v>
      </c>
      <c r="K1696" s="44">
        <v>106.220001</v>
      </c>
    </row>
    <row r="1697" spans="6:11" x14ac:dyDescent="0.3">
      <c r="F1697" s="43">
        <v>40347</v>
      </c>
      <c r="G1697" s="44">
        <v>1117.51001</v>
      </c>
      <c r="H1697" s="44">
        <v>774.27002000000005</v>
      </c>
      <c r="I1697" s="44">
        <v>666.919983</v>
      </c>
      <c r="J1697" s="44">
        <v>50.610000999999997</v>
      </c>
      <c r="K1697" s="44">
        <v>106.050003</v>
      </c>
    </row>
    <row r="1698" spans="6:11" x14ac:dyDescent="0.3">
      <c r="F1698" s="43">
        <v>40350</v>
      </c>
      <c r="G1698" s="44">
        <v>1113.1999510000001</v>
      </c>
      <c r="H1698" s="44">
        <v>768.5</v>
      </c>
      <c r="I1698" s="44">
        <v>660.03002900000001</v>
      </c>
      <c r="J1698" s="44">
        <v>50.599997999999999</v>
      </c>
      <c r="K1698" s="44">
        <v>106.279999</v>
      </c>
    </row>
    <row r="1699" spans="6:11" x14ac:dyDescent="0.3">
      <c r="F1699" s="43">
        <v>40351</v>
      </c>
      <c r="G1699" s="44">
        <v>1095.3100589999999</v>
      </c>
      <c r="H1699" s="44">
        <v>751.830017</v>
      </c>
      <c r="I1699" s="44">
        <v>645.90997300000004</v>
      </c>
      <c r="J1699" s="44">
        <v>49.959999000000003</v>
      </c>
      <c r="K1699" s="44">
        <v>106.389999</v>
      </c>
    </row>
    <row r="1700" spans="6:11" x14ac:dyDescent="0.3">
      <c r="F1700" s="43">
        <v>40352</v>
      </c>
      <c r="G1700" s="44">
        <v>1092.040039</v>
      </c>
      <c r="H1700" s="44">
        <v>750.65997300000004</v>
      </c>
      <c r="I1700" s="44">
        <v>644.25</v>
      </c>
      <c r="J1700" s="44">
        <v>49.43</v>
      </c>
      <c r="K1700" s="44">
        <v>106.660004</v>
      </c>
    </row>
    <row r="1701" spans="6:11" x14ac:dyDescent="0.3">
      <c r="F1701" s="43">
        <v>40353</v>
      </c>
      <c r="G1701" s="44">
        <v>1073.6899410000001</v>
      </c>
      <c r="H1701" s="44">
        <v>737.330017</v>
      </c>
      <c r="I1701" s="44">
        <v>633.169983</v>
      </c>
      <c r="J1701" s="44">
        <v>48.57</v>
      </c>
      <c r="K1701" s="44">
        <v>106.57</v>
      </c>
    </row>
    <row r="1702" spans="6:11" x14ac:dyDescent="0.3">
      <c r="F1702" s="43">
        <v>40354</v>
      </c>
      <c r="G1702" s="44">
        <v>1076.76001</v>
      </c>
      <c r="H1702" s="44">
        <v>745.27002000000005</v>
      </c>
      <c r="I1702" s="44">
        <v>645.10998500000005</v>
      </c>
      <c r="J1702" s="44">
        <v>48.849997999999999</v>
      </c>
      <c r="K1702" s="44">
        <v>106.720001</v>
      </c>
    </row>
    <row r="1703" spans="6:11" x14ac:dyDescent="0.3">
      <c r="F1703" s="43">
        <v>40357</v>
      </c>
      <c r="G1703" s="44">
        <v>1074.5699460000001</v>
      </c>
      <c r="H1703" s="44">
        <v>743.59002699999996</v>
      </c>
      <c r="I1703" s="44">
        <v>641.53997800000002</v>
      </c>
      <c r="J1703" s="44">
        <v>48.490001999999997</v>
      </c>
      <c r="K1703" s="44">
        <v>106.91999800000001</v>
      </c>
    </row>
    <row r="1704" spans="6:11" x14ac:dyDescent="0.3">
      <c r="F1704" s="43">
        <v>40358</v>
      </c>
      <c r="G1704" s="44">
        <v>1041.23999</v>
      </c>
      <c r="H1704" s="44">
        <v>717.419983</v>
      </c>
      <c r="I1704" s="44">
        <v>615.96002199999998</v>
      </c>
      <c r="J1704" s="44">
        <v>46.830002</v>
      </c>
      <c r="K1704" s="44">
        <v>107.239998</v>
      </c>
    </row>
    <row r="1705" spans="6:11" x14ac:dyDescent="0.3">
      <c r="F1705" s="43">
        <v>40359</v>
      </c>
      <c r="G1705" s="44">
        <v>1030.709961</v>
      </c>
      <c r="H1705" s="44">
        <v>711.72997999999995</v>
      </c>
      <c r="I1705" s="44">
        <v>609.48999000000003</v>
      </c>
      <c r="J1705" s="44">
        <v>46.509998000000003</v>
      </c>
      <c r="K1705" s="44">
        <v>107.25</v>
      </c>
    </row>
    <row r="1706" spans="6:11" x14ac:dyDescent="0.3">
      <c r="F1706" s="43">
        <v>40360</v>
      </c>
      <c r="G1706" s="44">
        <v>1027.369995</v>
      </c>
      <c r="H1706" s="44">
        <v>707.53997800000002</v>
      </c>
      <c r="I1706" s="44">
        <v>604.76000999999997</v>
      </c>
      <c r="J1706" s="44">
        <v>47.189999</v>
      </c>
      <c r="K1706" s="44">
        <v>106.879997</v>
      </c>
    </row>
    <row r="1707" spans="6:11" x14ac:dyDescent="0.3">
      <c r="F1707" s="43">
        <v>40361</v>
      </c>
      <c r="G1707" s="44">
        <v>1022.580017</v>
      </c>
      <c r="H1707" s="44">
        <v>702.28997800000002</v>
      </c>
      <c r="I1707" s="44">
        <v>598.96997099999999</v>
      </c>
      <c r="J1707" s="44">
        <v>47.09</v>
      </c>
      <c r="K1707" s="44">
        <v>106.730003</v>
      </c>
    </row>
    <row r="1708" spans="6:11" x14ac:dyDescent="0.3">
      <c r="F1708" s="43">
        <v>40365</v>
      </c>
      <c r="G1708" s="44">
        <v>1028.0600589999999</v>
      </c>
      <c r="H1708" s="44">
        <v>700.15997300000004</v>
      </c>
      <c r="I1708" s="44">
        <v>590.03002900000001</v>
      </c>
      <c r="J1708" s="44">
        <v>48.029998999999997</v>
      </c>
      <c r="K1708" s="44">
        <v>107.05999799999999</v>
      </c>
    </row>
    <row r="1709" spans="6:11" x14ac:dyDescent="0.3">
      <c r="F1709" s="43">
        <v>40366</v>
      </c>
      <c r="G1709" s="44">
        <v>1060.2700199999999</v>
      </c>
      <c r="H1709" s="44">
        <v>724.5</v>
      </c>
      <c r="I1709" s="44">
        <v>611.65997300000004</v>
      </c>
      <c r="J1709" s="44">
        <v>49.529998999999997</v>
      </c>
      <c r="K1709" s="44">
        <v>106.91999800000001</v>
      </c>
    </row>
    <row r="1710" spans="6:11" x14ac:dyDescent="0.3">
      <c r="F1710" s="43">
        <v>40367</v>
      </c>
      <c r="G1710" s="44">
        <v>1070.25</v>
      </c>
      <c r="H1710" s="44">
        <v>732.40997300000004</v>
      </c>
      <c r="I1710" s="44">
        <v>620.27002000000005</v>
      </c>
      <c r="J1710" s="44">
        <v>50.009998000000003</v>
      </c>
      <c r="K1710" s="44">
        <v>106.900002</v>
      </c>
    </row>
    <row r="1711" spans="6:11" x14ac:dyDescent="0.3">
      <c r="F1711" s="43">
        <v>40368</v>
      </c>
      <c r="G1711" s="44">
        <v>1077.959961</v>
      </c>
      <c r="H1711" s="44">
        <v>739.89001499999995</v>
      </c>
      <c r="I1711" s="44">
        <v>629.42999299999997</v>
      </c>
      <c r="J1711" s="44">
        <v>50.060001</v>
      </c>
      <c r="K1711" s="44">
        <v>106.739998</v>
      </c>
    </row>
    <row r="1712" spans="6:11" x14ac:dyDescent="0.3">
      <c r="F1712" s="43">
        <v>40371</v>
      </c>
      <c r="G1712" s="44">
        <v>1078.75</v>
      </c>
      <c r="H1712" s="44">
        <v>736.20001200000002</v>
      </c>
      <c r="I1712" s="44">
        <v>621.60998500000005</v>
      </c>
      <c r="J1712" s="44">
        <v>49.869999</v>
      </c>
      <c r="K1712" s="44">
        <v>106.860001</v>
      </c>
    </row>
    <row r="1713" spans="6:11" x14ac:dyDescent="0.3">
      <c r="F1713" s="43">
        <v>40372</v>
      </c>
      <c r="G1713" s="44">
        <v>1095.339966</v>
      </c>
      <c r="H1713" s="44">
        <v>753.96002199999998</v>
      </c>
      <c r="I1713" s="44">
        <v>642.82000700000003</v>
      </c>
      <c r="J1713" s="44">
        <v>50.790000999999997</v>
      </c>
      <c r="K1713" s="44">
        <v>106.589996</v>
      </c>
    </row>
    <row r="1714" spans="6:11" x14ac:dyDescent="0.3">
      <c r="F1714" s="43">
        <v>40373</v>
      </c>
      <c r="G1714" s="44">
        <v>1095.170044</v>
      </c>
      <c r="H1714" s="44">
        <v>752.53002900000001</v>
      </c>
      <c r="I1714" s="44">
        <v>640.15997300000004</v>
      </c>
      <c r="J1714" s="44">
        <v>50.970001000000003</v>
      </c>
      <c r="K1714" s="44">
        <v>106.949997</v>
      </c>
    </row>
    <row r="1715" spans="6:11" x14ac:dyDescent="0.3">
      <c r="F1715" s="43">
        <v>40374</v>
      </c>
      <c r="G1715" s="44">
        <v>1096.4799800000001</v>
      </c>
      <c r="H1715" s="44">
        <v>751.65997300000004</v>
      </c>
      <c r="I1715" s="44">
        <v>634.61999500000002</v>
      </c>
      <c r="J1715" s="44">
        <v>51.220001000000003</v>
      </c>
      <c r="K1715" s="44">
        <v>107.099998</v>
      </c>
    </row>
    <row r="1716" spans="6:11" x14ac:dyDescent="0.3">
      <c r="F1716" s="43">
        <v>40375</v>
      </c>
      <c r="G1716" s="44">
        <v>1064.880005</v>
      </c>
      <c r="H1716" s="44">
        <v>726.96002199999998</v>
      </c>
      <c r="I1716" s="44">
        <v>610.39001499999995</v>
      </c>
      <c r="J1716" s="44">
        <v>49.580002</v>
      </c>
      <c r="K1716" s="44">
        <v>107.43</v>
      </c>
    </row>
    <row r="1717" spans="6:11" x14ac:dyDescent="0.3">
      <c r="F1717" s="43">
        <v>40378</v>
      </c>
      <c r="G1717" s="44">
        <v>1071.25</v>
      </c>
      <c r="H1717" s="44">
        <v>731.38000499999998</v>
      </c>
      <c r="I1717" s="44">
        <v>613.080017</v>
      </c>
      <c r="J1717" s="44">
        <v>49.900002000000001</v>
      </c>
      <c r="K1717" s="44">
        <v>107.33000199999999</v>
      </c>
    </row>
    <row r="1718" spans="6:11" x14ac:dyDescent="0.3">
      <c r="F1718" s="43">
        <v>40379</v>
      </c>
      <c r="G1718" s="44">
        <v>1083.4799800000001</v>
      </c>
      <c r="H1718" s="44">
        <v>742.34997599999997</v>
      </c>
      <c r="I1718" s="44">
        <v>624.23999000000003</v>
      </c>
      <c r="J1718" s="44">
        <v>50.240001999999997</v>
      </c>
      <c r="K1718" s="44">
        <v>107.25</v>
      </c>
    </row>
    <row r="1719" spans="6:11" x14ac:dyDescent="0.3">
      <c r="F1719" s="43">
        <v>40380</v>
      </c>
      <c r="G1719" s="44">
        <v>1069.589966</v>
      </c>
      <c r="H1719" s="44">
        <v>731.21997099999999</v>
      </c>
      <c r="I1719" s="44">
        <v>612.64001499999995</v>
      </c>
      <c r="J1719" s="44">
        <v>49.330002</v>
      </c>
      <c r="K1719" s="44">
        <v>107.720001</v>
      </c>
    </row>
    <row r="1720" spans="6:11" x14ac:dyDescent="0.3">
      <c r="F1720" s="43">
        <v>40381</v>
      </c>
      <c r="G1720" s="44">
        <v>1093.670044</v>
      </c>
      <c r="H1720" s="44">
        <v>752.55999799999995</v>
      </c>
      <c r="I1720" s="44">
        <v>635.47997999999995</v>
      </c>
      <c r="J1720" s="44">
        <v>50.990001999999997</v>
      </c>
      <c r="K1720" s="44">
        <v>107.620003</v>
      </c>
    </row>
    <row r="1721" spans="6:11" x14ac:dyDescent="0.3">
      <c r="F1721" s="43">
        <v>40382</v>
      </c>
      <c r="G1721" s="44">
        <v>1102.660034</v>
      </c>
      <c r="H1721" s="44">
        <v>763.51000999999997</v>
      </c>
      <c r="I1721" s="44">
        <v>650.65002400000003</v>
      </c>
      <c r="J1721" s="44">
        <v>51.59</v>
      </c>
      <c r="K1721" s="44">
        <v>107.43</v>
      </c>
    </row>
    <row r="1722" spans="6:11" x14ac:dyDescent="0.3">
      <c r="F1722" s="43">
        <v>40385</v>
      </c>
      <c r="G1722" s="44">
        <v>1115.01001</v>
      </c>
      <c r="H1722" s="44">
        <v>777.46997099999999</v>
      </c>
      <c r="I1722" s="44">
        <v>665.21997099999999</v>
      </c>
      <c r="J1722" s="44">
        <v>51.950001</v>
      </c>
      <c r="K1722" s="44">
        <v>107.410004</v>
      </c>
    </row>
    <row r="1723" spans="6:11" x14ac:dyDescent="0.3">
      <c r="F1723" s="43">
        <v>40386</v>
      </c>
      <c r="G1723" s="44">
        <v>1113.839966</v>
      </c>
      <c r="H1723" s="44">
        <v>772.330017</v>
      </c>
      <c r="I1723" s="44">
        <v>662.169983</v>
      </c>
      <c r="J1723" s="44">
        <v>52.099997999999999</v>
      </c>
      <c r="K1723" s="44">
        <v>107.370003</v>
      </c>
    </row>
    <row r="1724" spans="6:11" x14ac:dyDescent="0.3">
      <c r="F1724" s="43">
        <v>40387</v>
      </c>
      <c r="G1724" s="44">
        <v>1106.130005</v>
      </c>
      <c r="H1724" s="44">
        <v>761.67999299999997</v>
      </c>
      <c r="I1724" s="44">
        <v>650.76000999999997</v>
      </c>
      <c r="J1724" s="44">
        <v>51.830002</v>
      </c>
      <c r="K1724" s="44">
        <v>107.57</v>
      </c>
    </row>
    <row r="1725" spans="6:11" x14ac:dyDescent="0.3">
      <c r="F1725" s="43">
        <v>40388</v>
      </c>
      <c r="G1725" s="44">
        <v>1101.530029</v>
      </c>
      <c r="H1725" s="44">
        <v>758.10998500000005</v>
      </c>
      <c r="I1725" s="44">
        <v>650.42999299999997</v>
      </c>
      <c r="J1725" s="44">
        <v>52.07</v>
      </c>
      <c r="K1725" s="44">
        <v>107.66999800000001</v>
      </c>
    </row>
    <row r="1726" spans="6:11" x14ac:dyDescent="0.3">
      <c r="F1726" s="43">
        <v>40389</v>
      </c>
      <c r="G1726" s="44">
        <v>1101.599976</v>
      </c>
      <c r="H1726" s="44">
        <v>760.27002000000005</v>
      </c>
      <c r="I1726" s="44">
        <v>650.89001499999995</v>
      </c>
      <c r="J1726" s="44">
        <v>51.91</v>
      </c>
      <c r="K1726" s="44">
        <v>107.849998</v>
      </c>
    </row>
    <row r="1727" spans="6:11" x14ac:dyDescent="0.3">
      <c r="F1727" s="43">
        <v>40392</v>
      </c>
      <c r="G1727" s="44">
        <v>1125.8599850000001</v>
      </c>
      <c r="H1727" s="44">
        <v>774.919983</v>
      </c>
      <c r="I1727" s="44">
        <v>661.85998500000005</v>
      </c>
      <c r="J1727" s="44">
        <v>53.66</v>
      </c>
      <c r="K1727" s="44">
        <v>107.410004</v>
      </c>
    </row>
    <row r="1728" spans="6:11" x14ac:dyDescent="0.3">
      <c r="F1728" s="43">
        <v>40393</v>
      </c>
      <c r="G1728" s="44">
        <v>1120.459961</v>
      </c>
      <c r="H1728" s="44">
        <v>768.78997800000002</v>
      </c>
      <c r="I1728" s="44">
        <v>655.65997300000004</v>
      </c>
      <c r="J1728" s="44">
        <v>53.580002</v>
      </c>
      <c r="K1728" s="44">
        <v>107.480003</v>
      </c>
    </row>
    <row r="1729" spans="6:11" x14ac:dyDescent="0.3">
      <c r="F1729" s="43">
        <v>40394</v>
      </c>
      <c r="G1729" s="44">
        <v>1127.23999</v>
      </c>
      <c r="H1729" s="44">
        <v>777.03997800000002</v>
      </c>
      <c r="I1729" s="44">
        <v>662.96002199999998</v>
      </c>
      <c r="J1729" s="44">
        <v>53.630001</v>
      </c>
      <c r="K1729" s="44">
        <v>107.290001</v>
      </c>
    </row>
    <row r="1730" spans="6:11" x14ac:dyDescent="0.3">
      <c r="F1730" s="43">
        <v>40395</v>
      </c>
      <c r="G1730" s="44">
        <v>1125.8100589999999</v>
      </c>
      <c r="H1730" s="44">
        <v>773.42999299999997</v>
      </c>
      <c r="I1730" s="44">
        <v>655.07000700000003</v>
      </c>
      <c r="J1730" s="44">
        <v>53.59</v>
      </c>
      <c r="K1730" s="44">
        <v>107.41999800000001</v>
      </c>
    </row>
    <row r="1731" spans="6:11" x14ac:dyDescent="0.3">
      <c r="F1731" s="43">
        <v>40396</v>
      </c>
      <c r="G1731" s="44">
        <v>1121.6400149999999</v>
      </c>
      <c r="H1731" s="44">
        <v>771.92999299999997</v>
      </c>
      <c r="I1731" s="44">
        <v>650.67999299999997</v>
      </c>
      <c r="J1731" s="44">
        <v>53.75</v>
      </c>
      <c r="K1731" s="44">
        <v>107.629997</v>
      </c>
    </row>
    <row r="1732" spans="6:11" x14ac:dyDescent="0.3">
      <c r="F1732" s="43">
        <v>40399</v>
      </c>
      <c r="G1732" s="44">
        <v>1127.790039</v>
      </c>
      <c r="H1732" s="44">
        <v>779.45001200000002</v>
      </c>
      <c r="I1732" s="44">
        <v>659.52002000000005</v>
      </c>
      <c r="J1732" s="44">
        <v>53.810001</v>
      </c>
      <c r="K1732" s="44">
        <v>107.629997</v>
      </c>
    </row>
    <row r="1733" spans="6:11" x14ac:dyDescent="0.3">
      <c r="F1733" s="43">
        <v>40400</v>
      </c>
      <c r="G1733" s="44">
        <v>1121.0600589999999</v>
      </c>
      <c r="H1733" s="44">
        <v>769.36999500000002</v>
      </c>
      <c r="I1733" s="44">
        <v>646.35998500000005</v>
      </c>
      <c r="J1733" s="44">
        <v>53.380001</v>
      </c>
      <c r="K1733" s="44">
        <v>107.80999799999999</v>
      </c>
    </row>
    <row r="1734" spans="6:11" x14ac:dyDescent="0.3">
      <c r="F1734" s="43">
        <v>40401</v>
      </c>
      <c r="G1734" s="44">
        <v>1089.469971</v>
      </c>
      <c r="H1734" s="44">
        <v>743.01000999999997</v>
      </c>
      <c r="I1734" s="44">
        <v>620.39001499999995</v>
      </c>
      <c r="J1734" s="44">
        <v>50.950001</v>
      </c>
      <c r="K1734" s="44">
        <v>107.910004</v>
      </c>
    </row>
    <row r="1735" spans="6:11" x14ac:dyDescent="0.3">
      <c r="F1735" s="43">
        <v>40402</v>
      </c>
      <c r="G1735" s="44">
        <v>1083.6099850000001</v>
      </c>
      <c r="H1735" s="44">
        <v>738.669983</v>
      </c>
      <c r="I1735" s="44">
        <v>616.97997999999995</v>
      </c>
      <c r="J1735" s="44">
        <v>50.889999000000003</v>
      </c>
      <c r="K1735" s="44">
        <v>107.739998</v>
      </c>
    </row>
    <row r="1736" spans="6:11" x14ac:dyDescent="0.3">
      <c r="F1736" s="43">
        <v>40403</v>
      </c>
      <c r="G1736" s="44">
        <v>1079.25</v>
      </c>
      <c r="H1736" s="44">
        <v>734.59002699999996</v>
      </c>
      <c r="I1736" s="44">
        <v>609.48999000000003</v>
      </c>
      <c r="J1736" s="44">
        <v>50.709999000000003</v>
      </c>
      <c r="K1736" s="44">
        <v>107.989998</v>
      </c>
    </row>
    <row r="1737" spans="6:11" x14ac:dyDescent="0.3">
      <c r="F1737" s="43">
        <v>40406</v>
      </c>
      <c r="G1737" s="44">
        <v>1079.380005</v>
      </c>
      <c r="H1737" s="44">
        <v>735.84002699999996</v>
      </c>
      <c r="I1737" s="44">
        <v>615.09997599999997</v>
      </c>
      <c r="J1737" s="44">
        <v>51.119999</v>
      </c>
      <c r="K1737" s="44">
        <v>108.349998</v>
      </c>
    </row>
    <row r="1738" spans="6:11" x14ac:dyDescent="0.3">
      <c r="F1738" s="43">
        <v>40407</v>
      </c>
      <c r="G1738" s="44">
        <v>1092.540039</v>
      </c>
      <c r="H1738" s="44">
        <v>748.080017</v>
      </c>
      <c r="I1738" s="44">
        <v>626.29998799999998</v>
      </c>
      <c r="J1738" s="44">
        <v>51.689999</v>
      </c>
      <c r="K1738" s="44">
        <v>108.220001</v>
      </c>
    </row>
    <row r="1739" spans="6:11" x14ac:dyDescent="0.3">
      <c r="F1739" s="43">
        <v>40408</v>
      </c>
      <c r="G1739" s="44">
        <v>1094.160034</v>
      </c>
      <c r="H1739" s="44">
        <v>750.13000499999998</v>
      </c>
      <c r="I1739" s="44">
        <v>628.03997800000002</v>
      </c>
      <c r="J1739" s="44">
        <v>51.669998</v>
      </c>
      <c r="K1739" s="44">
        <v>108.099998</v>
      </c>
    </row>
    <row r="1740" spans="6:11" x14ac:dyDescent="0.3">
      <c r="F1740" s="43">
        <v>40409</v>
      </c>
      <c r="G1740" s="44">
        <v>1075.630005</v>
      </c>
      <c r="H1740" s="44">
        <v>737.51000999999997</v>
      </c>
      <c r="I1740" s="44">
        <v>610.96002199999998</v>
      </c>
      <c r="J1740" s="44">
        <v>50.84</v>
      </c>
      <c r="K1740" s="44">
        <v>108.449997</v>
      </c>
    </row>
    <row r="1741" spans="6:11" x14ac:dyDescent="0.3">
      <c r="F1741" s="43">
        <v>40410</v>
      </c>
      <c r="G1741" s="44">
        <v>1071.6899410000001</v>
      </c>
      <c r="H1741" s="44">
        <v>736.52002000000005</v>
      </c>
      <c r="I1741" s="44">
        <v>610.78002900000001</v>
      </c>
      <c r="J1741" s="44">
        <v>50.310001</v>
      </c>
      <c r="K1741" s="44">
        <v>108.300003</v>
      </c>
    </row>
    <row r="1742" spans="6:11" x14ac:dyDescent="0.3">
      <c r="F1742" s="43">
        <v>40413</v>
      </c>
      <c r="G1742" s="44">
        <v>1067.3599850000001</v>
      </c>
      <c r="H1742" s="44">
        <v>729.60998500000005</v>
      </c>
      <c r="I1742" s="44">
        <v>602.669983</v>
      </c>
      <c r="J1742" s="44">
        <v>50.209999000000003</v>
      </c>
      <c r="K1742" s="44">
        <v>108.410004</v>
      </c>
    </row>
    <row r="1743" spans="6:11" x14ac:dyDescent="0.3">
      <c r="F1743" s="43">
        <v>40414</v>
      </c>
      <c r="G1743" s="44">
        <v>1051.869995</v>
      </c>
      <c r="H1743" s="44">
        <v>718.25</v>
      </c>
      <c r="I1743" s="44">
        <v>595.59002699999996</v>
      </c>
      <c r="J1743" s="44">
        <v>49.52</v>
      </c>
      <c r="K1743" s="44">
        <v>108.839996</v>
      </c>
    </row>
    <row r="1744" spans="6:11" x14ac:dyDescent="0.3">
      <c r="F1744" s="43">
        <v>40415</v>
      </c>
      <c r="G1744" s="44">
        <v>1055.329956</v>
      </c>
      <c r="H1744" s="44">
        <v>723.61999500000002</v>
      </c>
      <c r="I1744" s="44">
        <v>604.86999500000002</v>
      </c>
      <c r="J1744" s="44">
        <v>49.57</v>
      </c>
      <c r="K1744" s="44">
        <v>108.589996</v>
      </c>
    </row>
    <row r="1745" spans="6:11" x14ac:dyDescent="0.3">
      <c r="F1745" s="43">
        <v>40416</v>
      </c>
      <c r="G1745" s="44">
        <v>1047.219971</v>
      </c>
      <c r="H1745" s="44">
        <v>718.88000499999998</v>
      </c>
      <c r="I1745" s="44">
        <v>599.76000999999997</v>
      </c>
      <c r="J1745" s="44">
        <v>49.549999</v>
      </c>
      <c r="K1745" s="44">
        <v>108.730003</v>
      </c>
    </row>
    <row r="1746" spans="6:11" x14ac:dyDescent="0.3">
      <c r="F1746" s="43">
        <v>40417</v>
      </c>
      <c r="G1746" s="44">
        <v>1064.589966</v>
      </c>
      <c r="H1746" s="44">
        <v>734.29998799999998</v>
      </c>
      <c r="I1746" s="44">
        <v>616.76000999999997</v>
      </c>
      <c r="J1746" s="44">
        <v>50.52</v>
      </c>
      <c r="K1746" s="44">
        <v>108.129997</v>
      </c>
    </row>
    <row r="1747" spans="6:11" x14ac:dyDescent="0.3">
      <c r="F1747" s="43">
        <v>40420</v>
      </c>
      <c r="G1747" s="44">
        <v>1048.920044</v>
      </c>
      <c r="H1747" s="44">
        <v>721.46997099999999</v>
      </c>
      <c r="I1747" s="44">
        <v>601.71997099999999</v>
      </c>
      <c r="J1747" s="44">
        <v>49.790000999999997</v>
      </c>
      <c r="K1747" s="44">
        <v>108.860001</v>
      </c>
    </row>
    <row r="1748" spans="6:11" x14ac:dyDescent="0.3">
      <c r="F1748" s="43">
        <v>40421</v>
      </c>
      <c r="G1748" s="44">
        <v>1049.329956</v>
      </c>
      <c r="H1748" s="44">
        <v>721.64001499999995</v>
      </c>
      <c r="I1748" s="44">
        <v>602.05999799999995</v>
      </c>
      <c r="J1748" s="44">
        <v>49.939999</v>
      </c>
      <c r="K1748" s="44">
        <v>108.94000200000001</v>
      </c>
    </row>
    <row r="1749" spans="6:11" x14ac:dyDescent="0.3">
      <c r="F1749" s="43">
        <v>40422</v>
      </c>
      <c r="G1749" s="44">
        <v>1080.290039</v>
      </c>
      <c r="H1749" s="44">
        <v>745.96002199999998</v>
      </c>
      <c r="I1749" s="44">
        <v>624.98999000000003</v>
      </c>
      <c r="J1749" s="44">
        <v>51.720001000000003</v>
      </c>
      <c r="K1749" s="44">
        <v>108.410004</v>
      </c>
    </row>
    <row r="1750" spans="6:11" x14ac:dyDescent="0.3">
      <c r="F1750" s="43">
        <v>40423</v>
      </c>
      <c r="G1750" s="44">
        <v>1090.099976</v>
      </c>
      <c r="H1750" s="44">
        <v>755.79998799999998</v>
      </c>
      <c r="I1750" s="44">
        <v>632.26000999999997</v>
      </c>
      <c r="J1750" s="44">
        <v>52.009998000000003</v>
      </c>
      <c r="K1750" s="44">
        <v>108.269997</v>
      </c>
    </row>
    <row r="1751" spans="6:11" x14ac:dyDescent="0.3">
      <c r="F1751" s="43">
        <v>40424</v>
      </c>
      <c r="G1751" s="44">
        <v>1104.51001</v>
      </c>
      <c r="H1751" s="44">
        <v>766.52002000000005</v>
      </c>
      <c r="I1751" s="44">
        <v>643.35998500000005</v>
      </c>
      <c r="J1751" s="44">
        <v>52.490001999999997</v>
      </c>
      <c r="K1751" s="44">
        <v>108.019997</v>
      </c>
    </row>
    <row r="1752" spans="6:11" x14ac:dyDescent="0.3">
      <c r="F1752" s="43">
        <v>40428</v>
      </c>
      <c r="G1752" s="44">
        <v>1091.839966</v>
      </c>
      <c r="H1752" s="44">
        <v>755.09997599999997</v>
      </c>
      <c r="I1752" s="44">
        <v>629.28997800000002</v>
      </c>
      <c r="J1752" s="44">
        <v>51.759998000000003</v>
      </c>
      <c r="K1752" s="44">
        <v>108.33000199999999</v>
      </c>
    </row>
    <row r="1753" spans="6:11" x14ac:dyDescent="0.3">
      <c r="F1753" s="43">
        <v>40429</v>
      </c>
      <c r="G1753" s="44">
        <v>1098.869995</v>
      </c>
      <c r="H1753" s="44">
        <v>759.919983</v>
      </c>
      <c r="I1753" s="44">
        <v>634.25</v>
      </c>
      <c r="J1753" s="44">
        <v>52.16</v>
      </c>
      <c r="K1753" s="44">
        <v>108.25</v>
      </c>
    </row>
    <row r="1754" spans="6:11" x14ac:dyDescent="0.3">
      <c r="F1754" s="43">
        <v>40430</v>
      </c>
      <c r="G1754" s="44">
        <v>1104.1800539999999</v>
      </c>
      <c r="H1754" s="44">
        <v>761.51000999999997</v>
      </c>
      <c r="I1754" s="44">
        <v>634.61999500000002</v>
      </c>
      <c r="J1754" s="44">
        <v>52.650002000000001</v>
      </c>
      <c r="K1754" s="44">
        <v>107.730003</v>
      </c>
    </row>
    <row r="1755" spans="6:11" x14ac:dyDescent="0.3">
      <c r="F1755" s="43">
        <v>40431</v>
      </c>
      <c r="G1755" s="44">
        <v>1109.5500489999999</v>
      </c>
      <c r="H1755" s="44">
        <v>763.78997800000002</v>
      </c>
      <c r="I1755" s="44">
        <v>636.46002199999998</v>
      </c>
      <c r="J1755" s="44">
        <v>52.810001</v>
      </c>
      <c r="K1755" s="44">
        <v>107.5</v>
      </c>
    </row>
    <row r="1756" spans="6:11" x14ac:dyDescent="0.3">
      <c r="F1756" s="43">
        <v>40434</v>
      </c>
      <c r="G1756" s="44">
        <v>1121.900024</v>
      </c>
      <c r="H1756" s="44">
        <v>777.13000499999998</v>
      </c>
      <c r="I1756" s="44">
        <v>652.28002900000001</v>
      </c>
      <c r="J1756" s="44">
        <v>53.77</v>
      </c>
      <c r="K1756" s="44">
        <v>107.739998</v>
      </c>
    </row>
    <row r="1757" spans="6:11" x14ac:dyDescent="0.3">
      <c r="F1757" s="43">
        <v>40435</v>
      </c>
      <c r="G1757" s="44">
        <v>1121.099976</v>
      </c>
      <c r="H1757" s="44">
        <v>777.59997599999997</v>
      </c>
      <c r="I1757" s="44">
        <v>649.22997999999995</v>
      </c>
      <c r="J1757" s="44">
        <v>54.130001</v>
      </c>
      <c r="K1757" s="44">
        <v>108.129997</v>
      </c>
    </row>
    <row r="1758" spans="6:11" x14ac:dyDescent="0.3">
      <c r="F1758" s="43">
        <v>40436</v>
      </c>
      <c r="G1758" s="44">
        <v>1125.0699460000001</v>
      </c>
      <c r="H1758" s="44">
        <v>780.78997800000002</v>
      </c>
      <c r="I1758" s="44">
        <v>652.51000999999997</v>
      </c>
      <c r="J1758" s="44">
        <v>54.150002000000001</v>
      </c>
      <c r="K1758" s="44">
        <v>107.93</v>
      </c>
    </row>
    <row r="1759" spans="6:11" x14ac:dyDescent="0.3">
      <c r="F1759" s="43">
        <v>40437</v>
      </c>
      <c r="G1759" s="44">
        <v>1124.660034</v>
      </c>
      <c r="H1759" s="44">
        <v>778.580017</v>
      </c>
      <c r="I1759" s="44">
        <v>647.80999799999995</v>
      </c>
      <c r="J1759" s="44">
        <v>53.889999000000003</v>
      </c>
      <c r="K1759" s="44">
        <v>107.75</v>
      </c>
    </row>
    <row r="1760" spans="6:11" x14ac:dyDescent="0.3">
      <c r="F1760" s="43">
        <v>40438</v>
      </c>
      <c r="G1760" s="44">
        <v>1125.589966</v>
      </c>
      <c r="H1760" s="44">
        <v>780.82000700000003</v>
      </c>
      <c r="I1760" s="44">
        <v>651.44000200000005</v>
      </c>
      <c r="J1760" s="44">
        <v>53.630001</v>
      </c>
      <c r="K1760" s="44">
        <v>107.889999</v>
      </c>
    </row>
    <row r="1761" spans="6:11" x14ac:dyDescent="0.3">
      <c r="F1761" s="43">
        <v>40441</v>
      </c>
      <c r="G1761" s="44">
        <v>1142.709961</v>
      </c>
      <c r="H1761" s="44">
        <v>793.78997800000002</v>
      </c>
      <c r="I1761" s="44">
        <v>669.97997999999995</v>
      </c>
      <c r="J1761" s="44">
        <v>54.560001</v>
      </c>
      <c r="K1761" s="44">
        <v>107.93</v>
      </c>
    </row>
    <row r="1762" spans="6:11" x14ac:dyDescent="0.3">
      <c r="F1762" s="43">
        <v>40442</v>
      </c>
      <c r="G1762" s="44">
        <v>1139.780029</v>
      </c>
      <c r="H1762" s="44">
        <v>789.04998799999998</v>
      </c>
      <c r="I1762" s="44">
        <v>664.65997300000004</v>
      </c>
      <c r="J1762" s="44">
        <v>54.549999</v>
      </c>
      <c r="K1762" s="44">
        <v>108.389999</v>
      </c>
    </row>
    <row r="1763" spans="6:11" x14ac:dyDescent="0.3">
      <c r="F1763" s="43">
        <v>40443</v>
      </c>
      <c r="G1763" s="44">
        <v>1134.280029</v>
      </c>
      <c r="H1763" s="44">
        <v>782.64001499999995</v>
      </c>
      <c r="I1763" s="44">
        <v>656.71002199999998</v>
      </c>
      <c r="J1763" s="44">
        <v>54.470001000000003</v>
      </c>
      <c r="K1763" s="44">
        <v>108.41999800000001</v>
      </c>
    </row>
    <row r="1764" spans="6:11" x14ac:dyDescent="0.3">
      <c r="F1764" s="43">
        <v>40444</v>
      </c>
      <c r="G1764" s="44">
        <v>1124.829956</v>
      </c>
      <c r="H1764" s="44">
        <v>776.65002400000003</v>
      </c>
      <c r="I1764" s="44">
        <v>648.84002699999996</v>
      </c>
      <c r="J1764" s="44">
        <v>53.880001</v>
      </c>
      <c r="K1764" s="44">
        <v>108.540001</v>
      </c>
    </row>
    <row r="1765" spans="6:11" x14ac:dyDescent="0.3">
      <c r="F1765" s="43">
        <v>40445</v>
      </c>
      <c r="G1765" s="44">
        <v>1148.670044</v>
      </c>
      <c r="H1765" s="44">
        <v>796.28997800000002</v>
      </c>
      <c r="I1765" s="44">
        <v>671.01000999999997</v>
      </c>
      <c r="J1765" s="44">
        <v>55.380001</v>
      </c>
      <c r="K1765" s="44">
        <v>108.139999</v>
      </c>
    </row>
    <row r="1766" spans="6:11" x14ac:dyDescent="0.3">
      <c r="F1766" s="43">
        <v>40448</v>
      </c>
      <c r="G1766" s="44">
        <v>1142.160034</v>
      </c>
      <c r="H1766" s="44">
        <v>794.5</v>
      </c>
      <c r="I1766" s="44">
        <v>668.28997800000002</v>
      </c>
      <c r="J1766" s="44">
        <v>55.099997999999999</v>
      </c>
      <c r="K1766" s="44">
        <v>108.510002</v>
      </c>
    </row>
    <row r="1767" spans="6:11" x14ac:dyDescent="0.3">
      <c r="F1767" s="43">
        <v>40449</v>
      </c>
      <c r="G1767" s="44">
        <v>1147.6999510000001</v>
      </c>
      <c r="H1767" s="44">
        <v>801</v>
      </c>
      <c r="I1767" s="44">
        <v>675.42999299999997</v>
      </c>
      <c r="J1767" s="44">
        <v>55.419998</v>
      </c>
      <c r="K1767" s="44">
        <v>108.769997</v>
      </c>
    </row>
    <row r="1768" spans="6:11" x14ac:dyDescent="0.3">
      <c r="F1768" s="43">
        <v>40450</v>
      </c>
      <c r="G1768" s="44">
        <v>1144.7299800000001</v>
      </c>
      <c r="H1768" s="44">
        <v>800.89001499999995</v>
      </c>
      <c r="I1768" s="44">
        <v>677.64001499999995</v>
      </c>
      <c r="J1768" s="44">
        <v>55.330002</v>
      </c>
      <c r="K1768" s="44">
        <v>108.69000200000001</v>
      </c>
    </row>
    <row r="1769" spans="6:11" x14ac:dyDescent="0.3">
      <c r="F1769" s="43">
        <v>40451</v>
      </c>
      <c r="G1769" s="44">
        <v>1141.1999510000001</v>
      </c>
      <c r="H1769" s="44">
        <v>802.09997599999997</v>
      </c>
      <c r="I1769" s="44">
        <v>676.14001499999995</v>
      </c>
      <c r="J1769" s="44">
        <v>54.919998</v>
      </c>
      <c r="K1769" s="44">
        <v>108.650002</v>
      </c>
    </row>
    <row r="1770" spans="6:11" x14ac:dyDescent="0.3">
      <c r="F1770" s="43">
        <v>40452</v>
      </c>
      <c r="G1770" s="44">
        <v>1146.23999</v>
      </c>
      <c r="H1770" s="44">
        <v>803.90002400000003</v>
      </c>
      <c r="I1770" s="44">
        <v>679.28997800000002</v>
      </c>
      <c r="J1770" s="44">
        <v>55.470001000000003</v>
      </c>
      <c r="K1770" s="44">
        <v>108.260002</v>
      </c>
    </row>
    <row r="1771" spans="6:11" x14ac:dyDescent="0.3">
      <c r="F1771" s="43">
        <v>40455</v>
      </c>
      <c r="G1771" s="44">
        <v>1137.030029</v>
      </c>
      <c r="H1771" s="44">
        <v>795.5</v>
      </c>
      <c r="I1771" s="44">
        <v>669.45001200000002</v>
      </c>
      <c r="J1771" s="44">
        <v>54.669998</v>
      </c>
      <c r="K1771" s="44">
        <v>108.44000200000001</v>
      </c>
    </row>
    <row r="1772" spans="6:11" x14ac:dyDescent="0.3">
      <c r="F1772" s="43">
        <v>40456</v>
      </c>
      <c r="G1772" s="44">
        <v>1160.75</v>
      </c>
      <c r="H1772" s="44">
        <v>812.13000499999998</v>
      </c>
      <c r="I1772" s="44">
        <v>689.34997599999997</v>
      </c>
      <c r="J1772" s="44">
        <v>56.220001000000003</v>
      </c>
      <c r="K1772" s="44">
        <v>108.44000200000001</v>
      </c>
    </row>
    <row r="1773" spans="6:11" x14ac:dyDescent="0.3">
      <c r="F1773" s="43">
        <v>40457</v>
      </c>
      <c r="G1773" s="44">
        <v>1159.969971</v>
      </c>
      <c r="H1773" s="44">
        <v>805.84997599999997</v>
      </c>
      <c r="I1773" s="44">
        <v>685.330017</v>
      </c>
      <c r="J1773" s="44">
        <v>56.689999</v>
      </c>
      <c r="K1773" s="44">
        <v>108.550003</v>
      </c>
    </row>
    <row r="1774" spans="6:11" x14ac:dyDescent="0.3">
      <c r="F1774" s="43">
        <v>40458</v>
      </c>
      <c r="G1774" s="44">
        <v>1158.0600589999999</v>
      </c>
      <c r="H1774" s="44">
        <v>805.39001499999995</v>
      </c>
      <c r="I1774" s="44">
        <v>684.22997999999995</v>
      </c>
      <c r="J1774" s="44">
        <v>56.5</v>
      </c>
      <c r="K1774" s="44">
        <v>108.599998</v>
      </c>
    </row>
    <row r="1775" spans="6:11" x14ac:dyDescent="0.3">
      <c r="F1775" s="43">
        <v>40459</v>
      </c>
      <c r="G1775" s="44">
        <v>1165.150024</v>
      </c>
      <c r="H1775" s="44">
        <v>811.36999500000002</v>
      </c>
      <c r="I1775" s="44">
        <v>693.82000700000003</v>
      </c>
      <c r="J1775" s="44">
        <v>56.869999</v>
      </c>
      <c r="K1775" s="44">
        <v>108.82</v>
      </c>
    </row>
    <row r="1776" spans="6:11" x14ac:dyDescent="0.3">
      <c r="F1776" s="43">
        <v>40462</v>
      </c>
      <c r="G1776" s="44">
        <v>1165.3199460000001</v>
      </c>
      <c r="H1776" s="44">
        <v>812.51000999999997</v>
      </c>
      <c r="I1776" s="44">
        <v>693.47997999999995</v>
      </c>
      <c r="J1776" s="44">
        <v>56.799999</v>
      </c>
      <c r="K1776" s="44">
        <v>108.760002</v>
      </c>
    </row>
    <row r="1777" spans="6:11" x14ac:dyDescent="0.3">
      <c r="F1777" s="43">
        <v>40463</v>
      </c>
      <c r="G1777" s="44">
        <v>1169.7700199999999</v>
      </c>
      <c r="H1777" s="44">
        <v>815.40002400000003</v>
      </c>
      <c r="I1777" s="44">
        <v>696.03997800000002</v>
      </c>
      <c r="J1777" s="44">
        <v>56.68</v>
      </c>
      <c r="K1777" s="44">
        <v>108.650002</v>
      </c>
    </row>
    <row r="1778" spans="6:11" x14ac:dyDescent="0.3">
      <c r="F1778" s="43">
        <v>40464</v>
      </c>
      <c r="G1778" s="44">
        <v>1178.099976</v>
      </c>
      <c r="H1778" s="44">
        <v>822.79998799999998</v>
      </c>
      <c r="I1778" s="44">
        <v>706.46997099999999</v>
      </c>
      <c r="J1778" s="44">
        <v>57.32</v>
      </c>
      <c r="K1778" s="44">
        <v>108.639999</v>
      </c>
    </row>
    <row r="1779" spans="6:11" x14ac:dyDescent="0.3">
      <c r="F1779" s="43">
        <v>40465</v>
      </c>
      <c r="G1779" s="44">
        <v>1173.8100589999999</v>
      </c>
      <c r="H1779" s="44">
        <v>818.669983</v>
      </c>
      <c r="I1779" s="44">
        <v>704.69000200000005</v>
      </c>
      <c r="J1779" s="44">
        <v>57.720001000000003</v>
      </c>
      <c r="K1779" s="44">
        <v>108.239998</v>
      </c>
    </row>
    <row r="1780" spans="6:11" x14ac:dyDescent="0.3">
      <c r="F1780" s="43">
        <v>40466</v>
      </c>
      <c r="G1780" s="44">
        <v>1176.1899410000001</v>
      </c>
      <c r="H1780" s="44">
        <v>819.76000999999997</v>
      </c>
      <c r="I1780" s="44">
        <v>703.15997300000004</v>
      </c>
      <c r="J1780" s="44">
        <v>57.529998999999997</v>
      </c>
      <c r="K1780" s="44">
        <v>108.019997</v>
      </c>
    </row>
    <row r="1781" spans="6:11" x14ac:dyDescent="0.3">
      <c r="F1781" s="43">
        <v>40469</v>
      </c>
      <c r="G1781" s="44">
        <v>1184.709961</v>
      </c>
      <c r="H1781" s="44">
        <v>824.5</v>
      </c>
      <c r="I1781" s="44">
        <v>710.13000499999998</v>
      </c>
      <c r="J1781" s="44">
        <v>57.66</v>
      </c>
      <c r="K1781" s="44">
        <v>108.400002</v>
      </c>
    </row>
    <row r="1782" spans="6:11" x14ac:dyDescent="0.3">
      <c r="F1782" s="43">
        <v>40470</v>
      </c>
      <c r="G1782" s="44">
        <v>1165.900024</v>
      </c>
      <c r="H1782" s="44">
        <v>809.92999299999997</v>
      </c>
      <c r="I1782" s="44">
        <v>694.15002400000003</v>
      </c>
      <c r="J1782" s="44">
        <v>56.389999000000003</v>
      </c>
      <c r="K1782" s="44">
        <v>108.489998</v>
      </c>
    </row>
    <row r="1783" spans="6:11" x14ac:dyDescent="0.3">
      <c r="F1783" s="43">
        <v>40471</v>
      </c>
      <c r="G1783" s="44">
        <v>1178.170044</v>
      </c>
      <c r="H1783" s="44">
        <v>820.46002199999998</v>
      </c>
      <c r="I1783" s="44">
        <v>702.10998500000005</v>
      </c>
      <c r="J1783" s="44">
        <v>57.450001</v>
      </c>
      <c r="K1783" s="44">
        <v>108.620003</v>
      </c>
    </row>
    <row r="1784" spans="6:11" x14ac:dyDescent="0.3">
      <c r="F1784" s="43">
        <v>40472</v>
      </c>
      <c r="G1784" s="44">
        <v>1180.26001</v>
      </c>
      <c r="H1784" s="44">
        <v>818.61999500000002</v>
      </c>
      <c r="I1784" s="44">
        <v>698.11999500000002</v>
      </c>
      <c r="J1784" s="44">
        <v>57.139999000000003</v>
      </c>
      <c r="K1784" s="44">
        <v>108.449997</v>
      </c>
    </row>
    <row r="1785" spans="6:11" x14ac:dyDescent="0.3">
      <c r="F1785" s="43">
        <v>40473</v>
      </c>
      <c r="G1785" s="44">
        <v>1183.079956</v>
      </c>
      <c r="H1785" s="44">
        <v>824.90997300000004</v>
      </c>
      <c r="I1785" s="44">
        <v>703.42999299999997</v>
      </c>
      <c r="J1785" s="44">
        <v>57.290000999999997</v>
      </c>
      <c r="K1785" s="44">
        <v>108.5</v>
      </c>
    </row>
    <row r="1786" spans="6:11" x14ac:dyDescent="0.3">
      <c r="F1786" s="43">
        <v>40476</v>
      </c>
      <c r="G1786" s="44">
        <v>1185.619995</v>
      </c>
      <c r="H1786" s="44">
        <v>829.40002400000003</v>
      </c>
      <c r="I1786" s="44">
        <v>707.89001499999995</v>
      </c>
      <c r="J1786" s="44">
        <v>57.509998000000003</v>
      </c>
      <c r="K1786" s="44">
        <v>108.510002</v>
      </c>
    </row>
    <row r="1787" spans="6:11" x14ac:dyDescent="0.3">
      <c r="F1787" s="43">
        <v>40477</v>
      </c>
      <c r="G1787" s="44">
        <v>1185.6400149999999</v>
      </c>
      <c r="H1787" s="44">
        <v>828.03997800000002</v>
      </c>
      <c r="I1787" s="44">
        <v>706.92999299999997</v>
      </c>
      <c r="J1787" s="44">
        <v>57.139999000000003</v>
      </c>
      <c r="K1787" s="44">
        <v>108.260002</v>
      </c>
    </row>
    <row r="1788" spans="6:11" x14ac:dyDescent="0.3">
      <c r="F1788" s="43">
        <v>40478</v>
      </c>
      <c r="G1788" s="44">
        <v>1182.4499510000001</v>
      </c>
      <c r="H1788" s="44">
        <v>827.52002000000005</v>
      </c>
      <c r="I1788" s="44">
        <v>704.22997999999995</v>
      </c>
      <c r="J1788" s="44">
        <v>56.59</v>
      </c>
      <c r="K1788" s="44">
        <v>108.050003</v>
      </c>
    </row>
    <row r="1789" spans="6:11" x14ac:dyDescent="0.3">
      <c r="F1789" s="43">
        <v>40479</v>
      </c>
      <c r="G1789" s="44">
        <v>1183.780029</v>
      </c>
      <c r="H1789" s="44">
        <v>826.90997300000004</v>
      </c>
      <c r="I1789" s="44">
        <v>701.03002900000001</v>
      </c>
      <c r="J1789" s="44">
        <v>57.029998999999997</v>
      </c>
      <c r="K1789" s="44">
        <v>108.32</v>
      </c>
    </row>
    <row r="1790" spans="6:11" x14ac:dyDescent="0.3">
      <c r="F1790" s="43">
        <v>40480</v>
      </c>
      <c r="G1790" s="44">
        <v>1183.26001</v>
      </c>
      <c r="H1790" s="44">
        <v>829.13000499999998</v>
      </c>
      <c r="I1790" s="44">
        <v>703.34997599999997</v>
      </c>
      <c r="J1790" s="44">
        <v>57.009998000000003</v>
      </c>
      <c r="K1790" s="44">
        <v>108.550003</v>
      </c>
    </row>
    <row r="1791" spans="6:11" x14ac:dyDescent="0.3">
      <c r="F1791" s="43">
        <v>40483</v>
      </c>
      <c r="G1791" s="44">
        <v>1184.380005</v>
      </c>
      <c r="H1791" s="44">
        <v>828.64001499999995</v>
      </c>
      <c r="I1791" s="44">
        <v>698.55999799999995</v>
      </c>
      <c r="J1791" s="44">
        <v>56.799999</v>
      </c>
      <c r="K1791" s="44">
        <v>108.230003</v>
      </c>
    </row>
    <row r="1792" spans="6:11" x14ac:dyDescent="0.3">
      <c r="F1792" s="43">
        <v>40484</v>
      </c>
      <c r="G1792" s="44">
        <v>1193.5699460000001</v>
      </c>
      <c r="H1792" s="44">
        <v>837.82000700000003</v>
      </c>
      <c r="I1792" s="44">
        <v>712.89001499999995</v>
      </c>
      <c r="J1792" s="44">
        <v>57.740001999999997</v>
      </c>
      <c r="K1792" s="44">
        <v>108.41999800000001</v>
      </c>
    </row>
    <row r="1793" spans="6:11" x14ac:dyDescent="0.3">
      <c r="F1793" s="43">
        <v>40485</v>
      </c>
      <c r="G1793" s="44">
        <v>1197.959961</v>
      </c>
      <c r="H1793" s="44">
        <v>839.75</v>
      </c>
      <c r="I1793" s="44">
        <v>715.14001499999995</v>
      </c>
      <c r="J1793" s="44">
        <v>58.139999000000003</v>
      </c>
      <c r="K1793" s="44">
        <v>108.400002</v>
      </c>
    </row>
    <row r="1794" spans="6:11" x14ac:dyDescent="0.3">
      <c r="F1794" s="43">
        <v>40486</v>
      </c>
      <c r="G1794" s="44">
        <v>1221.0600589999999</v>
      </c>
      <c r="H1794" s="44">
        <v>855.85998500000005</v>
      </c>
      <c r="I1794" s="44">
        <v>733.46002199999998</v>
      </c>
      <c r="J1794" s="44">
        <v>59.459999000000003</v>
      </c>
      <c r="K1794" s="44">
        <v>108.91999800000001</v>
      </c>
    </row>
    <row r="1795" spans="6:11" x14ac:dyDescent="0.3">
      <c r="F1795" s="43">
        <v>40487</v>
      </c>
      <c r="G1795" s="44">
        <v>1225.849976</v>
      </c>
      <c r="H1795" s="44">
        <v>861.09002699999996</v>
      </c>
      <c r="I1795" s="44">
        <v>736.59002699999996</v>
      </c>
      <c r="J1795" s="44">
        <v>59.200001</v>
      </c>
      <c r="K1795" s="44">
        <v>108.620003</v>
      </c>
    </row>
    <row r="1796" spans="6:11" x14ac:dyDescent="0.3">
      <c r="F1796" s="43">
        <v>40490</v>
      </c>
      <c r="G1796" s="44">
        <v>1223.25</v>
      </c>
      <c r="H1796" s="44">
        <v>860.59002699999996</v>
      </c>
      <c r="I1796" s="44">
        <v>736.77002000000005</v>
      </c>
      <c r="J1796" s="44">
        <v>58.84</v>
      </c>
      <c r="K1796" s="44">
        <v>108.57</v>
      </c>
    </row>
    <row r="1797" spans="6:11" x14ac:dyDescent="0.3">
      <c r="F1797" s="43">
        <v>40491</v>
      </c>
      <c r="G1797" s="44">
        <v>1213.400024</v>
      </c>
      <c r="H1797" s="44">
        <v>850.89001499999995</v>
      </c>
      <c r="I1797" s="44">
        <v>725.97997999999995</v>
      </c>
      <c r="J1797" s="44">
        <v>58.25</v>
      </c>
      <c r="K1797" s="44">
        <v>108.040001</v>
      </c>
    </row>
    <row r="1798" spans="6:11" x14ac:dyDescent="0.3">
      <c r="F1798" s="43">
        <v>40492</v>
      </c>
      <c r="G1798" s="44">
        <v>1218.709961</v>
      </c>
      <c r="H1798" s="44">
        <v>858.48999000000003</v>
      </c>
      <c r="I1798" s="44">
        <v>734.86999500000002</v>
      </c>
      <c r="J1798" s="44">
        <v>58.419998</v>
      </c>
      <c r="K1798" s="44">
        <v>107.949997</v>
      </c>
    </row>
    <row r="1799" spans="6:11" x14ac:dyDescent="0.3">
      <c r="F1799" s="43">
        <v>40493</v>
      </c>
      <c r="G1799" s="44">
        <v>1213.540039</v>
      </c>
      <c r="H1799" s="44">
        <v>856.57000700000003</v>
      </c>
      <c r="I1799" s="44">
        <v>731.580017</v>
      </c>
      <c r="J1799" s="44">
        <v>57.919998</v>
      </c>
      <c r="K1799" s="44">
        <v>107.94000200000001</v>
      </c>
    </row>
    <row r="1800" spans="6:11" x14ac:dyDescent="0.3">
      <c r="F1800" s="43">
        <v>40494</v>
      </c>
      <c r="G1800" s="44">
        <v>1199.209961</v>
      </c>
      <c r="H1800" s="44">
        <v>843.86999500000002</v>
      </c>
      <c r="I1800" s="44">
        <v>719.27002000000005</v>
      </c>
      <c r="J1800" s="44">
        <v>57.439999</v>
      </c>
      <c r="K1800" s="44">
        <v>107.510002</v>
      </c>
    </row>
    <row r="1801" spans="6:11" x14ac:dyDescent="0.3">
      <c r="F1801" s="43">
        <v>40497</v>
      </c>
      <c r="G1801" s="44">
        <v>1197.75</v>
      </c>
      <c r="H1801" s="44">
        <v>845.90997300000004</v>
      </c>
      <c r="I1801" s="44">
        <v>719.94000200000005</v>
      </c>
      <c r="J1801" s="44">
        <v>57.400002000000001</v>
      </c>
      <c r="K1801" s="44">
        <v>106.91999800000001</v>
      </c>
    </row>
    <row r="1802" spans="6:11" x14ac:dyDescent="0.3">
      <c r="F1802" s="43">
        <v>40498</v>
      </c>
      <c r="G1802" s="44">
        <v>1178.339966</v>
      </c>
      <c r="H1802" s="44">
        <v>830.830017</v>
      </c>
      <c r="I1802" s="44">
        <v>705.34002699999996</v>
      </c>
      <c r="J1802" s="44">
        <v>56.049999</v>
      </c>
      <c r="K1802" s="44">
        <v>107.18</v>
      </c>
    </row>
    <row r="1803" spans="6:11" x14ac:dyDescent="0.3">
      <c r="F1803" s="43">
        <v>40499</v>
      </c>
      <c r="G1803" s="44">
        <v>1178.589966</v>
      </c>
      <c r="H1803" s="44">
        <v>835.69000200000005</v>
      </c>
      <c r="I1803" s="44">
        <v>707.77002000000005</v>
      </c>
      <c r="J1803" s="44">
        <v>56.360000999999997</v>
      </c>
      <c r="K1803" s="44">
        <v>107.209999</v>
      </c>
    </row>
    <row r="1804" spans="6:11" x14ac:dyDescent="0.3">
      <c r="F1804" s="43">
        <v>40500</v>
      </c>
      <c r="G1804" s="44">
        <v>1196.6899410000001</v>
      </c>
      <c r="H1804" s="44">
        <v>847.25</v>
      </c>
      <c r="I1804" s="44">
        <v>720.84002699999996</v>
      </c>
      <c r="J1804" s="44">
        <v>57.77</v>
      </c>
      <c r="K1804" s="44">
        <v>107.18</v>
      </c>
    </row>
    <row r="1805" spans="6:11" x14ac:dyDescent="0.3">
      <c r="F1805" s="43">
        <v>40501</v>
      </c>
      <c r="G1805" s="44">
        <v>1199.7299800000001</v>
      </c>
      <c r="H1805" s="44">
        <v>850.330017</v>
      </c>
      <c r="I1805" s="44">
        <v>724.35998500000005</v>
      </c>
      <c r="J1805" s="44">
        <v>57.77</v>
      </c>
      <c r="K1805" s="44">
        <v>107.300003</v>
      </c>
    </row>
    <row r="1806" spans="6:11" x14ac:dyDescent="0.3">
      <c r="F1806" s="43">
        <v>40504</v>
      </c>
      <c r="G1806" s="44">
        <v>1197.839966</v>
      </c>
      <c r="H1806" s="44">
        <v>856.02002000000005</v>
      </c>
      <c r="I1806" s="44">
        <v>727.330017</v>
      </c>
      <c r="J1806" s="44">
        <v>57.150002000000001</v>
      </c>
      <c r="K1806" s="44">
        <v>107.55999799999999</v>
      </c>
    </row>
    <row r="1807" spans="6:11" x14ac:dyDescent="0.3">
      <c r="F1807" s="43">
        <v>40505</v>
      </c>
      <c r="G1807" s="44">
        <v>1180.7299800000001</v>
      </c>
      <c r="H1807" s="44">
        <v>846.44000200000005</v>
      </c>
      <c r="I1807" s="44">
        <v>719.92999299999997</v>
      </c>
      <c r="J1807" s="44">
        <v>55.43</v>
      </c>
      <c r="K1807" s="44">
        <v>107.66999800000001</v>
      </c>
    </row>
    <row r="1808" spans="6:11" x14ac:dyDescent="0.3">
      <c r="F1808" s="43">
        <v>40506</v>
      </c>
      <c r="G1808" s="44">
        <v>1198.349976</v>
      </c>
      <c r="H1808" s="44">
        <v>864.02002000000005</v>
      </c>
      <c r="I1808" s="44">
        <v>736.53002900000001</v>
      </c>
      <c r="J1808" s="44">
        <v>56.310001</v>
      </c>
      <c r="K1808" s="44">
        <v>107.150002</v>
      </c>
    </row>
    <row r="1809" spans="6:11" x14ac:dyDescent="0.3">
      <c r="F1809" s="43">
        <v>40508</v>
      </c>
      <c r="G1809" s="44">
        <v>1189.400024</v>
      </c>
      <c r="H1809" s="44">
        <v>859.42999299999997</v>
      </c>
      <c r="I1809" s="44">
        <v>732.72997999999995</v>
      </c>
      <c r="J1809" s="44">
        <v>55.369999</v>
      </c>
      <c r="K1809" s="44">
        <v>107.370003</v>
      </c>
    </row>
    <row r="1810" spans="6:11" x14ac:dyDescent="0.3">
      <c r="F1810" s="43">
        <v>40511</v>
      </c>
      <c r="G1810" s="44">
        <v>1187.76001</v>
      </c>
      <c r="H1810" s="44">
        <v>857.59997599999997</v>
      </c>
      <c r="I1810" s="44">
        <v>731.95001200000002</v>
      </c>
      <c r="J1810" s="44">
        <v>54.880001</v>
      </c>
      <c r="K1810" s="44">
        <v>107.44000200000001</v>
      </c>
    </row>
    <row r="1811" spans="6:11" x14ac:dyDescent="0.3">
      <c r="F1811" s="43">
        <v>40512</v>
      </c>
      <c r="G1811" s="44">
        <v>1180.5500489999999</v>
      </c>
      <c r="H1811" s="44">
        <v>852.59002699999996</v>
      </c>
      <c r="I1811" s="44">
        <v>727.01000999999997</v>
      </c>
      <c r="J1811" s="44">
        <v>54.259998000000003</v>
      </c>
      <c r="K1811" s="44">
        <v>107.370003</v>
      </c>
    </row>
    <row r="1812" spans="6:11" x14ac:dyDescent="0.3">
      <c r="F1812" s="43">
        <v>40513</v>
      </c>
      <c r="G1812" s="44">
        <v>1206.0699460000001</v>
      </c>
      <c r="H1812" s="44">
        <v>870.09997599999997</v>
      </c>
      <c r="I1812" s="44">
        <v>743.14001499999995</v>
      </c>
      <c r="J1812" s="44">
        <v>55.799999</v>
      </c>
      <c r="K1812" s="44">
        <v>106.260002</v>
      </c>
    </row>
    <row r="1813" spans="6:11" x14ac:dyDescent="0.3">
      <c r="F1813" s="43">
        <v>40514</v>
      </c>
      <c r="G1813" s="44">
        <v>1221.530029</v>
      </c>
      <c r="H1813" s="44">
        <v>881.34997599999997</v>
      </c>
      <c r="I1813" s="44">
        <v>751.20001200000002</v>
      </c>
      <c r="J1813" s="44">
        <v>56.860000999999997</v>
      </c>
      <c r="K1813" s="44">
        <v>106.050003</v>
      </c>
    </row>
    <row r="1814" spans="6:11" x14ac:dyDescent="0.3">
      <c r="F1814" s="43">
        <v>40515</v>
      </c>
      <c r="G1814" s="44">
        <v>1224.709961</v>
      </c>
      <c r="H1814" s="44">
        <v>886.73999000000003</v>
      </c>
      <c r="I1814" s="44">
        <v>756.419983</v>
      </c>
      <c r="J1814" s="44">
        <v>57.41</v>
      </c>
      <c r="K1814" s="44">
        <v>106.260002</v>
      </c>
    </row>
    <row r="1815" spans="6:11" x14ac:dyDescent="0.3">
      <c r="F1815" s="43">
        <v>40518</v>
      </c>
      <c r="G1815" s="44">
        <v>1223.119995</v>
      </c>
      <c r="H1815" s="44">
        <v>886.90997300000004</v>
      </c>
      <c r="I1815" s="44">
        <v>760.85998500000005</v>
      </c>
      <c r="J1815" s="44">
        <v>57.150002000000001</v>
      </c>
      <c r="K1815" s="44">
        <v>106.650002</v>
      </c>
    </row>
    <row r="1816" spans="6:11" x14ac:dyDescent="0.3">
      <c r="F1816" s="43">
        <v>40519</v>
      </c>
      <c r="G1816" s="44">
        <v>1223.75</v>
      </c>
      <c r="H1816" s="44">
        <v>887.69000200000005</v>
      </c>
      <c r="I1816" s="44">
        <v>764.419983</v>
      </c>
      <c r="J1816" s="44">
        <v>57.18</v>
      </c>
      <c r="K1816" s="44">
        <v>105.82</v>
      </c>
    </row>
    <row r="1817" spans="6:11" x14ac:dyDescent="0.3">
      <c r="F1817" s="43">
        <v>40520</v>
      </c>
      <c r="G1817" s="44">
        <v>1228.280029</v>
      </c>
      <c r="H1817" s="44">
        <v>886.669983</v>
      </c>
      <c r="I1817" s="44">
        <v>764.03997800000002</v>
      </c>
      <c r="J1817" s="44">
        <v>57.349997999999999</v>
      </c>
      <c r="K1817" s="44">
        <v>105.30999799999999</v>
      </c>
    </row>
    <row r="1818" spans="6:11" x14ac:dyDescent="0.3">
      <c r="F1818" s="43">
        <v>40521</v>
      </c>
      <c r="G1818" s="44">
        <v>1233</v>
      </c>
      <c r="H1818" s="44">
        <v>889.830017</v>
      </c>
      <c r="I1818" s="44">
        <v>767.63000499999998</v>
      </c>
      <c r="J1818" s="44">
        <v>57.5</v>
      </c>
      <c r="K1818" s="44">
        <v>105.5</v>
      </c>
    </row>
    <row r="1819" spans="6:11" x14ac:dyDescent="0.3">
      <c r="F1819" s="43">
        <v>40522</v>
      </c>
      <c r="G1819" s="44">
        <v>1240.400024</v>
      </c>
      <c r="H1819" s="44">
        <v>899.03997800000002</v>
      </c>
      <c r="I1819" s="44">
        <v>776.830017</v>
      </c>
      <c r="J1819" s="44">
        <v>57.630001</v>
      </c>
      <c r="K1819" s="44">
        <v>105.300003</v>
      </c>
    </row>
    <row r="1820" spans="6:11" x14ac:dyDescent="0.3">
      <c r="F1820" s="43">
        <v>40525</v>
      </c>
      <c r="G1820" s="44">
        <v>1240.459961</v>
      </c>
      <c r="H1820" s="44">
        <v>896.20001200000002</v>
      </c>
      <c r="I1820" s="44">
        <v>772.09997599999997</v>
      </c>
      <c r="J1820" s="44">
        <v>58.25</v>
      </c>
      <c r="K1820" s="44">
        <v>105.370003</v>
      </c>
    </row>
    <row r="1821" spans="6:11" x14ac:dyDescent="0.3">
      <c r="F1821" s="43">
        <v>40526</v>
      </c>
      <c r="G1821" s="44">
        <v>1241.589966</v>
      </c>
      <c r="H1821" s="44">
        <v>895.60998500000005</v>
      </c>
      <c r="I1821" s="44">
        <v>771.65997300000004</v>
      </c>
      <c r="J1821" s="44">
        <v>58.34</v>
      </c>
      <c r="K1821" s="44">
        <v>104.779999</v>
      </c>
    </row>
    <row r="1822" spans="6:11" x14ac:dyDescent="0.3">
      <c r="F1822" s="43">
        <v>40527</v>
      </c>
      <c r="G1822" s="44">
        <v>1235.2299800000001</v>
      </c>
      <c r="H1822" s="44">
        <v>891.30999799999995</v>
      </c>
      <c r="I1822" s="44">
        <v>768.35998500000005</v>
      </c>
      <c r="J1822" s="44">
        <v>57.57</v>
      </c>
      <c r="K1822" s="44">
        <v>104.599998</v>
      </c>
    </row>
    <row r="1823" spans="6:11" x14ac:dyDescent="0.3">
      <c r="F1823" s="43">
        <v>40528</v>
      </c>
      <c r="G1823" s="44">
        <v>1242.869995</v>
      </c>
      <c r="H1823" s="44">
        <v>900.46997099999999</v>
      </c>
      <c r="I1823" s="44">
        <v>776.55999799999995</v>
      </c>
      <c r="J1823" s="44">
        <v>57.889999000000003</v>
      </c>
      <c r="K1823" s="44">
        <v>104.800003</v>
      </c>
    </row>
    <row r="1824" spans="6:11" x14ac:dyDescent="0.3">
      <c r="F1824" s="43">
        <v>40529</v>
      </c>
      <c r="G1824" s="44">
        <v>1243.910034</v>
      </c>
      <c r="H1824" s="44">
        <v>902.64001499999995</v>
      </c>
      <c r="I1824" s="44">
        <v>779.51000999999997</v>
      </c>
      <c r="J1824" s="44">
        <v>57.57</v>
      </c>
      <c r="K1824" s="44">
        <v>105.370003</v>
      </c>
    </row>
    <row r="1825" spans="6:11" x14ac:dyDescent="0.3">
      <c r="F1825" s="43">
        <v>40532</v>
      </c>
      <c r="G1825" s="44">
        <v>1247.079956</v>
      </c>
      <c r="H1825" s="44">
        <v>903.52002000000005</v>
      </c>
      <c r="I1825" s="44">
        <v>782.29998799999998</v>
      </c>
      <c r="J1825" s="44">
        <v>57.700001</v>
      </c>
      <c r="K1825" s="44">
        <v>105.44000200000001</v>
      </c>
    </row>
    <row r="1826" spans="6:11" x14ac:dyDescent="0.3">
      <c r="F1826" s="43">
        <v>40533</v>
      </c>
      <c r="G1826" s="44">
        <v>1254.599976</v>
      </c>
      <c r="H1826" s="44">
        <v>910.17999299999997</v>
      </c>
      <c r="I1826" s="44">
        <v>790.52002000000005</v>
      </c>
      <c r="J1826" s="44">
        <v>57.639999000000003</v>
      </c>
      <c r="K1826" s="44">
        <v>105.639999</v>
      </c>
    </row>
    <row r="1827" spans="6:11" x14ac:dyDescent="0.3">
      <c r="F1827" s="43">
        <v>40534</v>
      </c>
      <c r="G1827" s="44">
        <v>1258.839966</v>
      </c>
      <c r="H1827" s="44">
        <v>912.51000999999997</v>
      </c>
      <c r="I1827" s="44">
        <v>790.59002699999996</v>
      </c>
      <c r="J1827" s="44">
        <v>57.75</v>
      </c>
      <c r="K1827" s="44">
        <v>105.519997</v>
      </c>
    </row>
    <row r="1828" spans="6:11" x14ac:dyDescent="0.3">
      <c r="F1828" s="43">
        <v>40535</v>
      </c>
      <c r="G1828" s="44">
        <v>1256.7700199999999</v>
      </c>
      <c r="H1828" s="44">
        <v>910.78997800000002</v>
      </c>
      <c r="I1828" s="44">
        <v>788.96002199999998</v>
      </c>
      <c r="J1828" s="44">
        <v>57.720001000000003</v>
      </c>
      <c r="K1828" s="44">
        <v>105.32</v>
      </c>
    </row>
    <row r="1829" spans="6:11" x14ac:dyDescent="0.3">
      <c r="F1829" s="43">
        <v>40539</v>
      </c>
      <c r="G1829" s="44">
        <v>1257.540039</v>
      </c>
      <c r="H1829" s="44">
        <v>911.75</v>
      </c>
      <c r="I1829" s="44">
        <v>792.34997599999997</v>
      </c>
      <c r="J1829" s="44">
        <v>57.599997999999999</v>
      </c>
      <c r="K1829" s="44">
        <v>105.620003</v>
      </c>
    </row>
    <row r="1830" spans="6:11" x14ac:dyDescent="0.3">
      <c r="F1830" s="43">
        <v>40540</v>
      </c>
      <c r="G1830" s="44">
        <v>1258.51001</v>
      </c>
      <c r="H1830" s="44">
        <v>910.080017</v>
      </c>
      <c r="I1830" s="44">
        <v>789.46002199999998</v>
      </c>
      <c r="J1830" s="44">
        <v>57.650002000000001</v>
      </c>
      <c r="K1830" s="44">
        <v>104.660004</v>
      </c>
    </row>
    <row r="1831" spans="6:11" x14ac:dyDescent="0.3">
      <c r="F1831" s="43">
        <v>40541</v>
      </c>
      <c r="G1831" s="44">
        <v>1259.780029</v>
      </c>
      <c r="H1831" s="44">
        <v>912.580017</v>
      </c>
      <c r="I1831" s="44">
        <v>790.26000999999997</v>
      </c>
      <c r="J1831" s="44">
        <v>58.150002000000001</v>
      </c>
      <c r="K1831" s="44">
        <v>105.400002</v>
      </c>
    </row>
    <row r="1832" spans="6:11" x14ac:dyDescent="0.3">
      <c r="F1832" s="43">
        <v>40542</v>
      </c>
      <c r="G1832" s="44">
        <v>1257.880005</v>
      </c>
      <c r="H1832" s="44">
        <v>913.20001200000002</v>
      </c>
      <c r="I1832" s="44">
        <v>789.73999000000003</v>
      </c>
      <c r="J1832" s="44">
        <v>57.869999</v>
      </c>
      <c r="K1832" s="44">
        <v>105.32</v>
      </c>
    </row>
    <row r="1833" spans="6:11" x14ac:dyDescent="0.3">
      <c r="F1833" s="43">
        <v>40543</v>
      </c>
      <c r="G1833" s="44">
        <v>1257.6400149999999</v>
      </c>
      <c r="H1833" s="44">
        <v>907.25</v>
      </c>
      <c r="I1833" s="44">
        <v>783.65002400000003</v>
      </c>
      <c r="J1833" s="44">
        <v>58.220001000000003</v>
      </c>
      <c r="K1833" s="44">
        <v>105.75</v>
      </c>
    </row>
    <row r="1834" spans="6:11" x14ac:dyDescent="0.3">
      <c r="F1834" s="43">
        <v>40546</v>
      </c>
      <c r="G1834" s="44">
        <v>1271.869995</v>
      </c>
      <c r="H1834" s="44">
        <v>919.89001499999995</v>
      </c>
      <c r="I1834" s="44">
        <v>798.55999799999995</v>
      </c>
      <c r="J1834" s="44">
        <v>58.700001</v>
      </c>
      <c r="K1834" s="44">
        <v>105.629997</v>
      </c>
    </row>
    <row r="1835" spans="6:11" x14ac:dyDescent="0.3">
      <c r="F1835" s="43">
        <v>40547</v>
      </c>
      <c r="G1835" s="44">
        <v>1270.1999510000001</v>
      </c>
      <c r="H1835" s="44">
        <v>909.76000999999997</v>
      </c>
      <c r="I1835" s="44">
        <v>785.830017</v>
      </c>
      <c r="J1835" s="44">
        <v>58.52</v>
      </c>
      <c r="K1835" s="44">
        <v>105.660004</v>
      </c>
    </row>
    <row r="1836" spans="6:11" x14ac:dyDescent="0.3">
      <c r="F1836" s="43">
        <v>40548</v>
      </c>
      <c r="G1836" s="44">
        <v>1276.5600589999999</v>
      </c>
      <c r="H1836" s="44">
        <v>914.96997099999999</v>
      </c>
      <c r="I1836" s="44">
        <v>795.09002699999996</v>
      </c>
      <c r="J1836" s="44">
        <v>58.27</v>
      </c>
      <c r="K1836" s="44">
        <v>105.150002</v>
      </c>
    </row>
    <row r="1837" spans="6:11" x14ac:dyDescent="0.3">
      <c r="F1837" s="43">
        <v>40549</v>
      </c>
      <c r="G1837" s="44">
        <v>1273.849976</v>
      </c>
      <c r="H1837" s="44">
        <v>912.830017</v>
      </c>
      <c r="I1837" s="44">
        <v>791.419983</v>
      </c>
      <c r="J1837" s="44">
        <v>57.599997999999999</v>
      </c>
      <c r="K1837" s="44">
        <v>105.16999800000001</v>
      </c>
    </row>
    <row r="1838" spans="6:11" x14ac:dyDescent="0.3">
      <c r="F1838" s="43">
        <v>40550</v>
      </c>
      <c r="G1838" s="44">
        <v>1271.5</v>
      </c>
      <c r="H1838" s="44">
        <v>910.53002900000001</v>
      </c>
      <c r="I1838" s="44">
        <v>787.830017</v>
      </c>
      <c r="J1838" s="44">
        <v>57.369999</v>
      </c>
      <c r="K1838" s="44">
        <v>105.510002</v>
      </c>
    </row>
    <row r="1839" spans="6:11" x14ac:dyDescent="0.3">
      <c r="F1839" s="43">
        <v>40553</v>
      </c>
      <c r="G1839" s="44">
        <v>1269.75</v>
      </c>
      <c r="H1839" s="44">
        <v>915.71997099999999</v>
      </c>
      <c r="I1839" s="44">
        <v>791.580017</v>
      </c>
      <c r="J1839" s="44">
        <v>57.27</v>
      </c>
      <c r="K1839" s="44">
        <v>105.790001</v>
      </c>
    </row>
    <row r="1840" spans="6:11" x14ac:dyDescent="0.3">
      <c r="F1840" s="43">
        <v>40554</v>
      </c>
      <c r="G1840" s="44">
        <v>1274.4799800000001</v>
      </c>
      <c r="H1840" s="44">
        <v>919.28997800000002</v>
      </c>
      <c r="I1840" s="44">
        <v>794.76000999999997</v>
      </c>
      <c r="J1840" s="44">
        <v>57.66</v>
      </c>
      <c r="K1840" s="44">
        <v>105.58000199999999</v>
      </c>
    </row>
    <row r="1841" spans="6:11" x14ac:dyDescent="0.3">
      <c r="F1841" s="43">
        <v>40555</v>
      </c>
      <c r="G1841" s="44">
        <v>1285.959961</v>
      </c>
      <c r="H1841" s="44">
        <v>925.20001200000002</v>
      </c>
      <c r="I1841" s="44">
        <v>801.35998500000005</v>
      </c>
      <c r="J1841" s="44">
        <v>58.93</v>
      </c>
      <c r="K1841" s="44">
        <v>105.57</v>
      </c>
    </row>
    <row r="1842" spans="6:11" x14ac:dyDescent="0.3">
      <c r="F1842" s="43">
        <v>40556</v>
      </c>
      <c r="G1842" s="44">
        <v>1283.76001</v>
      </c>
      <c r="H1842" s="44">
        <v>924.53002900000001</v>
      </c>
      <c r="I1842" s="44">
        <v>800.65002400000003</v>
      </c>
      <c r="J1842" s="44">
        <v>59.09</v>
      </c>
      <c r="K1842" s="44">
        <v>105.949997</v>
      </c>
    </row>
    <row r="1843" spans="6:11" x14ac:dyDescent="0.3">
      <c r="F1843" s="43">
        <v>40557</v>
      </c>
      <c r="G1843" s="44">
        <v>1293.23999</v>
      </c>
      <c r="H1843" s="44">
        <v>931.07000700000003</v>
      </c>
      <c r="I1843" s="44">
        <v>807.57000700000003</v>
      </c>
      <c r="J1843" s="44">
        <v>59.450001</v>
      </c>
      <c r="K1843" s="44">
        <v>105.730003</v>
      </c>
    </row>
    <row r="1844" spans="6:11" x14ac:dyDescent="0.3">
      <c r="F1844" s="43">
        <v>40561</v>
      </c>
      <c r="G1844" s="44">
        <v>1295.0200199999999</v>
      </c>
      <c r="H1844" s="44">
        <v>939.55999799999995</v>
      </c>
      <c r="I1844" s="44">
        <v>807.55999799999995</v>
      </c>
      <c r="J1844" s="44">
        <v>59.84</v>
      </c>
      <c r="K1844" s="44">
        <v>105.660004</v>
      </c>
    </row>
    <row r="1845" spans="6:11" x14ac:dyDescent="0.3">
      <c r="F1845" s="43">
        <v>40562</v>
      </c>
      <c r="G1845" s="44">
        <v>1281.920044</v>
      </c>
      <c r="H1845" s="44">
        <v>923.92999299999997</v>
      </c>
      <c r="I1845" s="44">
        <v>786.89001499999995</v>
      </c>
      <c r="J1845" s="44">
        <v>59.43</v>
      </c>
      <c r="K1845" s="44">
        <v>105.68</v>
      </c>
    </row>
    <row r="1846" spans="6:11" x14ac:dyDescent="0.3">
      <c r="F1846" s="43">
        <v>40563</v>
      </c>
      <c r="G1846" s="44">
        <v>1280.26001</v>
      </c>
      <c r="H1846" s="44">
        <v>916.73999000000003</v>
      </c>
      <c r="I1846" s="44">
        <v>778.080017</v>
      </c>
      <c r="J1846" s="44">
        <v>58.919998</v>
      </c>
      <c r="K1846" s="44">
        <v>105.279999</v>
      </c>
    </row>
    <row r="1847" spans="6:11" x14ac:dyDescent="0.3">
      <c r="F1847" s="43">
        <v>40564</v>
      </c>
      <c r="G1847" s="44">
        <v>1283.349976</v>
      </c>
      <c r="H1847" s="44">
        <v>914.35998500000005</v>
      </c>
      <c r="I1847" s="44">
        <v>773.17999299999997</v>
      </c>
      <c r="J1847" s="44">
        <v>59.240001999999997</v>
      </c>
      <c r="K1847" s="44">
        <v>105.610001</v>
      </c>
    </row>
    <row r="1848" spans="6:11" x14ac:dyDescent="0.3">
      <c r="F1848" s="43">
        <v>40567</v>
      </c>
      <c r="G1848" s="44">
        <v>1290.839966</v>
      </c>
      <c r="H1848" s="44">
        <v>921.830017</v>
      </c>
      <c r="I1848" s="44">
        <v>779.28002900000001</v>
      </c>
      <c r="J1848" s="44">
        <v>59.869999</v>
      </c>
      <c r="K1848" s="44">
        <v>105.550003</v>
      </c>
    </row>
    <row r="1849" spans="6:11" x14ac:dyDescent="0.3">
      <c r="F1849" s="43">
        <v>40568</v>
      </c>
      <c r="G1849" s="44">
        <v>1291.1800539999999</v>
      </c>
      <c r="H1849" s="44">
        <v>923.25</v>
      </c>
      <c r="I1849" s="44">
        <v>779.96002199999998</v>
      </c>
      <c r="J1849" s="44">
        <v>59.75</v>
      </c>
      <c r="K1849" s="44">
        <v>105.879997</v>
      </c>
    </row>
    <row r="1850" spans="6:11" x14ac:dyDescent="0.3">
      <c r="F1850" s="43">
        <v>40569</v>
      </c>
      <c r="G1850" s="44">
        <v>1296.630005</v>
      </c>
      <c r="H1850" s="44">
        <v>930.78002900000001</v>
      </c>
      <c r="I1850" s="44">
        <v>793.71997099999999</v>
      </c>
      <c r="J1850" s="44">
        <v>60.130001</v>
      </c>
      <c r="K1850" s="44">
        <v>105.529999</v>
      </c>
    </row>
    <row r="1851" spans="6:11" x14ac:dyDescent="0.3">
      <c r="F1851" s="43">
        <v>40570</v>
      </c>
      <c r="G1851" s="44">
        <v>1299.540039</v>
      </c>
      <c r="H1851" s="44">
        <v>935.330017</v>
      </c>
      <c r="I1851" s="44">
        <v>795.42999299999997</v>
      </c>
      <c r="J1851" s="44">
        <v>60.27</v>
      </c>
      <c r="K1851" s="44">
        <v>105.709999</v>
      </c>
    </row>
    <row r="1852" spans="6:11" x14ac:dyDescent="0.3">
      <c r="F1852" s="43">
        <v>40571</v>
      </c>
      <c r="G1852" s="44">
        <v>1276.339966</v>
      </c>
      <c r="H1852" s="44">
        <v>917.71997099999999</v>
      </c>
      <c r="I1852" s="44">
        <v>775.40002400000003</v>
      </c>
      <c r="J1852" s="44">
        <v>58.93</v>
      </c>
      <c r="K1852" s="44">
        <v>105.860001</v>
      </c>
    </row>
    <row r="1853" spans="6:11" x14ac:dyDescent="0.3">
      <c r="F1853" s="43">
        <v>40574</v>
      </c>
      <c r="G1853" s="44">
        <v>1286.119995</v>
      </c>
      <c r="H1853" s="44">
        <v>924.77002000000005</v>
      </c>
      <c r="I1853" s="44">
        <v>781.25</v>
      </c>
      <c r="J1853" s="44">
        <v>59.439999</v>
      </c>
      <c r="K1853" s="44">
        <v>105.660004</v>
      </c>
    </row>
    <row r="1854" spans="6:11" x14ac:dyDescent="0.3">
      <c r="F1854" s="43">
        <v>40575</v>
      </c>
      <c r="G1854" s="44">
        <v>1307.589966</v>
      </c>
      <c r="H1854" s="44">
        <v>939.09997599999997</v>
      </c>
      <c r="I1854" s="44">
        <v>798.89001499999995</v>
      </c>
      <c r="J1854" s="44">
        <v>60.849997999999999</v>
      </c>
      <c r="K1854" s="44">
        <v>105.120003</v>
      </c>
    </row>
    <row r="1855" spans="6:11" x14ac:dyDescent="0.3">
      <c r="F1855" s="43">
        <v>40576</v>
      </c>
      <c r="G1855" s="44">
        <v>1304.030029</v>
      </c>
      <c r="H1855" s="44">
        <v>937.03002900000001</v>
      </c>
      <c r="I1855" s="44">
        <v>796.15997300000004</v>
      </c>
      <c r="J1855" s="44">
        <v>60.799999</v>
      </c>
      <c r="K1855" s="44">
        <v>105</v>
      </c>
    </row>
    <row r="1856" spans="6:11" x14ac:dyDescent="0.3">
      <c r="F1856" s="43">
        <v>40577</v>
      </c>
      <c r="G1856" s="44">
        <v>1307.099976</v>
      </c>
      <c r="H1856" s="44">
        <v>939.65997300000004</v>
      </c>
      <c r="I1856" s="44">
        <v>798.63000499999998</v>
      </c>
      <c r="J1856" s="44">
        <v>60.810001</v>
      </c>
      <c r="K1856" s="44">
        <v>104.610001</v>
      </c>
    </row>
    <row r="1857" spans="6:11" x14ac:dyDescent="0.3">
      <c r="F1857" s="43">
        <v>40578</v>
      </c>
      <c r="G1857" s="44">
        <v>1310.869995</v>
      </c>
      <c r="H1857" s="44">
        <v>944.95001200000002</v>
      </c>
      <c r="I1857" s="44">
        <v>800.10998500000005</v>
      </c>
      <c r="J1857" s="44">
        <v>60.790000999999997</v>
      </c>
      <c r="K1857" s="44">
        <v>104.260002</v>
      </c>
    </row>
    <row r="1858" spans="6:11" x14ac:dyDescent="0.3">
      <c r="F1858" s="43">
        <v>40581</v>
      </c>
      <c r="G1858" s="44">
        <v>1319.0500489999999</v>
      </c>
      <c r="H1858" s="44">
        <v>953.13000499999998</v>
      </c>
      <c r="I1858" s="44">
        <v>808.32000700000003</v>
      </c>
      <c r="J1858" s="44">
        <v>60.98</v>
      </c>
      <c r="K1858" s="44">
        <v>104.300003</v>
      </c>
    </row>
    <row r="1859" spans="6:11" x14ac:dyDescent="0.3">
      <c r="F1859" s="43">
        <v>40582</v>
      </c>
      <c r="G1859" s="44">
        <v>1324.5699460000001</v>
      </c>
      <c r="H1859" s="44">
        <v>957.669983</v>
      </c>
      <c r="I1859" s="44">
        <v>813.69000200000005</v>
      </c>
      <c r="J1859" s="44">
        <v>61.380001</v>
      </c>
      <c r="K1859" s="44">
        <v>104</v>
      </c>
    </row>
    <row r="1860" spans="6:11" x14ac:dyDescent="0.3">
      <c r="F1860" s="43">
        <v>40583</v>
      </c>
      <c r="G1860" s="44">
        <v>1320.880005</v>
      </c>
      <c r="H1860" s="44">
        <v>954.88000499999998</v>
      </c>
      <c r="I1860" s="44">
        <v>809.27002000000005</v>
      </c>
      <c r="J1860" s="44">
        <v>61.200001</v>
      </c>
      <c r="K1860" s="44">
        <v>104.19000200000001</v>
      </c>
    </row>
    <row r="1861" spans="6:11" x14ac:dyDescent="0.3">
      <c r="F1861" s="43">
        <v>40584</v>
      </c>
      <c r="G1861" s="44">
        <v>1321.869995</v>
      </c>
      <c r="H1861" s="44">
        <v>960.17999299999997</v>
      </c>
      <c r="I1861" s="44">
        <v>812.70001200000002</v>
      </c>
      <c r="J1861" s="44">
        <v>60.799999</v>
      </c>
      <c r="K1861" s="44">
        <v>103.889999</v>
      </c>
    </row>
    <row r="1862" spans="6:11" x14ac:dyDescent="0.3">
      <c r="F1862" s="43">
        <v>40585</v>
      </c>
      <c r="G1862" s="44">
        <v>1329.150024</v>
      </c>
      <c r="H1862" s="44">
        <v>969.5</v>
      </c>
      <c r="I1862" s="44">
        <v>822.10998500000005</v>
      </c>
      <c r="J1862" s="44">
        <v>60.830002</v>
      </c>
      <c r="K1862" s="44">
        <v>104.300003</v>
      </c>
    </row>
    <row r="1863" spans="6:11" x14ac:dyDescent="0.3">
      <c r="F1863" s="43">
        <v>40588</v>
      </c>
      <c r="G1863" s="44">
        <v>1332.3199460000001</v>
      </c>
      <c r="H1863" s="44">
        <v>974.38000499999998</v>
      </c>
      <c r="I1863" s="44">
        <v>825.90002400000003</v>
      </c>
      <c r="J1863" s="44">
        <v>60.950001</v>
      </c>
      <c r="K1863" s="44">
        <v>104.349998</v>
      </c>
    </row>
    <row r="1864" spans="6:11" x14ac:dyDescent="0.3">
      <c r="F1864" s="43">
        <v>40589</v>
      </c>
      <c r="G1864" s="44">
        <v>1328.01001</v>
      </c>
      <c r="H1864" s="44">
        <v>969.72997999999995</v>
      </c>
      <c r="I1864" s="44">
        <v>820.03002900000001</v>
      </c>
      <c r="J1864" s="44">
        <v>60.77</v>
      </c>
      <c r="K1864" s="44">
        <v>104.480003</v>
      </c>
    </row>
    <row r="1865" spans="6:11" x14ac:dyDescent="0.3">
      <c r="F1865" s="43">
        <v>40590</v>
      </c>
      <c r="G1865" s="44">
        <v>1336.3199460000001</v>
      </c>
      <c r="H1865" s="44">
        <v>976.84997599999997</v>
      </c>
      <c r="I1865" s="44">
        <v>828.36999500000002</v>
      </c>
      <c r="J1865" s="44">
        <v>61.5</v>
      </c>
      <c r="K1865" s="44">
        <v>104.480003</v>
      </c>
    </row>
    <row r="1866" spans="6:11" x14ac:dyDescent="0.3">
      <c r="F1866" s="43">
        <v>40591</v>
      </c>
      <c r="G1866" s="44">
        <v>1340.4300539999999</v>
      </c>
      <c r="H1866" s="44">
        <v>981.48999000000003</v>
      </c>
      <c r="I1866" s="44">
        <v>834.02002000000005</v>
      </c>
      <c r="J1866" s="44">
        <v>61.709999000000003</v>
      </c>
      <c r="K1866" s="44">
        <v>104.730003</v>
      </c>
    </row>
    <row r="1867" spans="6:11" x14ac:dyDescent="0.3">
      <c r="F1867" s="43">
        <v>40592</v>
      </c>
      <c r="G1867" s="44">
        <v>1343.01001</v>
      </c>
      <c r="H1867" s="44">
        <v>982.169983</v>
      </c>
      <c r="I1867" s="44">
        <v>834.82000700000003</v>
      </c>
      <c r="J1867" s="44">
        <v>61.919998</v>
      </c>
      <c r="K1867" s="44">
        <v>104.69000200000001</v>
      </c>
    </row>
    <row r="1868" spans="6:11" x14ac:dyDescent="0.3">
      <c r="F1868" s="43">
        <v>40596</v>
      </c>
      <c r="G1868" s="44">
        <v>1315.4399410000001</v>
      </c>
      <c r="H1868" s="44">
        <v>958.90997300000004</v>
      </c>
      <c r="I1868" s="44">
        <v>812.96002199999998</v>
      </c>
      <c r="J1868" s="44">
        <v>60.150002000000001</v>
      </c>
      <c r="K1868" s="44">
        <v>105.07</v>
      </c>
    </row>
    <row r="1869" spans="6:11" x14ac:dyDescent="0.3">
      <c r="F1869" s="43">
        <v>40597</v>
      </c>
      <c r="G1869" s="44">
        <v>1307.400024</v>
      </c>
      <c r="H1869" s="44">
        <v>945.39001499999995</v>
      </c>
      <c r="I1869" s="44">
        <v>799.65002400000003</v>
      </c>
      <c r="J1869" s="44">
        <v>60.23</v>
      </c>
      <c r="K1869" s="44">
        <v>105.150002</v>
      </c>
    </row>
    <row r="1870" spans="6:11" x14ac:dyDescent="0.3">
      <c r="F1870" s="43">
        <v>40598</v>
      </c>
      <c r="G1870" s="44">
        <v>1306.099976</v>
      </c>
      <c r="H1870" s="44">
        <v>944.80999799999995</v>
      </c>
      <c r="I1870" s="44">
        <v>804.17999299999997</v>
      </c>
      <c r="J1870" s="44">
        <v>60.279998999999997</v>
      </c>
      <c r="K1870" s="44">
        <v>105.16999800000001</v>
      </c>
    </row>
    <row r="1871" spans="6:11" x14ac:dyDescent="0.3">
      <c r="F1871" s="43">
        <v>40599</v>
      </c>
      <c r="G1871" s="44">
        <v>1319.880005</v>
      </c>
      <c r="H1871" s="44">
        <v>964.21002199999998</v>
      </c>
      <c r="I1871" s="44">
        <v>821.95001200000002</v>
      </c>
      <c r="J1871" s="44">
        <v>61</v>
      </c>
      <c r="K1871" s="44">
        <v>105.449997</v>
      </c>
    </row>
    <row r="1872" spans="6:11" x14ac:dyDescent="0.3">
      <c r="F1872" s="43">
        <v>40602</v>
      </c>
      <c r="G1872" s="44">
        <v>1327.219971</v>
      </c>
      <c r="H1872" s="44">
        <v>966.59002699999996</v>
      </c>
      <c r="I1872" s="44">
        <v>823.45001200000002</v>
      </c>
      <c r="J1872" s="44">
        <v>61.549999</v>
      </c>
      <c r="K1872" s="44">
        <v>105.650002</v>
      </c>
    </row>
    <row r="1873" spans="6:11" x14ac:dyDescent="0.3">
      <c r="F1873" s="43">
        <v>40603</v>
      </c>
      <c r="G1873" s="44">
        <v>1306.329956</v>
      </c>
      <c r="H1873" s="44">
        <v>950.14001499999995</v>
      </c>
      <c r="I1873" s="44">
        <v>807.080017</v>
      </c>
      <c r="J1873" s="44">
        <v>60.689999</v>
      </c>
      <c r="K1873" s="44">
        <v>105.279999</v>
      </c>
    </row>
    <row r="1874" spans="6:11" x14ac:dyDescent="0.3">
      <c r="F1874" s="43">
        <v>40604</v>
      </c>
      <c r="G1874" s="44">
        <v>1308.4399410000001</v>
      </c>
      <c r="H1874" s="44">
        <v>954.45001200000002</v>
      </c>
      <c r="I1874" s="44">
        <v>810.90002400000003</v>
      </c>
      <c r="J1874" s="44">
        <v>61.009998000000003</v>
      </c>
      <c r="K1874" s="44">
        <v>105.110001</v>
      </c>
    </row>
    <row r="1875" spans="6:11" x14ac:dyDescent="0.3">
      <c r="F1875" s="43">
        <v>40605</v>
      </c>
      <c r="G1875" s="44">
        <v>1330.969971</v>
      </c>
      <c r="H1875" s="44">
        <v>975.34002699999996</v>
      </c>
      <c r="I1875" s="44">
        <v>828.89001499999995</v>
      </c>
      <c r="J1875" s="44">
        <v>61.790000999999997</v>
      </c>
      <c r="K1875" s="44">
        <v>104.739998</v>
      </c>
    </row>
    <row r="1876" spans="6:11" x14ac:dyDescent="0.3">
      <c r="F1876" s="43">
        <v>40606</v>
      </c>
      <c r="G1876" s="44">
        <v>1321.150024</v>
      </c>
      <c r="H1876" s="44">
        <v>968.54998799999998</v>
      </c>
      <c r="I1876" s="44">
        <v>824.98999000000003</v>
      </c>
      <c r="J1876" s="44">
        <v>61.23</v>
      </c>
      <c r="K1876" s="44">
        <v>105.019997</v>
      </c>
    </row>
    <row r="1877" spans="6:11" x14ac:dyDescent="0.3">
      <c r="F1877" s="43">
        <v>40609</v>
      </c>
      <c r="G1877" s="44">
        <v>1310.130005</v>
      </c>
      <c r="H1877" s="44">
        <v>955.65997300000004</v>
      </c>
      <c r="I1877" s="44">
        <v>812.25</v>
      </c>
      <c r="J1877" s="44">
        <v>60.639999000000003</v>
      </c>
      <c r="K1877" s="44">
        <v>105.07</v>
      </c>
    </row>
    <row r="1878" spans="6:11" x14ac:dyDescent="0.3">
      <c r="F1878" s="43">
        <v>40610</v>
      </c>
      <c r="G1878" s="44">
        <v>1321.8199460000001</v>
      </c>
      <c r="H1878" s="44">
        <v>966.65002400000003</v>
      </c>
      <c r="I1878" s="44">
        <v>824.65997300000004</v>
      </c>
      <c r="J1878" s="44">
        <v>60.830002</v>
      </c>
      <c r="K1878" s="44">
        <v>104.989998</v>
      </c>
    </row>
    <row r="1879" spans="6:11" x14ac:dyDescent="0.3">
      <c r="F1879" s="43">
        <v>40611</v>
      </c>
      <c r="G1879" s="44">
        <v>1320.0200199999999</v>
      </c>
      <c r="H1879" s="44">
        <v>964.53002900000001</v>
      </c>
      <c r="I1879" s="44">
        <v>821.19000200000005</v>
      </c>
      <c r="J1879" s="44">
        <v>60.849997999999999</v>
      </c>
      <c r="K1879" s="44">
        <v>105.239998</v>
      </c>
    </row>
    <row r="1880" spans="6:11" x14ac:dyDescent="0.3">
      <c r="F1880" s="43">
        <v>40612</v>
      </c>
      <c r="G1880" s="44">
        <v>1295.1099850000001</v>
      </c>
      <c r="H1880" s="44">
        <v>949.35998500000005</v>
      </c>
      <c r="I1880" s="44">
        <v>799.53002900000001</v>
      </c>
      <c r="J1880" s="44">
        <v>59.34</v>
      </c>
      <c r="K1880" s="44">
        <v>105.610001</v>
      </c>
    </row>
    <row r="1881" spans="6:11" x14ac:dyDescent="0.3">
      <c r="F1881" s="43">
        <v>40613</v>
      </c>
      <c r="G1881" s="44">
        <v>1304.280029</v>
      </c>
      <c r="H1881" s="44">
        <v>952.94000200000005</v>
      </c>
      <c r="I1881" s="44">
        <v>802.830017</v>
      </c>
      <c r="J1881" s="44">
        <v>59.34</v>
      </c>
      <c r="K1881" s="44">
        <v>105.629997</v>
      </c>
    </row>
    <row r="1882" spans="6:11" x14ac:dyDescent="0.3">
      <c r="F1882" s="43">
        <v>40616</v>
      </c>
      <c r="G1882" s="44">
        <v>1296.3900149999999</v>
      </c>
      <c r="H1882" s="44">
        <v>948.30999799999995</v>
      </c>
      <c r="I1882" s="44">
        <v>798.169983</v>
      </c>
      <c r="J1882" s="44">
        <v>58.279998999999997</v>
      </c>
      <c r="K1882" s="44">
        <v>105.69000200000001</v>
      </c>
    </row>
    <row r="1883" spans="6:11" x14ac:dyDescent="0.3">
      <c r="F1883" s="43">
        <v>40617</v>
      </c>
      <c r="G1883" s="44">
        <v>1281.869995</v>
      </c>
      <c r="H1883" s="44">
        <v>941.69000200000005</v>
      </c>
      <c r="I1883" s="44">
        <v>791.330017</v>
      </c>
      <c r="J1883" s="44">
        <v>57.060001</v>
      </c>
      <c r="K1883" s="44">
        <v>105.730003</v>
      </c>
    </row>
    <row r="1884" spans="6:11" x14ac:dyDescent="0.3">
      <c r="F1884" s="43">
        <v>40618</v>
      </c>
      <c r="G1884" s="44">
        <v>1256.880005</v>
      </c>
      <c r="H1884" s="44">
        <v>932.40002400000003</v>
      </c>
      <c r="I1884" s="44">
        <v>781.90002400000003</v>
      </c>
      <c r="J1884" s="44">
        <v>55.290000999999997</v>
      </c>
      <c r="K1884" s="44">
        <v>106.029999</v>
      </c>
    </row>
    <row r="1885" spans="6:11" x14ac:dyDescent="0.3">
      <c r="F1885" s="43">
        <v>40619</v>
      </c>
      <c r="G1885" s="44">
        <v>1273.719971</v>
      </c>
      <c r="H1885" s="44">
        <v>937.60998500000005</v>
      </c>
      <c r="I1885" s="44">
        <v>785.52002000000005</v>
      </c>
      <c r="J1885" s="44">
        <v>57.130001</v>
      </c>
      <c r="K1885" s="44">
        <v>105.959999</v>
      </c>
    </row>
    <row r="1886" spans="6:11" x14ac:dyDescent="0.3">
      <c r="F1886" s="43">
        <v>40620</v>
      </c>
      <c r="G1886" s="44">
        <v>1279.209961</v>
      </c>
      <c r="H1886" s="44">
        <v>942.69000200000005</v>
      </c>
      <c r="I1886" s="44">
        <v>794.65997300000004</v>
      </c>
      <c r="J1886" s="44">
        <v>57.919998</v>
      </c>
      <c r="K1886" s="44">
        <v>105.91999800000001</v>
      </c>
    </row>
    <row r="1887" spans="6:11" x14ac:dyDescent="0.3">
      <c r="F1887" s="43">
        <v>40623</v>
      </c>
      <c r="G1887" s="44">
        <v>1298.380005</v>
      </c>
      <c r="H1887" s="44">
        <v>961.419983</v>
      </c>
      <c r="I1887" s="44">
        <v>813.02002000000005</v>
      </c>
      <c r="J1887" s="44">
        <v>59.349997999999999</v>
      </c>
      <c r="K1887" s="44">
        <v>105.66999800000001</v>
      </c>
    </row>
    <row r="1888" spans="6:11" x14ac:dyDescent="0.3">
      <c r="F1888" s="43">
        <v>40624</v>
      </c>
      <c r="G1888" s="44">
        <v>1293.7700199999999</v>
      </c>
      <c r="H1888" s="44">
        <v>954.94000200000005</v>
      </c>
      <c r="I1888" s="44">
        <v>808.65997300000004</v>
      </c>
      <c r="J1888" s="44">
        <v>59.18</v>
      </c>
      <c r="K1888" s="44">
        <v>105.68</v>
      </c>
    </row>
    <row r="1889" spans="6:11" x14ac:dyDescent="0.3">
      <c r="F1889" s="43">
        <v>40625</v>
      </c>
      <c r="G1889" s="44">
        <v>1297.540039</v>
      </c>
      <c r="H1889" s="44">
        <v>953.669983</v>
      </c>
      <c r="I1889" s="44">
        <v>811.23999000000003</v>
      </c>
      <c r="J1889" s="44">
        <v>59.25</v>
      </c>
      <c r="K1889" s="44">
        <v>105.629997</v>
      </c>
    </row>
    <row r="1890" spans="6:11" x14ac:dyDescent="0.3">
      <c r="F1890" s="43">
        <v>40626</v>
      </c>
      <c r="G1890" s="44">
        <v>1309.660034</v>
      </c>
      <c r="H1890" s="44">
        <v>962.82000700000003</v>
      </c>
      <c r="I1890" s="44">
        <v>817.09997599999997</v>
      </c>
      <c r="J1890" s="44">
        <v>60.040000999999997</v>
      </c>
      <c r="K1890" s="44">
        <v>105.339996</v>
      </c>
    </row>
    <row r="1891" spans="6:11" x14ac:dyDescent="0.3">
      <c r="F1891" s="43">
        <v>40627</v>
      </c>
      <c r="G1891" s="44">
        <v>1313.8000489999999</v>
      </c>
      <c r="H1891" s="44">
        <v>970.42999299999997</v>
      </c>
      <c r="I1891" s="44">
        <v>823.84997599999997</v>
      </c>
      <c r="J1891" s="44">
        <v>59.380001</v>
      </c>
      <c r="K1891" s="44">
        <v>105.25</v>
      </c>
    </row>
    <row r="1892" spans="6:11" x14ac:dyDescent="0.3">
      <c r="F1892" s="43">
        <v>40630</v>
      </c>
      <c r="G1892" s="44">
        <v>1310.1899410000001</v>
      </c>
      <c r="H1892" s="44">
        <v>966.23999000000003</v>
      </c>
      <c r="I1892" s="44">
        <v>821.77002000000005</v>
      </c>
      <c r="J1892" s="44">
        <v>59.349997999999999</v>
      </c>
      <c r="K1892" s="44">
        <v>105.199997</v>
      </c>
    </row>
    <row r="1893" spans="6:11" x14ac:dyDescent="0.3">
      <c r="F1893" s="43">
        <v>40631</v>
      </c>
      <c r="G1893" s="44">
        <v>1319.4399410000001</v>
      </c>
      <c r="H1893" s="44">
        <v>975.07000700000003</v>
      </c>
      <c r="I1893" s="44">
        <v>829.48999000000003</v>
      </c>
      <c r="J1893" s="44">
        <v>59.66</v>
      </c>
      <c r="K1893" s="44">
        <v>105.07</v>
      </c>
    </row>
    <row r="1894" spans="6:11" x14ac:dyDescent="0.3">
      <c r="F1894" s="43">
        <v>40632</v>
      </c>
      <c r="G1894" s="44">
        <v>1328.26001</v>
      </c>
      <c r="H1894" s="44">
        <v>984.71002199999998</v>
      </c>
      <c r="I1894" s="44">
        <v>840.36999500000002</v>
      </c>
      <c r="J1894" s="44">
        <v>60.369999</v>
      </c>
      <c r="K1894" s="44">
        <v>105.25</v>
      </c>
    </row>
    <row r="1895" spans="6:11" x14ac:dyDescent="0.3">
      <c r="F1895" s="43">
        <v>40633</v>
      </c>
      <c r="G1895" s="44">
        <v>1325.829956</v>
      </c>
      <c r="H1895" s="44">
        <v>989.04998799999998</v>
      </c>
      <c r="I1895" s="44">
        <v>843.54998799999998</v>
      </c>
      <c r="J1895" s="44">
        <v>60.080002</v>
      </c>
      <c r="K1895" s="44">
        <v>105.129997</v>
      </c>
    </row>
    <row r="1896" spans="6:11" x14ac:dyDescent="0.3">
      <c r="F1896" s="43">
        <v>40634</v>
      </c>
      <c r="G1896" s="44">
        <v>1332.410034</v>
      </c>
      <c r="H1896" s="44">
        <v>996.42999299999997</v>
      </c>
      <c r="I1896" s="44">
        <v>846.77002000000005</v>
      </c>
      <c r="J1896" s="44">
        <v>60.650002000000001</v>
      </c>
      <c r="K1896" s="44">
        <v>104.959999</v>
      </c>
    </row>
    <row r="1897" spans="6:11" x14ac:dyDescent="0.3">
      <c r="F1897" s="43">
        <v>40637</v>
      </c>
      <c r="G1897" s="44">
        <v>1332.869995</v>
      </c>
      <c r="H1897" s="44">
        <v>997.02002000000005</v>
      </c>
      <c r="I1897" s="44">
        <v>849.35998500000005</v>
      </c>
      <c r="J1897" s="44">
        <v>60.73</v>
      </c>
      <c r="K1897" s="44">
        <v>105.129997</v>
      </c>
    </row>
    <row r="1898" spans="6:11" x14ac:dyDescent="0.3">
      <c r="F1898" s="43">
        <v>40638</v>
      </c>
      <c r="G1898" s="44">
        <v>1332.630005</v>
      </c>
      <c r="H1898" s="44">
        <v>1000.549988</v>
      </c>
      <c r="I1898" s="44">
        <v>853.30999799999995</v>
      </c>
      <c r="J1898" s="44">
        <v>60.580002</v>
      </c>
      <c r="K1898" s="44">
        <v>104.910004</v>
      </c>
    </row>
    <row r="1899" spans="6:11" x14ac:dyDescent="0.3">
      <c r="F1899" s="43">
        <v>40639</v>
      </c>
      <c r="G1899" s="44">
        <v>1335.540039</v>
      </c>
      <c r="H1899" s="44">
        <v>1000.830017</v>
      </c>
      <c r="I1899" s="44">
        <v>854.169983</v>
      </c>
      <c r="J1899" s="44">
        <v>61.080002</v>
      </c>
      <c r="K1899" s="44">
        <v>104.599998</v>
      </c>
    </row>
    <row r="1900" spans="6:11" x14ac:dyDescent="0.3">
      <c r="F1900" s="43">
        <v>40640</v>
      </c>
      <c r="G1900" s="44">
        <v>1333.51001</v>
      </c>
      <c r="H1900" s="44">
        <v>994.92999299999997</v>
      </c>
      <c r="I1900" s="44">
        <v>849.44000200000005</v>
      </c>
      <c r="J1900" s="44">
        <v>60.779998999999997</v>
      </c>
      <c r="K1900" s="44">
        <v>104.760002</v>
      </c>
    </row>
    <row r="1901" spans="6:11" x14ac:dyDescent="0.3">
      <c r="F1901" s="43">
        <v>40641</v>
      </c>
      <c r="G1901" s="44">
        <v>1328.170044</v>
      </c>
      <c r="H1901" s="44">
        <v>987.61999500000002</v>
      </c>
      <c r="I1901" s="44">
        <v>840.89001499999995</v>
      </c>
      <c r="J1901" s="44">
        <v>61.279998999999997</v>
      </c>
      <c r="K1901" s="44">
        <v>104.55999799999999</v>
      </c>
    </row>
    <row r="1902" spans="6:11" x14ac:dyDescent="0.3">
      <c r="F1902" s="43">
        <v>40644</v>
      </c>
      <c r="G1902" s="44">
        <v>1324.459961</v>
      </c>
      <c r="H1902" s="44">
        <v>980.67999299999997</v>
      </c>
      <c r="I1902" s="44">
        <v>833.85998500000005</v>
      </c>
      <c r="J1902" s="44">
        <v>61.16</v>
      </c>
      <c r="K1902" s="44">
        <v>104.660004</v>
      </c>
    </row>
    <row r="1903" spans="6:11" x14ac:dyDescent="0.3">
      <c r="F1903" s="43">
        <v>40645</v>
      </c>
      <c r="G1903" s="44">
        <v>1314.160034</v>
      </c>
      <c r="H1903" s="44">
        <v>970.830017</v>
      </c>
      <c r="I1903" s="44">
        <v>822.27002000000005</v>
      </c>
      <c r="J1903" s="44">
        <v>60.59</v>
      </c>
      <c r="K1903" s="44">
        <v>105.05999799999999</v>
      </c>
    </row>
    <row r="1904" spans="6:11" x14ac:dyDescent="0.3">
      <c r="F1904" s="43">
        <v>40646</v>
      </c>
      <c r="G1904" s="44">
        <v>1314.410034</v>
      </c>
      <c r="H1904" s="44">
        <v>974.10998500000005</v>
      </c>
      <c r="I1904" s="44">
        <v>823.919983</v>
      </c>
      <c r="J1904" s="44">
        <v>60.77</v>
      </c>
      <c r="K1904" s="44">
        <v>105.16999800000001</v>
      </c>
    </row>
    <row r="1905" spans="6:11" x14ac:dyDescent="0.3">
      <c r="F1905" s="43">
        <v>40647</v>
      </c>
      <c r="G1905" s="44">
        <v>1314.5200199999999</v>
      </c>
      <c r="H1905" s="44">
        <v>974.45001200000002</v>
      </c>
      <c r="I1905" s="44">
        <v>827.46997099999999</v>
      </c>
      <c r="J1905" s="44">
        <v>61.040000999999997</v>
      </c>
      <c r="K1905" s="44">
        <v>105.07</v>
      </c>
    </row>
    <row r="1906" spans="6:11" x14ac:dyDescent="0.3">
      <c r="F1906" s="43">
        <v>40648</v>
      </c>
      <c r="G1906" s="44">
        <v>1319.6800539999999</v>
      </c>
      <c r="H1906" s="44">
        <v>982.57000700000003</v>
      </c>
      <c r="I1906" s="44">
        <v>834.97997999999995</v>
      </c>
      <c r="J1906" s="44">
        <v>60.950001</v>
      </c>
      <c r="K1906" s="44">
        <v>105.449997</v>
      </c>
    </row>
    <row r="1907" spans="6:11" x14ac:dyDescent="0.3">
      <c r="F1907" s="43">
        <v>40651</v>
      </c>
      <c r="G1907" s="44">
        <v>1305.1400149999999</v>
      </c>
      <c r="H1907" s="44">
        <v>966.38000499999998</v>
      </c>
      <c r="I1907" s="44">
        <v>821.51000999999997</v>
      </c>
      <c r="J1907" s="44">
        <v>59.700001</v>
      </c>
      <c r="K1907" s="44">
        <v>105.629997</v>
      </c>
    </row>
    <row r="1908" spans="6:11" x14ac:dyDescent="0.3">
      <c r="F1908" s="43">
        <v>40652</v>
      </c>
      <c r="G1908" s="44">
        <v>1312.619995</v>
      </c>
      <c r="H1908" s="44">
        <v>971.55999799999995</v>
      </c>
      <c r="I1908" s="44">
        <v>823.01000999999997</v>
      </c>
      <c r="J1908" s="44">
        <v>60.139999000000003</v>
      </c>
      <c r="K1908" s="44">
        <v>105.839996</v>
      </c>
    </row>
    <row r="1909" spans="6:11" x14ac:dyDescent="0.3">
      <c r="F1909" s="43">
        <v>40653</v>
      </c>
      <c r="G1909" s="44">
        <v>1330.3599850000001</v>
      </c>
      <c r="H1909" s="44">
        <v>988.78997800000002</v>
      </c>
      <c r="I1909" s="44">
        <v>839.45001200000002</v>
      </c>
      <c r="J1909" s="44">
        <v>61.669998</v>
      </c>
      <c r="K1909" s="44">
        <v>105.69000200000001</v>
      </c>
    </row>
    <row r="1910" spans="6:11" x14ac:dyDescent="0.3">
      <c r="F1910" s="43">
        <v>40654</v>
      </c>
      <c r="G1910" s="44">
        <v>1337.380005</v>
      </c>
      <c r="H1910" s="44">
        <v>995.15997300000004</v>
      </c>
      <c r="I1910" s="44">
        <v>845.64001499999995</v>
      </c>
      <c r="J1910" s="44">
        <v>62.07</v>
      </c>
      <c r="K1910" s="44">
        <v>105.760002</v>
      </c>
    </row>
    <row r="1911" spans="6:11" x14ac:dyDescent="0.3">
      <c r="F1911" s="43">
        <v>40658</v>
      </c>
      <c r="G1911" s="44">
        <v>1335.25</v>
      </c>
      <c r="H1911" s="44">
        <v>994.51000999999997</v>
      </c>
      <c r="I1911" s="44">
        <v>844.22997999999995</v>
      </c>
      <c r="J1911" s="44">
        <v>62.07</v>
      </c>
      <c r="K1911" s="44">
        <v>105.82</v>
      </c>
    </row>
    <row r="1912" spans="6:11" x14ac:dyDescent="0.3">
      <c r="F1912" s="43">
        <v>40659</v>
      </c>
      <c r="G1912" s="44">
        <v>1347.23999</v>
      </c>
      <c r="H1912" s="44">
        <v>1004.590027</v>
      </c>
      <c r="I1912" s="44">
        <v>853.03997800000002</v>
      </c>
      <c r="J1912" s="44">
        <v>62.549999</v>
      </c>
      <c r="K1912" s="44">
        <v>106.209999</v>
      </c>
    </row>
    <row r="1913" spans="6:11" x14ac:dyDescent="0.3">
      <c r="F1913" s="43">
        <v>40660</v>
      </c>
      <c r="G1913" s="44">
        <v>1355.660034</v>
      </c>
      <c r="H1913" s="44">
        <v>1010.97998</v>
      </c>
      <c r="I1913" s="44">
        <v>858.30999799999995</v>
      </c>
      <c r="J1913" s="44">
        <v>63.330002</v>
      </c>
      <c r="K1913" s="44">
        <v>106.120003</v>
      </c>
    </row>
    <row r="1914" spans="6:11" x14ac:dyDescent="0.3">
      <c r="F1914" s="43">
        <v>40661</v>
      </c>
      <c r="G1914" s="44">
        <v>1360.4799800000001</v>
      </c>
      <c r="H1914" s="44">
        <v>1012.6400149999999</v>
      </c>
      <c r="I1914" s="44">
        <v>861.54998799999998</v>
      </c>
      <c r="J1914" s="44">
        <v>63.759998000000003</v>
      </c>
      <c r="K1914" s="44">
        <v>106.370003</v>
      </c>
    </row>
    <row r="1915" spans="6:11" x14ac:dyDescent="0.3">
      <c r="F1915" s="43">
        <v>40662</v>
      </c>
      <c r="G1915" s="44">
        <v>1363.6099850000001</v>
      </c>
      <c r="H1915" s="44">
        <v>1015.26001</v>
      </c>
      <c r="I1915" s="44">
        <v>865.28997800000002</v>
      </c>
      <c r="J1915" s="44">
        <v>63.459999000000003</v>
      </c>
      <c r="K1915" s="44">
        <v>106.459999</v>
      </c>
    </row>
    <row r="1916" spans="6:11" x14ac:dyDescent="0.3">
      <c r="F1916" s="43">
        <v>40665</v>
      </c>
      <c r="G1916" s="44">
        <v>1361.219971</v>
      </c>
      <c r="H1916" s="44">
        <v>1009.619995</v>
      </c>
      <c r="I1916" s="44">
        <v>854.77002000000005</v>
      </c>
      <c r="J1916" s="44">
        <v>63.869999</v>
      </c>
      <c r="K1916" s="44">
        <v>106.199997</v>
      </c>
    </row>
    <row r="1917" spans="6:11" x14ac:dyDescent="0.3">
      <c r="F1917" s="43">
        <v>40666</v>
      </c>
      <c r="G1917" s="44">
        <v>1356.619995</v>
      </c>
      <c r="H1917" s="44">
        <v>998.96997099999999</v>
      </c>
      <c r="I1917" s="44">
        <v>843.77002000000005</v>
      </c>
      <c r="J1917" s="44">
        <v>63.349997999999999</v>
      </c>
      <c r="K1917" s="44">
        <v>106.230003</v>
      </c>
    </row>
    <row r="1918" spans="6:11" x14ac:dyDescent="0.3">
      <c r="F1918" s="43">
        <v>40667</v>
      </c>
      <c r="G1918" s="44">
        <v>1347.3199460000001</v>
      </c>
      <c r="H1918" s="44">
        <v>990.28002900000001</v>
      </c>
      <c r="I1918" s="44">
        <v>832.90002400000003</v>
      </c>
      <c r="J1918" s="44">
        <v>62.810001</v>
      </c>
      <c r="K1918" s="44">
        <v>106.43</v>
      </c>
    </row>
    <row r="1919" spans="6:11" x14ac:dyDescent="0.3">
      <c r="F1919" s="43">
        <v>40668</v>
      </c>
      <c r="G1919" s="44">
        <v>1335.099976</v>
      </c>
      <c r="H1919" s="44">
        <v>986.45001200000002</v>
      </c>
      <c r="I1919" s="44">
        <v>829.23999000000003</v>
      </c>
      <c r="J1919" s="44">
        <v>61.57</v>
      </c>
      <c r="K1919" s="44">
        <v>106.66999800000001</v>
      </c>
    </row>
    <row r="1920" spans="6:11" x14ac:dyDescent="0.3">
      <c r="F1920" s="43">
        <v>40669</v>
      </c>
      <c r="G1920" s="44">
        <v>1340.1999510000001</v>
      </c>
      <c r="H1920" s="44">
        <v>988.90002400000003</v>
      </c>
      <c r="I1920" s="44">
        <v>833.34002699999996</v>
      </c>
      <c r="J1920" s="44">
        <v>61.599997999999999</v>
      </c>
      <c r="K1920" s="44">
        <v>106.660004</v>
      </c>
    </row>
    <row r="1921" spans="6:11" x14ac:dyDescent="0.3">
      <c r="F1921" s="43">
        <v>40672</v>
      </c>
      <c r="G1921" s="44">
        <v>1346.290039</v>
      </c>
      <c r="H1921" s="44">
        <v>998.09997599999997</v>
      </c>
      <c r="I1921" s="44">
        <v>842.79998799999998</v>
      </c>
      <c r="J1921" s="44">
        <v>62.040000999999997</v>
      </c>
      <c r="K1921" s="44">
        <v>106.779999</v>
      </c>
    </row>
    <row r="1922" spans="6:11" x14ac:dyDescent="0.3">
      <c r="F1922" s="43">
        <v>40673</v>
      </c>
      <c r="G1922" s="44">
        <v>1357.160034</v>
      </c>
      <c r="H1922" s="44">
        <v>1008.97998</v>
      </c>
      <c r="I1922" s="44">
        <v>855.90997300000004</v>
      </c>
      <c r="J1922" s="44">
        <v>62.630001</v>
      </c>
      <c r="K1922" s="44">
        <v>106.589996</v>
      </c>
    </row>
    <row r="1923" spans="6:11" x14ac:dyDescent="0.3">
      <c r="F1923" s="43">
        <v>40674</v>
      </c>
      <c r="G1923" s="44">
        <v>1342.079956</v>
      </c>
      <c r="H1923" s="44">
        <v>997.86999500000002</v>
      </c>
      <c r="I1923" s="44">
        <v>840.65997300000004</v>
      </c>
      <c r="J1923" s="44">
        <v>61.369999</v>
      </c>
      <c r="K1923" s="44">
        <v>106.779999</v>
      </c>
    </row>
    <row r="1924" spans="6:11" x14ac:dyDescent="0.3">
      <c r="F1924" s="43">
        <v>40675</v>
      </c>
      <c r="G1924" s="44">
        <v>1348.650024</v>
      </c>
      <c r="H1924" s="44">
        <v>1004.580017</v>
      </c>
      <c r="I1924" s="44">
        <v>847.53002900000001</v>
      </c>
      <c r="J1924" s="44">
        <v>61.57</v>
      </c>
      <c r="K1924" s="44">
        <v>106.620003</v>
      </c>
    </row>
    <row r="1925" spans="6:11" x14ac:dyDescent="0.3">
      <c r="F1925" s="43">
        <v>40676</v>
      </c>
      <c r="G1925" s="44">
        <v>1337.7700199999999</v>
      </c>
      <c r="H1925" s="44">
        <v>993.919983</v>
      </c>
      <c r="I1925" s="44">
        <v>835.669983</v>
      </c>
      <c r="J1925" s="44">
        <v>60.610000999999997</v>
      </c>
      <c r="K1925" s="44">
        <v>106.790001</v>
      </c>
    </row>
    <row r="1926" spans="6:11" x14ac:dyDescent="0.3">
      <c r="F1926" s="43">
        <v>40679</v>
      </c>
      <c r="G1926" s="44">
        <v>1329.469971</v>
      </c>
      <c r="H1926" s="44">
        <v>984.60998500000005</v>
      </c>
      <c r="I1926" s="44">
        <v>822.90997300000004</v>
      </c>
      <c r="J1926" s="44">
        <v>60.5</v>
      </c>
      <c r="K1926" s="44">
        <v>107.019997</v>
      </c>
    </row>
    <row r="1927" spans="6:11" x14ac:dyDescent="0.3">
      <c r="F1927" s="43">
        <v>40680</v>
      </c>
      <c r="G1927" s="44">
        <v>1328.9799800000001</v>
      </c>
      <c r="H1927" s="44">
        <v>978.11999500000002</v>
      </c>
      <c r="I1927" s="44">
        <v>820.35998500000005</v>
      </c>
      <c r="J1927" s="44">
        <v>60.630001</v>
      </c>
      <c r="K1927" s="44">
        <v>107.139999</v>
      </c>
    </row>
    <row r="1928" spans="6:11" x14ac:dyDescent="0.3">
      <c r="F1928" s="43">
        <v>40681</v>
      </c>
      <c r="G1928" s="44">
        <v>1340.6800539999999</v>
      </c>
      <c r="H1928" s="44">
        <v>992.89001499999995</v>
      </c>
      <c r="I1928" s="44">
        <v>833.45001200000002</v>
      </c>
      <c r="J1928" s="44">
        <v>61</v>
      </c>
      <c r="K1928" s="44">
        <v>106.970001</v>
      </c>
    </row>
    <row r="1929" spans="6:11" x14ac:dyDescent="0.3">
      <c r="F1929" s="43">
        <v>40682</v>
      </c>
      <c r="G1929" s="44">
        <v>1343.599976</v>
      </c>
      <c r="H1929" s="44">
        <v>994.69000200000005</v>
      </c>
      <c r="I1929" s="44">
        <v>835.15997300000004</v>
      </c>
      <c r="J1929" s="44">
        <v>61.349997999999999</v>
      </c>
      <c r="K1929" s="44">
        <v>106.889999</v>
      </c>
    </row>
    <row r="1930" spans="6:11" x14ac:dyDescent="0.3">
      <c r="F1930" s="43">
        <v>40683</v>
      </c>
      <c r="G1930" s="44">
        <v>1333.2700199999999</v>
      </c>
      <c r="H1930" s="44">
        <v>986.830017</v>
      </c>
      <c r="I1930" s="44">
        <v>829.05999799999995</v>
      </c>
      <c r="J1930" s="44">
        <v>60.48</v>
      </c>
      <c r="K1930" s="44">
        <v>106.989998</v>
      </c>
    </row>
    <row r="1931" spans="6:11" x14ac:dyDescent="0.3">
      <c r="F1931" s="43">
        <v>40686</v>
      </c>
      <c r="G1931" s="44">
        <v>1317.369995</v>
      </c>
      <c r="H1931" s="44">
        <v>971.10998500000005</v>
      </c>
      <c r="I1931" s="44">
        <v>814.03997800000002</v>
      </c>
      <c r="J1931" s="44">
        <v>59.080002</v>
      </c>
      <c r="K1931" s="44">
        <v>107.08000199999999</v>
      </c>
    </row>
    <row r="1932" spans="6:11" x14ac:dyDescent="0.3">
      <c r="F1932" s="43">
        <v>40687</v>
      </c>
      <c r="G1932" s="44">
        <v>1316.280029</v>
      </c>
      <c r="H1932" s="44">
        <v>968.61999500000002</v>
      </c>
      <c r="I1932" s="44">
        <v>810.330017</v>
      </c>
      <c r="J1932" s="44">
        <v>59.419998</v>
      </c>
      <c r="K1932" s="44">
        <v>107.120003</v>
      </c>
    </row>
    <row r="1933" spans="6:11" x14ac:dyDescent="0.3">
      <c r="F1933" s="43">
        <v>40688</v>
      </c>
      <c r="G1933" s="44">
        <v>1320.469971</v>
      </c>
      <c r="H1933" s="44">
        <v>975.65997300000004</v>
      </c>
      <c r="I1933" s="44">
        <v>820.86999500000002</v>
      </c>
      <c r="J1933" s="44">
        <v>59.799999</v>
      </c>
      <c r="K1933" s="44">
        <v>107.099998</v>
      </c>
    </row>
    <row r="1934" spans="6:11" x14ac:dyDescent="0.3">
      <c r="F1934" s="43">
        <v>40689</v>
      </c>
      <c r="G1934" s="44">
        <v>1325.6899410000001</v>
      </c>
      <c r="H1934" s="44">
        <v>984.169983</v>
      </c>
      <c r="I1934" s="44">
        <v>830.86999500000002</v>
      </c>
      <c r="J1934" s="44">
        <v>60.360000999999997</v>
      </c>
      <c r="K1934" s="44">
        <v>107.33000199999999</v>
      </c>
    </row>
    <row r="1935" spans="6:11" x14ac:dyDescent="0.3">
      <c r="F1935" s="43">
        <v>40690</v>
      </c>
      <c r="G1935" s="44">
        <v>1331.099976</v>
      </c>
      <c r="H1935" s="44">
        <v>990.19000200000005</v>
      </c>
      <c r="I1935" s="44">
        <v>836.26000999999997</v>
      </c>
      <c r="J1935" s="44">
        <v>60.799999</v>
      </c>
      <c r="K1935" s="44">
        <v>107.43</v>
      </c>
    </row>
    <row r="1936" spans="6:11" x14ac:dyDescent="0.3">
      <c r="F1936" s="43">
        <v>40694</v>
      </c>
      <c r="G1936" s="44">
        <v>1345.1999510000001</v>
      </c>
      <c r="H1936" s="44">
        <v>1000.25</v>
      </c>
      <c r="I1936" s="44">
        <v>848.29998799999998</v>
      </c>
      <c r="J1936" s="44">
        <v>62.060001</v>
      </c>
      <c r="K1936" s="44">
        <v>107.459999</v>
      </c>
    </row>
    <row r="1937" spans="6:11" x14ac:dyDescent="0.3">
      <c r="F1937" s="43">
        <v>40695</v>
      </c>
      <c r="G1937" s="44">
        <v>1314.5500489999999</v>
      </c>
      <c r="H1937" s="44">
        <v>975.32000700000003</v>
      </c>
      <c r="I1937" s="44">
        <v>821.40002400000003</v>
      </c>
      <c r="J1937" s="44">
        <v>60.59</v>
      </c>
      <c r="K1937" s="44">
        <v>107.610001</v>
      </c>
    </row>
    <row r="1938" spans="6:11" x14ac:dyDescent="0.3">
      <c r="F1938" s="43">
        <v>40696</v>
      </c>
      <c r="G1938" s="44">
        <v>1312.9399410000001</v>
      </c>
      <c r="H1938" s="44">
        <v>974.28997800000002</v>
      </c>
      <c r="I1938" s="44">
        <v>820.69000200000005</v>
      </c>
      <c r="J1938" s="44">
        <v>60.900002000000001</v>
      </c>
      <c r="K1938" s="44">
        <v>107.18</v>
      </c>
    </row>
    <row r="1939" spans="6:11" x14ac:dyDescent="0.3">
      <c r="F1939" s="43">
        <v>40697</v>
      </c>
      <c r="G1939" s="44">
        <v>1300.160034</v>
      </c>
      <c r="H1939" s="44">
        <v>961.25</v>
      </c>
      <c r="I1939" s="44">
        <v>808.13000499999998</v>
      </c>
      <c r="J1939" s="44">
        <v>60.93</v>
      </c>
      <c r="K1939" s="44">
        <v>107.32</v>
      </c>
    </row>
    <row r="1940" spans="6:11" x14ac:dyDescent="0.3">
      <c r="F1940" s="43">
        <v>40700</v>
      </c>
      <c r="G1940" s="44">
        <v>1286.170044</v>
      </c>
      <c r="H1940" s="44">
        <v>947.28997800000002</v>
      </c>
      <c r="I1940" s="44">
        <v>795.32000700000003</v>
      </c>
      <c r="J1940" s="44">
        <v>60.139999000000003</v>
      </c>
      <c r="K1940" s="44">
        <v>107.339996</v>
      </c>
    </row>
    <row r="1941" spans="6:11" x14ac:dyDescent="0.3">
      <c r="F1941" s="43">
        <v>40701</v>
      </c>
      <c r="G1941" s="44">
        <v>1284.9399410000001</v>
      </c>
      <c r="H1941" s="44">
        <v>951</v>
      </c>
      <c r="I1941" s="44">
        <v>797.54998799999998</v>
      </c>
      <c r="J1941" s="44">
        <v>60.689999</v>
      </c>
      <c r="K1941" s="44">
        <v>107.55999799999999</v>
      </c>
    </row>
    <row r="1942" spans="6:11" x14ac:dyDescent="0.3">
      <c r="F1942" s="43">
        <v>40702</v>
      </c>
      <c r="G1942" s="44">
        <v>1279.5600589999999</v>
      </c>
      <c r="H1942" s="44">
        <v>941.94000200000005</v>
      </c>
      <c r="I1942" s="44">
        <v>788.03997800000002</v>
      </c>
      <c r="J1942" s="44">
        <v>59.91</v>
      </c>
      <c r="K1942" s="44">
        <v>107.650002</v>
      </c>
    </row>
    <row r="1943" spans="6:11" x14ac:dyDescent="0.3">
      <c r="F1943" s="43">
        <v>40703</v>
      </c>
      <c r="G1943" s="44">
        <v>1289</v>
      </c>
      <c r="H1943" s="44">
        <v>946.26000999999997</v>
      </c>
      <c r="I1943" s="44">
        <v>792.64001499999995</v>
      </c>
      <c r="J1943" s="44">
        <v>60.529998999999997</v>
      </c>
      <c r="K1943" s="44">
        <v>107.489998</v>
      </c>
    </row>
    <row r="1944" spans="6:11" x14ac:dyDescent="0.3">
      <c r="F1944" s="43">
        <v>40704</v>
      </c>
      <c r="G1944" s="44">
        <v>1270.9799800000001</v>
      </c>
      <c r="H1944" s="44">
        <v>931.94000200000005</v>
      </c>
      <c r="I1944" s="44">
        <v>779.53997800000002</v>
      </c>
      <c r="J1944" s="44">
        <v>59.130001</v>
      </c>
      <c r="K1944" s="44">
        <v>107.480003</v>
      </c>
    </row>
    <row r="1945" spans="6:11" x14ac:dyDescent="0.3">
      <c r="F1945" s="43">
        <v>40707</v>
      </c>
      <c r="G1945" s="44">
        <v>1271.829956</v>
      </c>
      <c r="H1945" s="44">
        <v>929.57000700000003</v>
      </c>
      <c r="I1945" s="44">
        <v>777.20001200000002</v>
      </c>
      <c r="J1945" s="44">
        <v>59.220001000000003</v>
      </c>
      <c r="K1945" s="44">
        <v>107.339996</v>
      </c>
    </row>
    <row r="1946" spans="6:11" x14ac:dyDescent="0.3">
      <c r="F1946" s="43">
        <v>40708</v>
      </c>
      <c r="G1946" s="44">
        <v>1287.869995</v>
      </c>
      <c r="H1946" s="44">
        <v>945.84002699999996</v>
      </c>
      <c r="I1946" s="44">
        <v>793.98999000000003</v>
      </c>
      <c r="J1946" s="44">
        <v>60.27</v>
      </c>
      <c r="K1946" s="44">
        <v>107.050003</v>
      </c>
    </row>
    <row r="1947" spans="6:11" x14ac:dyDescent="0.3">
      <c r="F1947" s="43">
        <v>40709</v>
      </c>
      <c r="G1947" s="44">
        <v>1265.420044</v>
      </c>
      <c r="H1947" s="44">
        <v>931.20001200000002</v>
      </c>
      <c r="I1947" s="44">
        <v>779.46002199999998</v>
      </c>
      <c r="J1947" s="44">
        <v>58.290000999999997</v>
      </c>
      <c r="K1947" s="44">
        <v>107.32</v>
      </c>
    </row>
    <row r="1948" spans="6:11" x14ac:dyDescent="0.3">
      <c r="F1948" s="43">
        <v>40710</v>
      </c>
      <c r="G1948" s="44">
        <v>1267.6400149999999</v>
      </c>
      <c r="H1948" s="44">
        <v>930.71997099999999</v>
      </c>
      <c r="I1948" s="44">
        <v>781.53997800000002</v>
      </c>
      <c r="J1948" s="44">
        <v>58.09</v>
      </c>
      <c r="K1948" s="44">
        <v>107.389999</v>
      </c>
    </row>
    <row r="1949" spans="6:11" x14ac:dyDescent="0.3">
      <c r="F1949" s="43">
        <v>40711</v>
      </c>
      <c r="G1949" s="44">
        <v>1271.5</v>
      </c>
      <c r="H1949" s="44">
        <v>932.75</v>
      </c>
      <c r="I1949" s="44">
        <v>781.75</v>
      </c>
      <c r="J1949" s="44">
        <v>58.66</v>
      </c>
      <c r="K1949" s="44">
        <v>107.489998</v>
      </c>
    </row>
    <row r="1950" spans="6:11" x14ac:dyDescent="0.3">
      <c r="F1950" s="43">
        <v>40714</v>
      </c>
      <c r="G1950" s="44">
        <v>1278.3599850000001</v>
      </c>
      <c r="H1950" s="44">
        <v>940.45001200000002</v>
      </c>
      <c r="I1950" s="44">
        <v>788.47997999999995</v>
      </c>
      <c r="J1950" s="44">
        <v>58.59</v>
      </c>
      <c r="K1950" s="44">
        <v>107.349998</v>
      </c>
    </row>
    <row r="1951" spans="6:11" x14ac:dyDescent="0.3">
      <c r="F1951" s="43">
        <v>40715</v>
      </c>
      <c r="G1951" s="44">
        <v>1295.5200199999999</v>
      </c>
      <c r="H1951" s="44">
        <v>958.29998799999998</v>
      </c>
      <c r="I1951" s="44">
        <v>806.36999500000002</v>
      </c>
      <c r="J1951" s="44">
        <v>59.860000999999997</v>
      </c>
      <c r="K1951" s="44">
        <v>107.449997</v>
      </c>
    </row>
    <row r="1952" spans="6:11" x14ac:dyDescent="0.3">
      <c r="F1952" s="43">
        <v>40716</v>
      </c>
      <c r="G1952" s="44">
        <v>1287.1400149999999</v>
      </c>
      <c r="H1952" s="44">
        <v>953.94000200000005</v>
      </c>
      <c r="I1952" s="44">
        <v>799.86999500000002</v>
      </c>
      <c r="J1952" s="44">
        <v>58.150002000000001</v>
      </c>
      <c r="K1952" s="44">
        <v>107.379997</v>
      </c>
    </row>
    <row r="1953" spans="6:11" x14ac:dyDescent="0.3">
      <c r="F1953" s="43">
        <v>40717</v>
      </c>
      <c r="G1953" s="44">
        <v>1283.5</v>
      </c>
      <c r="H1953" s="44">
        <v>953.65002400000003</v>
      </c>
      <c r="I1953" s="44">
        <v>802.67999299999997</v>
      </c>
      <c r="J1953" s="44">
        <v>57.650002000000001</v>
      </c>
      <c r="K1953" s="44">
        <v>107.730003</v>
      </c>
    </row>
    <row r="1954" spans="6:11" x14ac:dyDescent="0.3">
      <c r="F1954" s="43">
        <v>40718</v>
      </c>
      <c r="G1954" s="44">
        <v>1268.4499510000001</v>
      </c>
      <c r="H1954" s="44">
        <v>946</v>
      </c>
      <c r="I1954" s="44">
        <v>797.78997800000002</v>
      </c>
      <c r="J1954" s="44">
        <v>57.099997999999999</v>
      </c>
      <c r="K1954" s="44">
        <v>107.629997</v>
      </c>
    </row>
    <row r="1955" spans="6:11" x14ac:dyDescent="0.3">
      <c r="F1955" s="43">
        <v>40721</v>
      </c>
      <c r="G1955" s="44">
        <v>1280.099976</v>
      </c>
      <c r="H1955" s="44">
        <v>950.34002699999996</v>
      </c>
      <c r="I1955" s="44">
        <v>805.14001499999995</v>
      </c>
      <c r="J1955" s="44">
        <v>57.57</v>
      </c>
      <c r="K1955" s="44">
        <v>107.44000200000001</v>
      </c>
    </row>
    <row r="1956" spans="6:11" x14ac:dyDescent="0.3">
      <c r="F1956" s="43">
        <v>40722</v>
      </c>
      <c r="G1956" s="44">
        <v>1296.670044</v>
      </c>
      <c r="H1956" s="44">
        <v>964.88000499999998</v>
      </c>
      <c r="I1956" s="44">
        <v>817.30999799999995</v>
      </c>
      <c r="J1956" s="44">
        <v>58.259998000000003</v>
      </c>
      <c r="K1956" s="44">
        <v>107.010002</v>
      </c>
    </row>
    <row r="1957" spans="6:11" x14ac:dyDescent="0.3">
      <c r="F1957" s="43">
        <v>40723</v>
      </c>
      <c r="G1957" s="44">
        <v>1307.410034</v>
      </c>
      <c r="H1957" s="44">
        <v>972.22997999999995</v>
      </c>
      <c r="I1957" s="44">
        <v>819.919983</v>
      </c>
      <c r="J1957" s="44">
        <v>59.279998999999997</v>
      </c>
      <c r="K1957" s="44">
        <v>106.69000200000001</v>
      </c>
    </row>
    <row r="1958" spans="6:11" x14ac:dyDescent="0.3">
      <c r="F1958" s="43">
        <v>40724</v>
      </c>
      <c r="G1958" s="44">
        <v>1320.6400149999999</v>
      </c>
      <c r="H1958" s="44">
        <v>978.64001499999995</v>
      </c>
      <c r="I1958" s="44">
        <v>827.42999299999997</v>
      </c>
      <c r="J1958" s="44">
        <v>60.139999000000003</v>
      </c>
      <c r="K1958" s="44">
        <v>106.66999800000001</v>
      </c>
    </row>
    <row r="1959" spans="6:11" x14ac:dyDescent="0.3">
      <c r="F1959" s="43">
        <v>40725</v>
      </c>
      <c r="G1959" s="44">
        <v>1339.670044</v>
      </c>
      <c r="H1959" s="44">
        <v>995.04998799999998</v>
      </c>
      <c r="I1959" s="44">
        <v>840.03997800000002</v>
      </c>
      <c r="J1959" s="44">
        <v>60.799999</v>
      </c>
      <c r="K1959" s="44">
        <v>106.400002</v>
      </c>
    </row>
    <row r="1960" spans="6:11" x14ac:dyDescent="0.3">
      <c r="F1960" s="43">
        <v>40729</v>
      </c>
      <c r="G1960" s="44">
        <v>1337.880005</v>
      </c>
      <c r="H1960" s="44">
        <v>995.79998799999998</v>
      </c>
      <c r="I1960" s="44">
        <v>841.61999500000002</v>
      </c>
      <c r="J1960" s="44">
        <v>60.439999</v>
      </c>
      <c r="K1960" s="44">
        <v>106.80999799999999</v>
      </c>
    </row>
    <row r="1961" spans="6:11" x14ac:dyDescent="0.3">
      <c r="F1961" s="43">
        <v>40730</v>
      </c>
      <c r="G1961" s="44">
        <v>1339.219971</v>
      </c>
      <c r="H1961" s="44">
        <v>1001.6400149999999</v>
      </c>
      <c r="I1961" s="44">
        <v>845.22997999999995</v>
      </c>
      <c r="J1961" s="44">
        <v>60.060001</v>
      </c>
      <c r="K1961" s="44">
        <v>106.870003</v>
      </c>
    </row>
    <row r="1962" spans="6:11" x14ac:dyDescent="0.3">
      <c r="F1962" s="43">
        <v>40731</v>
      </c>
      <c r="G1962" s="44">
        <v>1353.219971</v>
      </c>
      <c r="H1962" s="44">
        <v>1011.650024</v>
      </c>
      <c r="I1962" s="44">
        <v>858.10998500000005</v>
      </c>
      <c r="J1962" s="44">
        <v>60.580002</v>
      </c>
      <c r="K1962" s="44">
        <v>106.57</v>
      </c>
    </row>
    <row r="1963" spans="6:11" x14ac:dyDescent="0.3">
      <c r="F1963" s="43">
        <v>40732</v>
      </c>
      <c r="G1963" s="44">
        <v>1343.8000489999999</v>
      </c>
      <c r="H1963" s="44">
        <v>1004.97998</v>
      </c>
      <c r="I1963" s="44">
        <v>852.57000700000003</v>
      </c>
      <c r="J1963" s="44">
        <v>59.830002</v>
      </c>
      <c r="K1963" s="44">
        <v>107.120003</v>
      </c>
    </row>
    <row r="1964" spans="6:11" x14ac:dyDescent="0.3">
      <c r="F1964" s="43">
        <v>40735</v>
      </c>
      <c r="G1964" s="44">
        <v>1319.48999</v>
      </c>
      <c r="H1964" s="44">
        <v>983.26000999999997</v>
      </c>
      <c r="I1964" s="44">
        <v>833.53997800000002</v>
      </c>
      <c r="J1964" s="44">
        <v>58.02</v>
      </c>
      <c r="K1964" s="44">
        <v>107.410004</v>
      </c>
    </row>
    <row r="1965" spans="6:11" x14ac:dyDescent="0.3">
      <c r="F1965" s="43">
        <v>40736</v>
      </c>
      <c r="G1965" s="44">
        <v>1313.6400149999999</v>
      </c>
      <c r="H1965" s="44">
        <v>979.65997300000004</v>
      </c>
      <c r="I1965" s="44">
        <v>829.77002000000005</v>
      </c>
      <c r="J1965" s="44">
        <v>57.630001</v>
      </c>
      <c r="K1965" s="44">
        <v>107.5</v>
      </c>
    </row>
    <row r="1966" spans="6:11" x14ac:dyDescent="0.3">
      <c r="F1966" s="43">
        <v>40737</v>
      </c>
      <c r="G1966" s="44">
        <v>1317.719971</v>
      </c>
      <c r="H1966" s="44">
        <v>982.45001200000002</v>
      </c>
      <c r="I1966" s="44">
        <v>836.97997999999995</v>
      </c>
      <c r="J1966" s="44">
        <v>58.490001999999997</v>
      </c>
      <c r="K1966" s="44">
        <v>107.709999</v>
      </c>
    </row>
    <row r="1967" spans="6:11" x14ac:dyDescent="0.3">
      <c r="F1967" s="43">
        <v>40738</v>
      </c>
      <c r="G1967" s="44">
        <v>1308.869995</v>
      </c>
      <c r="H1967" s="44">
        <v>970.21002199999998</v>
      </c>
      <c r="I1967" s="44">
        <v>823.32000700000003</v>
      </c>
      <c r="J1967" s="44">
        <v>57.98</v>
      </c>
      <c r="K1967" s="44">
        <v>107.44000200000001</v>
      </c>
    </row>
    <row r="1968" spans="6:11" x14ac:dyDescent="0.3">
      <c r="F1968" s="43">
        <v>40739</v>
      </c>
      <c r="G1968" s="44">
        <v>1316.1400149999999</v>
      </c>
      <c r="H1968" s="44">
        <v>976.10998500000005</v>
      </c>
      <c r="I1968" s="44">
        <v>828.78002900000001</v>
      </c>
      <c r="J1968" s="44">
        <v>58.18</v>
      </c>
      <c r="K1968" s="44">
        <v>107.589996</v>
      </c>
    </row>
    <row r="1969" spans="6:11" x14ac:dyDescent="0.3">
      <c r="F1969" s="43">
        <v>40742</v>
      </c>
      <c r="G1969" s="44">
        <v>1305.4399410000001</v>
      </c>
      <c r="H1969" s="44">
        <v>963.11999500000002</v>
      </c>
      <c r="I1969" s="44">
        <v>815.96997099999999</v>
      </c>
      <c r="J1969" s="44">
        <v>57.32</v>
      </c>
      <c r="K1969" s="44">
        <v>107.43</v>
      </c>
    </row>
    <row r="1970" spans="6:11" x14ac:dyDescent="0.3">
      <c r="F1970" s="43">
        <v>40743</v>
      </c>
      <c r="G1970" s="44">
        <v>1326.7299800000001</v>
      </c>
      <c r="H1970" s="44">
        <v>981.85998500000005</v>
      </c>
      <c r="I1970" s="44">
        <v>834.61999500000002</v>
      </c>
      <c r="J1970" s="44">
        <v>58.18</v>
      </c>
      <c r="K1970" s="44">
        <v>107.660004</v>
      </c>
    </row>
    <row r="1971" spans="6:11" x14ac:dyDescent="0.3">
      <c r="F1971" s="43">
        <v>40744</v>
      </c>
      <c r="G1971" s="44">
        <v>1325.839966</v>
      </c>
      <c r="H1971" s="44">
        <v>980.40002400000003</v>
      </c>
      <c r="I1971" s="44">
        <v>832.34002699999996</v>
      </c>
      <c r="J1971" s="44">
        <v>58.869999</v>
      </c>
      <c r="K1971" s="44">
        <v>107.489998</v>
      </c>
    </row>
    <row r="1972" spans="6:11" x14ac:dyDescent="0.3">
      <c r="F1972" s="43">
        <v>40745</v>
      </c>
      <c r="G1972" s="44">
        <v>1343.8000489999999</v>
      </c>
      <c r="H1972" s="44">
        <v>989.71997099999999</v>
      </c>
      <c r="I1972" s="44">
        <v>841.26000999999997</v>
      </c>
      <c r="J1972" s="44">
        <v>60.119999</v>
      </c>
      <c r="K1972" s="44">
        <v>107.32</v>
      </c>
    </row>
    <row r="1973" spans="6:11" x14ac:dyDescent="0.3">
      <c r="F1973" s="43">
        <v>40746</v>
      </c>
      <c r="G1973" s="44">
        <v>1345.0200199999999</v>
      </c>
      <c r="H1973" s="44">
        <v>991.78997800000002</v>
      </c>
      <c r="I1973" s="44">
        <v>841.82000700000003</v>
      </c>
      <c r="J1973" s="44">
        <v>60.18</v>
      </c>
      <c r="K1973" s="44">
        <v>107.550003</v>
      </c>
    </row>
    <row r="1974" spans="6:11" x14ac:dyDescent="0.3">
      <c r="F1974" s="43">
        <v>40749</v>
      </c>
      <c r="G1974" s="44">
        <v>1337.4300539999999</v>
      </c>
      <c r="H1974" s="44">
        <v>983.85998500000005</v>
      </c>
      <c r="I1974" s="44">
        <v>831.40002400000003</v>
      </c>
      <c r="J1974" s="44">
        <v>59.799999</v>
      </c>
      <c r="K1974" s="44">
        <v>107.239998</v>
      </c>
    </row>
    <row r="1975" spans="6:11" x14ac:dyDescent="0.3">
      <c r="F1975" s="43">
        <v>40750</v>
      </c>
      <c r="G1975" s="44">
        <v>1331.9399410000001</v>
      </c>
      <c r="H1975" s="44">
        <v>977.35998500000005</v>
      </c>
      <c r="I1975" s="44">
        <v>824.830017</v>
      </c>
      <c r="J1975" s="44">
        <v>60.16</v>
      </c>
      <c r="K1975" s="44">
        <v>107.489998</v>
      </c>
    </row>
    <row r="1976" spans="6:11" x14ac:dyDescent="0.3">
      <c r="F1976" s="43">
        <v>40751</v>
      </c>
      <c r="G1976" s="44">
        <v>1304.8900149999999</v>
      </c>
      <c r="H1976" s="44">
        <v>950.03997800000002</v>
      </c>
      <c r="I1976" s="44">
        <v>800.53002900000001</v>
      </c>
      <c r="J1976" s="44">
        <v>58.700001</v>
      </c>
      <c r="K1976" s="44">
        <v>107.30999799999999</v>
      </c>
    </row>
    <row r="1977" spans="6:11" x14ac:dyDescent="0.3">
      <c r="F1977" s="43">
        <v>40752</v>
      </c>
      <c r="G1977" s="44">
        <v>1300.670044</v>
      </c>
      <c r="H1977" s="44">
        <v>945.97997999999995</v>
      </c>
      <c r="I1977" s="44">
        <v>799.34002699999996</v>
      </c>
      <c r="J1977" s="44">
        <v>58.560001</v>
      </c>
      <c r="K1977" s="44">
        <v>107.519997</v>
      </c>
    </row>
    <row r="1978" spans="6:11" x14ac:dyDescent="0.3">
      <c r="F1978" s="43">
        <v>40753</v>
      </c>
      <c r="G1978" s="44">
        <v>1292.280029</v>
      </c>
      <c r="H1978" s="44">
        <v>943.419983</v>
      </c>
      <c r="I1978" s="44">
        <v>797.03002900000001</v>
      </c>
      <c r="J1978" s="44">
        <v>58.709999000000003</v>
      </c>
      <c r="K1978" s="44">
        <v>108.160004</v>
      </c>
    </row>
    <row r="1979" spans="6:11" x14ac:dyDescent="0.3">
      <c r="F1979" s="43">
        <v>40756</v>
      </c>
      <c r="G1979" s="44">
        <v>1286.9399410000001</v>
      </c>
      <c r="H1979" s="44">
        <v>936.92999299999997</v>
      </c>
      <c r="I1979" s="44">
        <v>792.84997599999997</v>
      </c>
      <c r="J1979" s="44">
        <v>57.970001000000003</v>
      </c>
      <c r="K1979" s="44">
        <v>108.120003</v>
      </c>
    </row>
    <row r="1980" spans="6:11" x14ac:dyDescent="0.3">
      <c r="F1980" s="43">
        <v>40757</v>
      </c>
      <c r="G1980" s="44">
        <v>1254.0500489999999</v>
      </c>
      <c r="H1980" s="44">
        <v>908.97997999999995</v>
      </c>
      <c r="I1980" s="44">
        <v>767.01000999999997</v>
      </c>
      <c r="J1980" s="44">
        <v>56.439999</v>
      </c>
      <c r="K1980" s="44">
        <v>108.58000199999999</v>
      </c>
    </row>
    <row r="1981" spans="6:11" x14ac:dyDescent="0.3">
      <c r="F1981" s="43">
        <v>40758</v>
      </c>
      <c r="G1981" s="44">
        <v>1260.339966</v>
      </c>
      <c r="H1981" s="44">
        <v>913.09997599999997</v>
      </c>
      <c r="I1981" s="44">
        <v>772.78002900000001</v>
      </c>
      <c r="J1981" s="44">
        <v>56.77</v>
      </c>
      <c r="K1981" s="44">
        <v>108.69000200000001</v>
      </c>
    </row>
    <row r="1982" spans="6:11" x14ac:dyDescent="0.3">
      <c r="F1982" s="43">
        <v>40759</v>
      </c>
      <c r="G1982" s="44">
        <v>1200.0699460000001</v>
      </c>
      <c r="H1982" s="44">
        <v>859.59002699999996</v>
      </c>
      <c r="I1982" s="44">
        <v>726.79998799999998</v>
      </c>
      <c r="J1982" s="44">
        <v>52.810001</v>
      </c>
      <c r="K1982" s="44">
        <v>109.269997</v>
      </c>
    </row>
    <row r="1983" spans="6:11" x14ac:dyDescent="0.3">
      <c r="F1983" s="43">
        <v>40760</v>
      </c>
      <c r="G1983" s="44">
        <v>1199.380005</v>
      </c>
      <c r="H1983" s="44">
        <v>844.78002900000001</v>
      </c>
      <c r="I1983" s="44">
        <v>714.63000499999998</v>
      </c>
      <c r="J1983" s="44">
        <v>53.740001999999997</v>
      </c>
      <c r="K1983" s="44">
        <v>108.550003</v>
      </c>
    </row>
    <row r="1984" spans="6:11" x14ac:dyDescent="0.3">
      <c r="F1984" s="43">
        <v>40763</v>
      </c>
      <c r="G1984" s="44">
        <v>1119.459961</v>
      </c>
      <c r="H1984" s="44">
        <v>775.07000700000003</v>
      </c>
      <c r="I1984" s="44">
        <v>650.96002199999998</v>
      </c>
      <c r="J1984" s="44">
        <v>49.73</v>
      </c>
      <c r="K1984" s="44">
        <v>108.599998</v>
      </c>
    </row>
    <row r="1985" spans="6:11" x14ac:dyDescent="0.3">
      <c r="F1985" s="43">
        <v>40764</v>
      </c>
      <c r="G1985" s="44">
        <v>1172.530029</v>
      </c>
      <c r="H1985" s="44">
        <v>824.59997599999997</v>
      </c>
      <c r="I1985" s="44">
        <v>696.15997300000004</v>
      </c>
      <c r="J1985" s="44">
        <v>53.080002</v>
      </c>
      <c r="K1985" s="44">
        <v>109.239998</v>
      </c>
    </row>
    <row r="1986" spans="6:11" x14ac:dyDescent="0.3">
      <c r="F1986" s="43">
        <v>40765</v>
      </c>
      <c r="G1986" s="44">
        <v>1120.76001</v>
      </c>
      <c r="H1986" s="44">
        <v>796.97997999999995</v>
      </c>
      <c r="I1986" s="44">
        <v>660.21002199999998</v>
      </c>
      <c r="J1986" s="44">
        <v>49.91</v>
      </c>
      <c r="K1986" s="44">
        <v>110.129997</v>
      </c>
    </row>
    <row r="1987" spans="6:11" x14ac:dyDescent="0.3">
      <c r="F1987" s="43">
        <v>40766</v>
      </c>
      <c r="G1987" s="44">
        <v>1172.6400149999999</v>
      </c>
      <c r="H1987" s="44">
        <v>839.28002900000001</v>
      </c>
      <c r="I1987" s="44">
        <v>695.89001499999995</v>
      </c>
      <c r="J1987" s="44">
        <v>52.299999</v>
      </c>
      <c r="K1987" s="44">
        <v>108.760002</v>
      </c>
    </row>
    <row r="1988" spans="6:11" x14ac:dyDescent="0.3">
      <c r="F1988" s="43">
        <v>40767</v>
      </c>
      <c r="G1988" s="44">
        <v>1178.8100589999999</v>
      </c>
      <c r="H1988" s="44">
        <v>843.080017</v>
      </c>
      <c r="I1988" s="44">
        <v>697.5</v>
      </c>
      <c r="J1988" s="44">
        <v>52.900002000000001</v>
      </c>
      <c r="K1988" s="44">
        <v>109.239998</v>
      </c>
    </row>
    <row r="1989" spans="6:11" x14ac:dyDescent="0.3">
      <c r="F1989" s="43">
        <v>40770</v>
      </c>
      <c r="G1989" s="44">
        <v>1204.48999</v>
      </c>
      <c r="H1989" s="44">
        <v>865.78997800000002</v>
      </c>
      <c r="I1989" s="44">
        <v>718.63000499999998</v>
      </c>
      <c r="J1989" s="44">
        <v>54.130001</v>
      </c>
      <c r="K1989" s="44">
        <v>109.410004</v>
      </c>
    </row>
    <row r="1990" spans="6:11" x14ac:dyDescent="0.3">
      <c r="F1990" s="43">
        <v>40771</v>
      </c>
      <c r="G1990" s="44">
        <v>1192.76001</v>
      </c>
      <c r="H1990" s="44">
        <v>853.5</v>
      </c>
      <c r="I1990" s="44">
        <v>704.76000999999997</v>
      </c>
      <c r="J1990" s="44">
        <v>53.34</v>
      </c>
      <c r="K1990" s="44">
        <v>109.639999</v>
      </c>
    </row>
    <row r="1991" spans="6:11" x14ac:dyDescent="0.3">
      <c r="F1991" s="43">
        <v>40772</v>
      </c>
      <c r="G1991" s="44">
        <v>1193.8900149999999</v>
      </c>
      <c r="H1991" s="44">
        <v>848.84997599999997</v>
      </c>
      <c r="I1991" s="44">
        <v>704.03002900000001</v>
      </c>
      <c r="J1991" s="44">
        <v>53.650002000000001</v>
      </c>
      <c r="K1991" s="44">
        <v>109.82</v>
      </c>
    </row>
    <row r="1992" spans="6:11" x14ac:dyDescent="0.3">
      <c r="F1992" s="43">
        <v>40773</v>
      </c>
      <c r="G1992" s="44">
        <v>1140.650024</v>
      </c>
      <c r="H1992" s="44">
        <v>802.11999500000002</v>
      </c>
      <c r="I1992" s="44">
        <v>662.51000999999997</v>
      </c>
      <c r="J1992" s="44">
        <v>51.040000999999997</v>
      </c>
      <c r="K1992" s="44">
        <v>109.980003</v>
      </c>
    </row>
    <row r="1993" spans="6:11" x14ac:dyDescent="0.3">
      <c r="F1993" s="43">
        <v>40774</v>
      </c>
      <c r="G1993" s="44">
        <v>1123.530029</v>
      </c>
      <c r="H1993" s="44">
        <v>787.85998500000005</v>
      </c>
      <c r="I1993" s="44">
        <v>651.70001200000002</v>
      </c>
      <c r="J1993" s="44">
        <v>50.169998</v>
      </c>
      <c r="K1993" s="44">
        <v>110.029999</v>
      </c>
    </row>
    <row r="1994" spans="6:11" x14ac:dyDescent="0.3">
      <c r="F1994" s="43">
        <v>40777</v>
      </c>
      <c r="G1994" s="44">
        <v>1123.8199460000001</v>
      </c>
      <c r="H1994" s="44">
        <v>788.580017</v>
      </c>
      <c r="I1994" s="44">
        <v>651.34002699999996</v>
      </c>
      <c r="J1994" s="44">
        <v>50.490001999999997</v>
      </c>
      <c r="K1994" s="44">
        <v>109.889999</v>
      </c>
    </row>
    <row r="1995" spans="6:11" x14ac:dyDescent="0.3">
      <c r="F1995" s="43">
        <v>40778</v>
      </c>
      <c r="G1995" s="44">
        <v>1162.349976</v>
      </c>
      <c r="H1995" s="44">
        <v>821.23999000000003</v>
      </c>
      <c r="I1995" s="44">
        <v>683.07000700000003</v>
      </c>
      <c r="J1995" s="44">
        <v>52.130001</v>
      </c>
      <c r="K1995" s="44">
        <v>109.629997</v>
      </c>
    </row>
    <row r="1996" spans="6:11" x14ac:dyDescent="0.3">
      <c r="F1996" s="43">
        <v>40779</v>
      </c>
      <c r="G1996" s="44">
        <v>1177.599976</v>
      </c>
      <c r="H1996" s="44">
        <v>832.77002000000005</v>
      </c>
      <c r="I1996" s="44">
        <v>692.57000700000003</v>
      </c>
      <c r="J1996" s="44">
        <v>52.150002000000001</v>
      </c>
      <c r="K1996" s="44">
        <v>109.010002</v>
      </c>
    </row>
    <row r="1997" spans="6:11" x14ac:dyDescent="0.3">
      <c r="F1997" s="43">
        <v>40780</v>
      </c>
      <c r="G1997" s="44">
        <v>1159.2700199999999</v>
      </c>
      <c r="H1997" s="44">
        <v>814.27002000000005</v>
      </c>
      <c r="I1997" s="44">
        <v>674.419983</v>
      </c>
      <c r="J1997" s="44">
        <v>50.889999000000003</v>
      </c>
      <c r="K1997" s="44">
        <v>109.230003</v>
      </c>
    </row>
    <row r="1998" spans="6:11" x14ac:dyDescent="0.3">
      <c r="F1998" s="43">
        <v>40781</v>
      </c>
      <c r="G1998" s="44">
        <v>1176.8000489999999</v>
      </c>
      <c r="H1998" s="44">
        <v>835.919983</v>
      </c>
      <c r="I1998" s="44">
        <v>691.78997800000002</v>
      </c>
      <c r="J1998" s="44">
        <v>51.689999</v>
      </c>
      <c r="K1998" s="44">
        <v>109.379997</v>
      </c>
    </row>
    <row r="1999" spans="6:11" x14ac:dyDescent="0.3">
      <c r="F1999" s="43">
        <v>40784</v>
      </c>
      <c r="G1999" s="44">
        <v>1210.079956</v>
      </c>
      <c r="H1999" s="44">
        <v>868.70001200000002</v>
      </c>
      <c r="I1999" s="44">
        <v>724.65002400000003</v>
      </c>
      <c r="J1999" s="44">
        <v>52.919998</v>
      </c>
      <c r="K1999" s="44">
        <v>109.260002</v>
      </c>
    </row>
    <row r="2000" spans="6:11" x14ac:dyDescent="0.3">
      <c r="F2000" s="43">
        <v>40785</v>
      </c>
      <c r="G2000" s="44">
        <v>1212.920044</v>
      </c>
      <c r="H2000" s="44">
        <v>872.39001499999995</v>
      </c>
      <c r="I2000" s="44">
        <v>728.080017</v>
      </c>
      <c r="J2000" s="44">
        <v>52.610000999999997</v>
      </c>
      <c r="K2000" s="44">
        <v>109.599998</v>
      </c>
    </row>
    <row r="2001" spans="6:11" x14ac:dyDescent="0.3">
      <c r="F2001" s="43">
        <v>40786</v>
      </c>
      <c r="G2001" s="44">
        <v>1218.8900149999999</v>
      </c>
      <c r="H2001" s="44">
        <v>875</v>
      </c>
      <c r="I2001" s="44">
        <v>726.80999799999995</v>
      </c>
      <c r="J2001" s="44">
        <v>53.57</v>
      </c>
      <c r="K2001" s="44">
        <v>109.5</v>
      </c>
    </row>
    <row r="2002" spans="6:11" x14ac:dyDescent="0.3">
      <c r="F2002" s="43">
        <v>40787</v>
      </c>
      <c r="G2002" s="44">
        <v>1204.420044</v>
      </c>
      <c r="H2002" s="44">
        <v>860.47997999999995</v>
      </c>
      <c r="I2002" s="44">
        <v>708.919983</v>
      </c>
      <c r="J2002" s="44">
        <v>52.91</v>
      </c>
      <c r="K2002" s="44">
        <v>109.620003</v>
      </c>
    </row>
    <row r="2003" spans="6:11" x14ac:dyDescent="0.3">
      <c r="F2003" s="43">
        <v>40788</v>
      </c>
      <c r="G2003" s="44">
        <v>1173.969971</v>
      </c>
      <c r="H2003" s="44">
        <v>832.98999000000003</v>
      </c>
      <c r="I2003" s="44">
        <v>683.35998500000005</v>
      </c>
      <c r="J2003" s="44">
        <v>51.73</v>
      </c>
      <c r="K2003" s="44">
        <v>109.949997</v>
      </c>
    </row>
    <row r="2004" spans="6:11" x14ac:dyDescent="0.3">
      <c r="F2004" s="43">
        <v>40792</v>
      </c>
      <c r="G2004" s="44">
        <v>1165.23999</v>
      </c>
      <c r="H2004" s="44">
        <v>827.580017</v>
      </c>
      <c r="I2004" s="44">
        <v>680.86999500000002</v>
      </c>
      <c r="J2004" s="44">
        <v>50.029998999999997</v>
      </c>
      <c r="K2004" s="44">
        <v>110.239998</v>
      </c>
    </row>
    <row r="2005" spans="6:11" x14ac:dyDescent="0.3">
      <c r="F2005" s="43">
        <v>40793</v>
      </c>
      <c r="G2005" s="44">
        <v>1198.619995</v>
      </c>
      <c r="H2005" s="44">
        <v>858.65002400000003</v>
      </c>
      <c r="I2005" s="44">
        <v>709.46997099999999</v>
      </c>
      <c r="J2005" s="44">
        <v>51.52</v>
      </c>
      <c r="K2005" s="44">
        <v>109.980003</v>
      </c>
    </row>
    <row r="2006" spans="6:11" x14ac:dyDescent="0.3">
      <c r="F2006" s="43">
        <v>40794</v>
      </c>
      <c r="G2006" s="44">
        <v>1185.900024</v>
      </c>
      <c r="H2006" s="44">
        <v>847</v>
      </c>
      <c r="I2006" s="44">
        <v>694.919983</v>
      </c>
      <c r="J2006" s="44">
        <v>50.5</v>
      </c>
      <c r="K2006" s="44">
        <v>110.010002</v>
      </c>
    </row>
    <row r="2007" spans="6:11" x14ac:dyDescent="0.3">
      <c r="F2007" s="43">
        <v>40795</v>
      </c>
      <c r="G2007" s="44">
        <v>1154.2299800000001</v>
      </c>
      <c r="H2007" s="44">
        <v>823.35998500000005</v>
      </c>
      <c r="I2007" s="44">
        <v>673.96002199999998</v>
      </c>
      <c r="J2007" s="44">
        <v>48.75</v>
      </c>
      <c r="K2007" s="44">
        <v>110.160004</v>
      </c>
    </row>
    <row r="2008" spans="6:11" x14ac:dyDescent="0.3">
      <c r="F2008" s="43">
        <v>40798</v>
      </c>
      <c r="G2008" s="44">
        <v>1162.2700199999999</v>
      </c>
      <c r="H2008" s="44">
        <v>827.85998500000005</v>
      </c>
      <c r="I2008" s="44">
        <v>679.76000999999997</v>
      </c>
      <c r="J2008" s="44">
        <v>48.540000999999997</v>
      </c>
      <c r="K2008" s="44">
        <v>109.94000200000001</v>
      </c>
    </row>
    <row r="2009" spans="6:11" x14ac:dyDescent="0.3">
      <c r="F2009" s="43">
        <v>40799</v>
      </c>
      <c r="G2009" s="44">
        <v>1172.869995</v>
      </c>
      <c r="H2009" s="44">
        <v>840.28002900000001</v>
      </c>
      <c r="I2009" s="44">
        <v>691.73999000000003</v>
      </c>
      <c r="J2009" s="44">
        <v>49.060001</v>
      </c>
      <c r="K2009" s="44">
        <v>109.980003</v>
      </c>
    </row>
    <row r="2010" spans="6:11" x14ac:dyDescent="0.3">
      <c r="F2010" s="43">
        <v>40800</v>
      </c>
      <c r="G2010" s="44">
        <v>1188.6800539999999</v>
      </c>
      <c r="H2010" s="44">
        <v>855.22997999999995</v>
      </c>
      <c r="I2010" s="44">
        <v>704.11999500000002</v>
      </c>
      <c r="J2010" s="44">
        <v>49.799999</v>
      </c>
      <c r="K2010" s="44">
        <v>110</v>
      </c>
    </row>
    <row r="2011" spans="6:11" x14ac:dyDescent="0.3">
      <c r="F2011" s="43">
        <v>40801</v>
      </c>
      <c r="G2011" s="44">
        <v>1209.1099850000001</v>
      </c>
      <c r="H2011" s="44">
        <v>866.39001499999995</v>
      </c>
      <c r="I2011" s="44">
        <v>713.51000999999997</v>
      </c>
      <c r="J2011" s="44">
        <v>50.880001</v>
      </c>
      <c r="K2011" s="44">
        <v>109.68</v>
      </c>
    </row>
    <row r="2012" spans="6:11" x14ac:dyDescent="0.3">
      <c r="F2012" s="43">
        <v>40802</v>
      </c>
      <c r="G2012" s="44">
        <v>1216.01001</v>
      </c>
      <c r="H2012" s="44">
        <v>866.09002699999996</v>
      </c>
      <c r="I2012" s="44">
        <v>714.30999799999995</v>
      </c>
      <c r="J2012" s="44">
        <v>50.900002000000001</v>
      </c>
      <c r="K2012" s="44">
        <v>109.839996</v>
      </c>
    </row>
    <row r="2013" spans="6:11" x14ac:dyDescent="0.3">
      <c r="F2013" s="43">
        <v>40805</v>
      </c>
      <c r="G2013" s="44">
        <v>1204.089966</v>
      </c>
      <c r="H2013" s="44">
        <v>854.40002400000003</v>
      </c>
      <c r="I2013" s="44">
        <v>702.22997999999995</v>
      </c>
      <c r="J2013" s="44">
        <v>49.5</v>
      </c>
      <c r="K2013" s="44">
        <v>110.08000199999999</v>
      </c>
    </row>
    <row r="2014" spans="6:11" x14ac:dyDescent="0.3">
      <c r="F2014" s="43">
        <v>40806</v>
      </c>
      <c r="G2014" s="44">
        <v>1202.089966</v>
      </c>
      <c r="H2014" s="44">
        <v>843.21997099999999</v>
      </c>
      <c r="I2014" s="44">
        <v>689.95001200000002</v>
      </c>
      <c r="J2014" s="44">
        <v>49.700001</v>
      </c>
      <c r="K2014" s="44">
        <v>110.300003</v>
      </c>
    </row>
    <row r="2015" spans="6:11" x14ac:dyDescent="0.3">
      <c r="F2015" s="43">
        <v>40807</v>
      </c>
      <c r="G2015" s="44">
        <v>1166.76001</v>
      </c>
      <c r="H2015" s="44">
        <v>814.27002000000005</v>
      </c>
      <c r="I2015" s="44">
        <v>664.580017</v>
      </c>
      <c r="J2015" s="44">
        <v>48.220001000000003</v>
      </c>
      <c r="K2015" s="44">
        <v>110.480003</v>
      </c>
    </row>
    <row r="2016" spans="6:11" x14ac:dyDescent="0.3">
      <c r="F2016" s="43">
        <v>40808</v>
      </c>
      <c r="G2016" s="44">
        <v>1129.5600589999999</v>
      </c>
      <c r="H2016" s="44">
        <v>784.52002000000005</v>
      </c>
      <c r="I2016" s="44">
        <v>643.419983</v>
      </c>
      <c r="J2016" s="44">
        <v>46.66</v>
      </c>
      <c r="K2016" s="44">
        <v>110.800003</v>
      </c>
    </row>
    <row r="2017" spans="6:11" x14ac:dyDescent="0.3">
      <c r="F2017" s="43">
        <v>40809</v>
      </c>
      <c r="G2017" s="44">
        <v>1136.4300539999999</v>
      </c>
      <c r="H2017" s="44">
        <v>794.42999299999997</v>
      </c>
      <c r="I2017" s="44">
        <v>652.42999299999997</v>
      </c>
      <c r="J2017" s="44">
        <v>47.189999</v>
      </c>
      <c r="K2017" s="44">
        <v>110.230003</v>
      </c>
    </row>
    <row r="2018" spans="6:11" x14ac:dyDescent="0.3">
      <c r="F2018" s="43">
        <v>40812</v>
      </c>
      <c r="G2018" s="44">
        <v>1162.9499510000001</v>
      </c>
      <c r="H2018" s="44">
        <v>809.92999299999997</v>
      </c>
      <c r="I2018" s="44">
        <v>665.61999500000002</v>
      </c>
      <c r="J2018" s="44">
        <v>48.16</v>
      </c>
      <c r="K2018" s="44">
        <v>109.980003</v>
      </c>
    </row>
    <row r="2019" spans="6:11" x14ac:dyDescent="0.3">
      <c r="F2019" s="43">
        <v>40813</v>
      </c>
      <c r="G2019" s="44">
        <v>1175.380005</v>
      </c>
      <c r="H2019" s="44">
        <v>823.77002000000005</v>
      </c>
      <c r="I2019" s="44">
        <v>680.22997999999995</v>
      </c>
      <c r="J2019" s="44">
        <v>49.349997999999999</v>
      </c>
      <c r="K2019" s="44">
        <v>109.83000199999999</v>
      </c>
    </row>
    <row r="2020" spans="6:11" x14ac:dyDescent="0.3">
      <c r="F2020" s="43">
        <v>40814</v>
      </c>
      <c r="G2020" s="44">
        <v>1151.0600589999999</v>
      </c>
      <c r="H2020" s="44">
        <v>796.04998799999998</v>
      </c>
      <c r="I2020" s="44">
        <v>651.96997099999999</v>
      </c>
      <c r="J2020" s="44">
        <v>48.509998000000003</v>
      </c>
      <c r="K2020" s="44">
        <v>109.739998</v>
      </c>
    </row>
    <row r="2021" spans="6:11" x14ac:dyDescent="0.3">
      <c r="F2021" s="43">
        <v>40815</v>
      </c>
      <c r="G2021" s="44">
        <v>1160.400024</v>
      </c>
      <c r="H2021" s="44">
        <v>804.15997300000004</v>
      </c>
      <c r="I2021" s="44">
        <v>662.79998799999998</v>
      </c>
      <c r="J2021" s="44">
        <v>49.459999000000003</v>
      </c>
      <c r="K2021" s="44">
        <v>109.699997</v>
      </c>
    </row>
    <row r="2022" spans="6:11" x14ac:dyDescent="0.3">
      <c r="F2022" s="43">
        <v>40816</v>
      </c>
      <c r="G2022" s="44">
        <v>1131.420044</v>
      </c>
      <c r="H2022" s="44">
        <v>781.26000999999997</v>
      </c>
      <c r="I2022" s="44">
        <v>644.15997300000004</v>
      </c>
      <c r="J2022" s="44">
        <v>47.779998999999997</v>
      </c>
      <c r="K2022" s="44">
        <v>110.110001</v>
      </c>
    </row>
    <row r="2023" spans="6:11" x14ac:dyDescent="0.3">
      <c r="F2023" s="43">
        <v>40819</v>
      </c>
      <c r="G2023" s="44">
        <v>1099.2299800000001</v>
      </c>
      <c r="H2023" s="44">
        <v>744.97997999999995</v>
      </c>
      <c r="I2023" s="44">
        <v>609.48999000000003</v>
      </c>
      <c r="J2023" s="44">
        <v>46.52</v>
      </c>
      <c r="K2023" s="44">
        <v>110.339996</v>
      </c>
    </row>
    <row r="2024" spans="6:11" x14ac:dyDescent="0.3">
      <c r="F2024" s="43">
        <v>40820</v>
      </c>
      <c r="G2024" s="44">
        <v>1123.9499510000001</v>
      </c>
      <c r="H2024" s="44">
        <v>775.71002199999998</v>
      </c>
      <c r="I2024" s="44">
        <v>648.64001499999995</v>
      </c>
      <c r="J2024" s="44">
        <v>47.299999</v>
      </c>
      <c r="K2024" s="44">
        <v>110</v>
      </c>
    </row>
    <row r="2025" spans="6:11" x14ac:dyDescent="0.3">
      <c r="F2025" s="43">
        <v>40821</v>
      </c>
      <c r="G2025" s="44">
        <v>1144.030029</v>
      </c>
      <c r="H2025" s="44">
        <v>791.90002400000003</v>
      </c>
      <c r="I2025" s="44">
        <v>658.10998500000005</v>
      </c>
      <c r="J2025" s="44">
        <v>48.029998999999997</v>
      </c>
      <c r="K2025" s="44">
        <v>109.629997</v>
      </c>
    </row>
    <row r="2026" spans="6:11" x14ac:dyDescent="0.3">
      <c r="F2026" s="43">
        <v>40822</v>
      </c>
      <c r="G2026" s="44">
        <v>1164.969971</v>
      </c>
      <c r="H2026" s="44">
        <v>812.03997800000002</v>
      </c>
      <c r="I2026" s="44">
        <v>673.79998799999998</v>
      </c>
      <c r="J2026" s="44">
        <v>49.32</v>
      </c>
      <c r="K2026" s="44">
        <v>109.449997</v>
      </c>
    </row>
    <row r="2027" spans="6:11" x14ac:dyDescent="0.3">
      <c r="F2027" s="43">
        <v>40823</v>
      </c>
      <c r="G2027" s="44">
        <v>1155.459961</v>
      </c>
      <c r="H2027" s="44">
        <v>799.17999299999997</v>
      </c>
      <c r="I2027" s="44">
        <v>656.21002199999998</v>
      </c>
      <c r="J2027" s="44">
        <v>48.98</v>
      </c>
      <c r="K2027" s="44">
        <v>109.230003</v>
      </c>
    </row>
    <row r="2028" spans="6:11" x14ac:dyDescent="0.3">
      <c r="F2028" s="43">
        <v>40826</v>
      </c>
      <c r="G2028" s="44">
        <v>1194.8900149999999</v>
      </c>
      <c r="H2028" s="44">
        <v>827.53997800000002</v>
      </c>
      <c r="I2028" s="44">
        <v>684.90002400000003</v>
      </c>
      <c r="J2028" s="44">
        <v>50.849997999999999</v>
      </c>
      <c r="K2028" s="44">
        <v>109.010002</v>
      </c>
    </row>
    <row r="2029" spans="6:11" x14ac:dyDescent="0.3">
      <c r="F2029" s="43">
        <v>40827</v>
      </c>
      <c r="G2029" s="44">
        <v>1195.540039</v>
      </c>
      <c r="H2029" s="44">
        <v>828.080017</v>
      </c>
      <c r="I2029" s="44">
        <v>688.96997099999999</v>
      </c>
      <c r="J2029" s="44">
        <v>50.759998000000003</v>
      </c>
      <c r="K2029" s="44">
        <v>109.269997</v>
      </c>
    </row>
    <row r="2030" spans="6:11" x14ac:dyDescent="0.3">
      <c r="F2030" s="43">
        <v>40828</v>
      </c>
      <c r="G2030" s="44">
        <v>1207.25</v>
      </c>
      <c r="H2030" s="44">
        <v>839.89001499999995</v>
      </c>
      <c r="I2030" s="44">
        <v>700.38000499999998</v>
      </c>
      <c r="J2030" s="44">
        <v>51.5</v>
      </c>
      <c r="K2030" s="44">
        <v>109.05999799999999</v>
      </c>
    </row>
    <row r="2031" spans="6:11" x14ac:dyDescent="0.3">
      <c r="F2031" s="43">
        <v>40829</v>
      </c>
      <c r="G2031" s="44">
        <v>1203.660034</v>
      </c>
      <c r="H2031" s="44">
        <v>840.330017</v>
      </c>
      <c r="I2031" s="44">
        <v>698.82000700000003</v>
      </c>
      <c r="J2031" s="44">
        <v>51.52</v>
      </c>
      <c r="K2031" s="44">
        <v>109.120003</v>
      </c>
    </row>
    <row r="2032" spans="6:11" x14ac:dyDescent="0.3">
      <c r="F2032" s="43">
        <v>40830</v>
      </c>
      <c r="G2032" s="44">
        <v>1224.579956</v>
      </c>
      <c r="H2032" s="44">
        <v>855.84002699999996</v>
      </c>
      <c r="I2032" s="44">
        <v>712.46002199999998</v>
      </c>
      <c r="J2032" s="44">
        <v>52.119999</v>
      </c>
      <c r="K2032" s="44">
        <v>108.94000200000001</v>
      </c>
    </row>
    <row r="2033" spans="6:11" x14ac:dyDescent="0.3">
      <c r="F2033" s="43">
        <v>40833</v>
      </c>
      <c r="G2033" s="44">
        <v>1200.8599850000001</v>
      </c>
      <c r="H2033" s="44">
        <v>830.97997999999995</v>
      </c>
      <c r="I2033" s="44">
        <v>688.59997599999997</v>
      </c>
      <c r="J2033" s="44">
        <v>50.919998</v>
      </c>
      <c r="K2033" s="44">
        <v>109.370003</v>
      </c>
    </row>
    <row r="2034" spans="6:11" x14ac:dyDescent="0.3">
      <c r="F2034" s="43">
        <v>40834</v>
      </c>
      <c r="G2034" s="44">
        <v>1225.380005</v>
      </c>
      <c r="H2034" s="44">
        <v>852.580017</v>
      </c>
      <c r="I2034" s="44">
        <v>709.34002699999996</v>
      </c>
      <c r="J2034" s="44">
        <v>51.650002000000001</v>
      </c>
      <c r="K2034" s="44">
        <v>109.25</v>
      </c>
    </row>
    <row r="2035" spans="6:11" x14ac:dyDescent="0.3">
      <c r="F2035" s="43">
        <v>40835</v>
      </c>
      <c r="G2035" s="44">
        <v>1209.880005</v>
      </c>
      <c r="H2035" s="44">
        <v>838.84002699999996</v>
      </c>
      <c r="I2035" s="44">
        <v>694.36999500000002</v>
      </c>
      <c r="J2035" s="44">
        <v>50.720001000000003</v>
      </c>
      <c r="K2035" s="44">
        <v>109.410004</v>
      </c>
    </row>
    <row r="2036" spans="6:11" x14ac:dyDescent="0.3">
      <c r="F2036" s="43">
        <v>40836</v>
      </c>
      <c r="G2036" s="44">
        <v>1215.3900149999999</v>
      </c>
      <c r="H2036" s="44">
        <v>842.57000700000003</v>
      </c>
      <c r="I2036" s="44">
        <v>696.419983</v>
      </c>
      <c r="J2036" s="44">
        <v>50.849997999999999</v>
      </c>
      <c r="K2036" s="44">
        <v>109.349998</v>
      </c>
    </row>
    <row r="2037" spans="6:11" x14ac:dyDescent="0.3">
      <c r="F2037" s="43">
        <v>40837</v>
      </c>
      <c r="G2037" s="44">
        <v>1238.25</v>
      </c>
      <c r="H2037" s="44">
        <v>861.26000999999997</v>
      </c>
      <c r="I2037" s="44">
        <v>712.419983</v>
      </c>
      <c r="J2037" s="44">
        <v>52.080002</v>
      </c>
      <c r="K2037" s="44">
        <v>109.410004</v>
      </c>
    </row>
    <row r="2038" spans="6:11" x14ac:dyDescent="0.3">
      <c r="F2038" s="43">
        <v>40840</v>
      </c>
      <c r="G2038" s="44">
        <v>1254.1899410000001</v>
      </c>
      <c r="H2038" s="44">
        <v>886.21997099999999</v>
      </c>
      <c r="I2038" s="44">
        <v>736.03002900000001</v>
      </c>
      <c r="J2038" s="44">
        <v>52.860000999999997</v>
      </c>
      <c r="K2038" s="44">
        <v>109.239998</v>
      </c>
    </row>
    <row r="2039" spans="6:11" x14ac:dyDescent="0.3">
      <c r="F2039" s="43">
        <v>40841</v>
      </c>
      <c r="G2039" s="44">
        <v>1229.0500489999999</v>
      </c>
      <c r="H2039" s="44">
        <v>864.71002199999998</v>
      </c>
      <c r="I2039" s="44">
        <v>713.65002400000003</v>
      </c>
      <c r="J2039" s="44">
        <v>51.950001</v>
      </c>
      <c r="K2039" s="44">
        <v>109.800003</v>
      </c>
    </row>
    <row r="2040" spans="6:11" x14ac:dyDescent="0.3">
      <c r="F2040" s="43">
        <v>40842</v>
      </c>
      <c r="G2040" s="44">
        <v>1242</v>
      </c>
      <c r="H2040" s="44">
        <v>875.30999799999995</v>
      </c>
      <c r="I2040" s="44">
        <v>727.15002400000003</v>
      </c>
      <c r="J2040" s="44">
        <v>52.66</v>
      </c>
      <c r="K2040" s="44">
        <v>109.5</v>
      </c>
    </row>
    <row r="2041" spans="6:11" x14ac:dyDescent="0.3">
      <c r="F2041" s="43">
        <v>40843</v>
      </c>
      <c r="G2041" s="44">
        <v>1284.589966</v>
      </c>
      <c r="H2041" s="44">
        <v>912.98999000000003</v>
      </c>
      <c r="I2041" s="44">
        <v>765.42999299999997</v>
      </c>
      <c r="J2041" s="44">
        <v>55.57</v>
      </c>
      <c r="K2041" s="44">
        <v>109.08000199999999</v>
      </c>
    </row>
    <row r="2042" spans="6:11" x14ac:dyDescent="0.3">
      <c r="F2042" s="43">
        <v>40844</v>
      </c>
      <c r="G2042" s="44">
        <v>1285.089966</v>
      </c>
      <c r="H2042" s="44">
        <v>910.64001499999995</v>
      </c>
      <c r="I2042" s="44">
        <v>761</v>
      </c>
      <c r="J2042" s="44">
        <v>55.25</v>
      </c>
      <c r="K2042" s="44">
        <v>109.510002</v>
      </c>
    </row>
    <row r="2043" spans="6:11" x14ac:dyDescent="0.3">
      <c r="F2043" s="43">
        <v>40847</v>
      </c>
      <c r="G2043" s="44">
        <v>1253.3000489999999</v>
      </c>
      <c r="H2043" s="44">
        <v>887.92999299999997</v>
      </c>
      <c r="I2043" s="44">
        <v>741.05999799999995</v>
      </c>
      <c r="J2043" s="44">
        <v>52.380001</v>
      </c>
      <c r="K2043" s="44">
        <v>110.029999</v>
      </c>
    </row>
    <row r="2044" spans="6:11" x14ac:dyDescent="0.3">
      <c r="F2044" s="43">
        <v>40848</v>
      </c>
      <c r="G2044" s="44">
        <v>1218.280029</v>
      </c>
      <c r="H2044" s="44">
        <v>858.67999299999997</v>
      </c>
      <c r="I2044" s="44">
        <v>713.89001499999995</v>
      </c>
      <c r="J2044" s="44">
        <v>50.740001999999997</v>
      </c>
      <c r="K2044" s="44">
        <v>110.269997</v>
      </c>
    </row>
    <row r="2045" spans="6:11" x14ac:dyDescent="0.3">
      <c r="F2045" s="43">
        <v>40849</v>
      </c>
      <c r="G2045" s="44">
        <v>1237.900024</v>
      </c>
      <c r="H2045" s="44">
        <v>877.27002000000005</v>
      </c>
      <c r="I2045" s="44">
        <v>733.26000999999997</v>
      </c>
      <c r="J2045" s="44">
        <v>51.169998</v>
      </c>
      <c r="K2045" s="44">
        <v>110.269997</v>
      </c>
    </row>
    <row r="2046" spans="6:11" x14ac:dyDescent="0.3">
      <c r="F2046" s="43">
        <v>40850</v>
      </c>
      <c r="G2046" s="44">
        <v>1261.150024</v>
      </c>
      <c r="H2046" s="44">
        <v>898.39001499999995</v>
      </c>
      <c r="I2046" s="44">
        <v>751.53002900000001</v>
      </c>
      <c r="J2046" s="44">
        <v>52.459999000000003</v>
      </c>
      <c r="K2046" s="44">
        <v>110.029999</v>
      </c>
    </row>
    <row r="2047" spans="6:11" x14ac:dyDescent="0.3">
      <c r="F2047" s="43">
        <v>40851</v>
      </c>
      <c r="G2047" s="44">
        <v>1253.2299800000001</v>
      </c>
      <c r="H2047" s="44">
        <v>899.46002199999998</v>
      </c>
      <c r="I2047" s="44">
        <v>746.48999000000003</v>
      </c>
      <c r="J2047" s="44">
        <v>51.799999</v>
      </c>
      <c r="K2047" s="44">
        <v>110</v>
      </c>
    </row>
    <row r="2048" spans="6:11" x14ac:dyDescent="0.3">
      <c r="F2048" s="43">
        <v>40854</v>
      </c>
      <c r="G2048" s="44">
        <v>1261.119995</v>
      </c>
      <c r="H2048" s="44">
        <v>898.21002199999998</v>
      </c>
      <c r="I2048" s="44">
        <v>745.27002000000005</v>
      </c>
      <c r="J2048" s="44">
        <v>52.02</v>
      </c>
      <c r="K2048" s="44">
        <v>110.089996</v>
      </c>
    </row>
    <row r="2049" spans="6:11" x14ac:dyDescent="0.3">
      <c r="F2049" s="43">
        <v>40855</v>
      </c>
      <c r="G2049" s="44">
        <v>1275.920044</v>
      </c>
      <c r="H2049" s="44">
        <v>906.84002699999996</v>
      </c>
      <c r="I2049" s="44">
        <v>755.27002000000005</v>
      </c>
      <c r="J2049" s="44">
        <v>52.650002000000001</v>
      </c>
      <c r="K2049" s="44">
        <v>109.94000200000001</v>
      </c>
    </row>
    <row r="2050" spans="6:11" x14ac:dyDescent="0.3">
      <c r="F2050" s="43">
        <v>40856</v>
      </c>
      <c r="G2050" s="44">
        <v>1229.099976</v>
      </c>
      <c r="H2050" s="44">
        <v>867.76000999999997</v>
      </c>
      <c r="I2050" s="44">
        <v>718.85998500000005</v>
      </c>
      <c r="J2050" s="44">
        <v>49.950001</v>
      </c>
      <c r="K2050" s="44">
        <v>110.129997</v>
      </c>
    </row>
    <row r="2051" spans="6:11" x14ac:dyDescent="0.3">
      <c r="F2051" s="43">
        <v>40857</v>
      </c>
      <c r="G2051" s="44">
        <v>1239.6999510000001</v>
      </c>
      <c r="H2051" s="44">
        <v>871.90002400000003</v>
      </c>
      <c r="I2051" s="44">
        <v>725.47997999999995</v>
      </c>
      <c r="J2051" s="44">
        <v>50.540000999999997</v>
      </c>
      <c r="K2051" s="44">
        <v>109.91999800000001</v>
      </c>
    </row>
    <row r="2052" spans="6:11" x14ac:dyDescent="0.3">
      <c r="F2052" s="43">
        <v>40858</v>
      </c>
      <c r="G2052" s="44">
        <v>1263.849976</v>
      </c>
      <c r="H2052" s="44">
        <v>892.05999799999995</v>
      </c>
      <c r="I2052" s="44">
        <v>744.64001499999995</v>
      </c>
      <c r="J2052" s="44">
        <v>51.799999</v>
      </c>
      <c r="K2052" s="44">
        <v>109.790001</v>
      </c>
    </row>
    <row r="2053" spans="6:11" x14ac:dyDescent="0.3">
      <c r="F2053" s="43">
        <v>40861</v>
      </c>
      <c r="G2053" s="44">
        <v>1251.780029</v>
      </c>
      <c r="H2053" s="44">
        <v>882.40002400000003</v>
      </c>
      <c r="I2053" s="44">
        <v>732.89001499999995</v>
      </c>
      <c r="J2053" s="44">
        <v>50.880001</v>
      </c>
      <c r="K2053" s="44">
        <v>109.879997</v>
      </c>
    </row>
    <row r="2054" spans="6:11" x14ac:dyDescent="0.3">
      <c r="F2054" s="43">
        <v>40862</v>
      </c>
      <c r="G2054" s="44">
        <v>1257.8100589999999</v>
      </c>
      <c r="H2054" s="44">
        <v>891.169983</v>
      </c>
      <c r="I2054" s="44">
        <v>743.080017</v>
      </c>
      <c r="J2054" s="44">
        <v>50.740001999999997</v>
      </c>
      <c r="K2054" s="44">
        <v>109.739998</v>
      </c>
    </row>
    <row r="2055" spans="6:11" x14ac:dyDescent="0.3">
      <c r="F2055" s="43">
        <v>40863</v>
      </c>
      <c r="G2055" s="44">
        <v>1236.910034</v>
      </c>
      <c r="H2055" s="44">
        <v>878.35998500000005</v>
      </c>
      <c r="I2055" s="44">
        <v>729.85998500000005</v>
      </c>
      <c r="J2055" s="44">
        <v>49.77</v>
      </c>
      <c r="K2055" s="44">
        <v>109.699997</v>
      </c>
    </row>
    <row r="2056" spans="6:11" x14ac:dyDescent="0.3">
      <c r="F2056" s="43">
        <v>40864</v>
      </c>
      <c r="G2056" s="44">
        <v>1216.130005</v>
      </c>
      <c r="H2056" s="44">
        <v>861.830017</v>
      </c>
      <c r="I2056" s="44">
        <v>718.75</v>
      </c>
      <c r="J2056" s="44">
        <v>49.23</v>
      </c>
      <c r="K2056" s="44">
        <v>109.639999</v>
      </c>
    </row>
    <row r="2057" spans="6:11" x14ac:dyDescent="0.3">
      <c r="F2057" s="43">
        <v>40865</v>
      </c>
      <c r="G2057" s="44">
        <v>1215.650024</v>
      </c>
      <c r="H2057" s="44">
        <v>861.03997800000002</v>
      </c>
      <c r="I2057" s="44">
        <v>719.419983</v>
      </c>
      <c r="J2057" s="44">
        <v>49.400002000000001</v>
      </c>
      <c r="K2057" s="44">
        <v>109.620003</v>
      </c>
    </row>
    <row r="2058" spans="6:11" x14ac:dyDescent="0.3">
      <c r="F2058" s="43">
        <v>40868</v>
      </c>
      <c r="G2058" s="44">
        <v>1192.9799800000001</v>
      </c>
      <c r="H2058" s="44">
        <v>843.82000700000003</v>
      </c>
      <c r="I2058" s="44">
        <v>701.90002400000003</v>
      </c>
      <c r="J2058" s="44">
        <v>48.150002000000001</v>
      </c>
      <c r="K2058" s="44">
        <v>109.599998</v>
      </c>
    </row>
    <row r="2059" spans="6:11" x14ac:dyDescent="0.3">
      <c r="F2059" s="43">
        <v>40869</v>
      </c>
      <c r="G2059" s="44">
        <v>1188.040039</v>
      </c>
      <c r="H2059" s="44">
        <v>838.60998500000005</v>
      </c>
      <c r="I2059" s="44">
        <v>696.26000999999997</v>
      </c>
      <c r="J2059" s="44">
        <v>48.009998000000003</v>
      </c>
      <c r="K2059" s="44">
        <v>109.68</v>
      </c>
    </row>
    <row r="2060" spans="6:11" x14ac:dyDescent="0.3">
      <c r="F2060" s="43">
        <v>40870</v>
      </c>
      <c r="G2060" s="44">
        <v>1161.790039</v>
      </c>
      <c r="H2060" s="44">
        <v>815.90997300000004</v>
      </c>
      <c r="I2060" s="44">
        <v>674.34002699999996</v>
      </c>
      <c r="J2060" s="44">
        <v>46.689999</v>
      </c>
      <c r="K2060" s="44">
        <v>109.779999</v>
      </c>
    </row>
    <row r="2061" spans="6:11" x14ac:dyDescent="0.3">
      <c r="F2061" s="43">
        <v>40872</v>
      </c>
      <c r="G2061" s="44">
        <v>1158.670044</v>
      </c>
      <c r="H2061" s="44">
        <v>812.42999299999997</v>
      </c>
      <c r="I2061" s="44">
        <v>666.15997300000004</v>
      </c>
      <c r="J2061" s="44">
        <v>46.450001</v>
      </c>
      <c r="K2061" s="44">
        <v>109.629997</v>
      </c>
    </row>
    <row r="2062" spans="6:11" x14ac:dyDescent="0.3">
      <c r="F2062" s="43">
        <v>40875</v>
      </c>
      <c r="G2062" s="44">
        <v>1192.5500489999999</v>
      </c>
      <c r="H2062" s="44">
        <v>840.92999299999997</v>
      </c>
      <c r="I2062" s="44">
        <v>697.90002400000003</v>
      </c>
      <c r="J2062" s="44">
        <v>48.43</v>
      </c>
      <c r="K2062" s="44">
        <v>109.620003</v>
      </c>
    </row>
    <row r="2063" spans="6:11" x14ac:dyDescent="0.3">
      <c r="F2063" s="43">
        <v>40876</v>
      </c>
      <c r="G2063" s="44">
        <v>1195.1899410000001</v>
      </c>
      <c r="H2063" s="44">
        <v>842.07000700000003</v>
      </c>
      <c r="I2063" s="44">
        <v>696.09997599999997</v>
      </c>
      <c r="J2063" s="44">
        <v>48.75</v>
      </c>
      <c r="K2063" s="44">
        <v>109.660004</v>
      </c>
    </row>
    <row r="2064" spans="6:11" x14ac:dyDescent="0.3">
      <c r="F2064" s="43">
        <v>40877</v>
      </c>
      <c r="G2064" s="44">
        <v>1246.959961</v>
      </c>
      <c r="H2064" s="44">
        <v>883.78997800000002</v>
      </c>
      <c r="I2064" s="44">
        <v>737.419983</v>
      </c>
      <c r="J2064" s="44">
        <v>51.240001999999997</v>
      </c>
      <c r="K2064" s="44">
        <v>109.379997</v>
      </c>
    </row>
    <row r="2065" spans="6:11" x14ac:dyDescent="0.3">
      <c r="F2065" s="43">
        <v>40878</v>
      </c>
      <c r="G2065" s="44">
        <v>1244.579956</v>
      </c>
      <c r="H2065" s="44">
        <v>878.59002699999996</v>
      </c>
      <c r="I2065" s="44">
        <v>730.75</v>
      </c>
      <c r="J2065" s="44">
        <v>50.799999</v>
      </c>
      <c r="K2065" s="44">
        <v>108.839996</v>
      </c>
    </row>
    <row r="2066" spans="6:11" x14ac:dyDescent="0.3">
      <c r="F2066" s="43">
        <v>40879</v>
      </c>
      <c r="G2066" s="44">
        <v>1244.280029</v>
      </c>
      <c r="H2066" s="44">
        <v>881.09997599999997</v>
      </c>
      <c r="I2066" s="44">
        <v>735.02002000000005</v>
      </c>
      <c r="J2066" s="44">
        <v>50.790000999999997</v>
      </c>
      <c r="K2066" s="44">
        <v>109.120003</v>
      </c>
    </row>
    <row r="2067" spans="6:11" x14ac:dyDescent="0.3">
      <c r="F2067" s="43">
        <v>40882</v>
      </c>
      <c r="G2067" s="44">
        <v>1257.079956</v>
      </c>
      <c r="H2067" s="44">
        <v>892.95001200000002</v>
      </c>
      <c r="I2067" s="44">
        <v>747.03002900000001</v>
      </c>
      <c r="J2067" s="44">
        <v>51.369999</v>
      </c>
      <c r="K2067" s="44">
        <v>109.239998</v>
      </c>
    </row>
    <row r="2068" spans="6:11" x14ac:dyDescent="0.3">
      <c r="F2068" s="43">
        <v>40883</v>
      </c>
      <c r="G2068" s="44">
        <v>1258.469971</v>
      </c>
      <c r="H2068" s="44">
        <v>890.44000200000005</v>
      </c>
      <c r="I2068" s="44">
        <v>746.78002900000001</v>
      </c>
      <c r="J2068" s="44">
        <v>51.130001</v>
      </c>
      <c r="K2068" s="44">
        <v>109.139999</v>
      </c>
    </row>
    <row r="2069" spans="6:11" x14ac:dyDescent="0.3">
      <c r="F2069" s="43">
        <v>40884</v>
      </c>
      <c r="G2069" s="44">
        <v>1261.01001</v>
      </c>
      <c r="H2069" s="44">
        <v>888.51000999999997</v>
      </c>
      <c r="I2069" s="44">
        <v>746.14001499999995</v>
      </c>
      <c r="J2069" s="44">
        <v>51.490001999999997</v>
      </c>
      <c r="K2069" s="44">
        <v>109.339996</v>
      </c>
    </row>
    <row r="2070" spans="6:11" x14ac:dyDescent="0.3">
      <c r="F2070" s="43">
        <v>40885</v>
      </c>
      <c r="G2070" s="44">
        <v>1234.349976</v>
      </c>
      <c r="H2070" s="44">
        <v>865.05999799999995</v>
      </c>
      <c r="I2070" s="44">
        <v>722.67999299999997</v>
      </c>
      <c r="J2070" s="44">
        <v>49.799999</v>
      </c>
      <c r="K2070" s="44">
        <v>109.449997</v>
      </c>
    </row>
    <row r="2071" spans="6:11" x14ac:dyDescent="0.3">
      <c r="F2071" s="43">
        <v>40886</v>
      </c>
      <c r="G2071" s="44">
        <v>1255.1899410000001</v>
      </c>
      <c r="H2071" s="44">
        <v>885.38000499999998</v>
      </c>
      <c r="I2071" s="44">
        <v>745.40002400000003</v>
      </c>
      <c r="J2071" s="44">
        <v>51.040000999999997</v>
      </c>
      <c r="K2071" s="44">
        <v>109.389999</v>
      </c>
    </row>
    <row r="2072" spans="6:11" x14ac:dyDescent="0.3">
      <c r="F2072" s="43">
        <v>40889</v>
      </c>
      <c r="G2072" s="44">
        <v>1236.469971</v>
      </c>
      <c r="H2072" s="44">
        <v>870.23999000000003</v>
      </c>
      <c r="I2072" s="44">
        <v>733.15002400000003</v>
      </c>
      <c r="J2072" s="44">
        <v>49.549999</v>
      </c>
      <c r="K2072" s="44">
        <v>109.41999800000001</v>
      </c>
    </row>
    <row r="2073" spans="6:11" x14ac:dyDescent="0.3">
      <c r="F2073" s="43">
        <v>40890</v>
      </c>
      <c r="G2073" s="44">
        <v>1225.7299800000001</v>
      </c>
      <c r="H2073" s="44">
        <v>853.45001200000002</v>
      </c>
      <c r="I2073" s="44">
        <v>718.05999799999995</v>
      </c>
      <c r="J2073" s="44">
        <v>48.880001</v>
      </c>
      <c r="K2073" s="44">
        <v>109.639999</v>
      </c>
    </row>
    <row r="2074" spans="6:11" x14ac:dyDescent="0.3">
      <c r="F2074" s="43">
        <v>40891</v>
      </c>
      <c r="G2074" s="44">
        <v>1211.8199460000001</v>
      </c>
      <c r="H2074" s="44">
        <v>840.15997300000004</v>
      </c>
      <c r="I2074" s="44">
        <v>708.46002199999998</v>
      </c>
      <c r="J2074" s="44">
        <v>48.299999</v>
      </c>
      <c r="K2074" s="44">
        <v>109.910004</v>
      </c>
    </row>
    <row r="2075" spans="6:11" x14ac:dyDescent="0.3">
      <c r="F2075" s="43">
        <v>40892</v>
      </c>
      <c r="G2075" s="44">
        <v>1215.75</v>
      </c>
      <c r="H2075" s="44">
        <v>846.90002400000003</v>
      </c>
      <c r="I2075" s="44">
        <v>716.01000999999997</v>
      </c>
      <c r="J2075" s="44">
        <v>48.540000999999997</v>
      </c>
      <c r="K2075" s="44">
        <v>109.68</v>
      </c>
    </row>
    <row r="2076" spans="6:11" x14ac:dyDescent="0.3">
      <c r="F2076" s="43">
        <v>40893</v>
      </c>
      <c r="G2076" s="44">
        <v>1219.660034</v>
      </c>
      <c r="H2076" s="44">
        <v>855.669983</v>
      </c>
      <c r="I2076" s="44">
        <v>722.04998799999998</v>
      </c>
      <c r="J2076" s="44">
        <v>48.34</v>
      </c>
      <c r="K2076" s="44">
        <v>110.050003</v>
      </c>
    </row>
    <row r="2077" spans="6:11" x14ac:dyDescent="0.3">
      <c r="F2077" s="43">
        <v>40896</v>
      </c>
      <c r="G2077" s="44">
        <v>1205.349976</v>
      </c>
      <c r="H2077" s="44">
        <v>840.77002000000005</v>
      </c>
      <c r="I2077" s="44">
        <v>708.55999799999995</v>
      </c>
      <c r="J2077" s="44">
        <v>47.889999000000003</v>
      </c>
      <c r="K2077" s="44">
        <v>110.160004</v>
      </c>
    </row>
    <row r="2078" spans="6:11" x14ac:dyDescent="0.3">
      <c r="F2078" s="43">
        <v>40897</v>
      </c>
      <c r="G2078" s="44">
        <v>1241.3000489999999</v>
      </c>
      <c r="H2078" s="44">
        <v>869.95001200000002</v>
      </c>
      <c r="I2078" s="44">
        <v>738.21997099999999</v>
      </c>
      <c r="J2078" s="44">
        <v>48.990001999999997</v>
      </c>
      <c r="K2078" s="44">
        <v>110.010002</v>
      </c>
    </row>
    <row r="2079" spans="6:11" x14ac:dyDescent="0.3">
      <c r="F2079" s="43">
        <v>40898</v>
      </c>
      <c r="G2079" s="44">
        <v>1243.719971</v>
      </c>
      <c r="H2079" s="44">
        <v>871.919983</v>
      </c>
      <c r="I2079" s="44">
        <v>740.45001200000002</v>
      </c>
      <c r="J2079" s="44">
        <v>48.73</v>
      </c>
      <c r="K2079" s="44">
        <v>109.730003</v>
      </c>
    </row>
    <row r="2080" spans="6:11" x14ac:dyDescent="0.3">
      <c r="F2080" s="43">
        <v>40899</v>
      </c>
      <c r="G2080" s="44">
        <v>1254</v>
      </c>
      <c r="H2080" s="44">
        <v>879.57000700000003</v>
      </c>
      <c r="I2080" s="44">
        <v>745.51000999999997</v>
      </c>
      <c r="J2080" s="44">
        <v>49.169998</v>
      </c>
      <c r="K2080" s="44">
        <v>109.900002</v>
      </c>
    </row>
    <row r="2081" spans="6:11" x14ac:dyDescent="0.3">
      <c r="F2081" s="43">
        <v>40900</v>
      </c>
      <c r="G2081" s="44">
        <v>1265.329956</v>
      </c>
      <c r="H2081" s="44">
        <v>884.90997300000004</v>
      </c>
      <c r="I2081" s="44">
        <v>747.97997999999995</v>
      </c>
      <c r="J2081" s="44">
        <v>49.509998000000003</v>
      </c>
      <c r="K2081" s="44">
        <v>109.769997</v>
      </c>
    </row>
    <row r="2082" spans="6:11" x14ac:dyDescent="0.3">
      <c r="F2082" s="43">
        <v>40904</v>
      </c>
      <c r="G2082" s="44">
        <v>1265.4300539999999</v>
      </c>
      <c r="H2082" s="44">
        <v>887.34997599999997</v>
      </c>
      <c r="I2082" s="44">
        <v>751.30999799999995</v>
      </c>
      <c r="J2082" s="44">
        <v>49.290000999999997</v>
      </c>
      <c r="K2082" s="44">
        <v>109.94000200000001</v>
      </c>
    </row>
    <row r="2083" spans="6:11" x14ac:dyDescent="0.3">
      <c r="F2083" s="43">
        <v>40905</v>
      </c>
      <c r="G2083" s="44">
        <v>1249.6400149999999</v>
      </c>
      <c r="H2083" s="44">
        <v>871.34002699999996</v>
      </c>
      <c r="I2083" s="44">
        <v>735.21002199999998</v>
      </c>
      <c r="J2083" s="44">
        <v>48.400002000000001</v>
      </c>
      <c r="K2083" s="44">
        <v>110.129997</v>
      </c>
    </row>
    <row r="2084" spans="6:11" x14ac:dyDescent="0.3">
      <c r="F2084" s="43">
        <v>40906</v>
      </c>
      <c r="G2084" s="44">
        <v>1263.0200199999999</v>
      </c>
      <c r="H2084" s="44">
        <v>883.15997300000004</v>
      </c>
      <c r="I2084" s="44">
        <v>744.97997999999995</v>
      </c>
      <c r="J2084" s="44">
        <v>49.290000999999997</v>
      </c>
      <c r="K2084" s="44">
        <v>110.389999</v>
      </c>
    </row>
    <row r="2085" spans="6:11" x14ac:dyDescent="0.3">
      <c r="F2085" s="43">
        <v>40907</v>
      </c>
      <c r="G2085" s="44">
        <v>1257.599976</v>
      </c>
      <c r="H2085" s="44">
        <v>879.15997300000004</v>
      </c>
      <c r="I2085" s="44">
        <v>740.919983</v>
      </c>
      <c r="J2085" s="44">
        <v>49.529998999999997</v>
      </c>
      <c r="K2085" s="44">
        <v>110.25</v>
      </c>
    </row>
    <row r="2086" spans="6:11" x14ac:dyDescent="0.3">
      <c r="F2086" s="43">
        <v>40911</v>
      </c>
      <c r="G2086" s="44">
        <v>1277.0600589999999</v>
      </c>
      <c r="H2086" s="44">
        <v>887.90997300000004</v>
      </c>
      <c r="I2086" s="44">
        <v>752.28002900000001</v>
      </c>
      <c r="J2086" s="44">
        <v>50.880001</v>
      </c>
      <c r="K2086" s="44">
        <v>110.029999</v>
      </c>
    </row>
    <row r="2087" spans="6:11" x14ac:dyDescent="0.3">
      <c r="F2087" s="43">
        <v>40912</v>
      </c>
      <c r="G2087" s="44">
        <v>1277.3000489999999</v>
      </c>
      <c r="H2087" s="44">
        <v>885.52002000000005</v>
      </c>
      <c r="I2087" s="44">
        <v>747.28002900000001</v>
      </c>
      <c r="J2087" s="44">
        <v>50.580002</v>
      </c>
      <c r="K2087" s="44">
        <v>109.879997</v>
      </c>
    </row>
    <row r="2088" spans="6:11" x14ac:dyDescent="0.3">
      <c r="F2088" s="43">
        <v>40913</v>
      </c>
      <c r="G2088" s="44">
        <v>1281.0600589999999</v>
      </c>
      <c r="H2088" s="44">
        <v>891.65997300000004</v>
      </c>
      <c r="I2088" s="44">
        <v>752.28997800000002</v>
      </c>
      <c r="J2088" s="44">
        <v>49.830002</v>
      </c>
      <c r="K2088" s="44">
        <v>110.029999</v>
      </c>
    </row>
    <row r="2089" spans="6:11" x14ac:dyDescent="0.3">
      <c r="F2089" s="43">
        <v>40914</v>
      </c>
      <c r="G2089" s="44">
        <v>1277.8100589999999</v>
      </c>
      <c r="H2089" s="44">
        <v>891.48999000000003</v>
      </c>
      <c r="I2089" s="44">
        <v>749.71002199999998</v>
      </c>
      <c r="J2089" s="44">
        <v>49.150002000000001</v>
      </c>
      <c r="K2089" s="44">
        <v>110.120003</v>
      </c>
    </row>
    <row r="2090" spans="6:11" x14ac:dyDescent="0.3">
      <c r="F2090" s="43">
        <v>40917</v>
      </c>
      <c r="G2090" s="44">
        <v>1280.6999510000001</v>
      </c>
      <c r="H2090" s="44">
        <v>896.40997300000004</v>
      </c>
      <c r="I2090" s="44">
        <v>753.51000999999997</v>
      </c>
      <c r="J2090" s="44">
        <v>49.34</v>
      </c>
      <c r="K2090" s="44">
        <v>110.029999</v>
      </c>
    </row>
    <row r="2091" spans="6:11" x14ac:dyDescent="0.3">
      <c r="F2091" s="43">
        <v>40918</v>
      </c>
      <c r="G2091" s="44">
        <v>1292.079956</v>
      </c>
      <c r="H2091" s="44">
        <v>907.90997300000004</v>
      </c>
      <c r="I2091" s="44">
        <v>764.75</v>
      </c>
      <c r="J2091" s="44">
        <v>50.09</v>
      </c>
      <c r="K2091" s="44">
        <v>110</v>
      </c>
    </row>
    <row r="2092" spans="6:11" x14ac:dyDescent="0.3">
      <c r="F2092" s="43">
        <v>40919</v>
      </c>
      <c r="G2092" s="44">
        <v>1292.4799800000001</v>
      </c>
      <c r="H2092" s="44">
        <v>910.23999000000003</v>
      </c>
      <c r="I2092" s="44">
        <v>767.23999000000003</v>
      </c>
      <c r="J2092" s="44">
        <v>49.93</v>
      </c>
      <c r="K2092" s="44">
        <v>110.389999</v>
      </c>
    </row>
    <row r="2093" spans="6:11" x14ac:dyDescent="0.3">
      <c r="F2093" s="43">
        <v>40920</v>
      </c>
      <c r="G2093" s="44">
        <v>1295.5</v>
      </c>
      <c r="H2093" s="44">
        <v>912.330017</v>
      </c>
      <c r="I2093" s="44">
        <v>770.48999000000003</v>
      </c>
      <c r="J2093" s="44">
        <v>50.139999000000003</v>
      </c>
      <c r="K2093" s="44">
        <v>110.300003</v>
      </c>
    </row>
    <row r="2094" spans="6:11" x14ac:dyDescent="0.3">
      <c r="F2094" s="43">
        <v>40921</v>
      </c>
      <c r="G2094" s="44">
        <v>1289.089966</v>
      </c>
      <c r="H2094" s="44">
        <v>906.59002699999996</v>
      </c>
      <c r="I2094" s="44">
        <v>764.20001200000002</v>
      </c>
      <c r="J2094" s="44">
        <v>49.599997999999999</v>
      </c>
      <c r="K2094" s="44">
        <v>110.550003</v>
      </c>
    </row>
    <row r="2095" spans="6:11" x14ac:dyDescent="0.3">
      <c r="F2095" s="43">
        <v>40925</v>
      </c>
      <c r="G2095" s="44">
        <v>1293.670044</v>
      </c>
      <c r="H2095" s="44">
        <v>909.169983</v>
      </c>
      <c r="I2095" s="44">
        <v>765.53002900000001</v>
      </c>
      <c r="J2095" s="44">
        <v>50.189999</v>
      </c>
      <c r="K2095" s="44">
        <v>110.58000199999999</v>
      </c>
    </row>
    <row r="2096" spans="6:11" x14ac:dyDescent="0.3">
      <c r="F2096" s="43">
        <v>40926</v>
      </c>
      <c r="G2096" s="44">
        <v>1308.040039</v>
      </c>
      <c r="H2096" s="44">
        <v>923.85998500000005</v>
      </c>
      <c r="I2096" s="44">
        <v>779.26000999999997</v>
      </c>
      <c r="J2096" s="44">
        <v>51.029998999999997</v>
      </c>
      <c r="K2096" s="44">
        <v>110.44000200000001</v>
      </c>
    </row>
    <row r="2097" spans="6:11" x14ac:dyDescent="0.3">
      <c r="F2097" s="43">
        <v>40927</v>
      </c>
      <c r="G2097" s="44">
        <v>1314.5</v>
      </c>
      <c r="H2097" s="44">
        <v>930.95001200000002</v>
      </c>
      <c r="I2097" s="44">
        <v>782.36999500000002</v>
      </c>
      <c r="J2097" s="44">
        <v>51.66</v>
      </c>
      <c r="K2097" s="44">
        <v>110.260002</v>
      </c>
    </row>
    <row r="2098" spans="6:11" x14ac:dyDescent="0.3">
      <c r="F2098" s="43">
        <v>40928</v>
      </c>
      <c r="G2098" s="44">
        <v>1315.380005</v>
      </c>
      <c r="H2098" s="44">
        <v>930.61999500000002</v>
      </c>
      <c r="I2098" s="44">
        <v>784.61999500000002</v>
      </c>
      <c r="J2098" s="44">
        <v>51.93</v>
      </c>
      <c r="K2098" s="44">
        <v>109.980003</v>
      </c>
    </row>
    <row r="2099" spans="6:11" x14ac:dyDescent="0.3">
      <c r="F2099" s="43">
        <v>40931</v>
      </c>
      <c r="G2099" s="44">
        <v>1316</v>
      </c>
      <c r="H2099" s="44">
        <v>930.28997800000002</v>
      </c>
      <c r="I2099" s="44">
        <v>783.04998799999998</v>
      </c>
      <c r="J2099" s="44">
        <v>52.130001</v>
      </c>
      <c r="K2099" s="44">
        <v>109.889999</v>
      </c>
    </row>
    <row r="2100" spans="6:11" x14ac:dyDescent="0.3">
      <c r="F2100" s="43">
        <v>40932</v>
      </c>
      <c r="G2100" s="44">
        <v>1314.650024</v>
      </c>
      <c r="H2100" s="44">
        <v>934.25</v>
      </c>
      <c r="I2100" s="44">
        <v>788.27002000000005</v>
      </c>
      <c r="J2100" s="44">
        <v>51.84</v>
      </c>
      <c r="K2100" s="44">
        <v>109.980003</v>
      </c>
    </row>
    <row r="2101" spans="6:11" x14ac:dyDescent="0.3">
      <c r="F2101" s="43">
        <v>40933</v>
      </c>
      <c r="G2101" s="44">
        <v>1326.0600589999999</v>
      </c>
      <c r="H2101" s="44">
        <v>943.80999799999995</v>
      </c>
      <c r="I2101" s="44">
        <v>795.580017</v>
      </c>
      <c r="J2101" s="44">
        <v>52.380001</v>
      </c>
      <c r="K2101" s="44">
        <v>110.139999</v>
      </c>
    </row>
    <row r="2102" spans="6:11" x14ac:dyDescent="0.3">
      <c r="F2102" s="43">
        <v>40934</v>
      </c>
      <c r="G2102" s="44">
        <v>1318.4300539999999</v>
      </c>
      <c r="H2102" s="44">
        <v>937.52002000000005</v>
      </c>
      <c r="I2102" s="44">
        <v>792.90997300000004</v>
      </c>
      <c r="J2102" s="44">
        <v>52.400002000000001</v>
      </c>
      <c r="K2102" s="44">
        <v>110.360001</v>
      </c>
    </row>
    <row r="2103" spans="6:11" x14ac:dyDescent="0.3">
      <c r="F2103" s="43">
        <v>40935</v>
      </c>
      <c r="G2103" s="44">
        <v>1316.329956</v>
      </c>
      <c r="H2103" s="44">
        <v>942.10998500000005</v>
      </c>
      <c r="I2103" s="44">
        <v>798.84997599999997</v>
      </c>
      <c r="J2103" s="44">
        <v>52.490001999999997</v>
      </c>
      <c r="K2103" s="44">
        <v>110.540001</v>
      </c>
    </row>
    <row r="2104" spans="6:11" x14ac:dyDescent="0.3">
      <c r="F2104" s="43">
        <v>40938</v>
      </c>
      <c r="G2104" s="44">
        <v>1313.01001</v>
      </c>
      <c r="H2104" s="44">
        <v>937.61999500000002</v>
      </c>
      <c r="I2104" s="44">
        <v>792.38000499999998</v>
      </c>
      <c r="J2104" s="44">
        <v>51.869999</v>
      </c>
      <c r="K2104" s="44">
        <v>110.860001</v>
      </c>
    </row>
    <row r="2105" spans="6:11" x14ac:dyDescent="0.3">
      <c r="F2105" s="43">
        <v>40939</v>
      </c>
      <c r="G2105" s="44">
        <v>1312.410034</v>
      </c>
      <c r="H2105" s="44">
        <v>936.51000999999997</v>
      </c>
      <c r="I2105" s="44">
        <v>792.82000700000003</v>
      </c>
      <c r="J2105" s="44">
        <v>52.139999000000003</v>
      </c>
      <c r="K2105" s="44">
        <v>111.050003</v>
      </c>
    </row>
    <row r="2106" spans="6:11" x14ac:dyDescent="0.3">
      <c r="F2106" s="43">
        <v>40940</v>
      </c>
      <c r="G2106" s="44">
        <v>1324.089966</v>
      </c>
      <c r="H2106" s="44">
        <v>954.44000200000005</v>
      </c>
      <c r="I2106" s="44">
        <v>809.65997300000004</v>
      </c>
      <c r="J2106" s="44">
        <v>52.959999000000003</v>
      </c>
      <c r="K2106" s="44">
        <v>110.58000199999999</v>
      </c>
    </row>
    <row r="2107" spans="6:11" x14ac:dyDescent="0.3">
      <c r="F2107" s="43">
        <v>40941</v>
      </c>
      <c r="G2107" s="44">
        <v>1325.540039</v>
      </c>
      <c r="H2107" s="44">
        <v>955.73999000000003</v>
      </c>
      <c r="I2107" s="44">
        <v>812.89001499999995</v>
      </c>
      <c r="J2107" s="44">
        <v>53.07</v>
      </c>
      <c r="K2107" s="44">
        <v>110.610001</v>
      </c>
    </row>
    <row r="2108" spans="6:11" x14ac:dyDescent="0.3">
      <c r="F2108" s="43">
        <v>40942</v>
      </c>
      <c r="G2108" s="44">
        <v>1344.900024</v>
      </c>
      <c r="H2108" s="44">
        <v>971.25</v>
      </c>
      <c r="I2108" s="44">
        <v>831.10998500000005</v>
      </c>
      <c r="J2108" s="44">
        <v>53.900002000000001</v>
      </c>
      <c r="K2108" s="44">
        <v>110.55999799999999</v>
      </c>
    </row>
    <row r="2109" spans="6:11" x14ac:dyDescent="0.3">
      <c r="F2109" s="43">
        <v>40945</v>
      </c>
      <c r="G2109" s="44">
        <v>1344.329956</v>
      </c>
      <c r="H2109" s="44">
        <v>970.22997999999995</v>
      </c>
      <c r="I2109" s="44">
        <v>828.36999500000002</v>
      </c>
      <c r="J2109" s="44">
        <v>53.639999000000003</v>
      </c>
      <c r="K2109" s="44">
        <v>110.639999</v>
      </c>
    </row>
    <row r="2110" spans="6:11" x14ac:dyDescent="0.3">
      <c r="F2110" s="43">
        <v>40946</v>
      </c>
      <c r="G2110" s="44">
        <v>1347.0500489999999</v>
      </c>
      <c r="H2110" s="44">
        <v>972.09002699999996</v>
      </c>
      <c r="I2110" s="44">
        <v>827.36999500000002</v>
      </c>
      <c r="J2110" s="44">
        <v>53.970001000000003</v>
      </c>
      <c r="K2110" s="44">
        <v>110.529999</v>
      </c>
    </row>
    <row r="2111" spans="6:11" x14ac:dyDescent="0.3">
      <c r="F2111" s="43">
        <v>40947</v>
      </c>
      <c r="G2111" s="44">
        <v>1349.959961</v>
      </c>
      <c r="H2111" s="44">
        <v>973.21002199999998</v>
      </c>
      <c r="I2111" s="44">
        <v>828.39001499999995</v>
      </c>
      <c r="J2111" s="44">
        <v>54.16</v>
      </c>
      <c r="K2111" s="44">
        <v>110.44000200000001</v>
      </c>
    </row>
    <row r="2112" spans="6:11" x14ac:dyDescent="0.3">
      <c r="F2112" s="43">
        <v>40948</v>
      </c>
      <c r="G2112" s="44">
        <v>1351.9499510000001</v>
      </c>
      <c r="H2112" s="44">
        <v>975.21002199999998</v>
      </c>
      <c r="I2112" s="44">
        <v>824.98999000000003</v>
      </c>
      <c r="J2112" s="44">
        <v>54.299999</v>
      </c>
      <c r="K2112" s="44">
        <v>110.260002</v>
      </c>
    </row>
    <row r="2113" spans="6:11" x14ac:dyDescent="0.3">
      <c r="F2113" s="43">
        <v>40949</v>
      </c>
      <c r="G2113" s="44">
        <v>1342.6400149999999</v>
      </c>
      <c r="H2113" s="44">
        <v>964.47997999999995</v>
      </c>
      <c r="I2113" s="44">
        <v>813.330017</v>
      </c>
      <c r="J2113" s="44">
        <v>53.27</v>
      </c>
      <c r="K2113" s="44">
        <v>110.410004</v>
      </c>
    </row>
    <row r="2114" spans="6:11" x14ac:dyDescent="0.3">
      <c r="F2114" s="43">
        <v>40952</v>
      </c>
      <c r="G2114" s="44">
        <v>1351.7700199999999</v>
      </c>
      <c r="H2114" s="44">
        <v>974.15002400000003</v>
      </c>
      <c r="I2114" s="44">
        <v>824.80999799999995</v>
      </c>
      <c r="J2114" s="44">
        <v>53.880001</v>
      </c>
      <c r="K2114" s="44">
        <v>110.449997</v>
      </c>
    </row>
    <row r="2115" spans="6:11" x14ac:dyDescent="0.3">
      <c r="F2115" s="43">
        <v>40953</v>
      </c>
      <c r="G2115" s="44">
        <v>1350.5</v>
      </c>
      <c r="H2115" s="44">
        <v>973.59997599999997</v>
      </c>
      <c r="I2115" s="44">
        <v>820.65002400000003</v>
      </c>
      <c r="J2115" s="44">
        <v>53.48</v>
      </c>
      <c r="K2115" s="44">
        <v>110.540001</v>
      </c>
    </row>
    <row r="2116" spans="6:11" x14ac:dyDescent="0.3">
      <c r="F2116" s="43">
        <v>40954</v>
      </c>
      <c r="G2116" s="44">
        <v>1343.2299800000001</v>
      </c>
      <c r="H2116" s="44">
        <v>970.59997599999997</v>
      </c>
      <c r="I2116" s="44">
        <v>813.97997999999995</v>
      </c>
      <c r="J2116" s="44">
        <v>53.540000999999997</v>
      </c>
      <c r="K2116" s="44">
        <v>110.5</v>
      </c>
    </row>
    <row r="2117" spans="6:11" x14ac:dyDescent="0.3">
      <c r="F2117" s="43">
        <v>40955</v>
      </c>
      <c r="G2117" s="44">
        <v>1358.040039</v>
      </c>
      <c r="H2117" s="44">
        <v>986.03997800000002</v>
      </c>
      <c r="I2117" s="44">
        <v>829.96002199999998</v>
      </c>
      <c r="J2117" s="44">
        <v>54.279998999999997</v>
      </c>
      <c r="K2117" s="44">
        <v>110.480003</v>
      </c>
    </row>
    <row r="2118" spans="6:11" x14ac:dyDescent="0.3">
      <c r="F2118" s="43">
        <v>40956</v>
      </c>
      <c r="G2118" s="44">
        <v>1361.2299800000001</v>
      </c>
      <c r="H2118" s="44">
        <v>984.59997599999997</v>
      </c>
      <c r="I2118" s="44">
        <v>828.67999299999997</v>
      </c>
      <c r="J2118" s="44">
        <v>54.52</v>
      </c>
      <c r="K2118" s="44">
        <v>110.339996</v>
      </c>
    </row>
    <row r="2119" spans="6:11" x14ac:dyDescent="0.3">
      <c r="F2119" s="43">
        <v>40960</v>
      </c>
      <c r="G2119" s="44">
        <v>1362.209961</v>
      </c>
      <c r="H2119" s="44">
        <v>980.830017</v>
      </c>
      <c r="I2119" s="44">
        <v>823.20001200000002</v>
      </c>
      <c r="J2119" s="44">
        <v>54.529998999999997</v>
      </c>
      <c r="K2119" s="44">
        <v>110.16999800000001</v>
      </c>
    </row>
    <row r="2120" spans="6:11" x14ac:dyDescent="0.3">
      <c r="F2120" s="43">
        <v>40961</v>
      </c>
      <c r="G2120" s="44">
        <v>1357.660034</v>
      </c>
      <c r="H2120" s="44">
        <v>976.46002199999998</v>
      </c>
      <c r="I2120" s="44">
        <v>816.5</v>
      </c>
      <c r="J2120" s="44">
        <v>54.369999</v>
      </c>
      <c r="K2120" s="44">
        <v>110.480003</v>
      </c>
    </row>
    <row r="2121" spans="6:11" x14ac:dyDescent="0.3">
      <c r="F2121" s="43">
        <v>40962</v>
      </c>
      <c r="G2121" s="44">
        <v>1363.459961</v>
      </c>
      <c r="H2121" s="44">
        <v>985.01000999999997</v>
      </c>
      <c r="I2121" s="44">
        <v>829.22997999999995</v>
      </c>
      <c r="J2121" s="44">
        <v>54.82</v>
      </c>
      <c r="K2121" s="44">
        <v>110.57</v>
      </c>
    </row>
    <row r="2122" spans="6:11" x14ac:dyDescent="0.3">
      <c r="F2122" s="43">
        <v>40963</v>
      </c>
      <c r="G2122" s="44">
        <v>1365.73999</v>
      </c>
      <c r="H2122" s="44">
        <v>985.35998500000005</v>
      </c>
      <c r="I2122" s="44">
        <v>826.919983</v>
      </c>
      <c r="J2122" s="44">
        <v>55.150002000000001</v>
      </c>
      <c r="K2122" s="44">
        <v>110.599998</v>
      </c>
    </row>
    <row r="2123" spans="6:11" x14ac:dyDescent="0.3">
      <c r="F2123" s="43">
        <v>40966</v>
      </c>
      <c r="G2123" s="44">
        <v>1367.589966</v>
      </c>
      <c r="H2123" s="44">
        <v>985.32000700000003</v>
      </c>
      <c r="I2123" s="44">
        <v>826.65997300000004</v>
      </c>
      <c r="J2123" s="44">
        <v>54.869999</v>
      </c>
      <c r="K2123" s="44">
        <v>110.949997</v>
      </c>
    </row>
    <row r="2124" spans="6:11" x14ac:dyDescent="0.3">
      <c r="F2124" s="43">
        <v>40967</v>
      </c>
      <c r="G2124" s="44">
        <v>1372.1800539999999</v>
      </c>
      <c r="H2124" s="44">
        <v>983.40997300000004</v>
      </c>
      <c r="I2124" s="44">
        <v>823.79998799999998</v>
      </c>
      <c r="J2124" s="44">
        <v>55.380001</v>
      </c>
      <c r="K2124" s="44">
        <v>110.870003</v>
      </c>
    </row>
    <row r="2125" spans="6:11" x14ac:dyDescent="0.3">
      <c r="F2125" s="43">
        <v>40968</v>
      </c>
      <c r="G2125" s="44">
        <v>1365.6800539999999</v>
      </c>
      <c r="H2125" s="44">
        <v>977.35998500000005</v>
      </c>
      <c r="I2125" s="44">
        <v>810.94000200000005</v>
      </c>
      <c r="J2125" s="44">
        <v>54.66</v>
      </c>
      <c r="K2125" s="44">
        <v>110.760002</v>
      </c>
    </row>
    <row r="2126" spans="6:11" x14ac:dyDescent="0.3">
      <c r="F2126" s="43">
        <v>40969</v>
      </c>
      <c r="G2126" s="44">
        <v>1374.089966</v>
      </c>
      <c r="H2126" s="44">
        <v>985.23999000000003</v>
      </c>
      <c r="I2126" s="44">
        <v>815.21997099999999</v>
      </c>
      <c r="J2126" s="44">
        <v>55.279998999999997</v>
      </c>
      <c r="K2126" s="44">
        <v>110.260002</v>
      </c>
    </row>
    <row r="2127" spans="6:11" x14ac:dyDescent="0.3">
      <c r="F2127" s="43">
        <v>40970</v>
      </c>
      <c r="G2127" s="44">
        <v>1369.630005</v>
      </c>
      <c r="H2127" s="44">
        <v>977.04998799999998</v>
      </c>
      <c r="I2127" s="44">
        <v>802.419983</v>
      </c>
      <c r="J2127" s="44">
        <v>54.77</v>
      </c>
      <c r="K2127" s="44">
        <v>110.5</v>
      </c>
    </row>
    <row r="2128" spans="6:11" x14ac:dyDescent="0.3">
      <c r="F2128" s="43">
        <v>40973</v>
      </c>
      <c r="G2128" s="44">
        <v>1364.329956</v>
      </c>
      <c r="H2128" s="44">
        <v>973.44000200000005</v>
      </c>
      <c r="I2128" s="44">
        <v>803.65002400000003</v>
      </c>
      <c r="J2128" s="44">
        <v>54.48</v>
      </c>
      <c r="K2128" s="44">
        <v>110.339996</v>
      </c>
    </row>
    <row r="2129" spans="6:11" x14ac:dyDescent="0.3">
      <c r="F2129" s="43">
        <v>40974</v>
      </c>
      <c r="G2129" s="44">
        <v>1343.3599850000001</v>
      </c>
      <c r="H2129" s="44">
        <v>954.85998500000005</v>
      </c>
      <c r="I2129" s="44">
        <v>787.09002699999996</v>
      </c>
      <c r="J2129" s="44">
        <v>52.740001999999997</v>
      </c>
      <c r="K2129" s="44">
        <v>110.55999799999999</v>
      </c>
    </row>
    <row r="2130" spans="6:11" x14ac:dyDescent="0.3">
      <c r="F2130" s="43">
        <v>40975</v>
      </c>
      <c r="G2130" s="44">
        <v>1352.630005</v>
      </c>
      <c r="H2130" s="44">
        <v>964.02002000000005</v>
      </c>
      <c r="I2130" s="44">
        <v>795.95001200000002</v>
      </c>
      <c r="J2130" s="44">
        <v>53.389999000000003</v>
      </c>
      <c r="K2130" s="44">
        <v>110.459999</v>
      </c>
    </row>
    <row r="2131" spans="6:11" x14ac:dyDescent="0.3">
      <c r="F2131" s="43">
        <v>40976</v>
      </c>
      <c r="G2131" s="44">
        <v>1365.910034</v>
      </c>
      <c r="H2131" s="44">
        <v>975.77002000000005</v>
      </c>
      <c r="I2131" s="44">
        <v>806.34002699999996</v>
      </c>
      <c r="J2131" s="44">
        <v>54.540000999999997</v>
      </c>
      <c r="K2131" s="44">
        <v>110.209999</v>
      </c>
    </row>
    <row r="2132" spans="6:11" x14ac:dyDescent="0.3">
      <c r="F2132" s="43">
        <v>40977</v>
      </c>
      <c r="G2132" s="44">
        <v>1370.869995</v>
      </c>
      <c r="H2132" s="44">
        <v>984.80999799999995</v>
      </c>
      <c r="I2132" s="44">
        <v>817</v>
      </c>
      <c r="J2132" s="44">
        <v>54.360000999999997</v>
      </c>
      <c r="K2132" s="44">
        <v>110.19000200000001</v>
      </c>
    </row>
    <row r="2133" spans="6:11" x14ac:dyDescent="0.3">
      <c r="F2133" s="43">
        <v>40980</v>
      </c>
      <c r="G2133" s="44">
        <v>1371.089966</v>
      </c>
      <c r="H2133" s="44">
        <v>980.71002199999998</v>
      </c>
      <c r="I2133" s="44">
        <v>814.28997800000002</v>
      </c>
      <c r="J2133" s="44">
        <v>54.220001000000003</v>
      </c>
      <c r="K2133" s="44">
        <v>110.290001</v>
      </c>
    </row>
    <row r="2134" spans="6:11" x14ac:dyDescent="0.3">
      <c r="F2134" s="43">
        <v>40981</v>
      </c>
      <c r="G2134" s="44">
        <v>1395.9499510000001</v>
      </c>
      <c r="H2134" s="44">
        <v>999.89001499999995</v>
      </c>
      <c r="I2134" s="44">
        <v>831.22997999999995</v>
      </c>
      <c r="J2134" s="44">
        <v>55.099997999999999</v>
      </c>
      <c r="K2134" s="44">
        <v>109.91999800000001</v>
      </c>
    </row>
    <row r="2135" spans="6:11" x14ac:dyDescent="0.3">
      <c r="F2135" s="43">
        <v>40982</v>
      </c>
      <c r="G2135" s="44">
        <v>1394.280029</v>
      </c>
      <c r="H2135" s="44">
        <v>992.59002699999996</v>
      </c>
      <c r="I2135" s="44">
        <v>823.40002400000003</v>
      </c>
      <c r="J2135" s="44">
        <v>54.610000999999997</v>
      </c>
      <c r="K2135" s="44">
        <v>109.32</v>
      </c>
    </row>
    <row r="2136" spans="6:11" x14ac:dyDescent="0.3">
      <c r="F2136" s="43">
        <v>40983</v>
      </c>
      <c r="G2136" s="44">
        <v>1402.599976</v>
      </c>
      <c r="H2136" s="44">
        <v>1001.650024</v>
      </c>
      <c r="I2136" s="44">
        <v>831.46002199999998</v>
      </c>
      <c r="J2136" s="44">
        <v>55.130001</v>
      </c>
      <c r="K2136" s="44">
        <v>109.269997</v>
      </c>
    </row>
    <row r="2137" spans="6:11" x14ac:dyDescent="0.3">
      <c r="F2137" s="43">
        <v>40984</v>
      </c>
      <c r="G2137" s="44">
        <v>1404.170044</v>
      </c>
      <c r="H2137" s="44">
        <v>1000.72998</v>
      </c>
      <c r="I2137" s="44">
        <v>830.17999299999997</v>
      </c>
      <c r="J2137" s="44">
        <v>55.509998000000003</v>
      </c>
      <c r="K2137" s="44">
        <v>109.279999</v>
      </c>
    </row>
    <row r="2138" spans="6:11" x14ac:dyDescent="0.3">
      <c r="F2138" s="43">
        <v>40987</v>
      </c>
      <c r="G2138" s="44">
        <v>1409.75</v>
      </c>
      <c r="H2138" s="44">
        <v>1003.080017</v>
      </c>
      <c r="I2138" s="44">
        <v>837.77002000000005</v>
      </c>
      <c r="J2138" s="44">
        <v>55.799999</v>
      </c>
      <c r="K2138" s="44">
        <v>108.93</v>
      </c>
    </row>
    <row r="2139" spans="6:11" x14ac:dyDescent="0.3">
      <c r="F2139" s="43">
        <v>40988</v>
      </c>
      <c r="G2139" s="44">
        <v>1405.5200199999999</v>
      </c>
      <c r="H2139" s="44">
        <v>996.080017</v>
      </c>
      <c r="I2139" s="44">
        <v>829.23999000000003</v>
      </c>
      <c r="J2139" s="44">
        <v>55.139999000000003</v>
      </c>
      <c r="K2139" s="44">
        <v>109.089996</v>
      </c>
    </row>
    <row r="2140" spans="6:11" x14ac:dyDescent="0.3">
      <c r="F2140" s="43">
        <v>40989</v>
      </c>
      <c r="G2140" s="44">
        <v>1402.8900149999999</v>
      </c>
      <c r="H2140" s="44">
        <v>995.53002900000001</v>
      </c>
      <c r="I2140" s="44">
        <v>829.919983</v>
      </c>
      <c r="J2140" s="44">
        <v>54.779998999999997</v>
      </c>
      <c r="K2140" s="44">
        <v>109.349998</v>
      </c>
    </row>
    <row r="2141" spans="6:11" x14ac:dyDescent="0.3">
      <c r="F2141" s="43">
        <v>40990</v>
      </c>
      <c r="G2141" s="44">
        <v>1392.780029</v>
      </c>
      <c r="H2141" s="44">
        <v>984.92999299999997</v>
      </c>
      <c r="I2141" s="44">
        <v>821.44000200000005</v>
      </c>
      <c r="J2141" s="44">
        <v>54.400002000000001</v>
      </c>
      <c r="K2141" s="44">
        <v>109.449997</v>
      </c>
    </row>
    <row r="2142" spans="6:11" x14ac:dyDescent="0.3">
      <c r="F2142" s="43">
        <v>40991</v>
      </c>
      <c r="G2142" s="44">
        <v>1397.1099850000001</v>
      </c>
      <c r="H2142" s="44">
        <v>990.92999299999997</v>
      </c>
      <c r="I2142" s="44">
        <v>830.03002900000001</v>
      </c>
      <c r="J2142" s="44">
        <v>54.779998999999997</v>
      </c>
      <c r="K2142" s="44">
        <v>109.699997</v>
      </c>
    </row>
    <row r="2143" spans="6:11" x14ac:dyDescent="0.3">
      <c r="F2143" s="43">
        <v>40994</v>
      </c>
      <c r="G2143" s="44">
        <v>1416.51001</v>
      </c>
      <c r="H2143" s="44">
        <v>1005.219971</v>
      </c>
      <c r="I2143" s="44">
        <v>846.13000499999998</v>
      </c>
      <c r="J2143" s="44">
        <v>55.48</v>
      </c>
      <c r="K2143" s="44">
        <v>109.620003</v>
      </c>
    </row>
    <row r="2144" spans="6:11" x14ac:dyDescent="0.3">
      <c r="F2144" s="43">
        <v>40995</v>
      </c>
      <c r="G2144" s="44">
        <v>1412.5200199999999</v>
      </c>
      <c r="H2144" s="44">
        <v>1001.460022</v>
      </c>
      <c r="I2144" s="44">
        <v>839.97997999999995</v>
      </c>
      <c r="J2144" s="44">
        <v>55.130001</v>
      </c>
      <c r="K2144" s="44">
        <v>109.739998</v>
      </c>
    </row>
    <row r="2145" spans="6:11" x14ac:dyDescent="0.3">
      <c r="F2145" s="43">
        <v>40996</v>
      </c>
      <c r="G2145" s="44">
        <v>1405.540039</v>
      </c>
      <c r="H2145" s="44">
        <v>995.830017</v>
      </c>
      <c r="I2145" s="44">
        <v>834.45001200000002</v>
      </c>
      <c r="J2145" s="44">
        <v>54.75</v>
      </c>
      <c r="K2145" s="44">
        <v>109.720001</v>
      </c>
    </row>
    <row r="2146" spans="6:11" x14ac:dyDescent="0.3">
      <c r="F2146" s="43">
        <v>40997</v>
      </c>
      <c r="G2146" s="44">
        <v>1403.280029</v>
      </c>
      <c r="H2146" s="44">
        <v>994.669983</v>
      </c>
      <c r="I2146" s="44">
        <v>832.21997099999999</v>
      </c>
      <c r="J2146" s="44">
        <v>54.400002000000001</v>
      </c>
      <c r="K2146" s="44">
        <v>110.019997</v>
      </c>
    </row>
    <row r="2147" spans="6:11" x14ac:dyDescent="0.3">
      <c r="F2147" s="43">
        <v>40998</v>
      </c>
      <c r="G2147" s="44">
        <v>1408.469971</v>
      </c>
      <c r="H2147" s="44">
        <v>994.29998799999998</v>
      </c>
      <c r="I2147" s="44">
        <v>830.29998799999998</v>
      </c>
      <c r="J2147" s="44">
        <v>54.889999000000003</v>
      </c>
      <c r="K2147" s="44">
        <v>109.849998</v>
      </c>
    </row>
    <row r="2148" spans="6:11" x14ac:dyDescent="0.3">
      <c r="F2148" s="43">
        <v>41001</v>
      </c>
      <c r="G2148" s="44">
        <v>1419.040039</v>
      </c>
      <c r="H2148" s="44">
        <v>999.19000200000005</v>
      </c>
      <c r="I2148" s="44">
        <v>840.63000499999998</v>
      </c>
      <c r="J2148" s="44">
        <v>55.529998999999997</v>
      </c>
      <c r="K2148" s="44">
        <v>109.620003</v>
      </c>
    </row>
    <row r="2149" spans="6:11" x14ac:dyDescent="0.3">
      <c r="F2149" s="43">
        <v>41002</v>
      </c>
      <c r="G2149" s="44">
        <v>1413.380005</v>
      </c>
      <c r="H2149" s="44">
        <v>1001.650024</v>
      </c>
      <c r="I2149" s="44">
        <v>834.79998799999998</v>
      </c>
      <c r="J2149" s="44">
        <v>54.560001</v>
      </c>
      <c r="K2149" s="44">
        <v>109.150002</v>
      </c>
    </row>
    <row r="2150" spans="6:11" x14ac:dyDescent="0.3">
      <c r="F2150" s="43">
        <v>41003</v>
      </c>
      <c r="G2150" s="44">
        <v>1398.959961</v>
      </c>
      <c r="H2150" s="44">
        <v>987.96002199999998</v>
      </c>
      <c r="I2150" s="44">
        <v>820.38000499999998</v>
      </c>
      <c r="J2150" s="44">
        <v>53.34</v>
      </c>
      <c r="K2150" s="44">
        <v>109.379997</v>
      </c>
    </row>
    <row r="2151" spans="6:11" x14ac:dyDescent="0.3">
      <c r="F2151" s="43">
        <v>41004</v>
      </c>
      <c r="G2151" s="44">
        <v>1398.079956</v>
      </c>
      <c r="H2151" s="44">
        <v>984.28002900000001</v>
      </c>
      <c r="I2151" s="44">
        <v>818.17999299999997</v>
      </c>
      <c r="J2151" s="44">
        <v>53.02</v>
      </c>
      <c r="K2151" s="44">
        <v>109.629997</v>
      </c>
    </row>
    <row r="2152" spans="6:11" x14ac:dyDescent="0.3">
      <c r="F2152" s="43">
        <v>41008</v>
      </c>
      <c r="G2152" s="44">
        <v>1382.1999510000001</v>
      </c>
      <c r="H2152" s="44">
        <v>971.30999799999995</v>
      </c>
      <c r="I2152" s="44">
        <v>803.46002199999998</v>
      </c>
      <c r="J2152" s="44">
        <v>52.790000999999997</v>
      </c>
      <c r="K2152" s="44">
        <v>110.110001</v>
      </c>
    </row>
    <row r="2153" spans="6:11" x14ac:dyDescent="0.3">
      <c r="F2153" s="43">
        <v>41009</v>
      </c>
      <c r="G2153" s="44">
        <v>1358.589966</v>
      </c>
      <c r="H2153" s="44">
        <v>948.42999299999997</v>
      </c>
      <c r="I2153" s="44">
        <v>784.15002400000003</v>
      </c>
      <c r="J2153" s="44">
        <v>51.66</v>
      </c>
      <c r="K2153" s="44">
        <v>110.120003</v>
      </c>
    </row>
    <row r="2154" spans="6:11" x14ac:dyDescent="0.3">
      <c r="F2154" s="43">
        <v>41010</v>
      </c>
      <c r="G2154" s="44">
        <v>1368.709961</v>
      </c>
      <c r="H2154" s="44">
        <v>959.44000200000005</v>
      </c>
      <c r="I2154" s="44">
        <v>796.59002699999996</v>
      </c>
      <c r="J2154" s="44">
        <v>52.380001</v>
      </c>
      <c r="K2154" s="44">
        <v>110.129997</v>
      </c>
    </row>
    <row r="2155" spans="6:11" x14ac:dyDescent="0.3">
      <c r="F2155" s="43">
        <v>41011</v>
      </c>
      <c r="G2155" s="44">
        <v>1387.5699460000001</v>
      </c>
      <c r="H2155" s="44">
        <v>977.17999299999997</v>
      </c>
      <c r="I2155" s="44">
        <v>808.59002699999996</v>
      </c>
      <c r="J2155" s="44">
        <v>53.34</v>
      </c>
      <c r="K2155" s="44">
        <v>110.019997</v>
      </c>
    </row>
    <row r="2156" spans="6:11" x14ac:dyDescent="0.3">
      <c r="F2156" s="43">
        <v>41012</v>
      </c>
      <c r="G2156" s="44">
        <v>1370.26001</v>
      </c>
      <c r="H2156" s="44">
        <v>964.40997300000004</v>
      </c>
      <c r="I2156" s="44">
        <v>796.28997800000002</v>
      </c>
      <c r="J2156" s="44">
        <v>52.32</v>
      </c>
      <c r="K2156" s="44">
        <v>110.360001</v>
      </c>
    </row>
    <row r="2157" spans="6:11" x14ac:dyDescent="0.3">
      <c r="F2157" s="43">
        <v>41015</v>
      </c>
      <c r="G2157" s="44">
        <v>1369.5699460000001</v>
      </c>
      <c r="H2157" s="44">
        <v>965.53997800000002</v>
      </c>
      <c r="I2157" s="44">
        <v>798.080017</v>
      </c>
      <c r="J2157" s="44">
        <v>52.700001</v>
      </c>
      <c r="K2157" s="44">
        <v>110.379997</v>
      </c>
    </row>
    <row r="2158" spans="6:11" x14ac:dyDescent="0.3">
      <c r="F2158" s="43">
        <v>41016</v>
      </c>
      <c r="G2158" s="44">
        <v>1390.780029</v>
      </c>
      <c r="H2158" s="44">
        <v>981.42999299999997</v>
      </c>
      <c r="I2158" s="44">
        <v>810.63000499999998</v>
      </c>
      <c r="J2158" s="44">
        <v>53.540000999999997</v>
      </c>
      <c r="K2158" s="44">
        <v>110.400002</v>
      </c>
    </row>
    <row r="2159" spans="6:11" x14ac:dyDescent="0.3">
      <c r="F2159" s="43">
        <v>41017</v>
      </c>
      <c r="G2159" s="44">
        <v>1385.1400149999999</v>
      </c>
      <c r="H2159" s="44">
        <v>977.86999500000002</v>
      </c>
      <c r="I2159" s="44">
        <v>803.32000700000003</v>
      </c>
      <c r="J2159" s="44">
        <v>53.259998000000003</v>
      </c>
      <c r="K2159" s="44">
        <v>110.540001</v>
      </c>
    </row>
    <row r="2160" spans="6:11" x14ac:dyDescent="0.3">
      <c r="F2160" s="43">
        <v>41018</v>
      </c>
      <c r="G2160" s="44">
        <v>1376.920044</v>
      </c>
      <c r="H2160" s="44">
        <v>973.82000700000003</v>
      </c>
      <c r="I2160" s="44">
        <v>798.90002400000003</v>
      </c>
      <c r="J2160" s="44">
        <v>52.939999</v>
      </c>
      <c r="K2160" s="44">
        <v>110.459999</v>
      </c>
    </row>
    <row r="2161" spans="6:11" x14ac:dyDescent="0.3">
      <c r="F2161" s="43">
        <v>41019</v>
      </c>
      <c r="G2161" s="44">
        <v>1378.530029</v>
      </c>
      <c r="H2161" s="44">
        <v>976.34997599999997</v>
      </c>
      <c r="I2161" s="44">
        <v>804.04998799999998</v>
      </c>
      <c r="J2161" s="44">
        <v>53.450001</v>
      </c>
      <c r="K2161" s="44">
        <v>110.480003</v>
      </c>
    </row>
    <row r="2162" spans="6:11" x14ac:dyDescent="0.3">
      <c r="F2162" s="43">
        <v>41022</v>
      </c>
      <c r="G2162" s="44">
        <v>1366.9399410000001</v>
      </c>
      <c r="H2162" s="44">
        <v>965.45001200000002</v>
      </c>
      <c r="I2162" s="44">
        <v>791.84997599999997</v>
      </c>
      <c r="J2162" s="44">
        <v>52.380001</v>
      </c>
      <c r="K2162" s="44">
        <v>110.589996</v>
      </c>
    </row>
    <row r="2163" spans="6:11" x14ac:dyDescent="0.3">
      <c r="F2163" s="43">
        <v>41023</v>
      </c>
      <c r="G2163" s="44">
        <v>1371.969971</v>
      </c>
      <c r="H2163" s="44">
        <v>968.21002199999998</v>
      </c>
      <c r="I2163" s="44">
        <v>798.04998799999998</v>
      </c>
      <c r="J2163" s="44">
        <v>52.799999</v>
      </c>
      <c r="K2163" s="44">
        <v>110.43</v>
      </c>
    </row>
    <row r="2164" spans="6:11" x14ac:dyDescent="0.3">
      <c r="F2164" s="43">
        <v>41024</v>
      </c>
      <c r="G2164" s="44">
        <v>1390.6899410000001</v>
      </c>
      <c r="H2164" s="44">
        <v>985.20001200000002</v>
      </c>
      <c r="I2164" s="44">
        <v>812.11999500000002</v>
      </c>
      <c r="J2164" s="44">
        <v>53.52</v>
      </c>
      <c r="K2164" s="44">
        <v>110.480003</v>
      </c>
    </row>
    <row r="2165" spans="6:11" x14ac:dyDescent="0.3">
      <c r="F2165" s="43">
        <v>41025</v>
      </c>
      <c r="G2165" s="44">
        <v>1399.9799800000001</v>
      </c>
      <c r="H2165" s="44">
        <v>994.69000200000005</v>
      </c>
      <c r="I2165" s="44">
        <v>818.330017</v>
      </c>
      <c r="J2165" s="44">
        <v>53.84</v>
      </c>
      <c r="K2165" s="44">
        <v>110.650002</v>
      </c>
    </row>
    <row r="2166" spans="6:11" x14ac:dyDescent="0.3">
      <c r="F2166" s="43">
        <v>41026</v>
      </c>
      <c r="G2166" s="44">
        <v>1403.3599850000001</v>
      </c>
      <c r="H2166" s="44">
        <v>999.40002400000003</v>
      </c>
      <c r="I2166" s="44">
        <v>825.46997099999999</v>
      </c>
      <c r="J2166" s="44">
        <v>54.060001</v>
      </c>
      <c r="K2166" s="44">
        <v>110.639999</v>
      </c>
    </row>
    <row r="2167" spans="6:11" x14ac:dyDescent="0.3">
      <c r="F2167" s="43">
        <v>41029</v>
      </c>
      <c r="G2167" s="44">
        <v>1397.910034</v>
      </c>
      <c r="H2167" s="44">
        <v>991.30999799999995</v>
      </c>
      <c r="I2167" s="44">
        <v>816.88000499999998</v>
      </c>
      <c r="J2167" s="44">
        <v>53.75</v>
      </c>
      <c r="K2167" s="44">
        <v>110.599998</v>
      </c>
    </row>
    <row r="2168" spans="6:11" x14ac:dyDescent="0.3">
      <c r="F2168" s="43">
        <v>41030</v>
      </c>
      <c r="G2168" s="44">
        <v>1405.8199460000001</v>
      </c>
      <c r="H2168" s="44">
        <v>995.10998500000005</v>
      </c>
      <c r="I2168" s="44">
        <v>815.89001499999995</v>
      </c>
      <c r="J2168" s="44">
        <v>53.970001000000003</v>
      </c>
      <c r="K2168" s="44">
        <v>110.33000199999999</v>
      </c>
    </row>
    <row r="2169" spans="6:11" x14ac:dyDescent="0.3">
      <c r="F2169" s="43">
        <v>41031</v>
      </c>
      <c r="G2169" s="44">
        <v>1402.3100589999999</v>
      </c>
      <c r="H2169" s="44">
        <v>997.03002900000001</v>
      </c>
      <c r="I2169" s="44">
        <v>818.59997599999997</v>
      </c>
      <c r="J2169" s="44">
        <v>53.549999</v>
      </c>
      <c r="K2169" s="44">
        <v>110.44000200000001</v>
      </c>
    </row>
    <row r="2170" spans="6:11" x14ac:dyDescent="0.3">
      <c r="F2170" s="43">
        <v>41032</v>
      </c>
      <c r="G2170" s="44">
        <v>1391.5699460000001</v>
      </c>
      <c r="H2170" s="44">
        <v>980.54998799999998</v>
      </c>
      <c r="I2170" s="44">
        <v>806.59002699999996</v>
      </c>
      <c r="J2170" s="44">
        <v>53.080002</v>
      </c>
      <c r="K2170" s="44">
        <v>110.55999799999999</v>
      </c>
    </row>
    <row r="2171" spans="6:11" x14ac:dyDescent="0.3">
      <c r="F2171" s="43">
        <v>41033</v>
      </c>
      <c r="G2171" s="44">
        <v>1369.099976</v>
      </c>
      <c r="H2171" s="44">
        <v>965.29998799999998</v>
      </c>
      <c r="I2171" s="44">
        <v>791.84002699999996</v>
      </c>
      <c r="J2171" s="44">
        <v>52.27</v>
      </c>
      <c r="K2171" s="44">
        <v>110.66999800000001</v>
      </c>
    </row>
    <row r="2172" spans="6:11" x14ac:dyDescent="0.3">
      <c r="F2172" s="43">
        <v>41036</v>
      </c>
      <c r="G2172" s="44">
        <v>1369.579956</v>
      </c>
      <c r="H2172" s="44">
        <v>968.96997099999999</v>
      </c>
      <c r="I2172" s="44">
        <v>793.80999799999995</v>
      </c>
      <c r="J2172" s="44">
        <v>52.650002000000001</v>
      </c>
      <c r="K2172" s="44">
        <v>110.709999</v>
      </c>
    </row>
    <row r="2173" spans="6:11" x14ac:dyDescent="0.3">
      <c r="F2173" s="43">
        <v>41037</v>
      </c>
      <c r="G2173" s="44">
        <v>1363.719971</v>
      </c>
      <c r="H2173" s="44">
        <v>967.080017</v>
      </c>
      <c r="I2173" s="44">
        <v>793.05999799999995</v>
      </c>
      <c r="J2173" s="44">
        <v>51.84</v>
      </c>
      <c r="K2173" s="44">
        <v>110.790001</v>
      </c>
    </row>
    <row r="2174" spans="6:11" x14ac:dyDescent="0.3">
      <c r="F2174" s="43">
        <v>41038</v>
      </c>
      <c r="G2174" s="44">
        <v>1354.579956</v>
      </c>
      <c r="H2174" s="44">
        <v>962.84997599999997</v>
      </c>
      <c r="I2174" s="44">
        <v>788.919983</v>
      </c>
      <c r="J2174" s="44">
        <v>51.240001999999997</v>
      </c>
      <c r="K2174" s="44">
        <v>110.82</v>
      </c>
    </row>
    <row r="2175" spans="6:11" x14ac:dyDescent="0.3">
      <c r="F2175" s="43">
        <v>41039</v>
      </c>
      <c r="G2175" s="44">
        <v>1357.98999</v>
      </c>
      <c r="H2175" s="44">
        <v>964.02002000000005</v>
      </c>
      <c r="I2175" s="44">
        <v>791.75</v>
      </c>
      <c r="J2175" s="44">
        <v>51.48</v>
      </c>
      <c r="K2175" s="44">
        <v>110.709999</v>
      </c>
    </row>
    <row r="2176" spans="6:11" x14ac:dyDescent="0.3">
      <c r="F2176" s="43">
        <v>41040</v>
      </c>
      <c r="G2176" s="44">
        <v>1353.3900149999999</v>
      </c>
      <c r="H2176" s="44">
        <v>964.52002000000005</v>
      </c>
      <c r="I2176" s="44">
        <v>790.05999799999995</v>
      </c>
      <c r="J2176" s="44">
        <v>51.16</v>
      </c>
      <c r="K2176" s="44">
        <v>110.790001</v>
      </c>
    </row>
    <row r="2177" spans="6:11" x14ac:dyDescent="0.3">
      <c r="F2177" s="43">
        <v>41043</v>
      </c>
      <c r="G2177" s="44">
        <v>1338.349976</v>
      </c>
      <c r="H2177" s="44">
        <v>953.21002199999998</v>
      </c>
      <c r="I2177" s="44">
        <v>778.95001200000002</v>
      </c>
      <c r="J2177" s="44">
        <v>50.18</v>
      </c>
      <c r="K2177" s="44">
        <v>111.040001</v>
      </c>
    </row>
    <row r="2178" spans="6:11" x14ac:dyDescent="0.3">
      <c r="F2178" s="43">
        <v>41044</v>
      </c>
      <c r="G2178" s="44">
        <v>1330.660034</v>
      </c>
      <c r="H2178" s="44">
        <v>948.97997999999995</v>
      </c>
      <c r="I2178" s="44">
        <v>777.35998500000005</v>
      </c>
      <c r="J2178" s="44">
        <v>49.549999</v>
      </c>
      <c r="K2178" s="44">
        <v>110.980003</v>
      </c>
    </row>
    <row r="2179" spans="6:11" x14ac:dyDescent="0.3">
      <c r="F2179" s="43">
        <v>41045</v>
      </c>
      <c r="G2179" s="44">
        <v>1324.8000489999999</v>
      </c>
      <c r="H2179" s="44">
        <v>940.90002400000003</v>
      </c>
      <c r="I2179" s="44">
        <v>772.10998500000005</v>
      </c>
      <c r="J2179" s="44">
        <v>49.060001</v>
      </c>
      <c r="K2179" s="44">
        <v>110.959999</v>
      </c>
    </row>
    <row r="2180" spans="6:11" x14ac:dyDescent="0.3">
      <c r="F2180" s="43">
        <v>41046</v>
      </c>
      <c r="G2180" s="44">
        <v>1304.8599850000001</v>
      </c>
      <c r="H2180" s="44">
        <v>915.98999000000003</v>
      </c>
      <c r="I2180" s="44">
        <v>754.330017</v>
      </c>
      <c r="J2180" s="44">
        <v>48.459999000000003</v>
      </c>
      <c r="K2180" s="44">
        <v>111.029999</v>
      </c>
    </row>
    <row r="2181" spans="6:11" x14ac:dyDescent="0.3">
      <c r="F2181" s="43">
        <v>41047</v>
      </c>
      <c r="G2181" s="44">
        <v>1295.219971</v>
      </c>
      <c r="H2181" s="44">
        <v>905.28002900000001</v>
      </c>
      <c r="I2181" s="44">
        <v>747.21002199999998</v>
      </c>
      <c r="J2181" s="44">
        <v>48.110000999999997</v>
      </c>
      <c r="K2181" s="44">
        <v>111</v>
      </c>
    </row>
    <row r="2182" spans="6:11" x14ac:dyDescent="0.3">
      <c r="F2182" s="43">
        <v>41050</v>
      </c>
      <c r="G2182" s="44">
        <v>1315.98999</v>
      </c>
      <c r="H2182" s="44">
        <v>925.63000499999998</v>
      </c>
      <c r="I2182" s="44">
        <v>764.64001499999995</v>
      </c>
      <c r="J2182" s="44">
        <v>49.169998</v>
      </c>
      <c r="K2182" s="44">
        <v>110.980003</v>
      </c>
    </row>
    <row r="2183" spans="6:11" x14ac:dyDescent="0.3">
      <c r="F2183" s="43">
        <v>41051</v>
      </c>
      <c r="G2183" s="44">
        <v>1316.630005</v>
      </c>
      <c r="H2183" s="44">
        <v>927.47997999999995</v>
      </c>
      <c r="I2183" s="44">
        <v>759.63000499999998</v>
      </c>
      <c r="J2183" s="44">
        <v>48.990001999999997</v>
      </c>
      <c r="K2183" s="44">
        <v>110.709999</v>
      </c>
    </row>
    <row r="2184" spans="6:11" x14ac:dyDescent="0.3">
      <c r="F2184" s="43">
        <v>41052</v>
      </c>
      <c r="G2184" s="44">
        <v>1318.8599850000001</v>
      </c>
      <c r="H2184" s="44">
        <v>933.32000700000003</v>
      </c>
      <c r="I2184" s="44">
        <v>765.169983</v>
      </c>
      <c r="J2184" s="44">
        <v>48.59</v>
      </c>
      <c r="K2184" s="44">
        <v>110.839996</v>
      </c>
    </row>
    <row r="2185" spans="6:11" x14ac:dyDescent="0.3">
      <c r="F2185" s="43">
        <v>41053</v>
      </c>
      <c r="G2185" s="44">
        <v>1320.6800539999999</v>
      </c>
      <c r="H2185" s="44">
        <v>936.080017</v>
      </c>
      <c r="I2185" s="44">
        <v>766.57000700000003</v>
      </c>
      <c r="J2185" s="44">
        <v>48.27</v>
      </c>
      <c r="K2185" s="44">
        <v>110.75</v>
      </c>
    </row>
    <row r="2186" spans="6:11" x14ac:dyDescent="0.3">
      <c r="F2186" s="43">
        <v>41054</v>
      </c>
      <c r="G2186" s="44">
        <v>1317.8199460000001</v>
      </c>
      <c r="H2186" s="44">
        <v>934.55999799999995</v>
      </c>
      <c r="I2186" s="44">
        <v>766.40997300000004</v>
      </c>
      <c r="J2186" s="44">
        <v>48.099997999999999</v>
      </c>
      <c r="K2186" s="44">
        <v>110.91999800000001</v>
      </c>
    </row>
    <row r="2187" spans="6:11" x14ac:dyDescent="0.3">
      <c r="F2187" s="43">
        <v>41058</v>
      </c>
      <c r="G2187" s="44">
        <v>1332.420044</v>
      </c>
      <c r="H2187" s="44">
        <v>946.29998799999998</v>
      </c>
      <c r="I2187" s="44">
        <v>777.15997300000004</v>
      </c>
      <c r="J2187" s="44">
        <v>48.709999000000003</v>
      </c>
      <c r="K2187" s="44">
        <v>110.860001</v>
      </c>
    </row>
    <row r="2188" spans="6:11" x14ac:dyDescent="0.3">
      <c r="F2188" s="43">
        <v>41059</v>
      </c>
      <c r="G2188" s="44">
        <v>1313.3199460000001</v>
      </c>
      <c r="H2188" s="44">
        <v>927.95001200000002</v>
      </c>
      <c r="I2188" s="44">
        <v>762</v>
      </c>
      <c r="J2188" s="44">
        <v>47.560001</v>
      </c>
      <c r="K2188" s="44">
        <v>111.230003</v>
      </c>
    </row>
    <row r="2189" spans="6:11" x14ac:dyDescent="0.3">
      <c r="F2189" s="43">
        <v>41060</v>
      </c>
      <c r="G2189" s="44">
        <v>1310.329956</v>
      </c>
      <c r="H2189" s="44">
        <v>925.63000499999998</v>
      </c>
      <c r="I2189" s="44">
        <v>761.82000700000003</v>
      </c>
      <c r="J2189" s="44">
        <v>47.759998000000003</v>
      </c>
      <c r="K2189" s="44">
        <v>111.55999799999999</v>
      </c>
    </row>
    <row r="2190" spans="6:11" x14ac:dyDescent="0.3">
      <c r="F2190" s="43">
        <v>41061</v>
      </c>
      <c r="G2190" s="44">
        <v>1278.040039</v>
      </c>
      <c r="H2190" s="44">
        <v>896.169983</v>
      </c>
      <c r="I2190" s="44">
        <v>737.419983</v>
      </c>
      <c r="J2190" s="44">
        <v>46.549999</v>
      </c>
      <c r="K2190" s="44">
        <v>111.599998</v>
      </c>
    </row>
    <row r="2191" spans="6:11" x14ac:dyDescent="0.3">
      <c r="F2191" s="43">
        <v>41064</v>
      </c>
      <c r="G2191" s="44">
        <v>1278.1800539999999</v>
      </c>
      <c r="H2191" s="44">
        <v>891.32000700000003</v>
      </c>
      <c r="I2191" s="44">
        <v>737.23999000000003</v>
      </c>
      <c r="J2191" s="44">
        <v>46.939999</v>
      </c>
      <c r="K2191" s="44">
        <v>111.339996</v>
      </c>
    </row>
    <row r="2192" spans="6:11" x14ac:dyDescent="0.3">
      <c r="F2192" s="43">
        <v>41065</v>
      </c>
      <c r="G2192" s="44">
        <v>1285.5</v>
      </c>
      <c r="H2192" s="44">
        <v>902.669983</v>
      </c>
      <c r="I2192" s="44">
        <v>746.09002699999996</v>
      </c>
      <c r="J2192" s="44">
        <v>47.279998999999997</v>
      </c>
      <c r="K2192" s="44">
        <v>111.110001</v>
      </c>
    </row>
    <row r="2193" spans="6:11" x14ac:dyDescent="0.3">
      <c r="F2193" s="43">
        <v>41066</v>
      </c>
      <c r="G2193" s="44">
        <v>1315.130005</v>
      </c>
      <c r="H2193" s="44">
        <v>922.48999000000003</v>
      </c>
      <c r="I2193" s="44">
        <v>765.169983</v>
      </c>
      <c r="J2193" s="44">
        <v>48.599997999999999</v>
      </c>
      <c r="K2193" s="44">
        <v>110.779999</v>
      </c>
    </row>
    <row r="2194" spans="6:11" x14ac:dyDescent="0.3">
      <c r="F2194" s="43">
        <v>41067</v>
      </c>
      <c r="G2194" s="44">
        <v>1314.98999</v>
      </c>
      <c r="H2194" s="44">
        <v>918.05999799999995</v>
      </c>
      <c r="I2194" s="44">
        <v>760.34002699999996</v>
      </c>
      <c r="J2194" s="44">
        <v>48.669998</v>
      </c>
      <c r="K2194" s="44">
        <v>110.949997</v>
      </c>
    </row>
    <row r="2195" spans="6:11" x14ac:dyDescent="0.3">
      <c r="F2195" s="43">
        <v>41068</v>
      </c>
      <c r="G2195" s="44">
        <v>1325.660034</v>
      </c>
      <c r="H2195" s="44">
        <v>925.97997999999995</v>
      </c>
      <c r="I2195" s="44">
        <v>769.19000200000005</v>
      </c>
      <c r="J2195" s="44">
        <v>48.509998000000003</v>
      </c>
      <c r="K2195" s="44">
        <v>110.900002</v>
      </c>
    </row>
    <row r="2196" spans="6:11" x14ac:dyDescent="0.3">
      <c r="F2196" s="43">
        <v>41071</v>
      </c>
      <c r="G2196" s="44">
        <v>1308.9300539999999</v>
      </c>
      <c r="H2196" s="44">
        <v>907.23999000000003</v>
      </c>
      <c r="I2196" s="44">
        <v>751.01000999999997</v>
      </c>
      <c r="J2196" s="44">
        <v>48.040000999999997</v>
      </c>
      <c r="K2196" s="44">
        <v>111</v>
      </c>
    </row>
    <row r="2197" spans="6:11" x14ac:dyDescent="0.3">
      <c r="F2197" s="43">
        <v>41072</v>
      </c>
      <c r="G2197" s="44">
        <v>1324.1800539999999</v>
      </c>
      <c r="H2197" s="44">
        <v>916.84002699999996</v>
      </c>
      <c r="I2197" s="44">
        <v>761.53002900000001</v>
      </c>
      <c r="J2197" s="44">
        <v>48.84</v>
      </c>
      <c r="K2197" s="44">
        <v>110.910004</v>
      </c>
    </row>
    <row r="2198" spans="6:11" x14ac:dyDescent="0.3">
      <c r="F2198" s="43">
        <v>41073</v>
      </c>
      <c r="G2198" s="44">
        <v>1314.880005</v>
      </c>
      <c r="H2198" s="44">
        <v>903.95001200000002</v>
      </c>
      <c r="I2198" s="44">
        <v>752.38000499999998</v>
      </c>
      <c r="J2198" s="44">
        <v>48.450001</v>
      </c>
      <c r="K2198" s="44">
        <v>111.199997</v>
      </c>
    </row>
    <row r="2199" spans="6:11" x14ac:dyDescent="0.3">
      <c r="F2199" s="43">
        <v>41074</v>
      </c>
      <c r="G2199" s="44">
        <v>1329.099976</v>
      </c>
      <c r="H2199" s="44">
        <v>910.78002900000001</v>
      </c>
      <c r="I2199" s="44">
        <v>762.34002699999996</v>
      </c>
      <c r="J2199" s="44">
        <v>48.810001</v>
      </c>
      <c r="K2199" s="44">
        <v>111.120003</v>
      </c>
    </row>
    <row r="2200" spans="6:11" x14ac:dyDescent="0.3">
      <c r="F2200" s="43">
        <v>41075</v>
      </c>
      <c r="G2200" s="44">
        <v>1342.839966</v>
      </c>
      <c r="H2200" s="44">
        <v>920.26000999999997</v>
      </c>
      <c r="I2200" s="44">
        <v>771.32000700000003</v>
      </c>
      <c r="J2200" s="44">
        <v>49.5</v>
      </c>
      <c r="K2200" s="44">
        <v>111.379997</v>
      </c>
    </row>
    <row r="2201" spans="6:11" x14ac:dyDescent="0.3">
      <c r="F2201" s="43">
        <v>41078</v>
      </c>
      <c r="G2201" s="44">
        <v>1344.780029</v>
      </c>
      <c r="H2201" s="44">
        <v>928.02002000000005</v>
      </c>
      <c r="I2201" s="44">
        <v>772.53002900000001</v>
      </c>
      <c r="J2201" s="44">
        <v>49.360000999999997</v>
      </c>
      <c r="K2201" s="44">
        <v>111.349998</v>
      </c>
    </row>
    <row r="2202" spans="6:11" x14ac:dyDescent="0.3">
      <c r="F2202" s="43">
        <v>41079</v>
      </c>
      <c r="G2202" s="44">
        <v>1357.9799800000001</v>
      </c>
      <c r="H2202" s="44">
        <v>938.04998799999998</v>
      </c>
      <c r="I2202" s="44">
        <v>786.42999299999997</v>
      </c>
      <c r="J2202" s="44">
        <v>50.18</v>
      </c>
      <c r="K2202" s="44">
        <v>111.220001</v>
      </c>
    </row>
    <row r="2203" spans="6:11" x14ac:dyDescent="0.3">
      <c r="F2203" s="43">
        <v>41080</v>
      </c>
      <c r="G2203" s="44">
        <v>1355.6899410000001</v>
      </c>
      <c r="H2203" s="44">
        <v>936.54998799999998</v>
      </c>
      <c r="I2203" s="44">
        <v>784.04998799999998</v>
      </c>
      <c r="J2203" s="44">
        <v>50.470001000000003</v>
      </c>
      <c r="K2203" s="44">
        <v>111.050003</v>
      </c>
    </row>
    <row r="2204" spans="6:11" x14ac:dyDescent="0.3">
      <c r="F2204" s="43">
        <v>41081</v>
      </c>
      <c r="G2204" s="44">
        <v>1325.51001</v>
      </c>
      <c r="H2204" s="44">
        <v>910.94000200000005</v>
      </c>
      <c r="I2204" s="44">
        <v>764.830017</v>
      </c>
      <c r="J2204" s="44">
        <v>48.029998999999997</v>
      </c>
      <c r="K2204" s="44">
        <v>111.199997</v>
      </c>
    </row>
    <row r="2205" spans="6:11" x14ac:dyDescent="0.3">
      <c r="F2205" s="43">
        <v>41082</v>
      </c>
      <c r="G2205" s="44">
        <v>1335.0200199999999</v>
      </c>
      <c r="H2205" s="44">
        <v>916.14001499999995</v>
      </c>
      <c r="I2205" s="44">
        <v>775.15997300000004</v>
      </c>
      <c r="J2205" s="44">
        <v>48.439999</v>
      </c>
      <c r="K2205" s="44">
        <v>111.040001</v>
      </c>
    </row>
    <row r="2206" spans="6:11" x14ac:dyDescent="0.3">
      <c r="F2206" s="43">
        <v>41085</v>
      </c>
      <c r="G2206" s="44">
        <v>1313.719971</v>
      </c>
      <c r="H2206" s="44">
        <v>899.42999299999997</v>
      </c>
      <c r="I2206" s="44">
        <v>761.90002400000003</v>
      </c>
      <c r="J2206" s="44">
        <v>47.360000999999997</v>
      </c>
      <c r="K2206" s="44">
        <v>111.389999</v>
      </c>
    </row>
    <row r="2207" spans="6:11" x14ac:dyDescent="0.3">
      <c r="F2207" s="43">
        <v>41086</v>
      </c>
      <c r="G2207" s="44">
        <v>1319.98999</v>
      </c>
      <c r="H2207" s="44">
        <v>905.20001200000002</v>
      </c>
      <c r="I2207" s="44">
        <v>765.02002000000005</v>
      </c>
      <c r="J2207" s="44">
        <v>47.669998</v>
      </c>
      <c r="K2207" s="44">
        <v>111.269997</v>
      </c>
    </row>
    <row r="2208" spans="6:11" x14ac:dyDescent="0.3">
      <c r="F2208" s="43">
        <v>41087</v>
      </c>
      <c r="G2208" s="44">
        <v>1331.849976</v>
      </c>
      <c r="H2208" s="44">
        <v>913.15997300000004</v>
      </c>
      <c r="I2208" s="44">
        <v>776.23999000000003</v>
      </c>
      <c r="J2208" s="44">
        <v>48.119999</v>
      </c>
      <c r="K2208" s="44">
        <v>111.32</v>
      </c>
    </row>
    <row r="2209" spans="6:11" x14ac:dyDescent="0.3">
      <c r="F2209" s="43">
        <v>41088</v>
      </c>
      <c r="G2209" s="44">
        <v>1329.040039</v>
      </c>
      <c r="H2209" s="44">
        <v>915.73999000000003</v>
      </c>
      <c r="I2209" s="44">
        <v>775.89001499999995</v>
      </c>
      <c r="J2209" s="44">
        <v>48.220001000000003</v>
      </c>
      <c r="K2209" s="44">
        <v>111.449997</v>
      </c>
    </row>
    <row r="2210" spans="6:11" x14ac:dyDescent="0.3">
      <c r="F2210" s="43">
        <v>41089</v>
      </c>
      <c r="G2210" s="44">
        <v>1362.160034</v>
      </c>
      <c r="H2210" s="44">
        <v>941.64001499999995</v>
      </c>
      <c r="I2210" s="44">
        <v>798.48999000000003</v>
      </c>
      <c r="J2210" s="44">
        <v>49.959999000000003</v>
      </c>
      <c r="K2210" s="44">
        <v>111.300003</v>
      </c>
    </row>
    <row r="2211" spans="6:11" x14ac:dyDescent="0.3">
      <c r="F2211" s="43">
        <v>41092</v>
      </c>
      <c r="G2211" s="44">
        <v>1365.51001</v>
      </c>
      <c r="H2211" s="44">
        <v>947.84002699999996</v>
      </c>
      <c r="I2211" s="44">
        <v>807.94000200000005</v>
      </c>
      <c r="J2211" s="44">
        <v>50.290000999999997</v>
      </c>
      <c r="K2211" s="44">
        <v>111.290001</v>
      </c>
    </row>
    <row r="2212" spans="6:11" x14ac:dyDescent="0.3">
      <c r="F2212" s="43">
        <v>41093</v>
      </c>
      <c r="G2212" s="44">
        <v>1374.0200199999999</v>
      </c>
      <c r="H2212" s="44">
        <v>958.92999299999997</v>
      </c>
      <c r="I2212" s="44">
        <v>818.48999000000003</v>
      </c>
      <c r="J2212" s="44">
        <v>50.75</v>
      </c>
      <c r="K2212" s="44">
        <v>111.209999</v>
      </c>
    </row>
    <row r="2213" spans="6:11" x14ac:dyDescent="0.3">
      <c r="F2213" s="43">
        <v>41095</v>
      </c>
      <c r="G2213" s="44">
        <v>1367.579956</v>
      </c>
      <c r="H2213" s="44">
        <v>959.15002400000003</v>
      </c>
      <c r="I2213" s="44">
        <v>817.42999299999997</v>
      </c>
      <c r="J2213" s="44">
        <v>49.91</v>
      </c>
      <c r="K2213" s="44">
        <v>111.5</v>
      </c>
    </row>
    <row r="2214" spans="6:11" x14ac:dyDescent="0.3">
      <c r="F2214" s="43">
        <v>41096</v>
      </c>
      <c r="G2214" s="44">
        <v>1354.6800539999999</v>
      </c>
      <c r="H2214" s="44">
        <v>947.27002000000005</v>
      </c>
      <c r="I2214" s="44">
        <v>807.14001499999995</v>
      </c>
      <c r="J2214" s="44">
        <v>49.439999</v>
      </c>
      <c r="K2214" s="44">
        <v>111.58000199999999</v>
      </c>
    </row>
    <row r="2215" spans="6:11" x14ac:dyDescent="0.3">
      <c r="F2215" s="43">
        <v>41099</v>
      </c>
      <c r="G2215" s="44">
        <v>1352.459961</v>
      </c>
      <c r="H2215" s="44">
        <v>944.38000499999998</v>
      </c>
      <c r="I2215" s="44">
        <v>804.79998799999998</v>
      </c>
      <c r="J2215" s="44">
        <v>49.330002</v>
      </c>
      <c r="K2215" s="44">
        <v>111.800003</v>
      </c>
    </row>
    <row r="2216" spans="6:11" x14ac:dyDescent="0.3">
      <c r="F2216" s="43">
        <v>41100</v>
      </c>
      <c r="G2216" s="44">
        <v>1341.469971</v>
      </c>
      <c r="H2216" s="44">
        <v>934.30999799999995</v>
      </c>
      <c r="I2216" s="44">
        <v>795.169983</v>
      </c>
      <c r="J2216" s="44">
        <v>49</v>
      </c>
      <c r="K2216" s="44">
        <v>111.849998</v>
      </c>
    </row>
    <row r="2217" spans="6:11" x14ac:dyDescent="0.3">
      <c r="F2217" s="43">
        <v>41101</v>
      </c>
      <c r="G2217" s="44">
        <v>1341.4499510000001</v>
      </c>
      <c r="H2217" s="44">
        <v>931.40997300000004</v>
      </c>
      <c r="I2217" s="44">
        <v>792.26000999999997</v>
      </c>
      <c r="J2217" s="44">
        <v>49.150002000000001</v>
      </c>
      <c r="K2217" s="44">
        <v>111.839996</v>
      </c>
    </row>
    <row r="2218" spans="6:11" x14ac:dyDescent="0.3">
      <c r="F2218" s="43">
        <v>41102</v>
      </c>
      <c r="G2218" s="44">
        <v>1334.76001</v>
      </c>
      <c r="H2218" s="44">
        <v>928.40002400000003</v>
      </c>
      <c r="I2218" s="44">
        <v>789.61999500000002</v>
      </c>
      <c r="J2218" s="44">
        <v>48.66</v>
      </c>
      <c r="K2218" s="44">
        <v>112.040001</v>
      </c>
    </row>
    <row r="2219" spans="6:11" x14ac:dyDescent="0.3">
      <c r="F2219" s="43">
        <v>41103</v>
      </c>
      <c r="G2219" s="44">
        <v>1356.780029</v>
      </c>
      <c r="H2219" s="44">
        <v>942.57000700000003</v>
      </c>
      <c r="I2219" s="44">
        <v>800.98999000000003</v>
      </c>
      <c r="J2219" s="44">
        <v>49.349997999999999</v>
      </c>
      <c r="K2219" s="44">
        <v>112.08000199999999</v>
      </c>
    </row>
    <row r="2220" spans="6:11" x14ac:dyDescent="0.3">
      <c r="F2220" s="43">
        <v>41106</v>
      </c>
      <c r="G2220" s="44">
        <v>1353.6400149999999</v>
      </c>
      <c r="H2220" s="44">
        <v>937.23999000000003</v>
      </c>
      <c r="I2220" s="44">
        <v>796.65997300000004</v>
      </c>
      <c r="J2220" s="44">
        <v>49.34</v>
      </c>
      <c r="K2220" s="44">
        <v>112.16999800000001</v>
      </c>
    </row>
    <row r="2221" spans="6:11" x14ac:dyDescent="0.3">
      <c r="F2221" s="43">
        <v>41107</v>
      </c>
      <c r="G2221" s="44">
        <v>1363.670044</v>
      </c>
      <c r="H2221" s="44">
        <v>942.47997999999995</v>
      </c>
      <c r="I2221" s="44">
        <v>799.45001200000002</v>
      </c>
      <c r="J2221" s="44">
        <v>49.48</v>
      </c>
      <c r="K2221" s="44">
        <v>112.129997</v>
      </c>
    </row>
    <row r="2222" spans="6:11" x14ac:dyDescent="0.3">
      <c r="F2222" s="43">
        <v>41108</v>
      </c>
      <c r="G2222" s="44">
        <v>1372.780029</v>
      </c>
      <c r="H2222" s="44">
        <v>949.46997099999999</v>
      </c>
      <c r="I2222" s="44">
        <v>805.05999799999995</v>
      </c>
      <c r="J2222" s="44">
        <v>49.869999</v>
      </c>
      <c r="K2222" s="44">
        <v>112.349998</v>
      </c>
    </row>
    <row r="2223" spans="6:11" x14ac:dyDescent="0.3">
      <c r="F2223" s="43">
        <v>41109</v>
      </c>
      <c r="G2223" s="44">
        <v>1376.51001</v>
      </c>
      <c r="H2223" s="44">
        <v>950.03997800000002</v>
      </c>
      <c r="I2223" s="44">
        <v>802.169983</v>
      </c>
      <c r="J2223" s="44">
        <v>50.330002</v>
      </c>
      <c r="K2223" s="44">
        <v>112.260002</v>
      </c>
    </row>
    <row r="2224" spans="6:11" x14ac:dyDescent="0.3">
      <c r="F2224" s="43">
        <v>41110</v>
      </c>
      <c r="G2224" s="44">
        <v>1362.660034</v>
      </c>
      <c r="H2224" s="44">
        <v>939.71002199999998</v>
      </c>
      <c r="I2224" s="44">
        <v>791.53997800000002</v>
      </c>
      <c r="J2224" s="44">
        <v>49.150002000000001</v>
      </c>
      <c r="K2224" s="44">
        <v>112.41999800000001</v>
      </c>
    </row>
    <row r="2225" spans="6:11" x14ac:dyDescent="0.3">
      <c r="F2225" s="43">
        <v>41113</v>
      </c>
      <c r="G2225" s="44">
        <v>1350.5200199999999</v>
      </c>
      <c r="H2225" s="44">
        <v>927.80999799999995</v>
      </c>
      <c r="I2225" s="44">
        <v>778.90002400000003</v>
      </c>
      <c r="J2225" s="44">
        <v>48.139999000000003</v>
      </c>
      <c r="K2225" s="44">
        <v>112.519997</v>
      </c>
    </row>
    <row r="2226" spans="6:11" x14ac:dyDescent="0.3">
      <c r="F2226" s="43">
        <v>41114</v>
      </c>
      <c r="G2226" s="44">
        <v>1338.3100589999999</v>
      </c>
      <c r="H2226" s="44">
        <v>914.96997099999999</v>
      </c>
      <c r="I2226" s="44">
        <v>767.75</v>
      </c>
      <c r="J2226" s="44">
        <v>47.619999</v>
      </c>
      <c r="K2226" s="44">
        <v>112.660004</v>
      </c>
    </row>
    <row r="2227" spans="6:11" x14ac:dyDescent="0.3">
      <c r="F2227" s="43">
        <v>41115</v>
      </c>
      <c r="G2227" s="44">
        <v>1337.8900149999999</v>
      </c>
      <c r="H2227" s="44">
        <v>916.15997300000004</v>
      </c>
      <c r="I2227" s="44">
        <v>769.30999799999995</v>
      </c>
      <c r="J2227" s="44">
        <v>47.869999</v>
      </c>
      <c r="K2227" s="44">
        <v>112.699997</v>
      </c>
    </row>
    <row r="2228" spans="6:11" x14ac:dyDescent="0.3">
      <c r="F2228" s="43">
        <v>41116</v>
      </c>
      <c r="G2228" s="44">
        <v>1360.0200199999999</v>
      </c>
      <c r="H2228" s="44">
        <v>929.54998799999998</v>
      </c>
      <c r="I2228" s="44">
        <v>777.10998500000005</v>
      </c>
      <c r="J2228" s="44">
        <v>49.330002</v>
      </c>
      <c r="K2228" s="44">
        <v>112.629997</v>
      </c>
    </row>
    <row r="2229" spans="6:11" x14ac:dyDescent="0.3">
      <c r="F2229" s="43">
        <v>41117</v>
      </c>
      <c r="G2229" s="44">
        <v>1385.969971</v>
      </c>
      <c r="H2229" s="44">
        <v>949.15002400000003</v>
      </c>
      <c r="I2229" s="44">
        <v>796</v>
      </c>
      <c r="J2229" s="44">
        <v>50.369999</v>
      </c>
      <c r="K2229" s="44">
        <v>112.290001</v>
      </c>
    </row>
    <row r="2230" spans="6:11" x14ac:dyDescent="0.3">
      <c r="F2230" s="43">
        <v>41120</v>
      </c>
      <c r="G2230" s="44">
        <v>1385.3000489999999</v>
      </c>
      <c r="H2230" s="44">
        <v>946.69000200000005</v>
      </c>
      <c r="I2230" s="44">
        <v>791.580017</v>
      </c>
      <c r="J2230" s="44">
        <v>50.310001</v>
      </c>
      <c r="K2230" s="44">
        <v>112.480003</v>
      </c>
    </row>
    <row r="2231" spans="6:11" x14ac:dyDescent="0.3">
      <c r="F2231" s="43">
        <v>41121</v>
      </c>
      <c r="G2231" s="44">
        <v>1379.3199460000001</v>
      </c>
      <c r="H2231" s="44">
        <v>940.47997999999995</v>
      </c>
      <c r="I2231" s="44">
        <v>786.94000200000005</v>
      </c>
      <c r="J2231" s="44">
        <v>50</v>
      </c>
      <c r="K2231" s="44">
        <v>112.589996</v>
      </c>
    </row>
    <row r="2232" spans="6:11" x14ac:dyDescent="0.3">
      <c r="F2232" s="43">
        <v>41122</v>
      </c>
      <c r="G2232" s="44">
        <v>1375.3199460000001</v>
      </c>
      <c r="H2232" s="44">
        <v>931.78002900000001</v>
      </c>
      <c r="I2232" s="44">
        <v>771.13000499999998</v>
      </c>
      <c r="J2232" s="44">
        <v>50.009998000000003</v>
      </c>
      <c r="K2232" s="44">
        <v>112.239998</v>
      </c>
    </row>
    <row r="2233" spans="6:11" x14ac:dyDescent="0.3">
      <c r="F2233" s="43">
        <v>41123</v>
      </c>
      <c r="G2233" s="44">
        <v>1365</v>
      </c>
      <c r="H2233" s="44">
        <v>926.19000200000005</v>
      </c>
      <c r="I2233" s="44">
        <v>768.59997599999997</v>
      </c>
      <c r="J2233" s="44">
        <v>49.310001</v>
      </c>
      <c r="K2233" s="44">
        <v>112.260002</v>
      </c>
    </row>
    <row r="2234" spans="6:11" x14ac:dyDescent="0.3">
      <c r="F2234" s="43">
        <v>41124</v>
      </c>
      <c r="G2234" s="44">
        <v>1390.98999</v>
      </c>
      <c r="H2234" s="44">
        <v>944.67999299999997</v>
      </c>
      <c r="I2234" s="44">
        <v>788.47997999999995</v>
      </c>
      <c r="J2234" s="44">
        <v>50.990001999999997</v>
      </c>
      <c r="K2234" s="44">
        <v>111.989998</v>
      </c>
    </row>
    <row r="2235" spans="6:11" x14ac:dyDescent="0.3">
      <c r="F2235" s="43">
        <v>41127</v>
      </c>
      <c r="G2235" s="44">
        <v>1394.2299800000001</v>
      </c>
      <c r="H2235" s="44">
        <v>949.36999500000002</v>
      </c>
      <c r="I2235" s="44">
        <v>794.34997599999997</v>
      </c>
      <c r="J2235" s="44">
        <v>51.349997999999999</v>
      </c>
      <c r="K2235" s="44">
        <v>112.160004</v>
      </c>
    </row>
    <row r="2236" spans="6:11" x14ac:dyDescent="0.3">
      <c r="F2236" s="43">
        <v>41128</v>
      </c>
      <c r="G2236" s="44">
        <v>1401.349976</v>
      </c>
      <c r="H2236" s="44">
        <v>958.75</v>
      </c>
      <c r="I2236" s="44">
        <v>801.34002699999996</v>
      </c>
      <c r="J2236" s="44">
        <v>51.779998999999997</v>
      </c>
      <c r="K2236" s="44">
        <v>111.860001</v>
      </c>
    </row>
    <row r="2237" spans="6:11" x14ac:dyDescent="0.3">
      <c r="F2237" s="43">
        <v>41129</v>
      </c>
      <c r="G2237" s="44">
        <v>1402.219971</v>
      </c>
      <c r="H2237" s="44">
        <v>959.26000999999997</v>
      </c>
      <c r="I2237" s="44">
        <v>800.15997300000004</v>
      </c>
      <c r="J2237" s="44">
        <v>51.75</v>
      </c>
      <c r="K2237" s="44">
        <v>111.720001</v>
      </c>
    </row>
    <row r="2238" spans="6:11" x14ac:dyDescent="0.3">
      <c r="F2238" s="43">
        <v>41130</v>
      </c>
      <c r="G2238" s="44">
        <v>1402.8000489999999</v>
      </c>
      <c r="H2238" s="44">
        <v>961.36999500000002</v>
      </c>
      <c r="I2238" s="44">
        <v>802.90002400000003</v>
      </c>
      <c r="J2238" s="44">
        <v>51.779998999999997</v>
      </c>
      <c r="K2238" s="44">
        <v>111.69000200000001</v>
      </c>
    </row>
    <row r="2239" spans="6:11" x14ac:dyDescent="0.3">
      <c r="F2239" s="43">
        <v>41131</v>
      </c>
      <c r="G2239" s="44">
        <v>1405.869995</v>
      </c>
      <c r="H2239" s="44">
        <v>961.96002199999998</v>
      </c>
      <c r="I2239" s="44">
        <v>801.54998799999998</v>
      </c>
      <c r="J2239" s="44">
        <v>51.869999</v>
      </c>
      <c r="K2239" s="44">
        <v>111.870003</v>
      </c>
    </row>
    <row r="2240" spans="6:11" x14ac:dyDescent="0.3">
      <c r="F2240" s="43">
        <v>41134</v>
      </c>
      <c r="G2240" s="44">
        <v>1404.1099850000001</v>
      </c>
      <c r="H2240" s="44">
        <v>959.830017</v>
      </c>
      <c r="I2240" s="44">
        <v>799.48999000000003</v>
      </c>
      <c r="J2240" s="44">
        <v>51.619999</v>
      </c>
      <c r="K2240" s="44">
        <v>111.860001</v>
      </c>
    </row>
    <row r="2241" spans="6:11" x14ac:dyDescent="0.3">
      <c r="F2241" s="43">
        <v>41135</v>
      </c>
      <c r="G2241" s="44">
        <v>1403.9300539999999</v>
      </c>
      <c r="H2241" s="44">
        <v>958.09002699999996</v>
      </c>
      <c r="I2241" s="44">
        <v>796.88000499999998</v>
      </c>
      <c r="J2241" s="44">
        <v>51.740001999999997</v>
      </c>
      <c r="K2241" s="44">
        <v>111.599998</v>
      </c>
    </row>
    <row r="2242" spans="6:11" x14ac:dyDescent="0.3">
      <c r="F2242" s="43">
        <v>41136</v>
      </c>
      <c r="G2242" s="44">
        <v>1405.530029</v>
      </c>
      <c r="H2242" s="44">
        <v>964.04998799999998</v>
      </c>
      <c r="I2242" s="44">
        <v>804.26000999999997</v>
      </c>
      <c r="J2242" s="44">
        <v>51.59</v>
      </c>
      <c r="K2242" s="44">
        <v>111.239998</v>
      </c>
    </row>
    <row r="2243" spans="6:11" x14ac:dyDescent="0.3">
      <c r="F2243" s="43">
        <v>41137</v>
      </c>
      <c r="G2243" s="44">
        <v>1415.51001</v>
      </c>
      <c r="H2243" s="44">
        <v>973.09997599999997</v>
      </c>
      <c r="I2243" s="44">
        <v>813.080017</v>
      </c>
      <c r="J2243" s="44">
        <v>52.23</v>
      </c>
      <c r="K2243" s="44">
        <v>111.099998</v>
      </c>
    </row>
    <row r="2244" spans="6:11" x14ac:dyDescent="0.3">
      <c r="F2244" s="43">
        <v>41138</v>
      </c>
      <c r="G2244" s="44">
        <v>1418.160034</v>
      </c>
      <c r="H2244" s="44">
        <v>977.84997599999997</v>
      </c>
      <c r="I2244" s="44">
        <v>819.89001499999995</v>
      </c>
      <c r="J2244" s="44">
        <v>52.299999</v>
      </c>
      <c r="K2244" s="44">
        <v>111.230003</v>
      </c>
    </row>
    <row r="2245" spans="6:11" x14ac:dyDescent="0.3">
      <c r="F2245" s="43">
        <v>41141</v>
      </c>
      <c r="G2245" s="44">
        <v>1418.130005</v>
      </c>
      <c r="H2245" s="44">
        <v>974.23999000000003</v>
      </c>
      <c r="I2245" s="44">
        <v>816.51000999999997</v>
      </c>
      <c r="J2245" s="44">
        <v>52.240001999999997</v>
      </c>
      <c r="K2245" s="44">
        <v>111.19000200000001</v>
      </c>
    </row>
    <row r="2246" spans="6:11" x14ac:dyDescent="0.3">
      <c r="F2246" s="43">
        <v>41142</v>
      </c>
      <c r="G2246" s="44">
        <v>1413.170044</v>
      </c>
      <c r="H2246" s="44">
        <v>975.84997599999997</v>
      </c>
      <c r="I2246" s="44">
        <v>815.35998500000005</v>
      </c>
      <c r="J2246" s="44">
        <v>52.540000999999997</v>
      </c>
      <c r="K2246" s="44">
        <v>111.339996</v>
      </c>
    </row>
    <row r="2247" spans="6:11" x14ac:dyDescent="0.3">
      <c r="F2247" s="43">
        <v>41143</v>
      </c>
      <c r="G2247" s="44">
        <v>1413.48999</v>
      </c>
      <c r="H2247" s="44">
        <v>973.919983</v>
      </c>
      <c r="I2247" s="44">
        <v>812.55999799999995</v>
      </c>
      <c r="J2247" s="44">
        <v>52.48</v>
      </c>
      <c r="K2247" s="44">
        <v>111.82</v>
      </c>
    </row>
    <row r="2248" spans="6:11" x14ac:dyDescent="0.3">
      <c r="F2248" s="43">
        <v>41144</v>
      </c>
      <c r="G2248" s="44">
        <v>1402.079956</v>
      </c>
      <c r="H2248" s="44">
        <v>967.11999500000002</v>
      </c>
      <c r="I2248" s="44">
        <v>806</v>
      </c>
      <c r="J2248" s="44">
        <v>52.18</v>
      </c>
      <c r="K2248" s="44">
        <v>111.900002</v>
      </c>
    </row>
    <row r="2249" spans="6:11" x14ac:dyDescent="0.3">
      <c r="F2249" s="43">
        <v>41145</v>
      </c>
      <c r="G2249" s="44">
        <v>1411.130005</v>
      </c>
      <c r="H2249" s="44">
        <v>970.15997300000004</v>
      </c>
      <c r="I2249" s="44">
        <v>809.19000200000005</v>
      </c>
      <c r="J2249" s="44">
        <v>52.099997999999999</v>
      </c>
      <c r="K2249" s="44">
        <v>111.82</v>
      </c>
    </row>
    <row r="2250" spans="6:11" x14ac:dyDescent="0.3">
      <c r="F2250" s="43">
        <v>41148</v>
      </c>
      <c r="G2250" s="44">
        <v>1410.4399410000001</v>
      </c>
      <c r="H2250" s="44">
        <v>969.34997599999997</v>
      </c>
      <c r="I2250" s="44">
        <v>810.40002400000003</v>
      </c>
      <c r="J2250" s="44">
        <v>52.130001</v>
      </c>
      <c r="K2250" s="44">
        <v>111.970001</v>
      </c>
    </row>
    <row r="2251" spans="6:11" x14ac:dyDescent="0.3">
      <c r="F2251" s="43">
        <v>41149</v>
      </c>
      <c r="G2251" s="44">
        <v>1409.3000489999999</v>
      </c>
      <c r="H2251" s="44">
        <v>973.30999799999995</v>
      </c>
      <c r="I2251" s="44">
        <v>814.28002900000001</v>
      </c>
      <c r="J2251" s="44">
        <v>52.080002</v>
      </c>
      <c r="K2251" s="44">
        <v>112.05999799999999</v>
      </c>
    </row>
    <row r="2252" spans="6:11" x14ac:dyDescent="0.3">
      <c r="F2252" s="43">
        <v>41150</v>
      </c>
      <c r="G2252" s="44">
        <v>1410.48999</v>
      </c>
      <c r="H2252" s="44">
        <v>974.53002900000001</v>
      </c>
      <c r="I2252" s="44">
        <v>817.84002699999996</v>
      </c>
      <c r="J2252" s="44">
        <v>51.919998</v>
      </c>
      <c r="K2252" s="44">
        <v>111.949997</v>
      </c>
    </row>
    <row r="2253" spans="6:11" x14ac:dyDescent="0.3">
      <c r="F2253" s="43">
        <v>41151</v>
      </c>
      <c r="G2253" s="44">
        <v>1399.4799800000001</v>
      </c>
      <c r="H2253" s="44">
        <v>966.65997300000004</v>
      </c>
      <c r="I2253" s="44">
        <v>808.64001499999995</v>
      </c>
      <c r="J2253" s="44">
        <v>51.150002000000001</v>
      </c>
      <c r="K2253" s="44">
        <v>112.019997</v>
      </c>
    </row>
    <row r="2254" spans="6:11" x14ac:dyDescent="0.3">
      <c r="F2254" s="43">
        <v>41152</v>
      </c>
      <c r="G2254" s="44">
        <v>1406.579956</v>
      </c>
      <c r="H2254" s="44">
        <v>971.54998799999998</v>
      </c>
      <c r="I2254" s="44">
        <v>812.09002699999996</v>
      </c>
      <c r="J2254" s="44">
        <v>51.599997999999999</v>
      </c>
      <c r="K2254" s="44">
        <v>112.370003</v>
      </c>
    </row>
    <row r="2255" spans="6:11" x14ac:dyDescent="0.3">
      <c r="F2255" s="43">
        <v>41156</v>
      </c>
      <c r="G2255" s="44">
        <v>1404.9399410000001</v>
      </c>
      <c r="H2255" s="44">
        <v>982.34002699999996</v>
      </c>
      <c r="I2255" s="44">
        <v>822.14001499999995</v>
      </c>
      <c r="J2255" s="44">
        <v>51.34</v>
      </c>
      <c r="K2255" s="44">
        <v>112.129997</v>
      </c>
    </row>
    <row r="2256" spans="6:11" x14ac:dyDescent="0.3">
      <c r="F2256" s="43">
        <v>41157</v>
      </c>
      <c r="G2256" s="44">
        <v>1403.4399410000001</v>
      </c>
      <c r="H2256" s="44">
        <v>980.669983</v>
      </c>
      <c r="I2256" s="44">
        <v>821.22997999999995</v>
      </c>
      <c r="J2256" s="44">
        <v>51.200001</v>
      </c>
      <c r="K2256" s="44">
        <v>112.129997</v>
      </c>
    </row>
    <row r="2257" spans="6:11" x14ac:dyDescent="0.3">
      <c r="F2257" s="43">
        <v>41158</v>
      </c>
      <c r="G2257" s="44">
        <v>1432.119995</v>
      </c>
      <c r="H2257" s="44">
        <v>999.63000499999998</v>
      </c>
      <c r="I2257" s="44">
        <v>837.95001200000002</v>
      </c>
      <c r="J2257" s="44">
        <v>52.470001000000003</v>
      </c>
      <c r="K2257" s="44">
        <v>111.870003</v>
      </c>
    </row>
    <row r="2258" spans="6:11" x14ac:dyDescent="0.3">
      <c r="F2258" s="43">
        <v>41159</v>
      </c>
      <c r="G2258" s="44">
        <v>1437.920044</v>
      </c>
      <c r="H2258" s="44">
        <v>1004.599976</v>
      </c>
      <c r="I2258" s="44">
        <v>842.27002000000005</v>
      </c>
      <c r="J2258" s="44">
        <v>53.259998000000003</v>
      </c>
      <c r="K2258" s="44">
        <v>111.889999</v>
      </c>
    </row>
    <row r="2259" spans="6:11" x14ac:dyDescent="0.3">
      <c r="F2259" s="43">
        <v>41162</v>
      </c>
      <c r="G2259" s="44">
        <v>1429.079956</v>
      </c>
      <c r="H2259" s="44">
        <v>1000.440002</v>
      </c>
      <c r="I2259" s="44">
        <v>839.36999500000002</v>
      </c>
      <c r="J2259" s="44">
        <v>52.84</v>
      </c>
      <c r="K2259" s="44">
        <v>111.910004</v>
      </c>
    </row>
    <row r="2260" spans="6:11" x14ac:dyDescent="0.3">
      <c r="F2260" s="43">
        <v>41163</v>
      </c>
      <c r="G2260" s="44">
        <v>1433.5600589999999</v>
      </c>
      <c r="H2260" s="44">
        <v>1001.669983</v>
      </c>
      <c r="I2260" s="44">
        <v>841.919983</v>
      </c>
      <c r="J2260" s="44">
        <v>53.439999</v>
      </c>
      <c r="K2260" s="44">
        <v>111.779999</v>
      </c>
    </row>
    <row r="2261" spans="6:11" x14ac:dyDescent="0.3">
      <c r="F2261" s="43">
        <v>41164</v>
      </c>
      <c r="G2261" s="44">
        <v>1436.5600589999999</v>
      </c>
      <c r="H2261" s="44">
        <v>1005.099976</v>
      </c>
      <c r="I2261" s="44">
        <v>845.11999500000002</v>
      </c>
      <c r="J2261" s="44">
        <v>53.790000999999997</v>
      </c>
      <c r="K2261" s="44">
        <v>111.57</v>
      </c>
    </row>
    <row r="2262" spans="6:11" x14ac:dyDescent="0.3">
      <c r="F2262" s="43">
        <v>41165</v>
      </c>
      <c r="G2262" s="44">
        <v>1459.98999</v>
      </c>
      <c r="H2262" s="44">
        <v>1015.349976</v>
      </c>
      <c r="I2262" s="44">
        <v>856.11999500000002</v>
      </c>
      <c r="J2262" s="44">
        <v>54.610000999999997</v>
      </c>
      <c r="K2262" s="44">
        <v>111.83000199999999</v>
      </c>
    </row>
    <row r="2263" spans="6:11" x14ac:dyDescent="0.3">
      <c r="F2263" s="43">
        <v>41166</v>
      </c>
      <c r="G2263" s="44">
        <v>1465.7700199999999</v>
      </c>
      <c r="H2263" s="44">
        <v>1026.849976</v>
      </c>
      <c r="I2263" s="44">
        <v>864.70001200000002</v>
      </c>
      <c r="J2263" s="44">
        <v>55.150002000000001</v>
      </c>
      <c r="K2263" s="44">
        <v>111.370003</v>
      </c>
    </row>
    <row r="2264" spans="6:11" x14ac:dyDescent="0.3">
      <c r="F2264" s="43">
        <v>41169</v>
      </c>
      <c r="G2264" s="44">
        <v>1461.1899410000001</v>
      </c>
      <c r="H2264" s="44">
        <v>1015.75</v>
      </c>
      <c r="I2264" s="44">
        <v>858.90002400000003</v>
      </c>
      <c r="J2264" s="44">
        <v>54.860000999999997</v>
      </c>
      <c r="K2264" s="44">
        <v>111.550003</v>
      </c>
    </row>
    <row r="2265" spans="6:11" x14ac:dyDescent="0.3">
      <c r="F2265" s="43">
        <v>41170</v>
      </c>
      <c r="G2265" s="44">
        <v>1459.3199460000001</v>
      </c>
      <c r="H2265" s="44">
        <v>1009.3900149999999</v>
      </c>
      <c r="I2265" s="44">
        <v>856.92999299999997</v>
      </c>
      <c r="J2265" s="44">
        <v>54.630001</v>
      </c>
      <c r="K2265" s="44">
        <v>111.620003</v>
      </c>
    </row>
    <row r="2266" spans="6:11" x14ac:dyDescent="0.3">
      <c r="F2266" s="43">
        <v>41171</v>
      </c>
      <c r="G2266" s="44">
        <v>1461.0500489999999</v>
      </c>
      <c r="H2266" s="44">
        <v>1012.700012</v>
      </c>
      <c r="I2266" s="44">
        <v>856.080017</v>
      </c>
      <c r="J2266" s="44">
        <v>54.860000999999997</v>
      </c>
      <c r="K2266" s="44">
        <v>111.839996</v>
      </c>
    </row>
    <row r="2267" spans="6:11" x14ac:dyDescent="0.3">
      <c r="F2267" s="43">
        <v>41172</v>
      </c>
      <c r="G2267" s="44">
        <v>1460.26001</v>
      </c>
      <c r="H2267" s="44">
        <v>1006.059998</v>
      </c>
      <c r="I2267" s="44">
        <v>851.51000999999997</v>
      </c>
      <c r="J2267" s="44">
        <v>54.509998000000003</v>
      </c>
      <c r="K2267" s="44">
        <v>111.769997</v>
      </c>
    </row>
    <row r="2268" spans="6:11" x14ac:dyDescent="0.3">
      <c r="F2268" s="43">
        <v>41173</v>
      </c>
      <c r="G2268" s="44">
        <v>1460.150024</v>
      </c>
      <c r="H2268" s="44">
        <v>1006.039978</v>
      </c>
      <c r="I2268" s="44">
        <v>855.51000999999997</v>
      </c>
      <c r="J2268" s="44">
        <v>54.540000999999997</v>
      </c>
      <c r="K2268" s="44">
        <v>111.949997</v>
      </c>
    </row>
    <row r="2269" spans="6:11" x14ac:dyDescent="0.3">
      <c r="F2269" s="43">
        <v>41176</v>
      </c>
      <c r="G2269" s="44">
        <v>1456.8900149999999</v>
      </c>
      <c r="H2269" s="44">
        <v>1003.6099850000001</v>
      </c>
      <c r="I2269" s="44">
        <v>851.76000999999997</v>
      </c>
      <c r="J2269" s="44">
        <v>54.349997999999999</v>
      </c>
      <c r="K2269" s="44">
        <v>112.07</v>
      </c>
    </row>
    <row r="2270" spans="6:11" x14ac:dyDescent="0.3">
      <c r="F2270" s="43">
        <v>41177</v>
      </c>
      <c r="G2270" s="44">
        <v>1441.589966</v>
      </c>
      <c r="H2270" s="44">
        <v>987.96002199999998</v>
      </c>
      <c r="I2270" s="44">
        <v>839.11999500000002</v>
      </c>
      <c r="J2270" s="44">
        <v>53.970001000000003</v>
      </c>
      <c r="K2270" s="44">
        <v>112.25</v>
      </c>
    </row>
    <row r="2271" spans="6:11" x14ac:dyDescent="0.3">
      <c r="F2271" s="43">
        <v>41178</v>
      </c>
      <c r="G2271" s="44">
        <v>1433.3199460000001</v>
      </c>
      <c r="H2271" s="44">
        <v>981.34997599999997</v>
      </c>
      <c r="I2271" s="44">
        <v>833.92999299999997</v>
      </c>
      <c r="J2271" s="44">
        <v>53.43</v>
      </c>
      <c r="K2271" s="44">
        <v>112.360001</v>
      </c>
    </row>
    <row r="2272" spans="6:11" x14ac:dyDescent="0.3">
      <c r="F2272" s="43">
        <v>41179</v>
      </c>
      <c r="G2272" s="44">
        <v>1447.150024</v>
      </c>
      <c r="H2272" s="44">
        <v>992.14001499999995</v>
      </c>
      <c r="I2272" s="44">
        <v>843.53997800000002</v>
      </c>
      <c r="J2272" s="44">
        <v>54.07</v>
      </c>
      <c r="K2272" s="44">
        <v>112.290001</v>
      </c>
    </row>
    <row r="2273" spans="6:11" x14ac:dyDescent="0.3">
      <c r="F2273" s="43">
        <v>41180</v>
      </c>
      <c r="G2273" s="44">
        <v>1440.670044</v>
      </c>
      <c r="H2273" s="44">
        <v>989.02002000000005</v>
      </c>
      <c r="I2273" s="44">
        <v>837.45001200000002</v>
      </c>
      <c r="J2273" s="44">
        <v>53</v>
      </c>
      <c r="K2273" s="44">
        <v>112.449997</v>
      </c>
    </row>
    <row r="2274" spans="6:11" x14ac:dyDescent="0.3">
      <c r="F2274" s="43">
        <v>41183</v>
      </c>
      <c r="G2274" s="44">
        <v>1444.48999</v>
      </c>
      <c r="H2274" s="44">
        <v>984.19000200000005</v>
      </c>
      <c r="I2274" s="44">
        <v>840.30999799999995</v>
      </c>
      <c r="J2274" s="44">
        <v>53.43</v>
      </c>
      <c r="K2274" s="44">
        <v>112.199997</v>
      </c>
    </row>
    <row r="2275" spans="6:11" x14ac:dyDescent="0.3">
      <c r="F2275" s="43">
        <v>41184</v>
      </c>
      <c r="G2275" s="44">
        <v>1445.75</v>
      </c>
      <c r="H2275" s="44">
        <v>987.57000700000003</v>
      </c>
      <c r="I2275" s="44">
        <v>840.51000999999997</v>
      </c>
      <c r="J2275" s="44">
        <v>53.639999000000003</v>
      </c>
      <c r="K2275" s="44">
        <v>112.290001</v>
      </c>
    </row>
    <row r="2276" spans="6:11" x14ac:dyDescent="0.3">
      <c r="F2276" s="43">
        <v>41185</v>
      </c>
      <c r="G2276" s="44">
        <v>1450.98999</v>
      </c>
      <c r="H2276" s="44">
        <v>987.80999799999995</v>
      </c>
      <c r="I2276" s="44">
        <v>838.78002900000001</v>
      </c>
      <c r="J2276" s="44">
        <v>53.419998</v>
      </c>
      <c r="K2276" s="44">
        <v>112.25</v>
      </c>
    </row>
    <row r="2277" spans="6:11" x14ac:dyDescent="0.3">
      <c r="F2277" s="43">
        <v>41186</v>
      </c>
      <c r="G2277" s="44">
        <v>1461.400024</v>
      </c>
      <c r="H2277" s="44">
        <v>996.14001499999995</v>
      </c>
      <c r="I2277" s="44">
        <v>844.65002400000003</v>
      </c>
      <c r="J2277" s="44">
        <v>54.07</v>
      </c>
      <c r="K2277" s="44">
        <v>112.089996</v>
      </c>
    </row>
    <row r="2278" spans="6:11" x14ac:dyDescent="0.3">
      <c r="F2278" s="43">
        <v>41187</v>
      </c>
      <c r="G2278" s="44">
        <v>1460.9300539999999</v>
      </c>
      <c r="H2278" s="44">
        <v>996.35998500000005</v>
      </c>
      <c r="I2278" s="44">
        <v>842.85998500000005</v>
      </c>
      <c r="J2278" s="44">
        <v>54.139999000000003</v>
      </c>
      <c r="K2278" s="44">
        <v>111.860001</v>
      </c>
    </row>
    <row r="2279" spans="6:11" x14ac:dyDescent="0.3">
      <c r="F2279" s="43">
        <v>41190</v>
      </c>
      <c r="G2279" s="44">
        <v>1455.880005</v>
      </c>
      <c r="H2279" s="44">
        <v>992.94000200000005</v>
      </c>
      <c r="I2279" s="44">
        <v>838.40997300000004</v>
      </c>
      <c r="J2279" s="44">
        <v>53.82</v>
      </c>
      <c r="K2279" s="44">
        <v>112.029999</v>
      </c>
    </row>
    <row r="2280" spans="6:11" x14ac:dyDescent="0.3">
      <c r="F2280" s="43">
        <v>41191</v>
      </c>
      <c r="G2280" s="44">
        <v>1441.4799800000001</v>
      </c>
      <c r="H2280" s="44">
        <v>982.830017</v>
      </c>
      <c r="I2280" s="44">
        <v>827.919983</v>
      </c>
      <c r="J2280" s="44">
        <v>53.040000999999997</v>
      </c>
      <c r="K2280" s="44">
        <v>111.910004</v>
      </c>
    </row>
    <row r="2281" spans="6:11" x14ac:dyDescent="0.3">
      <c r="F2281" s="43">
        <v>41192</v>
      </c>
      <c r="G2281" s="44">
        <v>1432.5600589999999</v>
      </c>
      <c r="H2281" s="44">
        <v>978.29998799999998</v>
      </c>
      <c r="I2281" s="44">
        <v>826.75</v>
      </c>
      <c r="J2281" s="44">
        <v>52.889999000000003</v>
      </c>
      <c r="K2281" s="44">
        <v>112.089996</v>
      </c>
    </row>
    <row r="2282" spans="6:11" x14ac:dyDescent="0.3">
      <c r="F2282" s="43">
        <v>41193</v>
      </c>
      <c r="G2282" s="44">
        <v>1432.839966</v>
      </c>
      <c r="H2282" s="44">
        <v>982.80999799999995</v>
      </c>
      <c r="I2282" s="44">
        <v>829.78002900000001</v>
      </c>
      <c r="J2282" s="44">
        <v>53.23</v>
      </c>
      <c r="K2282" s="44">
        <v>112.230003</v>
      </c>
    </row>
    <row r="2283" spans="6:11" x14ac:dyDescent="0.3">
      <c r="F2283" s="43">
        <v>41194</v>
      </c>
      <c r="G2283" s="44">
        <v>1428.589966</v>
      </c>
      <c r="H2283" s="44">
        <v>975.60998500000005</v>
      </c>
      <c r="I2283" s="44">
        <v>823.09002699999996</v>
      </c>
      <c r="J2283" s="44">
        <v>53.169998</v>
      </c>
      <c r="K2283" s="44">
        <v>112.32</v>
      </c>
    </row>
    <row r="2284" spans="6:11" x14ac:dyDescent="0.3">
      <c r="F2284" s="43">
        <v>41197</v>
      </c>
      <c r="G2284" s="44">
        <v>1440.130005</v>
      </c>
      <c r="H2284" s="44">
        <v>983.84997599999997</v>
      </c>
      <c r="I2284" s="44">
        <v>828.28002900000001</v>
      </c>
      <c r="J2284" s="44">
        <v>53.689999</v>
      </c>
      <c r="K2284" s="44">
        <v>112.379997</v>
      </c>
    </row>
    <row r="2285" spans="6:11" x14ac:dyDescent="0.3">
      <c r="F2285" s="43">
        <v>41198</v>
      </c>
      <c r="G2285" s="44">
        <v>1454.920044</v>
      </c>
      <c r="H2285" s="44">
        <v>994.19000200000005</v>
      </c>
      <c r="I2285" s="44">
        <v>835.44000200000005</v>
      </c>
      <c r="J2285" s="44">
        <v>54.580002</v>
      </c>
      <c r="K2285" s="44">
        <v>112.199997</v>
      </c>
    </row>
    <row r="2286" spans="6:11" x14ac:dyDescent="0.3">
      <c r="F2286" s="43">
        <v>41199</v>
      </c>
      <c r="G2286" s="44">
        <v>1460.910034</v>
      </c>
      <c r="H2286" s="44">
        <v>1001.799988</v>
      </c>
      <c r="I2286" s="44">
        <v>842.52002000000005</v>
      </c>
      <c r="J2286" s="44">
        <v>55.09</v>
      </c>
      <c r="K2286" s="44">
        <v>111.849998</v>
      </c>
    </row>
    <row r="2287" spans="6:11" x14ac:dyDescent="0.3">
      <c r="F2287" s="43">
        <v>41200</v>
      </c>
      <c r="G2287" s="44">
        <v>1457.339966</v>
      </c>
      <c r="H2287" s="44">
        <v>1001.23999</v>
      </c>
      <c r="I2287" s="44">
        <v>837.11999500000002</v>
      </c>
      <c r="J2287" s="44">
        <v>54.880001</v>
      </c>
      <c r="K2287" s="44">
        <v>111.80999799999999</v>
      </c>
    </row>
    <row r="2288" spans="6:11" x14ac:dyDescent="0.3">
      <c r="F2288" s="43">
        <v>41201</v>
      </c>
      <c r="G2288" s="44">
        <v>1433.1899410000001</v>
      </c>
      <c r="H2288" s="44">
        <v>987.40002400000003</v>
      </c>
      <c r="I2288" s="44">
        <v>821</v>
      </c>
      <c r="J2288" s="44">
        <v>54.139999000000003</v>
      </c>
      <c r="K2288" s="44">
        <v>111.949997</v>
      </c>
    </row>
    <row r="2289" spans="6:11" x14ac:dyDescent="0.3">
      <c r="F2289" s="43">
        <v>41204</v>
      </c>
      <c r="G2289" s="44">
        <v>1433.8199460000001</v>
      </c>
      <c r="H2289" s="44">
        <v>985.46997099999999</v>
      </c>
      <c r="I2289" s="44">
        <v>820.52002000000005</v>
      </c>
      <c r="J2289" s="44">
        <v>54.52</v>
      </c>
      <c r="K2289" s="44">
        <v>111.800003</v>
      </c>
    </row>
    <row r="2290" spans="6:11" x14ac:dyDescent="0.3">
      <c r="F2290" s="43">
        <v>41205</v>
      </c>
      <c r="G2290" s="44">
        <v>1413.1099850000001</v>
      </c>
      <c r="H2290" s="44">
        <v>979</v>
      </c>
      <c r="I2290" s="44">
        <v>816.20001200000002</v>
      </c>
      <c r="J2290" s="44">
        <v>53.349997999999999</v>
      </c>
      <c r="K2290" s="44">
        <v>112.050003</v>
      </c>
    </row>
    <row r="2291" spans="6:11" x14ac:dyDescent="0.3">
      <c r="F2291" s="43">
        <v>41206</v>
      </c>
      <c r="G2291" s="44">
        <v>1408.75</v>
      </c>
      <c r="H2291" s="44">
        <v>975.84997599999997</v>
      </c>
      <c r="I2291" s="44">
        <v>813.65002400000003</v>
      </c>
      <c r="J2291" s="44">
        <v>53.380001</v>
      </c>
      <c r="K2291" s="44">
        <v>111.970001</v>
      </c>
    </row>
    <row r="2292" spans="6:11" x14ac:dyDescent="0.3">
      <c r="F2292" s="43">
        <v>41207</v>
      </c>
      <c r="G2292" s="44">
        <v>1412.969971</v>
      </c>
      <c r="H2292" s="44">
        <v>977.47997999999995</v>
      </c>
      <c r="I2292" s="44">
        <v>816.82000700000003</v>
      </c>
      <c r="J2292" s="44">
        <v>53.700001</v>
      </c>
      <c r="K2292" s="44">
        <v>111.730003</v>
      </c>
    </row>
    <row r="2293" spans="6:11" x14ac:dyDescent="0.3">
      <c r="F2293" s="43">
        <v>41208</v>
      </c>
      <c r="G2293" s="44">
        <v>1411.9399410000001</v>
      </c>
      <c r="H2293" s="44">
        <v>974.73999000000003</v>
      </c>
      <c r="I2293" s="44">
        <v>813.25</v>
      </c>
      <c r="J2293" s="44">
        <v>53.619999</v>
      </c>
      <c r="K2293" s="44">
        <v>112.029999</v>
      </c>
    </row>
    <row r="2294" spans="6:11" x14ac:dyDescent="0.3">
      <c r="F2294" s="43">
        <v>41213</v>
      </c>
      <c r="G2294" s="44">
        <v>1412.160034</v>
      </c>
      <c r="H2294" s="44">
        <v>980.45001200000002</v>
      </c>
      <c r="I2294" s="44">
        <v>818.72997999999995</v>
      </c>
      <c r="J2294" s="44">
        <v>53.580002</v>
      </c>
      <c r="K2294" s="44">
        <v>112.19000200000001</v>
      </c>
    </row>
    <row r="2295" spans="6:11" x14ac:dyDescent="0.3">
      <c r="F2295" s="43">
        <v>41214</v>
      </c>
      <c r="G2295" s="44">
        <v>1427.589966</v>
      </c>
      <c r="H2295" s="44">
        <v>1003.570007</v>
      </c>
      <c r="I2295" s="44">
        <v>827.84997599999997</v>
      </c>
      <c r="J2295" s="44">
        <v>54.209999000000003</v>
      </c>
      <c r="K2295" s="44">
        <v>111.800003</v>
      </c>
    </row>
    <row r="2296" spans="6:11" x14ac:dyDescent="0.3">
      <c r="F2296" s="43">
        <v>41215</v>
      </c>
      <c r="G2296" s="44">
        <v>1414.1999510000001</v>
      </c>
      <c r="H2296" s="44">
        <v>987.79998799999998</v>
      </c>
      <c r="I2296" s="44">
        <v>814.36999500000002</v>
      </c>
      <c r="J2296" s="44">
        <v>53.689999</v>
      </c>
      <c r="K2296" s="44">
        <v>111.870003</v>
      </c>
    </row>
    <row r="2297" spans="6:11" x14ac:dyDescent="0.3">
      <c r="F2297" s="43">
        <v>41218</v>
      </c>
      <c r="G2297" s="44">
        <v>1417.26001</v>
      </c>
      <c r="H2297" s="44">
        <v>993.38000499999998</v>
      </c>
      <c r="I2297" s="44">
        <v>819.53997800000002</v>
      </c>
      <c r="J2297" s="44">
        <v>53.560001</v>
      </c>
      <c r="K2297" s="44">
        <v>112.05999799999999</v>
      </c>
    </row>
    <row r="2298" spans="6:11" x14ac:dyDescent="0.3">
      <c r="F2298" s="43">
        <v>41219</v>
      </c>
      <c r="G2298" s="44">
        <v>1428.3900149999999</v>
      </c>
      <c r="H2298" s="44">
        <v>1002.909973</v>
      </c>
      <c r="I2298" s="44">
        <v>825.64001499999995</v>
      </c>
      <c r="J2298" s="44">
        <v>54.07</v>
      </c>
      <c r="K2298" s="44">
        <v>111.739998</v>
      </c>
    </row>
    <row r="2299" spans="6:11" x14ac:dyDescent="0.3">
      <c r="F2299" s="43">
        <v>41220</v>
      </c>
      <c r="G2299" s="44">
        <v>1394.530029</v>
      </c>
      <c r="H2299" s="44">
        <v>981.30999799999995</v>
      </c>
      <c r="I2299" s="44">
        <v>804.52002000000005</v>
      </c>
      <c r="J2299" s="44">
        <v>53.259998000000003</v>
      </c>
      <c r="K2299" s="44">
        <v>112</v>
      </c>
    </row>
    <row r="2300" spans="6:11" x14ac:dyDescent="0.3">
      <c r="F2300" s="43">
        <v>41221</v>
      </c>
      <c r="G2300" s="44">
        <v>1377.51001</v>
      </c>
      <c r="H2300" s="44">
        <v>968.45001200000002</v>
      </c>
      <c r="I2300" s="44">
        <v>793.65002400000003</v>
      </c>
      <c r="J2300" s="44">
        <v>52.779998999999997</v>
      </c>
      <c r="K2300" s="44">
        <v>112.139999</v>
      </c>
    </row>
    <row r="2301" spans="6:11" x14ac:dyDescent="0.3">
      <c r="F2301" s="43">
        <v>41222</v>
      </c>
      <c r="G2301" s="44">
        <v>1379.849976</v>
      </c>
      <c r="H2301" s="44">
        <v>969.82000700000003</v>
      </c>
      <c r="I2301" s="44">
        <v>795.02002000000005</v>
      </c>
      <c r="J2301" s="44">
        <v>52.799999</v>
      </c>
      <c r="K2301" s="44">
        <v>112.08000199999999</v>
      </c>
    </row>
    <row r="2302" spans="6:11" x14ac:dyDescent="0.3">
      <c r="F2302" s="43">
        <v>41225</v>
      </c>
      <c r="G2302" s="44">
        <v>1380.030029</v>
      </c>
      <c r="H2302" s="44">
        <v>968.90997300000004</v>
      </c>
      <c r="I2302" s="44">
        <v>793.76000999999997</v>
      </c>
      <c r="J2302" s="44">
        <v>52.759998000000003</v>
      </c>
      <c r="K2302" s="44">
        <v>112.050003</v>
      </c>
    </row>
    <row r="2303" spans="6:11" x14ac:dyDescent="0.3">
      <c r="F2303" s="43">
        <v>41226</v>
      </c>
      <c r="G2303" s="44">
        <v>1374.530029</v>
      </c>
      <c r="H2303" s="44">
        <v>966.28002900000001</v>
      </c>
      <c r="I2303" s="44">
        <v>789.01000999999997</v>
      </c>
      <c r="J2303" s="44">
        <v>52.5</v>
      </c>
      <c r="K2303" s="44">
        <v>112.25</v>
      </c>
    </row>
    <row r="2304" spans="6:11" x14ac:dyDescent="0.3">
      <c r="F2304" s="43">
        <v>41227</v>
      </c>
      <c r="G2304" s="44">
        <v>1355.48999</v>
      </c>
      <c r="H2304" s="44">
        <v>949.70001200000002</v>
      </c>
      <c r="I2304" s="44">
        <v>773.20001200000002</v>
      </c>
      <c r="J2304" s="44">
        <v>51.950001</v>
      </c>
      <c r="K2304" s="44">
        <v>112.279999</v>
      </c>
    </row>
    <row r="2305" spans="6:11" x14ac:dyDescent="0.3">
      <c r="F2305" s="43">
        <v>41228</v>
      </c>
      <c r="G2305" s="44">
        <v>1353.329956</v>
      </c>
      <c r="H2305" s="44">
        <v>945.96002199999998</v>
      </c>
      <c r="I2305" s="44">
        <v>769.47997999999995</v>
      </c>
      <c r="J2305" s="44">
        <v>52.119999</v>
      </c>
      <c r="K2305" s="44">
        <v>112.16999800000001</v>
      </c>
    </row>
    <row r="2306" spans="6:11" x14ac:dyDescent="0.3">
      <c r="F2306" s="43">
        <v>41229</v>
      </c>
      <c r="G2306" s="44">
        <v>1359.880005</v>
      </c>
      <c r="H2306" s="44">
        <v>952.92999299999997</v>
      </c>
      <c r="I2306" s="44">
        <v>776.28002900000001</v>
      </c>
      <c r="J2306" s="44">
        <v>52.09</v>
      </c>
      <c r="K2306" s="44">
        <v>112.209999</v>
      </c>
    </row>
    <row r="2307" spans="6:11" x14ac:dyDescent="0.3">
      <c r="F2307" s="43">
        <v>41232</v>
      </c>
      <c r="G2307" s="44">
        <v>1386.8900149999999</v>
      </c>
      <c r="H2307" s="44">
        <v>971.48999000000003</v>
      </c>
      <c r="I2307" s="44">
        <v>793.05999799999995</v>
      </c>
      <c r="J2307" s="44">
        <v>53.220001000000003</v>
      </c>
      <c r="K2307" s="44">
        <v>112.290001</v>
      </c>
    </row>
    <row r="2308" spans="6:11" x14ac:dyDescent="0.3">
      <c r="F2308" s="43">
        <v>41233</v>
      </c>
      <c r="G2308" s="44">
        <v>1387.8100589999999</v>
      </c>
      <c r="H2308" s="44">
        <v>974.85998500000005</v>
      </c>
      <c r="I2308" s="44">
        <v>793.80999799999995</v>
      </c>
      <c r="J2308" s="44">
        <v>53.299999</v>
      </c>
      <c r="K2308" s="44">
        <v>112.08000199999999</v>
      </c>
    </row>
    <row r="2309" spans="6:11" x14ac:dyDescent="0.3">
      <c r="F2309" s="43">
        <v>41234</v>
      </c>
      <c r="G2309" s="44">
        <v>1391.030029</v>
      </c>
      <c r="H2309" s="44">
        <v>978.59997599999997</v>
      </c>
      <c r="I2309" s="44">
        <v>798.38000499999998</v>
      </c>
      <c r="J2309" s="44">
        <v>53.389999000000003</v>
      </c>
      <c r="K2309" s="44">
        <v>111.889999</v>
      </c>
    </row>
    <row r="2310" spans="6:11" x14ac:dyDescent="0.3">
      <c r="F2310" s="43">
        <v>41236</v>
      </c>
      <c r="G2310" s="44">
        <v>1409.150024</v>
      </c>
      <c r="H2310" s="44">
        <v>989.89001499999995</v>
      </c>
      <c r="I2310" s="44">
        <v>807.17999299999997</v>
      </c>
      <c r="J2310" s="44">
        <v>54.540000999999997</v>
      </c>
      <c r="K2310" s="44">
        <v>111.959999</v>
      </c>
    </row>
    <row r="2311" spans="6:11" x14ac:dyDescent="0.3">
      <c r="F2311" s="43">
        <v>41239</v>
      </c>
      <c r="G2311" s="44">
        <v>1406.290039</v>
      </c>
      <c r="H2311" s="44">
        <v>988.47997999999995</v>
      </c>
      <c r="I2311" s="44">
        <v>809.02002000000005</v>
      </c>
      <c r="J2311" s="44">
        <v>54.41</v>
      </c>
      <c r="K2311" s="44">
        <v>112</v>
      </c>
    </row>
    <row r="2312" spans="6:11" x14ac:dyDescent="0.3">
      <c r="F2312" s="43">
        <v>41240</v>
      </c>
      <c r="G2312" s="44">
        <v>1398.9399410000001</v>
      </c>
      <c r="H2312" s="44">
        <v>986.22997999999995</v>
      </c>
      <c r="I2312" s="44">
        <v>807.73999000000003</v>
      </c>
      <c r="J2312" s="44">
        <v>54.139999000000003</v>
      </c>
      <c r="K2312" s="44">
        <v>112.150002</v>
      </c>
    </row>
    <row r="2313" spans="6:11" x14ac:dyDescent="0.3">
      <c r="F2313" s="43">
        <v>41241</v>
      </c>
      <c r="G2313" s="44">
        <v>1409.9300539999999</v>
      </c>
      <c r="H2313" s="44">
        <v>993.11999500000002</v>
      </c>
      <c r="I2313" s="44">
        <v>813.5</v>
      </c>
      <c r="J2313" s="44">
        <v>54.529998999999997</v>
      </c>
      <c r="K2313" s="44">
        <v>112.16999800000001</v>
      </c>
    </row>
    <row r="2314" spans="6:11" x14ac:dyDescent="0.3">
      <c r="F2314" s="43">
        <v>41242</v>
      </c>
      <c r="G2314" s="44">
        <v>1415.9499510000001</v>
      </c>
      <c r="H2314" s="44">
        <v>999.77002000000005</v>
      </c>
      <c r="I2314" s="44">
        <v>823.20001200000002</v>
      </c>
      <c r="J2314" s="44">
        <v>55</v>
      </c>
      <c r="K2314" s="44">
        <v>112.30999799999999</v>
      </c>
    </row>
    <row r="2315" spans="6:11" x14ac:dyDescent="0.3">
      <c r="F2315" s="43">
        <v>41243</v>
      </c>
      <c r="G2315" s="44">
        <v>1416.1800539999999</v>
      </c>
      <c r="H2315" s="44">
        <v>1000.150024</v>
      </c>
      <c r="I2315" s="44">
        <v>821.919983</v>
      </c>
      <c r="J2315" s="44">
        <v>55.07</v>
      </c>
      <c r="K2315" s="44">
        <v>112.25</v>
      </c>
    </row>
    <row r="2316" spans="6:11" x14ac:dyDescent="0.3">
      <c r="F2316" s="43">
        <v>41246</v>
      </c>
      <c r="G2316" s="44">
        <v>1409.459961</v>
      </c>
      <c r="H2316" s="44">
        <v>997.15002400000003</v>
      </c>
      <c r="I2316" s="44">
        <v>820.79998799999998</v>
      </c>
      <c r="J2316" s="44">
        <v>55.139999000000003</v>
      </c>
      <c r="K2316" s="44">
        <v>111.599998</v>
      </c>
    </row>
    <row r="2317" spans="6:11" x14ac:dyDescent="0.3">
      <c r="F2317" s="43">
        <v>41247</v>
      </c>
      <c r="G2317" s="44">
        <v>1407.0500489999999</v>
      </c>
      <c r="H2317" s="44">
        <v>997.67999299999997</v>
      </c>
      <c r="I2317" s="44">
        <v>822.11999500000002</v>
      </c>
      <c r="J2317" s="44">
        <v>55.279998999999997</v>
      </c>
      <c r="K2317" s="44">
        <v>111.66999800000001</v>
      </c>
    </row>
    <row r="2318" spans="6:11" x14ac:dyDescent="0.3">
      <c r="F2318" s="43">
        <v>41248</v>
      </c>
      <c r="G2318" s="44">
        <v>1409.280029</v>
      </c>
      <c r="H2318" s="44">
        <v>999.60998500000005</v>
      </c>
      <c r="I2318" s="44">
        <v>820.59997599999997</v>
      </c>
      <c r="J2318" s="44">
        <v>55.360000999999997</v>
      </c>
      <c r="K2318" s="44">
        <v>111.769997</v>
      </c>
    </row>
    <row r="2319" spans="6:11" x14ac:dyDescent="0.3">
      <c r="F2319" s="43">
        <v>41249</v>
      </c>
      <c r="G2319" s="44">
        <v>1413.9399410000001</v>
      </c>
      <c r="H2319" s="44">
        <v>1001.6099850000001</v>
      </c>
      <c r="I2319" s="44">
        <v>821.78997800000002</v>
      </c>
      <c r="J2319" s="44">
        <v>55.470001000000003</v>
      </c>
      <c r="K2319" s="44">
        <v>111.760002</v>
      </c>
    </row>
    <row r="2320" spans="6:11" x14ac:dyDescent="0.3">
      <c r="F2320" s="43">
        <v>41250</v>
      </c>
      <c r="G2320" s="44">
        <v>1418.0699460000001</v>
      </c>
      <c r="H2320" s="44">
        <v>1002.710022</v>
      </c>
      <c r="I2320" s="44">
        <v>822.27002000000005</v>
      </c>
      <c r="J2320" s="44">
        <v>55.490001999999997</v>
      </c>
      <c r="K2320" s="44">
        <v>111.660004</v>
      </c>
    </row>
    <row r="2321" spans="6:11" x14ac:dyDescent="0.3">
      <c r="F2321" s="43">
        <v>41253</v>
      </c>
      <c r="G2321" s="44">
        <v>1418.5500489999999</v>
      </c>
      <c r="H2321" s="44">
        <v>1007.619995</v>
      </c>
      <c r="I2321" s="44">
        <v>826.26000999999997</v>
      </c>
      <c r="J2321" s="44">
        <v>55.549999</v>
      </c>
      <c r="K2321" s="44">
        <v>111.68</v>
      </c>
    </row>
    <row r="2322" spans="6:11" x14ac:dyDescent="0.3">
      <c r="F2322" s="43">
        <v>41254</v>
      </c>
      <c r="G2322" s="44">
        <v>1427.839966</v>
      </c>
      <c r="H2322" s="44">
        <v>1012.940002</v>
      </c>
      <c r="I2322" s="44">
        <v>834.98999000000003</v>
      </c>
      <c r="J2322" s="44">
        <v>55.869999</v>
      </c>
      <c r="K2322" s="44">
        <v>111.639999</v>
      </c>
    </row>
    <row r="2323" spans="6:11" x14ac:dyDescent="0.3">
      <c r="F2323" s="43">
        <v>41255</v>
      </c>
      <c r="G2323" s="44">
        <v>1428.4799800000001</v>
      </c>
      <c r="H2323" s="44">
        <v>1010.659973</v>
      </c>
      <c r="I2323" s="44">
        <v>829.39001499999995</v>
      </c>
      <c r="J2323" s="44">
        <v>56.049999</v>
      </c>
      <c r="K2323" s="44">
        <v>111.33000199999999</v>
      </c>
    </row>
    <row r="2324" spans="6:11" x14ac:dyDescent="0.3">
      <c r="F2324" s="43">
        <v>41256</v>
      </c>
      <c r="G2324" s="44">
        <v>1419.4499510000001</v>
      </c>
      <c r="H2324" s="44">
        <v>1003.8599850000001</v>
      </c>
      <c r="I2324" s="44">
        <v>824.20001200000002</v>
      </c>
      <c r="J2324" s="44">
        <v>55.880001</v>
      </c>
      <c r="K2324" s="44">
        <v>111.150002</v>
      </c>
    </row>
    <row r="2325" spans="6:11" x14ac:dyDescent="0.3">
      <c r="F2325" s="43">
        <v>41257</v>
      </c>
      <c r="G2325" s="44">
        <v>1413.579956</v>
      </c>
      <c r="H2325" s="44">
        <v>1001.530029</v>
      </c>
      <c r="I2325" s="44">
        <v>823.75</v>
      </c>
      <c r="J2325" s="44">
        <v>56.080002</v>
      </c>
      <c r="K2325" s="44">
        <v>111.349998</v>
      </c>
    </row>
    <row r="2326" spans="6:11" x14ac:dyDescent="0.3">
      <c r="F2326" s="43">
        <v>41260</v>
      </c>
      <c r="G2326" s="44">
        <v>1430.3599850000001</v>
      </c>
      <c r="H2326" s="44">
        <v>1011.130005</v>
      </c>
      <c r="I2326" s="44">
        <v>835</v>
      </c>
      <c r="J2326" s="44">
        <v>56.310001</v>
      </c>
      <c r="K2326" s="44">
        <v>111.08000199999999</v>
      </c>
    </row>
    <row r="2327" spans="6:11" x14ac:dyDescent="0.3">
      <c r="F2327" s="43">
        <v>41261</v>
      </c>
      <c r="G2327" s="44">
        <v>1446.790039</v>
      </c>
      <c r="H2327" s="44">
        <v>1025.25</v>
      </c>
      <c r="I2327" s="44">
        <v>847.69000200000005</v>
      </c>
      <c r="J2327" s="44">
        <v>56.279998999999997</v>
      </c>
      <c r="K2327" s="44">
        <v>110.82</v>
      </c>
    </row>
    <row r="2328" spans="6:11" x14ac:dyDescent="0.3">
      <c r="F2328" s="43">
        <v>41262</v>
      </c>
      <c r="G2328" s="44">
        <v>1435.8100589999999</v>
      </c>
      <c r="H2328" s="44">
        <v>1023.3900149999999</v>
      </c>
      <c r="I2328" s="44">
        <v>847.89001499999995</v>
      </c>
      <c r="J2328" s="44">
        <v>56.48</v>
      </c>
      <c r="K2328" s="44">
        <v>111.010002</v>
      </c>
    </row>
    <row r="2329" spans="6:11" x14ac:dyDescent="0.3">
      <c r="F2329" s="43">
        <v>41263</v>
      </c>
      <c r="G2329" s="44">
        <v>1443.6899410000001</v>
      </c>
      <c r="H2329" s="44">
        <v>1030.150024</v>
      </c>
      <c r="I2329" s="44">
        <v>852.48999000000003</v>
      </c>
      <c r="J2329" s="44">
        <v>56.860000999999997</v>
      </c>
      <c r="K2329" s="44">
        <v>111.019997</v>
      </c>
    </row>
    <row r="2330" spans="6:11" x14ac:dyDescent="0.3">
      <c r="F2330" s="43">
        <v>41264</v>
      </c>
      <c r="G2330" s="44">
        <v>1430.150024</v>
      </c>
      <c r="H2330" s="44">
        <v>1022.3599850000001</v>
      </c>
      <c r="I2330" s="44">
        <v>847.919983</v>
      </c>
      <c r="J2330" s="44">
        <v>56.509998000000003</v>
      </c>
      <c r="K2330" s="44">
        <v>111.120003</v>
      </c>
    </row>
    <row r="2331" spans="6:11" x14ac:dyDescent="0.3">
      <c r="F2331" s="43">
        <v>41267</v>
      </c>
      <c r="G2331" s="44">
        <v>1426.660034</v>
      </c>
      <c r="H2331" s="44">
        <v>1020.349976</v>
      </c>
      <c r="I2331" s="44">
        <v>844.73999000000003</v>
      </c>
      <c r="J2331" s="44">
        <v>56.360000999999997</v>
      </c>
      <c r="K2331" s="44">
        <v>111.129997</v>
      </c>
    </row>
    <row r="2332" spans="6:11" x14ac:dyDescent="0.3">
      <c r="F2332" s="43">
        <v>41269</v>
      </c>
      <c r="G2332" s="44">
        <v>1419.829956</v>
      </c>
      <c r="H2332" s="44">
        <v>1011.929993</v>
      </c>
      <c r="I2332" s="44">
        <v>838.89001499999995</v>
      </c>
      <c r="J2332" s="44">
        <v>56.349997999999999</v>
      </c>
      <c r="K2332" s="44">
        <v>111.050003</v>
      </c>
    </row>
    <row r="2333" spans="6:11" x14ac:dyDescent="0.3">
      <c r="F2333" s="43">
        <v>41270</v>
      </c>
      <c r="G2333" s="44">
        <v>1418.099976</v>
      </c>
      <c r="H2333" s="44">
        <v>1011.51001</v>
      </c>
      <c r="I2333" s="44">
        <v>837.40002400000003</v>
      </c>
      <c r="J2333" s="44">
        <v>56.610000999999997</v>
      </c>
      <c r="K2333" s="44">
        <v>111.110001</v>
      </c>
    </row>
    <row r="2334" spans="6:11" x14ac:dyDescent="0.3">
      <c r="F2334" s="43">
        <v>41271</v>
      </c>
      <c r="G2334" s="44">
        <v>1402.4300539999999</v>
      </c>
      <c r="H2334" s="44">
        <v>1004.330017</v>
      </c>
      <c r="I2334" s="44">
        <v>832.09997599999997</v>
      </c>
      <c r="J2334" s="44">
        <v>56.009998000000003</v>
      </c>
      <c r="K2334" s="44">
        <v>111.279999</v>
      </c>
    </row>
    <row r="2335" spans="6:11" x14ac:dyDescent="0.3">
      <c r="F2335" s="43">
        <v>41274</v>
      </c>
      <c r="G2335" s="44">
        <v>1426.1899410000001</v>
      </c>
      <c r="H2335" s="44">
        <v>1020.429993</v>
      </c>
      <c r="I2335" s="44">
        <v>849.34997599999997</v>
      </c>
      <c r="J2335" s="44">
        <v>56.860000999999997</v>
      </c>
      <c r="K2335" s="44">
        <v>111.08000199999999</v>
      </c>
    </row>
    <row r="2336" spans="6:11" x14ac:dyDescent="0.3">
      <c r="F2336" s="43">
        <v>41276</v>
      </c>
      <c r="G2336" s="44">
        <v>1462.420044</v>
      </c>
      <c r="H2336" s="44">
        <v>1046.3199460000001</v>
      </c>
      <c r="I2336" s="44">
        <v>873.419983</v>
      </c>
      <c r="J2336" s="44">
        <v>57.740001999999997</v>
      </c>
      <c r="K2336" s="44">
        <v>110.949997</v>
      </c>
    </row>
    <row r="2337" spans="6:11" x14ac:dyDescent="0.3">
      <c r="F2337" s="43">
        <v>41277</v>
      </c>
      <c r="G2337" s="44">
        <v>1459.369995</v>
      </c>
      <c r="H2337" s="44">
        <v>1048.209961</v>
      </c>
      <c r="I2337" s="44">
        <v>872.59997599999997</v>
      </c>
      <c r="J2337" s="44">
        <v>57.18</v>
      </c>
      <c r="K2337" s="44">
        <v>110.66999800000001</v>
      </c>
    </row>
    <row r="2338" spans="6:11" x14ac:dyDescent="0.3">
      <c r="F2338" s="43">
        <v>41278</v>
      </c>
      <c r="G2338" s="44">
        <v>1466.469971</v>
      </c>
      <c r="H2338" s="44">
        <v>1056.0699460000001</v>
      </c>
      <c r="I2338" s="44">
        <v>879.15002400000003</v>
      </c>
      <c r="J2338" s="44">
        <v>57.470001000000003</v>
      </c>
      <c r="K2338" s="44">
        <v>110.790001</v>
      </c>
    </row>
    <row r="2339" spans="6:11" x14ac:dyDescent="0.3">
      <c r="F2339" s="43">
        <v>41281</v>
      </c>
      <c r="G2339" s="44">
        <v>1461.8900149999999</v>
      </c>
      <c r="H2339" s="44">
        <v>1053.25</v>
      </c>
      <c r="I2339" s="44">
        <v>875.79998799999998</v>
      </c>
      <c r="J2339" s="44">
        <v>57.220001000000003</v>
      </c>
      <c r="K2339" s="44">
        <v>110.730003</v>
      </c>
    </row>
    <row r="2340" spans="6:11" x14ac:dyDescent="0.3">
      <c r="F2340" s="43">
        <v>41282</v>
      </c>
      <c r="G2340" s="44">
        <v>1457.150024</v>
      </c>
      <c r="H2340" s="44">
        <v>1050.410034</v>
      </c>
      <c r="I2340" s="44">
        <v>874.70001200000002</v>
      </c>
      <c r="J2340" s="44">
        <v>56.900002000000001</v>
      </c>
      <c r="K2340" s="44">
        <v>110.83000199999999</v>
      </c>
    </row>
    <row r="2341" spans="6:11" x14ac:dyDescent="0.3">
      <c r="F2341" s="43">
        <v>41283</v>
      </c>
      <c r="G2341" s="44">
        <v>1461.0200199999999</v>
      </c>
      <c r="H2341" s="44">
        <v>1056.459961</v>
      </c>
      <c r="I2341" s="44">
        <v>879.51000999999997</v>
      </c>
      <c r="J2341" s="44">
        <v>57.189999</v>
      </c>
      <c r="K2341" s="44">
        <v>110.75</v>
      </c>
    </row>
    <row r="2342" spans="6:11" x14ac:dyDescent="0.3">
      <c r="F2342" s="43">
        <v>41284</v>
      </c>
      <c r="G2342" s="44">
        <v>1472.119995</v>
      </c>
      <c r="H2342" s="44">
        <v>1058.01001</v>
      </c>
      <c r="I2342" s="44">
        <v>881.23999000000003</v>
      </c>
      <c r="J2342" s="44">
        <v>57.919998</v>
      </c>
      <c r="K2342" s="44">
        <v>110.739998</v>
      </c>
    </row>
    <row r="2343" spans="6:11" x14ac:dyDescent="0.3">
      <c r="F2343" s="43">
        <v>41285</v>
      </c>
      <c r="G2343" s="44">
        <v>1472.0500489999999</v>
      </c>
      <c r="H2343" s="44">
        <v>1057.910034</v>
      </c>
      <c r="I2343" s="44">
        <v>880.77002000000005</v>
      </c>
      <c r="J2343" s="44">
        <v>58.040000999999997</v>
      </c>
      <c r="K2343" s="44">
        <v>110.849998</v>
      </c>
    </row>
    <row r="2344" spans="6:11" x14ac:dyDescent="0.3">
      <c r="F2344" s="43">
        <v>41288</v>
      </c>
      <c r="G2344" s="44">
        <v>1470.6800539999999</v>
      </c>
      <c r="H2344" s="44">
        <v>1059.150024</v>
      </c>
      <c r="I2344" s="44">
        <v>880.09997599999997</v>
      </c>
      <c r="J2344" s="44">
        <v>58.110000999999997</v>
      </c>
      <c r="K2344" s="44">
        <v>110.949997</v>
      </c>
    </row>
    <row r="2345" spans="6:11" x14ac:dyDescent="0.3">
      <c r="F2345" s="43">
        <v>41289</v>
      </c>
      <c r="G2345" s="44">
        <v>1472.339966</v>
      </c>
      <c r="H2345" s="44">
        <v>1064.650024</v>
      </c>
      <c r="I2345" s="44">
        <v>884.59997599999997</v>
      </c>
      <c r="J2345" s="44">
        <v>58.02</v>
      </c>
      <c r="K2345" s="44">
        <v>110.980003</v>
      </c>
    </row>
    <row r="2346" spans="6:11" x14ac:dyDescent="0.3">
      <c r="F2346" s="43">
        <v>41290</v>
      </c>
      <c r="G2346" s="44">
        <v>1472.630005</v>
      </c>
      <c r="H2346" s="44">
        <v>1062.130005</v>
      </c>
      <c r="I2346" s="44">
        <v>882.30999799999995</v>
      </c>
      <c r="J2346" s="44">
        <v>57.740001999999997</v>
      </c>
      <c r="K2346" s="44">
        <v>111.040001</v>
      </c>
    </row>
    <row r="2347" spans="6:11" x14ac:dyDescent="0.3">
      <c r="F2347" s="43">
        <v>41291</v>
      </c>
      <c r="G2347" s="44">
        <v>1480.9399410000001</v>
      </c>
      <c r="H2347" s="44">
        <v>1071.0699460000001</v>
      </c>
      <c r="I2347" s="44">
        <v>890.35998500000005</v>
      </c>
      <c r="J2347" s="44">
        <v>58.209999000000003</v>
      </c>
      <c r="K2347" s="44">
        <v>110.800003</v>
      </c>
    </row>
    <row r="2348" spans="6:11" x14ac:dyDescent="0.3">
      <c r="F2348" s="43">
        <v>41292</v>
      </c>
      <c r="G2348" s="44">
        <v>1485.9799800000001</v>
      </c>
      <c r="H2348" s="44">
        <v>1073.9300539999999</v>
      </c>
      <c r="I2348" s="44">
        <v>892.79998799999998</v>
      </c>
      <c r="J2348" s="44">
        <v>58.150002000000001</v>
      </c>
      <c r="K2348" s="44">
        <v>110.93</v>
      </c>
    </row>
    <row r="2349" spans="6:11" x14ac:dyDescent="0.3">
      <c r="F2349" s="43">
        <v>41296</v>
      </c>
      <c r="G2349" s="44">
        <v>1492.5600589999999</v>
      </c>
      <c r="H2349" s="44">
        <v>1081.969971</v>
      </c>
      <c r="I2349" s="44">
        <v>899.23999000000003</v>
      </c>
      <c r="J2349" s="44">
        <v>58.18</v>
      </c>
      <c r="K2349" s="44">
        <v>110.870003</v>
      </c>
    </row>
    <row r="2350" spans="6:11" x14ac:dyDescent="0.3">
      <c r="F2350" s="43">
        <v>41297</v>
      </c>
      <c r="G2350" s="44">
        <v>1494.8100589999999</v>
      </c>
      <c r="H2350" s="44">
        <v>1082.209961</v>
      </c>
      <c r="I2350" s="44">
        <v>896.70001200000002</v>
      </c>
      <c r="J2350" s="44">
        <v>58.119999</v>
      </c>
      <c r="K2350" s="44">
        <v>110.989998</v>
      </c>
    </row>
    <row r="2351" spans="6:11" x14ac:dyDescent="0.3">
      <c r="F2351" s="43">
        <v>41298</v>
      </c>
      <c r="G2351" s="44">
        <v>1494.8199460000001</v>
      </c>
      <c r="H2351" s="44">
        <v>1087.0600589999999</v>
      </c>
      <c r="I2351" s="44">
        <v>900.19000200000005</v>
      </c>
      <c r="J2351" s="44">
        <v>58.400002000000001</v>
      </c>
      <c r="K2351" s="44">
        <v>110.839996</v>
      </c>
    </row>
    <row r="2352" spans="6:11" x14ac:dyDescent="0.3">
      <c r="F2352" s="43">
        <v>41299</v>
      </c>
      <c r="G2352" s="44">
        <v>1502.959961</v>
      </c>
      <c r="H2352" s="44">
        <v>1096.6999510000001</v>
      </c>
      <c r="I2352" s="44">
        <v>905.23999000000003</v>
      </c>
      <c r="J2352" s="44">
        <v>59.029998999999997</v>
      </c>
      <c r="K2352" s="44">
        <v>110.57</v>
      </c>
    </row>
    <row r="2353" spans="6:11" x14ac:dyDescent="0.3">
      <c r="F2353" s="43">
        <v>41302</v>
      </c>
      <c r="G2353" s="44">
        <v>1500.1800539999999</v>
      </c>
      <c r="H2353" s="44">
        <v>1094.98999</v>
      </c>
      <c r="I2353" s="44">
        <v>906.71002199999998</v>
      </c>
      <c r="J2353" s="44">
        <v>58.740001999999997</v>
      </c>
      <c r="K2353" s="44">
        <v>110.410004</v>
      </c>
    </row>
    <row r="2354" spans="6:11" x14ac:dyDescent="0.3">
      <c r="F2354" s="43">
        <v>41303</v>
      </c>
      <c r="G2354" s="44">
        <v>1507.839966</v>
      </c>
      <c r="H2354" s="44">
        <v>1095.349976</v>
      </c>
      <c r="I2354" s="44">
        <v>907.30999799999995</v>
      </c>
      <c r="J2354" s="44">
        <v>59.139999000000003</v>
      </c>
      <c r="K2354" s="44">
        <v>110.339996</v>
      </c>
    </row>
    <row r="2355" spans="6:11" x14ac:dyDescent="0.3">
      <c r="F2355" s="43">
        <v>41304</v>
      </c>
      <c r="G2355" s="44">
        <v>1501.959961</v>
      </c>
      <c r="H2355" s="44">
        <v>1089.0699460000001</v>
      </c>
      <c r="I2355" s="44">
        <v>896.90997300000004</v>
      </c>
      <c r="J2355" s="44">
        <v>59.200001</v>
      </c>
      <c r="K2355" s="44">
        <v>110.290001</v>
      </c>
    </row>
    <row r="2356" spans="6:11" x14ac:dyDescent="0.3">
      <c r="F2356" s="43">
        <v>41305</v>
      </c>
      <c r="G2356" s="44">
        <v>1498.1099850000001</v>
      </c>
      <c r="H2356" s="44">
        <v>1093.959961</v>
      </c>
      <c r="I2356" s="44">
        <v>902.09002699999996</v>
      </c>
      <c r="J2356" s="44">
        <v>58.98</v>
      </c>
      <c r="K2356" s="44">
        <v>110.389999</v>
      </c>
    </row>
    <row r="2357" spans="6:11" x14ac:dyDescent="0.3">
      <c r="F2357" s="43">
        <v>41306</v>
      </c>
      <c r="G2357" s="44">
        <v>1513.170044</v>
      </c>
      <c r="H2357" s="44">
        <v>1101.589966</v>
      </c>
      <c r="I2357" s="44">
        <v>911.20001200000002</v>
      </c>
      <c r="J2357" s="44">
        <v>59.450001</v>
      </c>
      <c r="K2357" s="44">
        <v>109.94000200000001</v>
      </c>
    </row>
    <row r="2358" spans="6:11" x14ac:dyDescent="0.3">
      <c r="F2358" s="43">
        <v>41309</v>
      </c>
      <c r="G2358" s="44">
        <v>1495.709961</v>
      </c>
      <c r="H2358" s="44">
        <v>1091.2700199999999</v>
      </c>
      <c r="I2358" s="44">
        <v>899.28002900000001</v>
      </c>
      <c r="J2358" s="44">
        <v>58.380001</v>
      </c>
      <c r="K2358" s="44">
        <v>110.25</v>
      </c>
    </row>
    <row r="2359" spans="6:11" x14ac:dyDescent="0.3">
      <c r="F2359" s="43">
        <v>41310</v>
      </c>
      <c r="G2359" s="44">
        <v>1511.290039</v>
      </c>
      <c r="H2359" s="44">
        <v>1099.3000489999999</v>
      </c>
      <c r="I2359" s="44">
        <v>908.21997099999999</v>
      </c>
      <c r="J2359" s="44">
        <v>58.650002000000001</v>
      </c>
      <c r="K2359" s="44">
        <v>110.019997</v>
      </c>
    </row>
    <row r="2360" spans="6:11" x14ac:dyDescent="0.3">
      <c r="F2360" s="43">
        <v>41311</v>
      </c>
      <c r="G2360" s="44">
        <v>1512.119995</v>
      </c>
      <c r="H2360" s="44">
        <v>1104.3199460000001</v>
      </c>
      <c r="I2360" s="44">
        <v>911.28997800000002</v>
      </c>
      <c r="J2360" s="44">
        <v>58.639999000000003</v>
      </c>
      <c r="K2360" s="44">
        <v>110.209999</v>
      </c>
    </row>
    <row r="2361" spans="6:11" x14ac:dyDescent="0.3">
      <c r="F2361" s="43">
        <v>41312</v>
      </c>
      <c r="G2361" s="44">
        <v>1509.3900149999999</v>
      </c>
      <c r="H2361" s="44">
        <v>1102.619995</v>
      </c>
      <c r="I2361" s="44">
        <v>908.09997599999997</v>
      </c>
      <c r="J2361" s="44">
        <v>58.16</v>
      </c>
      <c r="K2361" s="44">
        <v>110.25</v>
      </c>
    </row>
    <row r="2362" spans="6:11" x14ac:dyDescent="0.3">
      <c r="F2362" s="43">
        <v>41313</v>
      </c>
      <c r="G2362" s="44">
        <v>1517.9300539999999</v>
      </c>
      <c r="H2362" s="44">
        <v>1109.089966</v>
      </c>
      <c r="I2362" s="44">
        <v>913.669983</v>
      </c>
      <c r="J2362" s="44">
        <v>58.529998999999997</v>
      </c>
      <c r="K2362" s="44">
        <v>110.279999</v>
      </c>
    </row>
    <row r="2363" spans="6:11" x14ac:dyDescent="0.3">
      <c r="F2363" s="43">
        <v>41316</v>
      </c>
      <c r="G2363" s="44">
        <v>1517.01001</v>
      </c>
      <c r="H2363" s="44">
        <v>1107.0500489999999</v>
      </c>
      <c r="I2363" s="44">
        <v>913.03002900000001</v>
      </c>
      <c r="J2363" s="44">
        <v>58.470001000000003</v>
      </c>
      <c r="K2363" s="44">
        <v>110.16999800000001</v>
      </c>
    </row>
    <row r="2364" spans="6:11" x14ac:dyDescent="0.3">
      <c r="F2364" s="43">
        <v>41317</v>
      </c>
      <c r="G2364" s="44">
        <v>1519.4300539999999</v>
      </c>
      <c r="H2364" s="44">
        <v>1111.719971</v>
      </c>
      <c r="I2364" s="44">
        <v>917.52002000000005</v>
      </c>
      <c r="J2364" s="44">
        <v>58.759998000000003</v>
      </c>
      <c r="K2364" s="44">
        <v>110.150002</v>
      </c>
    </row>
    <row r="2365" spans="6:11" x14ac:dyDescent="0.3">
      <c r="F2365" s="43">
        <v>41318</v>
      </c>
      <c r="G2365" s="44">
        <v>1520.329956</v>
      </c>
      <c r="H2365" s="44">
        <v>1114.6099850000001</v>
      </c>
      <c r="I2365" s="44">
        <v>920.580017</v>
      </c>
      <c r="J2365" s="44">
        <v>58.900002000000001</v>
      </c>
      <c r="K2365" s="44">
        <v>110.040001</v>
      </c>
    </row>
    <row r="2366" spans="6:11" x14ac:dyDescent="0.3">
      <c r="F2366" s="43">
        <v>41319</v>
      </c>
      <c r="G2366" s="44">
        <v>1521.380005</v>
      </c>
      <c r="H2366" s="44">
        <v>1117.119995</v>
      </c>
      <c r="I2366" s="44">
        <v>923.76000999999997</v>
      </c>
      <c r="J2366" s="44">
        <v>58.580002</v>
      </c>
      <c r="K2366" s="44">
        <v>110.239998</v>
      </c>
    </row>
    <row r="2367" spans="6:11" x14ac:dyDescent="0.3">
      <c r="F2367" s="43">
        <v>41320</v>
      </c>
      <c r="G2367" s="44">
        <v>1519.790039</v>
      </c>
      <c r="H2367" s="44">
        <v>1115.75</v>
      </c>
      <c r="I2367" s="44">
        <v>923.15002400000003</v>
      </c>
      <c r="J2367" s="44">
        <v>58.43</v>
      </c>
      <c r="K2367" s="44">
        <v>110.25</v>
      </c>
    </row>
    <row r="2368" spans="6:11" x14ac:dyDescent="0.3">
      <c r="F2368" s="43">
        <v>41324</v>
      </c>
      <c r="G2368" s="44">
        <v>1530.9399410000001</v>
      </c>
      <c r="H2368" s="44">
        <v>1123.73999</v>
      </c>
      <c r="I2368" s="44">
        <v>932</v>
      </c>
      <c r="J2368" s="44">
        <v>59.119999</v>
      </c>
      <c r="K2368" s="44">
        <v>110.120003</v>
      </c>
    </row>
    <row r="2369" spans="6:11" x14ac:dyDescent="0.3">
      <c r="F2369" s="43">
        <v>41325</v>
      </c>
      <c r="G2369" s="44">
        <v>1511.9499510000001</v>
      </c>
      <c r="H2369" s="44">
        <v>1104.099976</v>
      </c>
      <c r="I2369" s="44">
        <v>913.5</v>
      </c>
      <c r="J2369" s="44">
        <v>58.540000999999997</v>
      </c>
      <c r="K2369" s="44">
        <v>110.19000200000001</v>
      </c>
    </row>
    <row r="2370" spans="6:11" x14ac:dyDescent="0.3">
      <c r="F2370" s="43">
        <v>41326</v>
      </c>
      <c r="G2370" s="44">
        <v>1502.420044</v>
      </c>
      <c r="H2370" s="44">
        <v>1093.2700199999999</v>
      </c>
      <c r="I2370" s="44">
        <v>905.40002400000003</v>
      </c>
      <c r="J2370" s="44">
        <v>57.66</v>
      </c>
      <c r="K2370" s="44">
        <v>110.25</v>
      </c>
    </row>
    <row r="2371" spans="6:11" x14ac:dyDescent="0.3">
      <c r="F2371" s="43">
        <v>41327</v>
      </c>
      <c r="G2371" s="44">
        <v>1515.599976</v>
      </c>
      <c r="H2371" s="44">
        <v>1103.6999510000001</v>
      </c>
      <c r="I2371" s="44">
        <v>916.15002400000003</v>
      </c>
      <c r="J2371" s="44">
        <v>58.490001999999997</v>
      </c>
      <c r="K2371" s="44">
        <v>110.30999799999999</v>
      </c>
    </row>
    <row r="2372" spans="6:11" x14ac:dyDescent="0.3">
      <c r="F2372" s="43">
        <v>41330</v>
      </c>
      <c r="G2372" s="44">
        <v>1487.849976</v>
      </c>
      <c r="H2372" s="44">
        <v>1081.6800539999999</v>
      </c>
      <c r="I2372" s="44">
        <v>895.84002699999996</v>
      </c>
      <c r="J2372" s="44">
        <v>57.09</v>
      </c>
      <c r="K2372" s="44">
        <v>110.730003</v>
      </c>
    </row>
    <row r="2373" spans="6:11" x14ac:dyDescent="0.3">
      <c r="F2373" s="43">
        <v>41331</v>
      </c>
      <c r="G2373" s="44">
        <v>1496.9399410000001</v>
      </c>
      <c r="H2373" s="44">
        <v>1088.150024</v>
      </c>
      <c r="I2373" s="44">
        <v>900.04998799999998</v>
      </c>
      <c r="J2373" s="44">
        <v>57.549999</v>
      </c>
      <c r="K2373" s="44">
        <v>110.699997</v>
      </c>
    </row>
    <row r="2374" spans="6:11" x14ac:dyDescent="0.3">
      <c r="F2374" s="43">
        <v>41332</v>
      </c>
      <c r="G2374" s="44">
        <v>1515.98999</v>
      </c>
      <c r="H2374" s="44">
        <v>1103.5699460000001</v>
      </c>
      <c r="I2374" s="44">
        <v>909.919983</v>
      </c>
      <c r="J2374" s="44">
        <v>58.279998999999997</v>
      </c>
      <c r="K2374" s="44">
        <v>110.730003</v>
      </c>
    </row>
    <row r="2375" spans="6:11" x14ac:dyDescent="0.3">
      <c r="F2375" s="43">
        <v>41333</v>
      </c>
      <c r="G2375" s="44">
        <v>1514.6800539999999</v>
      </c>
      <c r="H2375" s="44">
        <v>1102.6400149999999</v>
      </c>
      <c r="I2375" s="44">
        <v>911.10998500000005</v>
      </c>
      <c r="J2375" s="44">
        <v>58.220001000000003</v>
      </c>
      <c r="K2375" s="44">
        <v>110.83000199999999</v>
      </c>
    </row>
    <row r="2376" spans="6:11" x14ac:dyDescent="0.3">
      <c r="F2376" s="43">
        <v>41334</v>
      </c>
      <c r="G2376" s="44">
        <v>1518.1999510000001</v>
      </c>
      <c r="H2376" s="44">
        <v>1098.150024</v>
      </c>
      <c r="I2376" s="44">
        <v>914.72997999999995</v>
      </c>
      <c r="J2376" s="44">
        <v>58.099997999999999</v>
      </c>
      <c r="K2376" s="44">
        <v>110.660004</v>
      </c>
    </row>
    <row r="2377" spans="6:11" x14ac:dyDescent="0.3">
      <c r="F2377" s="43">
        <v>41337</v>
      </c>
      <c r="G2377" s="44">
        <v>1525.1999510000001</v>
      </c>
      <c r="H2377" s="44">
        <v>1101.959961</v>
      </c>
      <c r="I2377" s="44">
        <v>916.67999299999997</v>
      </c>
      <c r="J2377" s="44">
        <v>58.349997999999999</v>
      </c>
      <c r="K2377" s="44">
        <v>110.58000199999999</v>
      </c>
    </row>
    <row r="2378" spans="6:11" x14ac:dyDescent="0.3">
      <c r="F2378" s="43">
        <v>41338</v>
      </c>
      <c r="G2378" s="44">
        <v>1539.790039</v>
      </c>
      <c r="H2378" s="44">
        <v>1116.670044</v>
      </c>
      <c r="I2378" s="44">
        <v>927.40002400000003</v>
      </c>
      <c r="J2378" s="44">
        <v>58.93</v>
      </c>
      <c r="K2378" s="44">
        <v>110.489998</v>
      </c>
    </row>
    <row r="2379" spans="6:11" x14ac:dyDescent="0.3">
      <c r="F2379" s="43">
        <v>41339</v>
      </c>
      <c r="G2379" s="44">
        <v>1541.459961</v>
      </c>
      <c r="H2379" s="44">
        <v>1118.670044</v>
      </c>
      <c r="I2379" s="44">
        <v>929.96002199999998</v>
      </c>
      <c r="J2379" s="44">
        <v>59.080002</v>
      </c>
      <c r="K2379" s="44">
        <v>110.370003</v>
      </c>
    </row>
    <row r="2380" spans="6:11" x14ac:dyDescent="0.3">
      <c r="F2380" s="43">
        <v>41340</v>
      </c>
      <c r="G2380" s="44">
        <v>1544.26001</v>
      </c>
      <c r="H2380" s="44">
        <v>1121.48999</v>
      </c>
      <c r="I2380" s="44">
        <v>934.57000700000003</v>
      </c>
      <c r="J2380" s="44">
        <v>59.25</v>
      </c>
      <c r="K2380" s="44">
        <v>110.139999</v>
      </c>
    </row>
    <row r="2381" spans="6:11" x14ac:dyDescent="0.3">
      <c r="F2381" s="43">
        <v>41341</v>
      </c>
      <c r="G2381" s="44">
        <v>1551.1800539999999</v>
      </c>
      <c r="H2381" s="44">
        <v>1131.25</v>
      </c>
      <c r="I2381" s="44">
        <v>942.5</v>
      </c>
      <c r="J2381" s="44">
        <v>59.380001</v>
      </c>
      <c r="K2381" s="44">
        <v>109.82</v>
      </c>
    </row>
    <row r="2382" spans="6:11" x14ac:dyDescent="0.3">
      <c r="F2382" s="43">
        <v>41344</v>
      </c>
      <c r="G2382" s="44">
        <v>1556.219971</v>
      </c>
      <c r="H2382" s="44">
        <v>1132.26001</v>
      </c>
      <c r="I2382" s="44">
        <v>942.51000999999997</v>
      </c>
      <c r="J2382" s="44">
        <v>59.560001</v>
      </c>
      <c r="K2382" s="44">
        <v>109.879997</v>
      </c>
    </row>
    <row r="2383" spans="6:11" x14ac:dyDescent="0.3">
      <c r="F2383" s="43">
        <v>41345</v>
      </c>
      <c r="G2383" s="44">
        <v>1552.4799800000001</v>
      </c>
      <c r="H2383" s="44">
        <v>1131.130005</v>
      </c>
      <c r="I2383" s="44">
        <v>940.26000999999997</v>
      </c>
      <c r="J2383" s="44">
        <v>59.259998000000003</v>
      </c>
      <c r="K2383" s="44">
        <v>110.08000199999999</v>
      </c>
    </row>
    <row r="2384" spans="6:11" x14ac:dyDescent="0.3">
      <c r="F2384" s="43">
        <v>41346</v>
      </c>
      <c r="G2384" s="44">
        <v>1554.5200199999999</v>
      </c>
      <c r="H2384" s="44">
        <v>1135.1800539999999</v>
      </c>
      <c r="I2384" s="44">
        <v>943.90002400000003</v>
      </c>
      <c r="J2384" s="44">
        <v>59.169998</v>
      </c>
      <c r="K2384" s="44">
        <v>109.989998</v>
      </c>
    </row>
    <row r="2385" spans="6:11" x14ac:dyDescent="0.3">
      <c r="F2385" s="43">
        <v>41347</v>
      </c>
      <c r="G2385" s="44">
        <v>1563.2299800000001</v>
      </c>
      <c r="H2385" s="44">
        <v>1143.51001</v>
      </c>
      <c r="I2385" s="44">
        <v>953.07000700000003</v>
      </c>
      <c r="J2385" s="44">
        <v>59.75</v>
      </c>
      <c r="K2385" s="44">
        <v>110.110001</v>
      </c>
    </row>
    <row r="2386" spans="6:11" x14ac:dyDescent="0.3">
      <c r="F2386" s="43">
        <v>41348</v>
      </c>
      <c r="G2386" s="44">
        <v>1560.6999510000001</v>
      </c>
      <c r="H2386" s="44">
        <v>1141.829956</v>
      </c>
      <c r="I2386" s="44">
        <v>952.47997999999995</v>
      </c>
      <c r="J2386" s="44">
        <v>59.869999</v>
      </c>
      <c r="K2386" s="44">
        <v>110.209999</v>
      </c>
    </row>
    <row r="2387" spans="6:11" x14ac:dyDescent="0.3">
      <c r="F2387" s="43">
        <v>41351</v>
      </c>
      <c r="G2387" s="44">
        <v>1552.099976</v>
      </c>
      <c r="H2387" s="44">
        <v>1137.6800539999999</v>
      </c>
      <c r="I2387" s="44">
        <v>947.20001200000002</v>
      </c>
      <c r="J2387" s="44">
        <v>59.209999000000003</v>
      </c>
      <c r="K2387" s="44">
        <v>110.30999799999999</v>
      </c>
    </row>
    <row r="2388" spans="6:11" x14ac:dyDescent="0.3">
      <c r="F2388" s="43">
        <v>41352</v>
      </c>
      <c r="G2388" s="44">
        <v>1548.339966</v>
      </c>
      <c r="H2388" s="44">
        <v>1134.8100589999999</v>
      </c>
      <c r="I2388" s="44">
        <v>942.84997599999997</v>
      </c>
      <c r="J2388" s="44">
        <v>59.029998999999997</v>
      </c>
      <c r="K2388" s="44">
        <v>110.470001</v>
      </c>
    </row>
    <row r="2389" spans="6:11" x14ac:dyDescent="0.3">
      <c r="F2389" s="43">
        <v>41353</v>
      </c>
      <c r="G2389" s="44">
        <v>1558.709961</v>
      </c>
      <c r="H2389" s="44">
        <v>1145.880005</v>
      </c>
      <c r="I2389" s="44">
        <v>951.95001200000002</v>
      </c>
      <c r="J2389" s="44">
        <v>59.389999000000003</v>
      </c>
      <c r="K2389" s="44">
        <v>110.349998</v>
      </c>
    </row>
    <row r="2390" spans="6:11" x14ac:dyDescent="0.3">
      <c r="F2390" s="43">
        <v>41354</v>
      </c>
      <c r="G2390" s="44">
        <v>1545.8000489999999</v>
      </c>
      <c r="H2390" s="44">
        <v>1135.910034</v>
      </c>
      <c r="I2390" s="44">
        <v>943.919983</v>
      </c>
      <c r="J2390" s="44">
        <v>58.849997999999999</v>
      </c>
      <c r="K2390" s="44">
        <v>110.370003</v>
      </c>
    </row>
    <row r="2391" spans="6:11" x14ac:dyDescent="0.3">
      <c r="F2391" s="43">
        <v>41355</v>
      </c>
      <c r="G2391" s="44">
        <v>1556.8900149999999</v>
      </c>
      <c r="H2391" s="44">
        <v>1139.670044</v>
      </c>
      <c r="I2391" s="44">
        <v>946.27002000000005</v>
      </c>
      <c r="J2391" s="44">
        <v>59.360000999999997</v>
      </c>
      <c r="K2391" s="44">
        <v>110.410004</v>
      </c>
    </row>
    <row r="2392" spans="6:11" x14ac:dyDescent="0.3">
      <c r="F2392" s="43">
        <v>41358</v>
      </c>
      <c r="G2392" s="44">
        <v>1551.6899410000001</v>
      </c>
      <c r="H2392" s="44">
        <v>1136.910034</v>
      </c>
      <c r="I2392" s="44">
        <v>945.84997599999997</v>
      </c>
      <c r="J2392" s="44">
        <v>58.619999</v>
      </c>
      <c r="K2392" s="44">
        <v>110.370003</v>
      </c>
    </row>
    <row r="2393" spans="6:11" x14ac:dyDescent="0.3">
      <c r="F2393" s="43">
        <v>41359</v>
      </c>
      <c r="G2393" s="44">
        <v>1563.7700199999999</v>
      </c>
      <c r="H2393" s="44">
        <v>1143.9799800000001</v>
      </c>
      <c r="I2393" s="44">
        <v>949.82000700000003</v>
      </c>
      <c r="J2393" s="44">
        <v>58.990001999999997</v>
      </c>
      <c r="K2393" s="44">
        <v>110.5</v>
      </c>
    </row>
    <row r="2394" spans="6:11" x14ac:dyDescent="0.3">
      <c r="F2394" s="43">
        <v>41360</v>
      </c>
      <c r="G2394" s="44">
        <v>1562.849976</v>
      </c>
      <c r="H2394" s="44">
        <v>1145.969971</v>
      </c>
      <c r="I2394" s="44">
        <v>950.23999000000003</v>
      </c>
      <c r="J2394" s="44">
        <v>58.700001</v>
      </c>
      <c r="K2394" s="44">
        <v>110.730003</v>
      </c>
    </row>
    <row r="2395" spans="6:11" x14ac:dyDescent="0.3">
      <c r="F2395" s="43">
        <v>41361</v>
      </c>
      <c r="G2395" s="44">
        <v>1569.1899410000001</v>
      </c>
      <c r="H2395" s="44">
        <v>1153.6800539999999</v>
      </c>
      <c r="I2395" s="44">
        <v>951.53997800000002</v>
      </c>
      <c r="J2395" s="44">
        <v>58.98</v>
      </c>
      <c r="K2395" s="44">
        <v>110.730003</v>
      </c>
    </row>
    <row r="2396" spans="6:11" x14ac:dyDescent="0.3">
      <c r="F2396" s="43">
        <v>41365</v>
      </c>
      <c r="G2396" s="44">
        <v>1562.170044</v>
      </c>
      <c r="H2396" s="44">
        <v>1142.2700199999999</v>
      </c>
      <c r="I2396" s="44">
        <v>938.78997800000002</v>
      </c>
      <c r="J2396" s="44">
        <v>58.189999</v>
      </c>
      <c r="K2396" s="44">
        <v>110.57</v>
      </c>
    </row>
    <row r="2397" spans="6:11" x14ac:dyDescent="0.3">
      <c r="F2397" s="43">
        <v>41366</v>
      </c>
      <c r="G2397" s="44">
        <v>1570.25</v>
      </c>
      <c r="H2397" s="44">
        <v>1137.6899410000001</v>
      </c>
      <c r="I2397" s="44">
        <v>934.29998799999998</v>
      </c>
      <c r="J2397" s="44">
        <v>58.810001</v>
      </c>
      <c r="K2397" s="44">
        <v>110.449997</v>
      </c>
    </row>
    <row r="2398" spans="6:11" x14ac:dyDescent="0.3">
      <c r="F2398" s="43">
        <v>41367</v>
      </c>
      <c r="G2398" s="44">
        <v>1553.6899410000001</v>
      </c>
      <c r="H2398" s="44">
        <v>1119.339966</v>
      </c>
      <c r="I2398" s="44">
        <v>918.71002199999998</v>
      </c>
      <c r="J2398" s="44">
        <v>58.52</v>
      </c>
      <c r="K2398" s="44">
        <v>110.57</v>
      </c>
    </row>
    <row r="2399" spans="6:11" x14ac:dyDescent="0.3">
      <c r="F2399" s="43">
        <v>41368</v>
      </c>
      <c r="G2399" s="44">
        <v>1559.9799800000001</v>
      </c>
      <c r="H2399" s="44">
        <v>1125.5699460000001</v>
      </c>
      <c r="I2399" s="44">
        <v>925.65997300000004</v>
      </c>
      <c r="J2399" s="44">
        <v>59.040000999999997</v>
      </c>
      <c r="K2399" s="44">
        <v>110.879997</v>
      </c>
    </row>
    <row r="2400" spans="6:11" x14ac:dyDescent="0.3">
      <c r="F2400" s="43">
        <v>41369</v>
      </c>
      <c r="G2400" s="44">
        <v>1553.280029</v>
      </c>
      <c r="H2400" s="44">
        <v>1123.969971</v>
      </c>
      <c r="I2400" s="44">
        <v>923.28002900000001</v>
      </c>
      <c r="J2400" s="44">
        <v>58.77</v>
      </c>
      <c r="K2400" s="44">
        <v>111.199997</v>
      </c>
    </row>
    <row r="2401" spans="6:11" x14ac:dyDescent="0.3">
      <c r="F2401" s="43">
        <v>41372</v>
      </c>
      <c r="G2401" s="44">
        <v>1563.0699460000001</v>
      </c>
      <c r="H2401" s="44">
        <v>1133.3900149999999</v>
      </c>
      <c r="I2401" s="44">
        <v>931.48999000000003</v>
      </c>
      <c r="J2401" s="44">
        <v>59</v>
      </c>
      <c r="K2401" s="44">
        <v>111.010002</v>
      </c>
    </row>
    <row r="2402" spans="6:11" x14ac:dyDescent="0.3">
      <c r="F2402" s="43">
        <v>41373</v>
      </c>
      <c r="G2402" s="44">
        <v>1568.6099850000001</v>
      </c>
      <c r="H2402" s="44">
        <v>1133.719971</v>
      </c>
      <c r="I2402" s="44">
        <v>929.34002699999996</v>
      </c>
      <c r="J2402" s="44">
        <v>59.209999000000003</v>
      </c>
      <c r="K2402" s="44">
        <v>111.050003</v>
      </c>
    </row>
    <row r="2403" spans="6:11" x14ac:dyDescent="0.3">
      <c r="F2403" s="43">
        <v>41374</v>
      </c>
      <c r="G2403" s="44">
        <v>1587.7299800000001</v>
      </c>
      <c r="H2403" s="44">
        <v>1149</v>
      </c>
      <c r="I2403" s="44">
        <v>946.09002699999996</v>
      </c>
      <c r="J2403" s="44">
        <v>60.09</v>
      </c>
      <c r="K2403" s="44">
        <v>110.82</v>
      </c>
    </row>
    <row r="2404" spans="6:11" x14ac:dyDescent="0.3">
      <c r="F2404" s="43">
        <v>41375</v>
      </c>
      <c r="G2404" s="44">
        <v>1593.369995</v>
      </c>
      <c r="H2404" s="44">
        <v>1153.420044</v>
      </c>
      <c r="I2404" s="44">
        <v>947.04998799999998</v>
      </c>
      <c r="J2404" s="44">
        <v>60.560001</v>
      </c>
      <c r="K2404" s="44">
        <v>110.839996</v>
      </c>
    </row>
    <row r="2405" spans="6:11" x14ac:dyDescent="0.3">
      <c r="F2405" s="43">
        <v>41376</v>
      </c>
      <c r="G2405" s="44">
        <v>1588.849976</v>
      </c>
      <c r="H2405" s="44">
        <v>1149.2299800000001</v>
      </c>
      <c r="I2405" s="44">
        <v>942.84997599999997</v>
      </c>
      <c r="J2405" s="44">
        <v>60.41</v>
      </c>
      <c r="K2405" s="44">
        <v>111.199997</v>
      </c>
    </row>
    <row r="2406" spans="6:11" x14ac:dyDescent="0.3">
      <c r="F2406" s="43">
        <v>41379</v>
      </c>
      <c r="G2406" s="44">
        <v>1552.3599850000001</v>
      </c>
      <c r="H2406" s="44">
        <v>1111.709961</v>
      </c>
      <c r="I2406" s="44">
        <v>907.17999299999997</v>
      </c>
      <c r="J2406" s="44">
        <v>59.220001000000003</v>
      </c>
      <c r="K2406" s="44">
        <v>111.25</v>
      </c>
    </row>
    <row r="2407" spans="6:11" x14ac:dyDescent="0.3">
      <c r="F2407" s="43">
        <v>41380</v>
      </c>
      <c r="G2407" s="44">
        <v>1574.5699460000001</v>
      </c>
      <c r="H2407" s="44">
        <v>1130.040039</v>
      </c>
      <c r="I2407" s="44">
        <v>923.29998799999998</v>
      </c>
      <c r="J2407" s="44">
        <v>60.060001</v>
      </c>
      <c r="K2407" s="44">
        <v>111.25</v>
      </c>
    </row>
    <row r="2408" spans="6:11" x14ac:dyDescent="0.3">
      <c r="F2408" s="43">
        <v>41381</v>
      </c>
      <c r="G2408" s="44">
        <v>1552.01001</v>
      </c>
      <c r="H2408" s="44">
        <v>1111.619995</v>
      </c>
      <c r="I2408" s="44">
        <v>906.79998799999998</v>
      </c>
      <c r="J2408" s="44">
        <v>58.810001</v>
      </c>
      <c r="K2408" s="44">
        <v>111.25</v>
      </c>
    </row>
    <row r="2409" spans="6:11" x14ac:dyDescent="0.3">
      <c r="F2409" s="43">
        <v>41382</v>
      </c>
      <c r="G2409" s="44">
        <v>1541.6099850000001</v>
      </c>
      <c r="H2409" s="44">
        <v>1104.790039</v>
      </c>
      <c r="I2409" s="44">
        <v>901.51000999999997</v>
      </c>
      <c r="J2409" s="44">
        <v>58.630001</v>
      </c>
      <c r="K2409" s="44">
        <v>111.230003</v>
      </c>
    </row>
    <row r="2410" spans="6:11" x14ac:dyDescent="0.3">
      <c r="F2410" s="43">
        <v>41383</v>
      </c>
      <c r="G2410" s="44">
        <v>1555.25</v>
      </c>
      <c r="H2410" s="44">
        <v>1121.3000489999999</v>
      </c>
      <c r="I2410" s="44">
        <v>912.5</v>
      </c>
      <c r="J2410" s="44">
        <v>59.099997999999999</v>
      </c>
      <c r="K2410" s="44">
        <v>111.239998</v>
      </c>
    </row>
    <row r="2411" spans="6:11" x14ac:dyDescent="0.3">
      <c r="F2411" s="43">
        <v>41386</v>
      </c>
      <c r="G2411" s="44">
        <v>1562.5</v>
      </c>
      <c r="H2411" s="44">
        <v>1124.4399410000001</v>
      </c>
      <c r="I2411" s="44">
        <v>914.79998799999998</v>
      </c>
      <c r="J2411" s="44">
        <v>59.349997999999999</v>
      </c>
      <c r="K2411" s="44">
        <v>111.379997</v>
      </c>
    </row>
    <row r="2412" spans="6:11" x14ac:dyDescent="0.3">
      <c r="F2412" s="43">
        <v>41387</v>
      </c>
      <c r="G2412" s="44">
        <v>1578.780029</v>
      </c>
      <c r="H2412" s="44">
        <v>1137.040039</v>
      </c>
      <c r="I2412" s="44">
        <v>929.35998500000005</v>
      </c>
      <c r="J2412" s="44">
        <v>60.189999</v>
      </c>
      <c r="K2412" s="44">
        <v>111.33000199999999</v>
      </c>
    </row>
    <row r="2413" spans="6:11" x14ac:dyDescent="0.3">
      <c r="F2413" s="43">
        <v>41388</v>
      </c>
      <c r="G2413" s="44">
        <v>1578.790039</v>
      </c>
      <c r="H2413" s="44">
        <v>1140.25</v>
      </c>
      <c r="I2413" s="44">
        <v>934.10998500000005</v>
      </c>
      <c r="J2413" s="44">
        <v>60.709999000000003</v>
      </c>
      <c r="K2413" s="44">
        <v>111.30999799999999</v>
      </c>
    </row>
    <row r="2414" spans="6:11" x14ac:dyDescent="0.3">
      <c r="F2414" s="43">
        <v>41389</v>
      </c>
      <c r="G2414" s="44">
        <v>1585.160034</v>
      </c>
      <c r="H2414" s="44">
        <v>1146.339966</v>
      </c>
      <c r="I2414" s="44">
        <v>940.28002900000001</v>
      </c>
      <c r="J2414" s="44">
        <v>61.029998999999997</v>
      </c>
      <c r="K2414" s="44">
        <v>111.260002</v>
      </c>
    </row>
    <row r="2415" spans="6:11" x14ac:dyDescent="0.3">
      <c r="F2415" s="43">
        <v>41390</v>
      </c>
      <c r="G2415" s="44">
        <v>1582.23999</v>
      </c>
      <c r="H2415" s="44">
        <v>1141.1999510000001</v>
      </c>
      <c r="I2415" s="44">
        <v>935.25</v>
      </c>
      <c r="J2415" s="44">
        <v>61.080002</v>
      </c>
      <c r="K2415" s="44">
        <v>111.489998</v>
      </c>
    </row>
    <row r="2416" spans="6:11" x14ac:dyDescent="0.3">
      <c r="F2416" s="43">
        <v>41393</v>
      </c>
      <c r="G2416" s="44">
        <v>1593.6099850000001</v>
      </c>
      <c r="H2416" s="44">
        <v>1149.8199460000001</v>
      </c>
      <c r="I2416" s="44">
        <v>942.42999299999997</v>
      </c>
      <c r="J2416" s="44">
        <v>61.860000999999997</v>
      </c>
      <c r="K2416" s="44">
        <v>111.55999799999999</v>
      </c>
    </row>
    <row r="2417" spans="6:11" x14ac:dyDescent="0.3">
      <c r="F2417" s="43">
        <v>41394</v>
      </c>
      <c r="G2417" s="44">
        <v>1597.5699460000001</v>
      </c>
      <c r="H2417" s="44">
        <v>1160.0200199999999</v>
      </c>
      <c r="I2417" s="44">
        <v>947.46002199999998</v>
      </c>
      <c r="J2417" s="44">
        <v>61.939999</v>
      </c>
      <c r="K2417" s="44">
        <v>111.540001</v>
      </c>
    </row>
    <row r="2418" spans="6:11" x14ac:dyDescent="0.3">
      <c r="F2418" s="43">
        <v>41395</v>
      </c>
      <c r="G2418" s="44">
        <v>1582.6999510000001</v>
      </c>
      <c r="H2418" s="44">
        <v>1139.1899410000001</v>
      </c>
      <c r="I2418" s="44">
        <v>924.21002199999998</v>
      </c>
      <c r="J2418" s="44">
        <v>61.57</v>
      </c>
      <c r="K2418" s="44">
        <v>111.389999</v>
      </c>
    </row>
    <row r="2419" spans="6:11" x14ac:dyDescent="0.3">
      <c r="F2419" s="43">
        <v>41396</v>
      </c>
      <c r="G2419" s="44">
        <v>1597.589966</v>
      </c>
      <c r="H2419" s="44">
        <v>1150.4300539999999</v>
      </c>
      <c r="I2419" s="44">
        <v>939.84997599999997</v>
      </c>
      <c r="J2419" s="44">
        <v>61.759998000000003</v>
      </c>
      <c r="K2419" s="44">
        <v>111.400002</v>
      </c>
    </row>
    <row r="2420" spans="6:11" x14ac:dyDescent="0.3">
      <c r="F2420" s="43">
        <v>41397</v>
      </c>
      <c r="G2420" s="44">
        <v>1614.420044</v>
      </c>
      <c r="H2420" s="44">
        <v>1165.0699460000001</v>
      </c>
      <c r="I2420" s="44">
        <v>954.419983</v>
      </c>
      <c r="J2420" s="44">
        <v>62.549999</v>
      </c>
      <c r="K2420" s="44">
        <v>110.989998</v>
      </c>
    </row>
    <row r="2421" spans="6:11" x14ac:dyDescent="0.3">
      <c r="F2421" s="43">
        <v>41400</v>
      </c>
      <c r="G2421" s="44">
        <v>1617.5</v>
      </c>
      <c r="H2421" s="44">
        <v>1170.869995</v>
      </c>
      <c r="I2421" s="44">
        <v>959.79998799999998</v>
      </c>
      <c r="J2421" s="44">
        <v>62.470001000000003</v>
      </c>
      <c r="K2421" s="44">
        <v>110.80999799999999</v>
      </c>
    </row>
    <row r="2422" spans="6:11" x14ac:dyDescent="0.3">
      <c r="F2422" s="43">
        <v>41401</v>
      </c>
      <c r="G2422" s="44">
        <v>1625.959961</v>
      </c>
      <c r="H2422" s="44">
        <v>1181.1999510000001</v>
      </c>
      <c r="I2422" s="44">
        <v>967.82000700000003</v>
      </c>
      <c r="J2422" s="44">
        <v>62.57</v>
      </c>
      <c r="K2422" s="44">
        <v>110.75</v>
      </c>
    </row>
    <row r="2423" spans="6:11" x14ac:dyDescent="0.3">
      <c r="F2423" s="43">
        <v>41402</v>
      </c>
      <c r="G2423" s="44">
        <v>1632.6899410000001</v>
      </c>
      <c r="H2423" s="44">
        <v>1186.540039</v>
      </c>
      <c r="I2423" s="44">
        <v>970.40997300000004</v>
      </c>
      <c r="J2423" s="44">
        <v>63.23</v>
      </c>
      <c r="K2423" s="44">
        <v>110.849998</v>
      </c>
    </row>
    <row r="2424" spans="6:11" x14ac:dyDescent="0.3">
      <c r="F2424" s="43">
        <v>41403</v>
      </c>
      <c r="G2424" s="44">
        <v>1626.670044</v>
      </c>
      <c r="H2424" s="44">
        <v>1182.719971</v>
      </c>
      <c r="I2424" s="44">
        <v>966.26000999999997</v>
      </c>
      <c r="J2424" s="44">
        <v>62.619999</v>
      </c>
      <c r="K2424" s="44">
        <v>110.699997</v>
      </c>
    </row>
    <row r="2425" spans="6:11" x14ac:dyDescent="0.3">
      <c r="F2425" s="43">
        <v>41404</v>
      </c>
      <c r="G2425" s="44">
        <v>1633.6999510000001</v>
      </c>
      <c r="H2425" s="44">
        <v>1189.9300539999999</v>
      </c>
      <c r="I2425" s="44">
        <v>975.15997300000004</v>
      </c>
      <c r="J2425" s="44">
        <v>62.689999</v>
      </c>
      <c r="K2425" s="44">
        <v>110.480003</v>
      </c>
    </row>
    <row r="2426" spans="6:11" x14ac:dyDescent="0.3">
      <c r="F2426" s="43">
        <v>41407</v>
      </c>
      <c r="G2426" s="44">
        <v>1633.7700199999999</v>
      </c>
      <c r="H2426" s="44">
        <v>1187.849976</v>
      </c>
      <c r="I2426" s="44">
        <v>973.78997800000002</v>
      </c>
      <c r="J2426" s="44">
        <v>62.66</v>
      </c>
      <c r="K2426" s="44">
        <v>110.379997</v>
      </c>
    </row>
    <row r="2427" spans="6:11" x14ac:dyDescent="0.3">
      <c r="F2427" s="43">
        <v>41408</v>
      </c>
      <c r="G2427" s="44">
        <v>1650.339966</v>
      </c>
      <c r="H2427" s="44">
        <v>1200.8599850000001</v>
      </c>
      <c r="I2427" s="44">
        <v>985.96002199999998</v>
      </c>
      <c r="J2427" s="44">
        <v>62.779998999999997</v>
      </c>
      <c r="K2427" s="44">
        <v>110.120003</v>
      </c>
    </row>
    <row r="2428" spans="6:11" x14ac:dyDescent="0.3">
      <c r="F2428" s="43">
        <v>41409</v>
      </c>
      <c r="G2428" s="44">
        <v>1658.780029</v>
      </c>
      <c r="H2428" s="44">
        <v>1206.339966</v>
      </c>
      <c r="I2428" s="44">
        <v>988.53997800000002</v>
      </c>
      <c r="J2428" s="44">
        <v>63.049999</v>
      </c>
      <c r="K2428" s="44">
        <v>110.279999</v>
      </c>
    </row>
    <row r="2429" spans="6:11" x14ac:dyDescent="0.3">
      <c r="F2429" s="43">
        <v>41410</v>
      </c>
      <c r="G2429" s="44">
        <v>1650.469971</v>
      </c>
      <c r="H2429" s="44">
        <v>1199.7299800000001</v>
      </c>
      <c r="I2429" s="44">
        <v>985.34002699999996</v>
      </c>
      <c r="J2429" s="44">
        <v>62.619999</v>
      </c>
      <c r="K2429" s="44">
        <v>110.58000199999999</v>
      </c>
    </row>
    <row r="2430" spans="6:11" x14ac:dyDescent="0.3">
      <c r="F2430" s="43">
        <v>41411</v>
      </c>
      <c r="G2430" s="44">
        <v>1667.469971</v>
      </c>
      <c r="H2430" s="44">
        <v>1211.540039</v>
      </c>
      <c r="I2430" s="44">
        <v>996.28002900000001</v>
      </c>
      <c r="J2430" s="44">
        <v>63.049999</v>
      </c>
      <c r="K2430" s="44">
        <v>110.30999799999999</v>
      </c>
    </row>
    <row r="2431" spans="6:11" x14ac:dyDescent="0.3">
      <c r="F2431" s="43">
        <v>41414</v>
      </c>
      <c r="G2431" s="44">
        <v>1666.290039</v>
      </c>
      <c r="H2431" s="44">
        <v>1212.3000489999999</v>
      </c>
      <c r="I2431" s="44">
        <v>997.97997999999995</v>
      </c>
      <c r="J2431" s="44">
        <v>63.400002000000001</v>
      </c>
      <c r="K2431" s="44">
        <v>110.199997</v>
      </c>
    </row>
    <row r="2432" spans="6:11" x14ac:dyDescent="0.3">
      <c r="F2432" s="43">
        <v>41415</v>
      </c>
      <c r="G2432" s="44">
        <v>1669.160034</v>
      </c>
      <c r="H2432" s="44">
        <v>1214.8900149999999</v>
      </c>
      <c r="I2432" s="44">
        <v>998.78002900000001</v>
      </c>
      <c r="J2432" s="44">
        <v>63.529998999999997</v>
      </c>
      <c r="K2432" s="44">
        <v>110.290001</v>
      </c>
    </row>
    <row r="2433" spans="6:11" x14ac:dyDescent="0.3">
      <c r="F2433" s="43">
        <v>41416</v>
      </c>
      <c r="G2433" s="44">
        <v>1655.349976</v>
      </c>
      <c r="H2433" s="44">
        <v>1193.7700199999999</v>
      </c>
      <c r="I2433" s="44">
        <v>982.26000999999997</v>
      </c>
      <c r="J2433" s="44">
        <v>62.889999000000003</v>
      </c>
      <c r="K2433" s="44">
        <v>109.91999800000001</v>
      </c>
    </row>
    <row r="2434" spans="6:11" x14ac:dyDescent="0.3">
      <c r="F2434" s="43">
        <v>41417</v>
      </c>
      <c r="G2434" s="44">
        <v>1650.51001</v>
      </c>
      <c r="H2434" s="44">
        <v>1193.1400149999999</v>
      </c>
      <c r="I2434" s="44">
        <v>984.28002900000001</v>
      </c>
      <c r="J2434" s="44">
        <v>61.990001999999997</v>
      </c>
      <c r="K2434" s="44">
        <v>109.879997</v>
      </c>
    </row>
    <row r="2435" spans="6:11" x14ac:dyDescent="0.3">
      <c r="F2435" s="43">
        <v>41418</v>
      </c>
      <c r="G2435" s="44">
        <v>1649.599976</v>
      </c>
      <c r="H2435" s="44">
        <v>1188.0699460000001</v>
      </c>
      <c r="I2435" s="44">
        <v>984.28002900000001</v>
      </c>
      <c r="J2435" s="44">
        <v>61.450001</v>
      </c>
      <c r="K2435" s="44">
        <v>109.879997</v>
      </c>
    </row>
    <row r="2436" spans="6:11" x14ac:dyDescent="0.3">
      <c r="F2436" s="43">
        <v>41422</v>
      </c>
      <c r="G2436" s="44">
        <v>1660.0600589999999</v>
      </c>
      <c r="H2436" s="44">
        <v>1196.8000489999999</v>
      </c>
      <c r="I2436" s="44">
        <v>997.34997599999997</v>
      </c>
      <c r="J2436" s="44">
        <v>61.610000999999997</v>
      </c>
      <c r="K2436" s="44">
        <v>109.199997</v>
      </c>
    </row>
    <row r="2437" spans="6:11" x14ac:dyDescent="0.3">
      <c r="F2437" s="43">
        <v>41423</v>
      </c>
      <c r="G2437" s="44">
        <v>1648.3599850000001</v>
      </c>
      <c r="H2437" s="44">
        <v>1186.459961</v>
      </c>
      <c r="I2437" s="44">
        <v>986.96002199999998</v>
      </c>
      <c r="J2437" s="44">
        <v>61.02</v>
      </c>
      <c r="K2437" s="44">
        <v>109.349998</v>
      </c>
    </row>
    <row r="2438" spans="6:11" x14ac:dyDescent="0.3">
      <c r="F2438" s="43">
        <v>41424</v>
      </c>
      <c r="G2438" s="44">
        <v>1654.410034</v>
      </c>
      <c r="H2438" s="44">
        <v>1195.280029</v>
      </c>
      <c r="I2438" s="44">
        <v>994.42999299999997</v>
      </c>
      <c r="J2438" s="44">
        <v>61.259998000000003</v>
      </c>
      <c r="K2438" s="44">
        <v>109.32</v>
      </c>
    </row>
    <row r="2439" spans="6:11" x14ac:dyDescent="0.3">
      <c r="F2439" s="43">
        <v>41425</v>
      </c>
      <c r="G2439" s="44">
        <v>1630.73999</v>
      </c>
      <c r="H2439" s="44">
        <v>1184.3199460000001</v>
      </c>
      <c r="I2439" s="44">
        <v>984.15002400000003</v>
      </c>
      <c r="J2439" s="44">
        <v>60.07</v>
      </c>
      <c r="K2439" s="44">
        <v>109.110001</v>
      </c>
    </row>
    <row r="2440" spans="6:11" x14ac:dyDescent="0.3">
      <c r="F2440" s="43">
        <v>41428</v>
      </c>
      <c r="G2440" s="44">
        <v>1640.420044</v>
      </c>
      <c r="H2440" s="44">
        <v>1180.719971</v>
      </c>
      <c r="I2440" s="44">
        <v>990.53002900000001</v>
      </c>
      <c r="J2440" s="44">
        <v>60.299999</v>
      </c>
      <c r="K2440" s="44">
        <v>108.970001</v>
      </c>
    </row>
    <row r="2441" spans="6:11" x14ac:dyDescent="0.3">
      <c r="F2441" s="43">
        <v>41429</v>
      </c>
      <c r="G2441" s="44">
        <v>1631.380005</v>
      </c>
      <c r="H2441" s="44">
        <v>1172.0699460000001</v>
      </c>
      <c r="I2441" s="44">
        <v>981.96997099999999</v>
      </c>
      <c r="J2441" s="44">
        <v>60.52</v>
      </c>
      <c r="K2441" s="44">
        <v>108.730003</v>
      </c>
    </row>
    <row r="2442" spans="6:11" x14ac:dyDescent="0.3">
      <c r="F2442" s="43">
        <v>41430</v>
      </c>
      <c r="G2442" s="44">
        <v>1608.900024</v>
      </c>
      <c r="H2442" s="44">
        <v>1156.3100589999999</v>
      </c>
      <c r="I2442" s="44">
        <v>968.15997300000004</v>
      </c>
      <c r="J2442" s="44">
        <v>59.169998</v>
      </c>
      <c r="K2442" s="44">
        <v>108.66999800000001</v>
      </c>
    </row>
    <row r="2443" spans="6:11" x14ac:dyDescent="0.3">
      <c r="F2443" s="43">
        <v>41431</v>
      </c>
      <c r="G2443" s="44">
        <v>1622.5600589999999</v>
      </c>
      <c r="H2443" s="44">
        <v>1170.290039</v>
      </c>
      <c r="I2443" s="44">
        <v>979.46002199999998</v>
      </c>
      <c r="J2443" s="44">
        <v>59.5</v>
      </c>
      <c r="K2443" s="44">
        <v>108.949997</v>
      </c>
    </row>
    <row r="2444" spans="6:11" x14ac:dyDescent="0.3">
      <c r="F2444" s="43">
        <v>41432</v>
      </c>
      <c r="G2444" s="44">
        <v>1643.380005</v>
      </c>
      <c r="H2444" s="44">
        <v>1181.26001</v>
      </c>
      <c r="I2444" s="44">
        <v>987.61999500000002</v>
      </c>
      <c r="J2444" s="44">
        <v>60.299999</v>
      </c>
      <c r="K2444" s="44">
        <v>108.610001</v>
      </c>
    </row>
    <row r="2445" spans="6:11" x14ac:dyDescent="0.3">
      <c r="F2445" s="43">
        <v>41435</v>
      </c>
      <c r="G2445" s="44">
        <v>1642.8100589999999</v>
      </c>
      <c r="H2445" s="44">
        <v>1181.7299800000001</v>
      </c>
      <c r="I2445" s="44">
        <v>992.669983</v>
      </c>
      <c r="J2445" s="44">
        <v>60.360000999999997</v>
      </c>
      <c r="K2445" s="44">
        <v>108.389999</v>
      </c>
    </row>
    <row r="2446" spans="6:11" x14ac:dyDescent="0.3">
      <c r="F2446" s="43">
        <v>41436</v>
      </c>
      <c r="G2446" s="44">
        <v>1626.130005</v>
      </c>
      <c r="H2446" s="44">
        <v>1167.290039</v>
      </c>
      <c r="I2446" s="44">
        <v>981.45001200000002</v>
      </c>
      <c r="J2446" s="44">
        <v>59.619999</v>
      </c>
      <c r="K2446" s="44">
        <v>108.400002</v>
      </c>
    </row>
    <row r="2447" spans="6:11" x14ac:dyDescent="0.3">
      <c r="F2447" s="43">
        <v>41437</v>
      </c>
      <c r="G2447" s="44">
        <v>1612.5200199999999</v>
      </c>
      <c r="H2447" s="44">
        <v>1155.900024</v>
      </c>
      <c r="I2447" s="44">
        <v>972.30999799999995</v>
      </c>
      <c r="J2447" s="44">
        <v>59.549999</v>
      </c>
      <c r="K2447" s="44">
        <v>108.220001</v>
      </c>
    </row>
    <row r="2448" spans="6:11" x14ac:dyDescent="0.3">
      <c r="F2448" s="43">
        <v>41438</v>
      </c>
      <c r="G2448" s="44">
        <v>1636.3599850000001</v>
      </c>
      <c r="H2448" s="44">
        <v>1176.339966</v>
      </c>
      <c r="I2448" s="44">
        <v>989.69000200000005</v>
      </c>
      <c r="J2448" s="44">
        <v>60.459999000000003</v>
      </c>
      <c r="K2448" s="44">
        <v>108.75</v>
      </c>
    </row>
    <row r="2449" spans="6:11" x14ac:dyDescent="0.3">
      <c r="F2449" s="43">
        <v>41439</v>
      </c>
      <c r="G2449" s="44">
        <v>1626.7299800000001</v>
      </c>
      <c r="H2449" s="44">
        <v>1172.130005</v>
      </c>
      <c r="I2449" s="44">
        <v>981.38000499999998</v>
      </c>
      <c r="J2449" s="44">
        <v>59.799999</v>
      </c>
      <c r="K2449" s="44">
        <v>108.779999</v>
      </c>
    </row>
    <row r="2450" spans="6:11" x14ac:dyDescent="0.3">
      <c r="F2450" s="43">
        <v>41442</v>
      </c>
      <c r="G2450" s="44">
        <v>1639.040039</v>
      </c>
      <c r="H2450" s="44">
        <v>1178.849976</v>
      </c>
      <c r="I2450" s="44">
        <v>987.84002699999996</v>
      </c>
      <c r="J2450" s="44">
        <v>60.66</v>
      </c>
      <c r="K2450" s="44">
        <v>108.699997</v>
      </c>
    </row>
    <row r="2451" spans="6:11" x14ac:dyDescent="0.3">
      <c r="F2451" s="43">
        <v>41443</v>
      </c>
      <c r="G2451" s="44">
        <v>1651.8100589999999</v>
      </c>
      <c r="H2451" s="44">
        <v>1188.3100589999999</v>
      </c>
      <c r="I2451" s="44">
        <v>999.98999000000003</v>
      </c>
      <c r="J2451" s="44">
        <v>61.09</v>
      </c>
      <c r="K2451" s="44">
        <v>108.660004</v>
      </c>
    </row>
    <row r="2452" spans="6:11" x14ac:dyDescent="0.3">
      <c r="F2452" s="43">
        <v>41444</v>
      </c>
      <c r="G2452" s="44">
        <v>1628.9300539999999</v>
      </c>
      <c r="H2452" s="44">
        <v>1171.329956</v>
      </c>
      <c r="I2452" s="44">
        <v>986.5</v>
      </c>
      <c r="J2452" s="44">
        <v>59.950001</v>
      </c>
      <c r="K2452" s="44">
        <v>107.93</v>
      </c>
    </row>
    <row r="2453" spans="6:11" x14ac:dyDescent="0.3">
      <c r="F2453" s="43">
        <v>41445</v>
      </c>
      <c r="G2453" s="44">
        <v>1588.1899410000001</v>
      </c>
      <c r="H2453" s="44">
        <v>1140.2299800000001</v>
      </c>
      <c r="I2453" s="44">
        <v>960.52002000000005</v>
      </c>
      <c r="J2453" s="44">
        <v>57.75</v>
      </c>
      <c r="K2453" s="44">
        <v>107.209999</v>
      </c>
    </row>
    <row r="2454" spans="6:11" x14ac:dyDescent="0.3">
      <c r="F2454" s="43">
        <v>41446</v>
      </c>
      <c r="G2454" s="44">
        <v>1592.4300539999999</v>
      </c>
      <c r="H2454" s="44">
        <v>1137.1899410000001</v>
      </c>
      <c r="I2454" s="44">
        <v>963.67999299999997</v>
      </c>
      <c r="J2454" s="44">
        <v>57.939999</v>
      </c>
      <c r="K2454" s="44">
        <v>106.610001</v>
      </c>
    </row>
    <row r="2455" spans="6:11" x14ac:dyDescent="0.3">
      <c r="F2455" s="43">
        <v>41449</v>
      </c>
      <c r="G2455" s="44">
        <v>1573.089966</v>
      </c>
      <c r="H2455" s="44">
        <v>1124.6999510000001</v>
      </c>
      <c r="I2455" s="44">
        <v>951.04998799999998</v>
      </c>
      <c r="J2455" s="44">
        <v>57.029998999999997</v>
      </c>
      <c r="K2455" s="44">
        <v>106.18</v>
      </c>
    </row>
    <row r="2456" spans="6:11" x14ac:dyDescent="0.3">
      <c r="F2456" s="43">
        <v>41450</v>
      </c>
      <c r="G2456" s="44">
        <v>1588.030029</v>
      </c>
      <c r="H2456" s="44">
        <v>1138.25</v>
      </c>
      <c r="I2456" s="44">
        <v>961.26000999999997</v>
      </c>
      <c r="J2456" s="44">
        <v>57.759998000000003</v>
      </c>
      <c r="K2456" s="44">
        <v>106.300003</v>
      </c>
    </row>
    <row r="2457" spans="6:11" x14ac:dyDescent="0.3">
      <c r="F2457" s="43">
        <v>41451</v>
      </c>
      <c r="G2457" s="44">
        <v>1603.26001</v>
      </c>
      <c r="H2457" s="44">
        <v>1146.1899410000001</v>
      </c>
      <c r="I2457" s="44">
        <v>963.830017</v>
      </c>
      <c r="J2457" s="44">
        <v>57.990001999999997</v>
      </c>
      <c r="K2457" s="44">
        <v>106.75</v>
      </c>
    </row>
    <row r="2458" spans="6:11" x14ac:dyDescent="0.3">
      <c r="F2458" s="43">
        <v>41452</v>
      </c>
      <c r="G2458" s="44">
        <v>1613.1999510000001</v>
      </c>
      <c r="H2458" s="44">
        <v>1162.660034</v>
      </c>
      <c r="I2458" s="44">
        <v>979.919983</v>
      </c>
      <c r="J2458" s="44">
        <v>57.41</v>
      </c>
      <c r="K2458" s="44">
        <v>107.199997</v>
      </c>
    </row>
    <row r="2459" spans="6:11" x14ac:dyDescent="0.3">
      <c r="F2459" s="43">
        <v>41453</v>
      </c>
      <c r="G2459" s="44">
        <v>1606.280029</v>
      </c>
      <c r="H2459" s="44">
        <v>1160.8199460000001</v>
      </c>
      <c r="I2459" s="44">
        <v>977.47997999999995</v>
      </c>
      <c r="J2459" s="44">
        <v>57.299999</v>
      </c>
      <c r="K2459" s="44">
        <v>107.209999</v>
      </c>
    </row>
    <row r="2460" spans="6:11" x14ac:dyDescent="0.3">
      <c r="F2460" s="43">
        <v>41456</v>
      </c>
      <c r="G2460" s="44">
        <v>1614.959961</v>
      </c>
      <c r="H2460" s="44">
        <v>1172.329956</v>
      </c>
      <c r="I2460" s="44">
        <v>989.84002699999996</v>
      </c>
      <c r="J2460" s="44">
        <v>57.84</v>
      </c>
      <c r="K2460" s="44">
        <v>107.160004</v>
      </c>
    </row>
    <row r="2461" spans="6:11" x14ac:dyDescent="0.3">
      <c r="F2461" s="43">
        <v>41457</v>
      </c>
      <c r="G2461" s="44">
        <v>1614.079956</v>
      </c>
      <c r="H2461" s="44">
        <v>1170.6800539999999</v>
      </c>
      <c r="I2461" s="44">
        <v>989.46997099999999</v>
      </c>
      <c r="J2461" s="44">
        <v>57.549999</v>
      </c>
      <c r="K2461" s="44">
        <v>107.160004</v>
      </c>
    </row>
    <row r="2462" spans="6:11" x14ac:dyDescent="0.3">
      <c r="F2462" s="43">
        <v>41458</v>
      </c>
      <c r="G2462" s="44">
        <v>1615.410034</v>
      </c>
      <c r="H2462" s="44">
        <v>1171.339966</v>
      </c>
      <c r="I2462" s="44">
        <v>991.13000499999998</v>
      </c>
      <c r="J2462" s="44">
        <v>57.57</v>
      </c>
      <c r="K2462" s="44">
        <v>107.010002</v>
      </c>
    </row>
    <row r="2463" spans="6:11" x14ac:dyDescent="0.3">
      <c r="F2463" s="43">
        <v>41460</v>
      </c>
      <c r="G2463" s="44">
        <v>1631.8900149999999</v>
      </c>
      <c r="H2463" s="44">
        <v>1186.1099850000001</v>
      </c>
      <c r="I2463" s="44">
        <v>1005.3900149999999</v>
      </c>
      <c r="J2463" s="44">
        <v>57.84</v>
      </c>
      <c r="K2463" s="44">
        <v>105.839996</v>
      </c>
    </row>
    <row r="2464" spans="6:11" x14ac:dyDescent="0.3">
      <c r="F2464" s="43">
        <v>41463</v>
      </c>
      <c r="G2464" s="44">
        <v>1640.459961</v>
      </c>
      <c r="H2464" s="44">
        <v>1188.3000489999999</v>
      </c>
      <c r="I2464" s="44">
        <v>1009.25</v>
      </c>
      <c r="J2464" s="44">
        <v>58.200001</v>
      </c>
      <c r="K2464" s="44">
        <v>106.389999</v>
      </c>
    </row>
    <row r="2465" spans="6:11" x14ac:dyDescent="0.3">
      <c r="F2465" s="43">
        <v>41464</v>
      </c>
      <c r="G2465" s="44">
        <v>1652.3199460000001</v>
      </c>
      <c r="H2465" s="44">
        <v>1201.2700199999999</v>
      </c>
      <c r="I2465" s="44">
        <v>1018.049988</v>
      </c>
      <c r="J2465" s="44">
        <v>58.52</v>
      </c>
      <c r="K2465" s="44">
        <v>106.5</v>
      </c>
    </row>
    <row r="2466" spans="6:11" x14ac:dyDescent="0.3">
      <c r="F2466" s="43">
        <v>41465</v>
      </c>
      <c r="G2466" s="44">
        <v>1652.619995</v>
      </c>
      <c r="H2466" s="44">
        <v>1201.130005</v>
      </c>
      <c r="I2466" s="44">
        <v>1020.419983</v>
      </c>
      <c r="J2466" s="44">
        <v>58.689999</v>
      </c>
      <c r="K2466" s="44">
        <v>106.220001</v>
      </c>
    </row>
    <row r="2467" spans="6:11" x14ac:dyDescent="0.3">
      <c r="F2467" s="43">
        <v>41466</v>
      </c>
      <c r="G2467" s="44">
        <v>1675.0200199999999</v>
      </c>
      <c r="H2467" s="44">
        <v>1217.040039</v>
      </c>
      <c r="I2467" s="44">
        <v>1033.1800539999999</v>
      </c>
      <c r="J2467" s="44">
        <v>60.209999000000003</v>
      </c>
      <c r="K2467" s="44">
        <v>106.93</v>
      </c>
    </row>
    <row r="2468" spans="6:11" x14ac:dyDescent="0.3">
      <c r="F2468" s="43">
        <v>41467</v>
      </c>
      <c r="G2468" s="44">
        <v>1680.1899410000001</v>
      </c>
      <c r="H2468" s="44">
        <v>1221.23999</v>
      </c>
      <c r="I2468" s="44">
        <v>1036.5200199999999</v>
      </c>
      <c r="J2468" s="44">
        <v>59.810001</v>
      </c>
      <c r="K2468" s="44">
        <v>106.80999799999999</v>
      </c>
    </row>
    <row r="2469" spans="6:11" x14ac:dyDescent="0.3">
      <c r="F2469" s="43">
        <v>41470</v>
      </c>
      <c r="G2469" s="44">
        <v>1682.5</v>
      </c>
      <c r="H2469" s="44">
        <v>1224.839966</v>
      </c>
      <c r="I2469" s="44">
        <v>1043.3000489999999</v>
      </c>
      <c r="J2469" s="44">
        <v>60.18</v>
      </c>
      <c r="K2469" s="44">
        <v>107.040001</v>
      </c>
    </row>
    <row r="2470" spans="6:11" x14ac:dyDescent="0.3">
      <c r="F2470" s="43">
        <v>41471</v>
      </c>
      <c r="G2470" s="44">
        <v>1676.26001</v>
      </c>
      <c r="H2470" s="44">
        <v>1217.040039</v>
      </c>
      <c r="I2470" s="44">
        <v>1038.75</v>
      </c>
      <c r="J2470" s="44">
        <v>60.139999000000003</v>
      </c>
      <c r="K2470" s="44">
        <v>107.209999</v>
      </c>
    </row>
    <row r="2471" spans="6:11" x14ac:dyDescent="0.3">
      <c r="F2471" s="43">
        <v>41472</v>
      </c>
      <c r="G2471" s="44">
        <v>1680.910034</v>
      </c>
      <c r="H2471" s="44">
        <v>1221.670044</v>
      </c>
      <c r="I2471" s="44">
        <v>1042.530029</v>
      </c>
      <c r="J2471" s="44">
        <v>60.32</v>
      </c>
      <c r="K2471" s="44">
        <v>107.44000200000001</v>
      </c>
    </row>
    <row r="2472" spans="6:11" x14ac:dyDescent="0.3">
      <c r="F2472" s="43">
        <v>41473</v>
      </c>
      <c r="G2472" s="44">
        <v>1689.369995</v>
      </c>
      <c r="H2472" s="44">
        <v>1232.6400149999999</v>
      </c>
      <c r="I2472" s="44">
        <v>1050.2700199999999</v>
      </c>
      <c r="J2472" s="44">
        <v>60.720001000000003</v>
      </c>
      <c r="K2472" s="44">
        <v>107.239998</v>
      </c>
    </row>
    <row r="2473" spans="6:11" x14ac:dyDescent="0.3">
      <c r="F2473" s="43">
        <v>41474</v>
      </c>
      <c r="G2473" s="44">
        <v>1692.089966</v>
      </c>
      <c r="H2473" s="44">
        <v>1234.25</v>
      </c>
      <c r="I2473" s="44">
        <v>1050.4799800000001</v>
      </c>
      <c r="J2473" s="44">
        <v>60.669998</v>
      </c>
      <c r="K2473" s="44">
        <v>107.519997</v>
      </c>
    </row>
    <row r="2474" spans="6:11" x14ac:dyDescent="0.3">
      <c r="F2474" s="43">
        <v>41477</v>
      </c>
      <c r="G2474" s="44">
        <v>1695.530029</v>
      </c>
      <c r="H2474" s="44">
        <v>1239.1899410000001</v>
      </c>
      <c r="I2474" s="44">
        <v>1053.410034</v>
      </c>
      <c r="J2474" s="44">
        <v>61.009998000000003</v>
      </c>
      <c r="K2474" s="44">
        <v>107.660004</v>
      </c>
    </row>
    <row r="2475" spans="6:11" x14ac:dyDescent="0.3">
      <c r="F2475" s="43">
        <v>41478</v>
      </c>
      <c r="G2475" s="44">
        <v>1692.3900149999999</v>
      </c>
      <c r="H2475" s="44">
        <v>1239.7299800000001</v>
      </c>
      <c r="I2475" s="44">
        <v>1052.1999510000001</v>
      </c>
      <c r="J2475" s="44">
        <v>61.139999000000003</v>
      </c>
      <c r="K2475" s="44">
        <v>107.599998</v>
      </c>
    </row>
    <row r="2476" spans="6:11" x14ac:dyDescent="0.3">
      <c r="F2476" s="43">
        <v>41479</v>
      </c>
      <c r="G2476" s="44">
        <v>1685.9399410000001</v>
      </c>
      <c r="H2476" s="44">
        <v>1229.849976</v>
      </c>
      <c r="I2476" s="44">
        <v>1043.829956</v>
      </c>
      <c r="J2476" s="44">
        <v>61.060001</v>
      </c>
      <c r="K2476" s="44">
        <v>107.25</v>
      </c>
    </row>
    <row r="2477" spans="6:11" x14ac:dyDescent="0.3">
      <c r="F2477" s="43">
        <v>41480</v>
      </c>
      <c r="G2477" s="44">
        <v>1690.25</v>
      </c>
      <c r="H2477" s="44">
        <v>1234.719971</v>
      </c>
      <c r="I2477" s="44">
        <v>1054.1800539999999</v>
      </c>
      <c r="J2477" s="44">
        <v>61.18</v>
      </c>
      <c r="K2477" s="44">
        <v>107.290001</v>
      </c>
    </row>
    <row r="2478" spans="6:11" x14ac:dyDescent="0.3">
      <c r="F2478" s="43">
        <v>41481</v>
      </c>
      <c r="G2478" s="44">
        <v>1691.650024</v>
      </c>
      <c r="H2478" s="44">
        <v>1228.2700199999999</v>
      </c>
      <c r="I2478" s="44">
        <v>1048.51001</v>
      </c>
      <c r="J2478" s="44">
        <v>60.799999</v>
      </c>
      <c r="K2478" s="44">
        <v>107.260002</v>
      </c>
    </row>
    <row r="2479" spans="6:11" x14ac:dyDescent="0.3">
      <c r="F2479" s="43">
        <v>41484</v>
      </c>
      <c r="G2479" s="44">
        <v>1685.329956</v>
      </c>
      <c r="H2479" s="44">
        <v>1223.0600589999999</v>
      </c>
      <c r="I2479" s="44">
        <v>1040.660034</v>
      </c>
      <c r="J2479" s="44">
        <v>60.220001000000003</v>
      </c>
      <c r="K2479" s="44">
        <v>107.260002</v>
      </c>
    </row>
    <row r="2480" spans="6:11" x14ac:dyDescent="0.3">
      <c r="F2480" s="43">
        <v>41485</v>
      </c>
      <c r="G2480" s="44">
        <v>1685.959961</v>
      </c>
      <c r="H2480" s="44">
        <v>1226.9799800000001</v>
      </c>
      <c r="I2480" s="44">
        <v>1043.51001</v>
      </c>
      <c r="J2480" s="44">
        <v>60.209999000000003</v>
      </c>
      <c r="K2480" s="44">
        <v>107.220001</v>
      </c>
    </row>
    <row r="2481" spans="6:11" x14ac:dyDescent="0.3">
      <c r="F2481" s="43">
        <v>41486</v>
      </c>
      <c r="G2481" s="44">
        <v>1685.7299800000001</v>
      </c>
      <c r="H2481" s="44">
        <v>1231.900024</v>
      </c>
      <c r="I2481" s="44">
        <v>1045.26001</v>
      </c>
      <c r="J2481" s="44">
        <v>60.349997999999999</v>
      </c>
      <c r="K2481" s="44">
        <v>107.300003</v>
      </c>
    </row>
    <row r="2482" spans="6:11" x14ac:dyDescent="0.3">
      <c r="F2482" s="43">
        <v>41487</v>
      </c>
      <c r="G2482" s="44">
        <v>1706.869995</v>
      </c>
      <c r="H2482" s="44">
        <v>1257.76001</v>
      </c>
      <c r="I2482" s="44">
        <v>1059.880005</v>
      </c>
      <c r="J2482" s="44">
        <v>61.169998</v>
      </c>
      <c r="K2482" s="44">
        <v>106.489998</v>
      </c>
    </row>
    <row r="2483" spans="6:11" x14ac:dyDescent="0.3">
      <c r="F2483" s="43">
        <v>41488</v>
      </c>
      <c r="G2483" s="44">
        <v>1709.670044</v>
      </c>
      <c r="H2483" s="44">
        <v>1253.76001</v>
      </c>
      <c r="I2483" s="44">
        <v>1059.8599850000001</v>
      </c>
      <c r="J2483" s="44">
        <v>61.669998</v>
      </c>
      <c r="K2483" s="44">
        <v>106.849998</v>
      </c>
    </row>
    <row r="2484" spans="6:11" x14ac:dyDescent="0.3">
      <c r="F2484" s="43">
        <v>41491</v>
      </c>
      <c r="G2484" s="44">
        <v>1707.1400149999999</v>
      </c>
      <c r="H2484" s="44">
        <v>1253.380005</v>
      </c>
      <c r="I2484" s="44">
        <v>1063.01001</v>
      </c>
      <c r="J2484" s="44">
        <v>61.540000999999997</v>
      </c>
      <c r="K2484" s="44">
        <v>106.900002</v>
      </c>
    </row>
    <row r="2485" spans="6:11" x14ac:dyDescent="0.3">
      <c r="F2485" s="43">
        <v>41492</v>
      </c>
      <c r="G2485" s="44">
        <v>1697.369995</v>
      </c>
      <c r="H2485" s="44">
        <v>1240.030029</v>
      </c>
      <c r="I2485" s="44">
        <v>1052.1400149999999</v>
      </c>
      <c r="J2485" s="44">
        <v>61.450001</v>
      </c>
      <c r="K2485" s="44">
        <v>106.790001</v>
      </c>
    </row>
    <row r="2486" spans="6:11" x14ac:dyDescent="0.3">
      <c r="F2486" s="43">
        <v>41493</v>
      </c>
      <c r="G2486" s="44">
        <v>1690.910034</v>
      </c>
      <c r="H2486" s="44">
        <v>1230.880005</v>
      </c>
      <c r="I2486" s="44">
        <v>1044.339966</v>
      </c>
      <c r="J2486" s="44">
        <v>61.18</v>
      </c>
      <c r="K2486" s="44">
        <v>106.93</v>
      </c>
    </row>
    <row r="2487" spans="6:11" x14ac:dyDescent="0.3">
      <c r="F2487" s="43">
        <v>41494</v>
      </c>
      <c r="G2487" s="44">
        <v>1697.4799800000001</v>
      </c>
      <c r="H2487" s="44">
        <v>1237.079956</v>
      </c>
      <c r="I2487" s="44">
        <v>1049.469971</v>
      </c>
      <c r="J2487" s="44">
        <v>61.73</v>
      </c>
      <c r="K2487" s="44">
        <v>107.08000199999999</v>
      </c>
    </row>
    <row r="2488" spans="6:11" x14ac:dyDescent="0.3">
      <c r="F2488" s="43">
        <v>41495</v>
      </c>
      <c r="G2488" s="44">
        <v>1691.420044</v>
      </c>
      <c r="H2488" s="44">
        <v>1237.6999510000001</v>
      </c>
      <c r="I2488" s="44">
        <v>1048.400024</v>
      </c>
      <c r="J2488" s="44">
        <v>61.84</v>
      </c>
      <c r="K2488" s="44">
        <v>107.150002</v>
      </c>
    </row>
    <row r="2489" spans="6:11" x14ac:dyDescent="0.3">
      <c r="F2489" s="43">
        <v>41498</v>
      </c>
      <c r="G2489" s="44">
        <v>1689.469971</v>
      </c>
      <c r="H2489" s="44">
        <v>1240.589966</v>
      </c>
      <c r="I2489" s="44">
        <v>1053.670044</v>
      </c>
      <c r="J2489" s="44">
        <v>61.669998</v>
      </c>
      <c r="K2489" s="44">
        <v>107.08000199999999</v>
      </c>
    </row>
    <row r="2490" spans="6:11" x14ac:dyDescent="0.3">
      <c r="F2490" s="43">
        <v>41499</v>
      </c>
      <c r="G2490" s="44">
        <v>1694.160034</v>
      </c>
      <c r="H2490" s="44">
        <v>1239.079956</v>
      </c>
      <c r="I2490" s="44">
        <v>1051.98999</v>
      </c>
      <c r="J2490" s="44">
        <v>62.07</v>
      </c>
      <c r="K2490" s="44">
        <v>106.650002</v>
      </c>
    </row>
    <row r="2491" spans="6:11" x14ac:dyDescent="0.3">
      <c r="F2491" s="43">
        <v>41500</v>
      </c>
      <c r="G2491" s="44">
        <v>1685.3900149999999</v>
      </c>
      <c r="H2491" s="44">
        <v>1231.0699460000001</v>
      </c>
      <c r="I2491" s="44">
        <v>1047.8000489999999</v>
      </c>
      <c r="J2491" s="44">
        <v>62.099997999999999</v>
      </c>
      <c r="K2491" s="44">
        <v>106.510002</v>
      </c>
    </row>
    <row r="2492" spans="6:11" x14ac:dyDescent="0.3">
      <c r="F2492" s="43">
        <v>41501</v>
      </c>
      <c r="G2492" s="44">
        <v>1661.3199460000001</v>
      </c>
      <c r="H2492" s="44">
        <v>1209.579956</v>
      </c>
      <c r="I2492" s="44">
        <v>1027.6099850000001</v>
      </c>
      <c r="J2492" s="44">
        <v>61.580002</v>
      </c>
      <c r="K2492" s="44">
        <v>106.129997</v>
      </c>
    </row>
    <row r="2493" spans="6:11" x14ac:dyDescent="0.3">
      <c r="F2493" s="43">
        <v>41502</v>
      </c>
      <c r="G2493" s="44">
        <v>1655.829956</v>
      </c>
      <c r="H2493" s="44">
        <v>1205.6999510000001</v>
      </c>
      <c r="I2493" s="44">
        <v>1024.3000489999999</v>
      </c>
      <c r="J2493" s="44">
        <v>61.689999</v>
      </c>
      <c r="K2493" s="44">
        <v>105.83000199999999</v>
      </c>
    </row>
    <row r="2494" spans="6:11" x14ac:dyDescent="0.3">
      <c r="F2494" s="43">
        <v>41505</v>
      </c>
      <c r="G2494" s="44">
        <v>1646.0600589999999</v>
      </c>
      <c r="H2494" s="44">
        <v>1197.719971</v>
      </c>
      <c r="I2494" s="44">
        <v>1013.25</v>
      </c>
      <c r="J2494" s="44">
        <v>61.25</v>
      </c>
      <c r="K2494" s="44">
        <v>105.5</v>
      </c>
    </row>
    <row r="2495" spans="6:11" x14ac:dyDescent="0.3">
      <c r="F2495" s="43">
        <v>41506</v>
      </c>
      <c r="G2495" s="44">
        <v>1652.349976</v>
      </c>
      <c r="H2495" s="44">
        <v>1212.380005</v>
      </c>
      <c r="I2495" s="44">
        <v>1028.5699460000001</v>
      </c>
      <c r="J2495" s="44">
        <v>61.169998</v>
      </c>
      <c r="K2495" s="44">
        <v>105.80999799999999</v>
      </c>
    </row>
    <row r="2496" spans="6:11" x14ac:dyDescent="0.3">
      <c r="F2496" s="43">
        <v>41507</v>
      </c>
      <c r="G2496" s="44">
        <v>1642.8000489999999</v>
      </c>
      <c r="H2496" s="44">
        <v>1202.8000489999999</v>
      </c>
      <c r="I2496" s="44">
        <v>1021.580017</v>
      </c>
      <c r="J2496" s="44">
        <v>60.450001</v>
      </c>
      <c r="K2496" s="44">
        <v>105.41999800000001</v>
      </c>
    </row>
    <row r="2497" spans="6:11" x14ac:dyDescent="0.3">
      <c r="F2497" s="43">
        <v>41508</v>
      </c>
      <c r="G2497" s="44">
        <v>1656.959961</v>
      </c>
      <c r="H2497" s="44">
        <v>1215.7299800000001</v>
      </c>
      <c r="I2497" s="44">
        <v>1036.1999510000001</v>
      </c>
      <c r="J2497" s="44">
        <v>61.040000999999997</v>
      </c>
      <c r="K2497" s="44">
        <v>105.550003</v>
      </c>
    </row>
    <row r="2498" spans="6:11" x14ac:dyDescent="0.3">
      <c r="F2498" s="43">
        <v>41509</v>
      </c>
      <c r="G2498" s="44">
        <v>1663.5</v>
      </c>
      <c r="H2498" s="44">
        <v>1217.4300539999999</v>
      </c>
      <c r="I2498" s="44">
        <v>1038.23999</v>
      </c>
      <c r="J2498" s="44">
        <v>61.57</v>
      </c>
      <c r="K2498" s="44">
        <v>105.900002</v>
      </c>
    </row>
    <row r="2499" spans="6:11" x14ac:dyDescent="0.3">
      <c r="F2499" s="43">
        <v>41512</v>
      </c>
      <c r="G2499" s="44">
        <v>1656.780029</v>
      </c>
      <c r="H2499" s="44">
        <v>1217.829956</v>
      </c>
      <c r="I2499" s="44">
        <v>1038.469971</v>
      </c>
      <c r="J2499" s="44">
        <v>61.119999</v>
      </c>
      <c r="K2499" s="44">
        <v>106.089996</v>
      </c>
    </row>
    <row r="2500" spans="6:11" x14ac:dyDescent="0.3">
      <c r="F2500" s="43">
        <v>41513</v>
      </c>
      <c r="G2500" s="44">
        <v>1630.4799800000001</v>
      </c>
      <c r="H2500" s="44">
        <v>1192.910034</v>
      </c>
      <c r="I2500" s="44">
        <v>1013.48999</v>
      </c>
      <c r="J2500" s="44">
        <v>60.080002</v>
      </c>
      <c r="K2500" s="44">
        <v>106.370003</v>
      </c>
    </row>
    <row r="2501" spans="6:11" x14ac:dyDescent="0.3">
      <c r="F2501" s="43">
        <v>41514</v>
      </c>
      <c r="G2501" s="44">
        <v>1634.959961</v>
      </c>
      <c r="H2501" s="44">
        <v>1196.0699460000001</v>
      </c>
      <c r="I2501" s="44">
        <v>1016.5</v>
      </c>
      <c r="J2501" s="44">
        <v>60.009998000000003</v>
      </c>
      <c r="K2501" s="44">
        <v>106.16999800000001</v>
      </c>
    </row>
    <row r="2502" spans="6:11" x14ac:dyDescent="0.3">
      <c r="F2502" s="43">
        <v>41515</v>
      </c>
      <c r="G2502" s="44">
        <v>1638.170044</v>
      </c>
      <c r="H2502" s="44">
        <v>1201.329956</v>
      </c>
      <c r="I2502" s="44">
        <v>1026.9399410000001</v>
      </c>
      <c r="J2502" s="44">
        <v>59.91</v>
      </c>
      <c r="K2502" s="44">
        <v>106.379997</v>
      </c>
    </row>
    <row r="2503" spans="6:11" x14ac:dyDescent="0.3">
      <c r="F2503" s="43">
        <v>41516</v>
      </c>
      <c r="G2503" s="44">
        <v>1632.969971</v>
      </c>
      <c r="H2503" s="44">
        <v>1183.869995</v>
      </c>
      <c r="I2503" s="44">
        <v>1010.900024</v>
      </c>
      <c r="J2503" s="44">
        <v>59.169998</v>
      </c>
      <c r="K2503" s="44">
        <v>106.209999</v>
      </c>
    </row>
    <row r="2504" spans="6:11" x14ac:dyDescent="0.3">
      <c r="F2504" s="43">
        <v>41520</v>
      </c>
      <c r="G2504" s="44">
        <v>1639.7700199999999</v>
      </c>
      <c r="H2504" s="44">
        <v>1181.4799800000001</v>
      </c>
      <c r="I2504" s="44">
        <v>1016.26001</v>
      </c>
      <c r="J2504" s="44">
        <v>60.310001</v>
      </c>
      <c r="K2504" s="44">
        <v>105.75</v>
      </c>
    </row>
    <row r="2505" spans="6:11" x14ac:dyDescent="0.3">
      <c r="F2505" s="43">
        <v>41521</v>
      </c>
      <c r="G2505" s="44">
        <v>1653.079956</v>
      </c>
      <c r="H2505" s="44">
        <v>1194.369995</v>
      </c>
      <c r="I2505" s="44">
        <v>1025.579956</v>
      </c>
      <c r="J2505" s="44">
        <v>60.849997999999999</v>
      </c>
      <c r="K2505" s="44">
        <v>105.599998</v>
      </c>
    </row>
    <row r="2506" spans="6:11" x14ac:dyDescent="0.3">
      <c r="F2506" s="43">
        <v>41522</v>
      </c>
      <c r="G2506" s="44">
        <v>1655.079956</v>
      </c>
      <c r="H2506" s="44">
        <v>1196.8100589999999</v>
      </c>
      <c r="I2506" s="44">
        <v>1028.6899410000001</v>
      </c>
      <c r="J2506" s="44">
        <v>60.799999</v>
      </c>
      <c r="K2506" s="44">
        <v>104.889999</v>
      </c>
    </row>
    <row r="2507" spans="6:11" x14ac:dyDescent="0.3">
      <c r="F2507" s="43">
        <v>41523</v>
      </c>
      <c r="G2507" s="44">
        <v>1655.170044</v>
      </c>
      <c r="H2507" s="44">
        <v>1198.6899410000001</v>
      </c>
      <c r="I2507" s="44">
        <v>1029.5500489999999</v>
      </c>
      <c r="J2507" s="44">
        <v>61.130001</v>
      </c>
      <c r="K2507" s="44">
        <v>105.279999</v>
      </c>
    </row>
    <row r="2508" spans="6:11" x14ac:dyDescent="0.3">
      <c r="F2508" s="43">
        <v>41526</v>
      </c>
      <c r="G2508" s="44">
        <v>1671.709961</v>
      </c>
      <c r="H2508" s="44">
        <v>1217.1999510000001</v>
      </c>
      <c r="I2508" s="44">
        <v>1046.079956</v>
      </c>
      <c r="J2508" s="44">
        <v>61.970001000000003</v>
      </c>
      <c r="K2508" s="44">
        <v>105.489998</v>
      </c>
    </row>
    <row r="2509" spans="6:11" x14ac:dyDescent="0.3">
      <c r="F2509" s="43">
        <v>41527</v>
      </c>
      <c r="G2509" s="44">
        <v>1683.98999</v>
      </c>
      <c r="H2509" s="44">
        <v>1229.25</v>
      </c>
      <c r="I2509" s="44">
        <v>1055.719971</v>
      </c>
      <c r="J2509" s="44">
        <v>62.669998</v>
      </c>
      <c r="K2509" s="44">
        <v>105.300003</v>
      </c>
    </row>
    <row r="2510" spans="6:11" x14ac:dyDescent="0.3">
      <c r="F2510" s="43">
        <v>41528</v>
      </c>
      <c r="G2510" s="44">
        <v>1689.130005</v>
      </c>
      <c r="H2510" s="44">
        <v>1230.48999</v>
      </c>
      <c r="I2510" s="44">
        <v>1055.339966</v>
      </c>
      <c r="J2510" s="44">
        <v>62.889999000000003</v>
      </c>
      <c r="K2510" s="44">
        <v>105.660004</v>
      </c>
    </row>
    <row r="2511" spans="6:11" x14ac:dyDescent="0.3">
      <c r="F2511" s="43">
        <v>41529</v>
      </c>
      <c r="G2511" s="44">
        <v>1683.420044</v>
      </c>
      <c r="H2511" s="44">
        <v>1226.670044</v>
      </c>
      <c r="I2511" s="44">
        <v>1048.4799800000001</v>
      </c>
      <c r="J2511" s="44">
        <v>62.529998999999997</v>
      </c>
      <c r="K2511" s="44">
        <v>105.540001</v>
      </c>
    </row>
    <row r="2512" spans="6:11" x14ac:dyDescent="0.3">
      <c r="F2512" s="43">
        <v>41530</v>
      </c>
      <c r="G2512" s="44">
        <v>1687.98999</v>
      </c>
      <c r="H2512" s="44">
        <v>1229.400024</v>
      </c>
      <c r="I2512" s="44">
        <v>1053.9799800000001</v>
      </c>
      <c r="J2512" s="44">
        <v>62.830002</v>
      </c>
      <c r="K2512" s="44">
        <v>105.69000200000001</v>
      </c>
    </row>
    <row r="2513" spans="6:11" x14ac:dyDescent="0.3">
      <c r="F2513" s="43">
        <v>41533</v>
      </c>
      <c r="G2513" s="44">
        <v>1697.599976</v>
      </c>
      <c r="H2513" s="44">
        <v>1235.469971</v>
      </c>
      <c r="I2513" s="44">
        <v>1056.25</v>
      </c>
      <c r="J2513" s="44">
        <v>63.32</v>
      </c>
      <c r="K2513" s="44">
        <v>105.910004</v>
      </c>
    </row>
    <row r="2514" spans="6:11" x14ac:dyDescent="0.3">
      <c r="F2514" s="43">
        <v>41534</v>
      </c>
      <c r="G2514" s="44">
        <v>1704.76001</v>
      </c>
      <c r="H2514" s="44">
        <v>1245.130005</v>
      </c>
      <c r="I2514" s="44">
        <v>1066.3900149999999</v>
      </c>
      <c r="J2514" s="44">
        <v>63.360000999999997</v>
      </c>
      <c r="K2514" s="44">
        <v>106.010002</v>
      </c>
    </row>
    <row r="2515" spans="6:11" x14ac:dyDescent="0.3">
      <c r="F2515" s="43">
        <v>41535</v>
      </c>
      <c r="G2515" s="44">
        <v>1725.5200199999999</v>
      </c>
      <c r="H2515" s="44">
        <v>1257.3900149999999</v>
      </c>
      <c r="I2515" s="44">
        <v>1076.969971</v>
      </c>
      <c r="J2515" s="44">
        <v>65.050003000000004</v>
      </c>
      <c r="K2515" s="44">
        <v>106.900002</v>
      </c>
    </row>
    <row r="2516" spans="6:11" x14ac:dyDescent="0.3">
      <c r="F2516" s="43">
        <v>41536</v>
      </c>
      <c r="G2516" s="44">
        <v>1722.339966</v>
      </c>
      <c r="H2516" s="44">
        <v>1254.5600589999999</v>
      </c>
      <c r="I2516" s="44">
        <v>1075.2700199999999</v>
      </c>
      <c r="J2516" s="44">
        <v>64.739998</v>
      </c>
      <c r="K2516" s="44">
        <v>106.769997</v>
      </c>
    </row>
    <row r="2517" spans="6:11" x14ac:dyDescent="0.3">
      <c r="F2517" s="43">
        <v>41537</v>
      </c>
      <c r="G2517" s="44">
        <v>1709.910034</v>
      </c>
      <c r="H2517" s="44">
        <v>1245.400024</v>
      </c>
      <c r="I2517" s="44">
        <v>1072.829956</v>
      </c>
      <c r="J2517" s="44">
        <v>64.269997000000004</v>
      </c>
      <c r="K2517" s="44">
        <v>106.769997</v>
      </c>
    </row>
    <row r="2518" spans="6:11" x14ac:dyDescent="0.3">
      <c r="F2518" s="43">
        <v>41540</v>
      </c>
      <c r="G2518" s="44">
        <v>1701.839966</v>
      </c>
      <c r="H2518" s="44">
        <v>1239.920044</v>
      </c>
      <c r="I2518" s="44">
        <v>1072.130005</v>
      </c>
      <c r="J2518" s="44">
        <v>64.25</v>
      </c>
      <c r="K2518" s="44">
        <v>106.849998</v>
      </c>
    </row>
    <row r="2519" spans="6:11" x14ac:dyDescent="0.3">
      <c r="F2519" s="43">
        <v>41541</v>
      </c>
      <c r="G2519" s="44">
        <v>1697.420044</v>
      </c>
      <c r="H2519" s="44">
        <v>1241.4799800000001</v>
      </c>
      <c r="I2519" s="44">
        <v>1074.6800539999999</v>
      </c>
      <c r="J2519" s="44">
        <v>64.150002000000001</v>
      </c>
      <c r="K2519" s="44">
        <v>107.099998</v>
      </c>
    </row>
    <row r="2520" spans="6:11" x14ac:dyDescent="0.3">
      <c r="F2520" s="43">
        <v>41542</v>
      </c>
      <c r="G2520" s="44">
        <v>1692.7700199999999</v>
      </c>
      <c r="H2520" s="44">
        <v>1242.5200199999999</v>
      </c>
      <c r="I2520" s="44">
        <v>1073.51001</v>
      </c>
      <c r="J2520" s="44">
        <v>64.220000999999996</v>
      </c>
      <c r="K2520" s="44">
        <v>107.25</v>
      </c>
    </row>
    <row r="2521" spans="6:11" x14ac:dyDescent="0.3">
      <c r="F2521" s="43">
        <v>41543</v>
      </c>
      <c r="G2521" s="44">
        <v>1698.670044</v>
      </c>
      <c r="H2521" s="44">
        <v>1248.910034</v>
      </c>
      <c r="I2521" s="44">
        <v>1078.410034</v>
      </c>
      <c r="J2521" s="44">
        <v>64.489998</v>
      </c>
      <c r="K2521" s="44">
        <v>107.230003</v>
      </c>
    </row>
    <row r="2522" spans="6:11" x14ac:dyDescent="0.3">
      <c r="F2522" s="43">
        <v>41544</v>
      </c>
      <c r="G2522" s="44">
        <v>1691.75</v>
      </c>
      <c r="H2522" s="44">
        <v>1244.1800539999999</v>
      </c>
      <c r="I2522" s="44">
        <v>1074.1899410000001</v>
      </c>
      <c r="J2522" s="44">
        <v>64.260002</v>
      </c>
      <c r="K2522" s="44">
        <v>107.290001</v>
      </c>
    </row>
    <row r="2523" spans="6:11" x14ac:dyDescent="0.3">
      <c r="F2523" s="43">
        <v>41547</v>
      </c>
      <c r="G2523" s="44">
        <v>1681.5500489999999</v>
      </c>
      <c r="H2523" s="44">
        <v>1243.849976</v>
      </c>
      <c r="I2523" s="44">
        <v>1073.790039</v>
      </c>
      <c r="J2523" s="44">
        <v>63.799999</v>
      </c>
      <c r="K2523" s="44">
        <v>107.199997</v>
      </c>
    </row>
    <row r="2524" spans="6:11" x14ac:dyDescent="0.3">
      <c r="F2524" s="43">
        <v>41548</v>
      </c>
      <c r="G2524" s="44">
        <v>1695</v>
      </c>
      <c r="H2524" s="44">
        <v>1262.369995</v>
      </c>
      <c r="I2524" s="44">
        <v>1087.4300539999999</v>
      </c>
      <c r="J2524" s="44">
        <v>64.139999000000003</v>
      </c>
      <c r="K2524" s="44">
        <v>106.93</v>
      </c>
    </row>
    <row r="2525" spans="6:11" x14ac:dyDescent="0.3">
      <c r="F2525" s="43">
        <v>41549</v>
      </c>
      <c r="G2525" s="44">
        <v>1693.869995</v>
      </c>
      <c r="H2525" s="44">
        <v>1258.3900149999999</v>
      </c>
      <c r="I2525" s="44">
        <v>1082.5500489999999</v>
      </c>
      <c r="J2525" s="44">
        <v>64.120002999999997</v>
      </c>
      <c r="K2525" s="44">
        <v>107.07</v>
      </c>
    </row>
    <row r="2526" spans="6:11" x14ac:dyDescent="0.3">
      <c r="F2526" s="43">
        <v>41550</v>
      </c>
      <c r="G2526" s="44">
        <v>1678.660034</v>
      </c>
      <c r="H2526" s="44">
        <v>1247.910034</v>
      </c>
      <c r="I2526" s="44">
        <v>1070.900024</v>
      </c>
      <c r="J2526" s="44">
        <v>63.700001</v>
      </c>
      <c r="K2526" s="44">
        <v>107.150002</v>
      </c>
    </row>
    <row r="2527" spans="6:11" x14ac:dyDescent="0.3">
      <c r="F2527" s="43">
        <v>41551</v>
      </c>
      <c r="G2527" s="44">
        <v>1690.5</v>
      </c>
      <c r="H2527" s="44">
        <v>1255.4399410000001</v>
      </c>
      <c r="I2527" s="44">
        <v>1078.25</v>
      </c>
      <c r="J2527" s="44">
        <v>63.849997999999999</v>
      </c>
      <c r="K2527" s="44">
        <v>107.05999799999999</v>
      </c>
    </row>
    <row r="2528" spans="6:11" x14ac:dyDescent="0.3">
      <c r="F2528" s="43">
        <v>41554</v>
      </c>
      <c r="G2528" s="44">
        <v>1676.119995</v>
      </c>
      <c r="H2528" s="44">
        <v>1242.1999510000001</v>
      </c>
      <c r="I2528" s="44">
        <v>1065.790039</v>
      </c>
      <c r="J2528" s="44">
        <v>63.189999</v>
      </c>
      <c r="K2528" s="44">
        <v>107.040001</v>
      </c>
    </row>
    <row r="2529" spans="6:11" x14ac:dyDescent="0.3">
      <c r="F2529" s="43">
        <v>41555</v>
      </c>
      <c r="G2529" s="44">
        <v>1655.4499510000001</v>
      </c>
      <c r="H2529" s="44">
        <v>1225.8000489999999</v>
      </c>
      <c r="I2529" s="44">
        <v>1047.26001</v>
      </c>
      <c r="J2529" s="44">
        <v>62.700001</v>
      </c>
      <c r="K2529" s="44">
        <v>106.989998</v>
      </c>
    </row>
    <row r="2530" spans="6:11" x14ac:dyDescent="0.3">
      <c r="F2530" s="43">
        <v>41556</v>
      </c>
      <c r="G2530" s="44">
        <v>1656.400024</v>
      </c>
      <c r="H2530" s="44">
        <v>1222.8599850000001</v>
      </c>
      <c r="I2530" s="44">
        <v>1043.459961</v>
      </c>
      <c r="J2530" s="44">
        <v>62.970001000000003</v>
      </c>
      <c r="K2530" s="44">
        <v>106.910004</v>
      </c>
    </row>
    <row r="2531" spans="6:11" x14ac:dyDescent="0.3">
      <c r="F2531" s="43">
        <v>41557</v>
      </c>
      <c r="G2531" s="44">
        <v>1692.5600589999999</v>
      </c>
      <c r="H2531" s="44">
        <v>1250.0500489999999</v>
      </c>
      <c r="I2531" s="44">
        <v>1069.5</v>
      </c>
      <c r="J2531" s="44">
        <v>64.099997999999999</v>
      </c>
      <c r="K2531" s="44">
        <v>107.029999</v>
      </c>
    </row>
    <row r="2532" spans="6:11" x14ac:dyDescent="0.3">
      <c r="F2532" s="43">
        <v>41558</v>
      </c>
      <c r="G2532" s="44">
        <v>1703.1999510000001</v>
      </c>
      <c r="H2532" s="44">
        <v>1261.1999510000001</v>
      </c>
      <c r="I2532" s="44">
        <v>1084.3100589999999</v>
      </c>
      <c r="J2532" s="44">
        <v>64.440002000000007</v>
      </c>
      <c r="K2532" s="44">
        <v>107.07</v>
      </c>
    </row>
    <row r="2533" spans="6:11" x14ac:dyDescent="0.3">
      <c r="F2533" s="43">
        <v>41561</v>
      </c>
      <c r="G2533" s="44">
        <v>1710.1400149999999</v>
      </c>
      <c r="H2533" s="44">
        <v>1266.1099850000001</v>
      </c>
      <c r="I2533" s="44">
        <v>1090.3000489999999</v>
      </c>
      <c r="J2533" s="44">
        <v>64.660004000000001</v>
      </c>
      <c r="K2533" s="44">
        <v>106.870003</v>
      </c>
    </row>
    <row r="2534" spans="6:11" x14ac:dyDescent="0.3">
      <c r="F2534" s="43">
        <v>41562</v>
      </c>
      <c r="G2534" s="44">
        <v>1698.0600589999999</v>
      </c>
      <c r="H2534" s="44">
        <v>1253.4399410000001</v>
      </c>
      <c r="I2534" s="44">
        <v>1079.619995</v>
      </c>
      <c r="J2534" s="44">
        <v>64.349997999999999</v>
      </c>
      <c r="K2534" s="44">
        <v>106.82</v>
      </c>
    </row>
    <row r="2535" spans="6:11" x14ac:dyDescent="0.3">
      <c r="F2535" s="43">
        <v>41563</v>
      </c>
      <c r="G2535" s="44">
        <v>1721.540039</v>
      </c>
      <c r="H2535" s="44">
        <v>1269.170044</v>
      </c>
      <c r="I2535" s="44">
        <v>1092.420044</v>
      </c>
      <c r="J2535" s="44">
        <v>64.830001999999993</v>
      </c>
      <c r="K2535" s="44">
        <v>107.279999</v>
      </c>
    </row>
    <row r="2536" spans="6:11" x14ac:dyDescent="0.3">
      <c r="F2536" s="43">
        <v>41564</v>
      </c>
      <c r="G2536" s="44">
        <v>1733.150024</v>
      </c>
      <c r="H2536" s="44">
        <v>1279.630005</v>
      </c>
      <c r="I2536" s="44">
        <v>1102.2700199999999</v>
      </c>
      <c r="J2536" s="44">
        <v>65.690002000000007</v>
      </c>
      <c r="K2536" s="44">
        <v>107.58000199999999</v>
      </c>
    </row>
    <row r="2537" spans="6:11" x14ac:dyDescent="0.3">
      <c r="F2537" s="43">
        <v>41565</v>
      </c>
      <c r="G2537" s="44">
        <v>1744.5</v>
      </c>
      <c r="H2537" s="44">
        <v>1290.589966</v>
      </c>
      <c r="I2537" s="44">
        <v>1114.7700199999999</v>
      </c>
      <c r="J2537" s="44">
        <v>66.080001999999993</v>
      </c>
      <c r="K2537" s="44">
        <v>107.760002</v>
      </c>
    </row>
    <row r="2538" spans="6:11" x14ac:dyDescent="0.3">
      <c r="F2538" s="43">
        <v>41568</v>
      </c>
      <c r="G2538" s="44">
        <v>1744.660034</v>
      </c>
      <c r="H2538" s="44">
        <v>1290.459961</v>
      </c>
      <c r="I2538" s="44">
        <v>1112.4799800000001</v>
      </c>
      <c r="J2538" s="44">
        <v>66.180000000000007</v>
      </c>
      <c r="K2538" s="44">
        <v>107.660004</v>
      </c>
    </row>
    <row r="2539" spans="6:11" x14ac:dyDescent="0.3">
      <c r="F2539" s="43">
        <v>41569</v>
      </c>
      <c r="G2539" s="44">
        <v>1754.670044</v>
      </c>
      <c r="H2539" s="44">
        <v>1297.540039</v>
      </c>
      <c r="I2539" s="44">
        <v>1115.630005</v>
      </c>
      <c r="J2539" s="44">
        <v>66.839995999999999</v>
      </c>
      <c r="K2539" s="44">
        <v>108.040001</v>
      </c>
    </row>
    <row r="2540" spans="6:11" x14ac:dyDescent="0.3">
      <c r="F2540" s="43">
        <v>41570</v>
      </c>
      <c r="G2540" s="44">
        <v>1746.380005</v>
      </c>
      <c r="H2540" s="44">
        <v>1289.0600589999999</v>
      </c>
      <c r="I2540" s="44">
        <v>1110.9300539999999</v>
      </c>
      <c r="J2540" s="44">
        <v>66.190002000000007</v>
      </c>
      <c r="K2540" s="44">
        <v>108.010002</v>
      </c>
    </row>
    <row r="2541" spans="6:11" x14ac:dyDescent="0.3">
      <c r="F2541" s="43">
        <v>41571</v>
      </c>
      <c r="G2541" s="44">
        <v>1752.0699460000001</v>
      </c>
      <c r="H2541" s="44">
        <v>1291.329956</v>
      </c>
      <c r="I2541" s="44">
        <v>1118.849976</v>
      </c>
      <c r="J2541" s="44">
        <v>66.650002000000001</v>
      </c>
      <c r="K2541" s="44">
        <v>107.970001</v>
      </c>
    </row>
    <row r="2542" spans="6:11" x14ac:dyDescent="0.3">
      <c r="F2542" s="43">
        <v>41572</v>
      </c>
      <c r="G2542" s="44">
        <v>1759.7700199999999</v>
      </c>
      <c r="H2542" s="44">
        <v>1295.099976</v>
      </c>
      <c r="I2542" s="44">
        <v>1118.339966</v>
      </c>
      <c r="J2542" s="44">
        <v>66.459998999999996</v>
      </c>
      <c r="K2542" s="44">
        <v>108.010002</v>
      </c>
    </row>
    <row r="2543" spans="6:11" x14ac:dyDescent="0.3">
      <c r="F2543" s="43">
        <v>41575</v>
      </c>
      <c r="G2543" s="44">
        <v>1762.1099850000001</v>
      </c>
      <c r="H2543" s="44">
        <v>1294.099976</v>
      </c>
      <c r="I2543" s="44">
        <v>1117.969971</v>
      </c>
      <c r="J2543" s="44">
        <v>66.349997999999999</v>
      </c>
      <c r="K2543" s="44">
        <v>107.959999</v>
      </c>
    </row>
    <row r="2544" spans="6:11" x14ac:dyDescent="0.3">
      <c r="F2544" s="43">
        <v>41576</v>
      </c>
      <c r="G2544" s="44">
        <v>1771.9499510000001</v>
      </c>
      <c r="H2544" s="44">
        <v>1299.790039</v>
      </c>
      <c r="I2544" s="44">
        <v>1121.0699460000001</v>
      </c>
      <c r="J2544" s="44">
        <v>66.489998</v>
      </c>
      <c r="K2544" s="44">
        <v>108.089996</v>
      </c>
    </row>
    <row r="2545" spans="6:11" x14ac:dyDescent="0.3">
      <c r="F2545" s="43">
        <v>41577</v>
      </c>
      <c r="G2545" s="44">
        <v>1763.3100589999999</v>
      </c>
      <c r="H2545" s="44">
        <v>1290.880005</v>
      </c>
      <c r="I2545" s="44">
        <v>1105.5</v>
      </c>
      <c r="J2545" s="44">
        <v>66.25</v>
      </c>
      <c r="K2545" s="44">
        <v>107.889999</v>
      </c>
    </row>
    <row r="2546" spans="6:11" x14ac:dyDescent="0.3">
      <c r="F2546" s="43">
        <v>41578</v>
      </c>
      <c r="G2546" s="44">
        <v>1756.540039</v>
      </c>
      <c r="H2546" s="44">
        <v>1289.1800539999999</v>
      </c>
      <c r="I2546" s="44">
        <v>1100.150024</v>
      </c>
      <c r="J2546" s="44">
        <v>65.879997000000003</v>
      </c>
      <c r="K2546" s="44">
        <v>107.900002</v>
      </c>
    </row>
    <row r="2547" spans="6:11" x14ac:dyDescent="0.3">
      <c r="F2547" s="43">
        <v>41579</v>
      </c>
      <c r="G2547" s="44">
        <v>1761.6400149999999</v>
      </c>
      <c r="H2547" s="44">
        <v>1290.709961</v>
      </c>
      <c r="I2547" s="44">
        <v>1095.670044</v>
      </c>
      <c r="J2547" s="44">
        <v>65.559997999999993</v>
      </c>
      <c r="K2547" s="44">
        <v>107.449997</v>
      </c>
    </row>
    <row r="2548" spans="6:11" x14ac:dyDescent="0.3">
      <c r="F2548" s="43">
        <v>41582</v>
      </c>
      <c r="G2548" s="44">
        <v>1767.9300539999999</v>
      </c>
      <c r="H2548" s="44">
        <v>1299.9300539999999</v>
      </c>
      <c r="I2548" s="44">
        <v>1108.280029</v>
      </c>
      <c r="J2548" s="44">
        <v>65.879997000000003</v>
      </c>
      <c r="K2548" s="44">
        <v>107.55999799999999</v>
      </c>
    </row>
    <row r="2549" spans="6:11" x14ac:dyDescent="0.3">
      <c r="F2549" s="43">
        <v>41583</v>
      </c>
      <c r="G2549" s="44">
        <v>1762.969971</v>
      </c>
      <c r="H2549" s="44">
        <v>1290.8100589999999</v>
      </c>
      <c r="I2549" s="44">
        <v>1103.589966</v>
      </c>
      <c r="J2549" s="44">
        <v>65.309997999999993</v>
      </c>
      <c r="K2549" s="44">
        <v>107.239998</v>
      </c>
    </row>
    <row r="2550" spans="6:11" x14ac:dyDescent="0.3">
      <c r="F2550" s="43">
        <v>41584</v>
      </c>
      <c r="G2550" s="44">
        <v>1770.48999</v>
      </c>
      <c r="H2550" s="44">
        <v>1290.5200199999999</v>
      </c>
      <c r="I2550" s="44">
        <v>1098.630005</v>
      </c>
      <c r="J2550" s="44">
        <v>65.879997000000003</v>
      </c>
      <c r="K2550" s="44">
        <v>107.410004</v>
      </c>
    </row>
    <row r="2551" spans="6:11" x14ac:dyDescent="0.3">
      <c r="F2551" s="43">
        <v>41585</v>
      </c>
      <c r="G2551" s="44">
        <v>1747.150024</v>
      </c>
      <c r="H2551" s="44">
        <v>1267.709961</v>
      </c>
      <c r="I2551" s="44">
        <v>1079.089966</v>
      </c>
      <c r="J2551" s="44">
        <v>64.839995999999999</v>
      </c>
      <c r="K2551" s="44">
        <v>107.489998</v>
      </c>
    </row>
    <row r="2552" spans="6:11" x14ac:dyDescent="0.3">
      <c r="F2552" s="43">
        <v>41586</v>
      </c>
      <c r="G2552" s="44">
        <v>1770.6099850000001</v>
      </c>
      <c r="H2552" s="44">
        <v>1285.8599850000001</v>
      </c>
      <c r="I2552" s="44">
        <v>1099.969971</v>
      </c>
      <c r="J2552" s="44">
        <v>65.220000999999996</v>
      </c>
      <c r="K2552" s="44">
        <v>106.82</v>
      </c>
    </row>
    <row r="2553" spans="6:11" x14ac:dyDescent="0.3">
      <c r="F2553" s="43">
        <v>41589</v>
      </c>
      <c r="G2553" s="44">
        <v>1771.8900149999999</v>
      </c>
      <c r="H2553" s="44">
        <v>1291.369995</v>
      </c>
      <c r="I2553" s="44">
        <v>1101.5</v>
      </c>
      <c r="J2553" s="44">
        <v>65.360000999999997</v>
      </c>
      <c r="K2553" s="44">
        <v>106.760002</v>
      </c>
    </row>
    <row r="2554" spans="6:11" x14ac:dyDescent="0.3">
      <c r="F2554" s="43">
        <v>41590</v>
      </c>
      <c r="G2554" s="44">
        <v>1767.6899410000001</v>
      </c>
      <c r="H2554" s="44">
        <v>1289.040039</v>
      </c>
      <c r="I2554" s="44">
        <v>1101.469971</v>
      </c>
      <c r="J2554" s="44">
        <v>65.139999000000003</v>
      </c>
      <c r="K2554" s="44">
        <v>106.720001</v>
      </c>
    </row>
    <row r="2555" spans="6:11" x14ac:dyDescent="0.3">
      <c r="F2555" s="43">
        <v>41591</v>
      </c>
      <c r="G2555" s="44">
        <v>1782</v>
      </c>
      <c r="H2555" s="44">
        <v>1302.0600589999999</v>
      </c>
      <c r="I2555" s="44">
        <v>1112.1800539999999</v>
      </c>
      <c r="J2555" s="44">
        <v>65.349997999999999</v>
      </c>
      <c r="K2555" s="44">
        <v>107</v>
      </c>
    </row>
    <row r="2556" spans="6:11" x14ac:dyDescent="0.3">
      <c r="F2556" s="43">
        <v>41592</v>
      </c>
      <c r="G2556" s="44">
        <v>1790.619995</v>
      </c>
      <c r="H2556" s="44">
        <v>1307.7299800000001</v>
      </c>
      <c r="I2556" s="44">
        <v>1111.4399410000001</v>
      </c>
      <c r="J2556" s="44">
        <v>65.650002000000001</v>
      </c>
      <c r="K2556" s="44">
        <v>107.33000199999999</v>
      </c>
    </row>
    <row r="2557" spans="6:11" x14ac:dyDescent="0.3">
      <c r="F2557" s="43">
        <v>41593</v>
      </c>
      <c r="G2557" s="44">
        <v>1798.1800539999999</v>
      </c>
      <c r="H2557" s="44">
        <v>1311.7700199999999</v>
      </c>
      <c r="I2557" s="44">
        <v>1116.1999510000001</v>
      </c>
      <c r="J2557" s="44">
        <v>66.180000000000007</v>
      </c>
      <c r="K2557" s="44">
        <v>107.360001</v>
      </c>
    </row>
    <row r="2558" spans="6:11" x14ac:dyDescent="0.3">
      <c r="F2558" s="43">
        <v>41596</v>
      </c>
      <c r="G2558" s="44">
        <v>1791.530029</v>
      </c>
      <c r="H2558" s="44">
        <v>1302.1999510000001</v>
      </c>
      <c r="I2558" s="44">
        <v>1107.290039</v>
      </c>
      <c r="J2558" s="44">
        <v>66.180000000000007</v>
      </c>
      <c r="K2558" s="44">
        <v>107.57</v>
      </c>
    </row>
    <row r="2559" spans="6:11" x14ac:dyDescent="0.3">
      <c r="F2559" s="43">
        <v>41597</v>
      </c>
      <c r="G2559" s="44">
        <v>1787.869995</v>
      </c>
      <c r="H2559" s="44">
        <v>1292.869995</v>
      </c>
      <c r="I2559" s="44">
        <v>1101.380005</v>
      </c>
      <c r="J2559" s="44">
        <v>66.010002</v>
      </c>
      <c r="K2559" s="44">
        <v>107.279999</v>
      </c>
    </row>
    <row r="2560" spans="6:11" x14ac:dyDescent="0.3">
      <c r="F2560" s="43">
        <v>41598</v>
      </c>
      <c r="G2560" s="44">
        <v>1781.369995</v>
      </c>
      <c r="H2560" s="44">
        <v>1290.150024</v>
      </c>
      <c r="I2560" s="44">
        <v>1099.790039</v>
      </c>
      <c r="J2560" s="44">
        <v>65.550003000000004</v>
      </c>
      <c r="K2560" s="44">
        <v>106.980003</v>
      </c>
    </row>
    <row r="2561" spans="6:11" x14ac:dyDescent="0.3">
      <c r="F2561" s="43">
        <v>41599</v>
      </c>
      <c r="G2561" s="44">
        <v>1795.849976</v>
      </c>
      <c r="H2561" s="44">
        <v>1306.150024</v>
      </c>
      <c r="I2561" s="44">
        <v>1119.619995</v>
      </c>
      <c r="J2561" s="44">
        <v>65.959998999999996</v>
      </c>
      <c r="K2561" s="44">
        <v>107.089996</v>
      </c>
    </row>
    <row r="2562" spans="6:11" x14ac:dyDescent="0.3">
      <c r="F2562" s="43">
        <v>41600</v>
      </c>
      <c r="G2562" s="44">
        <v>1804.76001</v>
      </c>
      <c r="H2562" s="44">
        <v>1308.8100589999999</v>
      </c>
      <c r="I2562" s="44">
        <v>1124.920044</v>
      </c>
      <c r="J2562" s="44">
        <v>66.150002000000001</v>
      </c>
      <c r="K2562" s="44">
        <v>107.239998</v>
      </c>
    </row>
    <row r="2563" spans="6:11" x14ac:dyDescent="0.3">
      <c r="F2563" s="43">
        <v>41603</v>
      </c>
      <c r="G2563" s="44">
        <v>1802.4799800000001</v>
      </c>
      <c r="H2563" s="44">
        <v>1305.780029</v>
      </c>
      <c r="I2563" s="44">
        <v>1124.719971</v>
      </c>
      <c r="J2563" s="44">
        <v>65.949996999999996</v>
      </c>
      <c r="K2563" s="44">
        <v>107.32</v>
      </c>
    </row>
    <row r="2564" spans="6:11" x14ac:dyDescent="0.3">
      <c r="F2564" s="43">
        <v>41604</v>
      </c>
      <c r="G2564" s="44">
        <v>1802.75</v>
      </c>
      <c r="H2564" s="44">
        <v>1306.400024</v>
      </c>
      <c r="I2564" s="44">
        <v>1134.530029</v>
      </c>
      <c r="J2564" s="44">
        <v>65.949996999999996</v>
      </c>
      <c r="K2564" s="44">
        <v>107.349998</v>
      </c>
    </row>
    <row r="2565" spans="6:11" x14ac:dyDescent="0.3">
      <c r="F2565" s="43">
        <v>41605</v>
      </c>
      <c r="G2565" s="44">
        <v>1807.2299800000001</v>
      </c>
      <c r="H2565" s="44">
        <v>1308.709961</v>
      </c>
      <c r="I2565" s="44">
        <v>1141.329956</v>
      </c>
      <c r="J2565" s="44">
        <v>66.110000999999997</v>
      </c>
      <c r="K2565" s="44">
        <v>107.400002</v>
      </c>
    </row>
    <row r="2566" spans="6:11" x14ac:dyDescent="0.3">
      <c r="F2566" s="43">
        <v>41607</v>
      </c>
      <c r="G2566" s="44">
        <v>1805.8100589999999</v>
      </c>
      <c r="H2566" s="44">
        <v>1304.1800539999999</v>
      </c>
      <c r="I2566" s="44">
        <v>1142.8900149999999</v>
      </c>
      <c r="J2566" s="44">
        <v>66.239998</v>
      </c>
      <c r="K2566" s="44">
        <v>107.44000200000001</v>
      </c>
    </row>
    <row r="2567" spans="6:11" x14ac:dyDescent="0.3">
      <c r="F2567" s="43">
        <v>41610</v>
      </c>
      <c r="G2567" s="44">
        <v>1800.900024</v>
      </c>
      <c r="H2567" s="44">
        <v>1303.6400149999999</v>
      </c>
      <c r="I2567" s="44">
        <v>1129.119995</v>
      </c>
      <c r="J2567" s="44">
        <v>65.75</v>
      </c>
      <c r="K2567" s="44">
        <v>106.83000199999999</v>
      </c>
    </row>
    <row r="2568" spans="6:11" x14ac:dyDescent="0.3">
      <c r="F2568" s="43">
        <v>41611</v>
      </c>
      <c r="G2568" s="44">
        <v>1795.150024</v>
      </c>
      <c r="H2568" s="44">
        <v>1299.170044</v>
      </c>
      <c r="I2568" s="44">
        <v>1123.780029</v>
      </c>
      <c r="J2568" s="44">
        <v>65.290001000000004</v>
      </c>
      <c r="K2568" s="44">
        <v>106.959999</v>
      </c>
    </row>
    <row r="2569" spans="6:11" x14ac:dyDescent="0.3">
      <c r="F2569" s="43">
        <v>41612</v>
      </c>
      <c r="G2569" s="44">
        <v>1792.8100589999999</v>
      </c>
      <c r="H2569" s="44">
        <v>1297.599976</v>
      </c>
      <c r="I2569" s="44">
        <v>1121.380005</v>
      </c>
      <c r="J2569" s="44">
        <v>64.940002000000007</v>
      </c>
      <c r="K2569" s="44">
        <v>106.68</v>
      </c>
    </row>
    <row r="2570" spans="6:11" x14ac:dyDescent="0.3">
      <c r="F2570" s="43">
        <v>41613</v>
      </c>
      <c r="G2570" s="44">
        <v>1785.030029</v>
      </c>
      <c r="H2570" s="44">
        <v>1299.0500489999999</v>
      </c>
      <c r="I2570" s="44">
        <v>1122.469971</v>
      </c>
      <c r="J2570" s="44">
        <v>64.569999999999993</v>
      </c>
      <c r="K2570" s="44">
        <v>106.449997</v>
      </c>
    </row>
    <row r="2571" spans="6:11" x14ac:dyDescent="0.3">
      <c r="F2571" s="43">
        <v>41614</v>
      </c>
      <c r="G2571" s="44">
        <v>1805.089966</v>
      </c>
      <c r="H2571" s="44">
        <v>1309.6800539999999</v>
      </c>
      <c r="I2571" s="44">
        <v>1131.380005</v>
      </c>
      <c r="J2571" s="44">
        <v>65.370002999999997</v>
      </c>
      <c r="K2571" s="44">
        <v>106.629997</v>
      </c>
    </row>
    <row r="2572" spans="6:11" x14ac:dyDescent="0.3">
      <c r="F2572" s="43">
        <v>41617</v>
      </c>
      <c r="G2572" s="44">
        <v>1808.369995</v>
      </c>
      <c r="H2572" s="44">
        <v>1311</v>
      </c>
      <c r="I2572" s="44">
        <v>1129.459961</v>
      </c>
      <c r="J2572" s="44">
        <v>65.300003000000004</v>
      </c>
      <c r="K2572" s="44">
        <v>106.760002</v>
      </c>
    </row>
    <row r="2573" spans="6:11" x14ac:dyDescent="0.3">
      <c r="F2573" s="43">
        <v>41618</v>
      </c>
      <c r="G2573" s="44">
        <v>1802.619995</v>
      </c>
      <c r="H2573" s="44">
        <v>1306.969971</v>
      </c>
      <c r="I2573" s="44">
        <v>1119.6899410000001</v>
      </c>
      <c r="J2573" s="44">
        <v>65.190002000000007</v>
      </c>
      <c r="K2573" s="44">
        <v>106.93</v>
      </c>
    </row>
    <row r="2574" spans="6:11" x14ac:dyDescent="0.3">
      <c r="F2574" s="43">
        <v>41619</v>
      </c>
      <c r="G2574" s="44">
        <v>1782.219971</v>
      </c>
      <c r="H2574" s="44">
        <v>1285.030029</v>
      </c>
      <c r="I2574" s="44">
        <v>1101.5</v>
      </c>
      <c r="J2574" s="44">
        <v>64.580001999999993</v>
      </c>
      <c r="K2574" s="44">
        <v>106.760002</v>
      </c>
    </row>
    <row r="2575" spans="6:11" x14ac:dyDescent="0.3">
      <c r="F2575" s="43">
        <v>41620</v>
      </c>
      <c r="G2575" s="44">
        <v>1775.5</v>
      </c>
      <c r="H2575" s="44">
        <v>1285.160034</v>
      </c>
      <c r="I2575" s="44">
        <v>1103.2700199999999</v>
      </c>
      <c r="J2575" s="44">
        <v>64.110000999999997</v>
      </c>
      <c r="K2575" s="44">
        <v>106.599998</v>
      </c>
    </row>
    <row r="2576" spans="6:11" x14ac:dyDescent="0.3">
      <c r="F2576" s="43">
        <v>41621</v>
      </c>
      <c r="G2576" s="44">
        <v>1775.3199460000001</v>
      </c>
      <c r="H2576" s="44">
        <v>1289.420044</v>
      </c>
      <c r="I2576" s="44">
        <v>1107.0500489999999</v>
      </c>
      <c r="J2576" s="44">
        <v>64.069999999999993</v>
      </c>
      <c r="K2576" s="44">
        <v>106.650002</v>
      </c>
    </row>
    <row r="2577" spans="6:11" x14ac:dyDescent="0.3">
      <c r="F2577" s="43">
        <v>41624</v>
      </c>
      <c r="G2577" s="44">
        <v>1786.540039</v>
      </c>
      <c r="H2577" s="44">
        <v>1299.660034</v>
      </c>
      <c r="I2577" s="44">
        <v>1119.849976</v>
      </c>
      <c r="J2577" s="44">
        <v>64.529999000000004</v>
      </c>
      <c r="K2577" s="44">
        <v>106.730003</v>
      </c>
    </row>
    <row r="2578" spans="6:11" x14ac:dyDescent="0.3">
      <c r="F2578" s="43">
        <v>41625</v>
      </c>
      <c r="G2578" s="44">
        <v>1781</v>
      </c>
      <c r="H2578" s="44">
        <v>1299.23999</v>
      </c>
      <c r="I2578" s="44">
        <v>1118.8900149999999</v>
      </c>
      <c r="J2578" s="44">
        <v>64.25</v>
      </c>
      <c r="K2578" s="44">
        <v>106.910004</v>
      </c>
    </row>
    <row r="2579" spans="6:11" x14ac:dyDescent="0.3">
      <c r="F2579" s="43">
        <v>41626</v>
      </c>
      <c r="G2579" s="44">
        <v>1810.650024</v>
      </c>
      <c r="H2579" s="44">
        <v>1314.8100589999999</v>
      </c>
      <c r="I2579" s="44">
        <v>1133.719971</v>
      </c>
      <c r="J2579" s="44">
        <v>64.699996999999996</v>
      </c>
      <c r="K2579" s="44">
        <v>106.860001</v>
      </c>
    </row>
    <row r="2580" spans="6:11" x14ac:dyDescent="0.3">
      <c r="F2580" s="43">
        <v>41627</v>
      </c>
      <c r="G2580" s="44">
        <v>1809.599976</v>
      </c>
      <c r="H2580" s="44">
        <v>1304.339966</v>
      </c>
      <c r="I2580" s="44">
        <v>1125.4499510000001</v>
      </c>
      <c r="J2580" s="44">
        <v>64.699996999999996</v>
      </c>
      <c r="K2580" s="44">
        <v>106.68</v>
      </c>
    </row>
    <row r="2581" spans="6:11" x14ac:dyDescent="0.3">
      <c r="F2581" s="43">
        <v>41628</v>
      </c>
      <c r="G2581" s="44">
        <v>1818.3199460000001</v>
      </c>
      <c r="H2581" s="44">
        <v>1318.849976</v>
      </c>
      <c r="I2581" s="44">
        <v>1146.469971</v>
      </c>
      <c r="J2581" s="44">
        <v>65.069999999999993</v>
      </c>
      <c r="K2581" s="44">
        <v>106.860001</v>
      </c>
    </row>
    <row r="2582" spans="6:11" x14ac:dyDescent="0.3">
      <c r="F2582" s="43">
        <v>41631</v>
      </c>
      <c r="G2582" s="44">
        <v>1827.98999</v>
      </c>
      <c r="H2582" s="44">
        <v>1328.9399410000001</v>
      </c>
      <c r="I2582" s="44">
        <v>1157.219971</v>
      </c>
      <c r="J2582" s="44">
        <v>65.739998</v>
      </c>
      <c r="K2582" s="44">
        <v>106.80999799999999</v>
      </c>
    </row>
    <row r="2583" spans="6:11" x14ac:dyDescent="0.3">
      <c r="F2583" s="43">
        <v>41632</v>
      </c>
      <c r="G2583" s="44">
        <v>1833.3199460000001</v>
      </c>
      <c r="H2583" s="44">
        <v>1334.420044</v>
      </c>
      <c r="I2583" s="44">
        <v>1161.8000489999999</v>
      </c>
      <c r="J2583" s="44">
        <v>65.870002999999997</v>
      </c>
      <c r="K2583" s="44">
        <v>106.660004</v>
      </c>
    </row>
    <row r="2584" spans="6:11" x14ac:dyDescent="0.3">
      <c r="F2584" s="43">
        <v>41634</v>
      </c>
      <c r="G2584" s="44">
        <v>1842.0200199999999</v>
      </c>
      <c r="H2584" s="44">
        <v>1335.3900149999999</v>
      </c>
      <c r="I2584" s="44">
        <v>1162.650024</v>
      </c>
      <c r="J2584" s="44">
        <v>66.230002999999996</v>
      </c>
      <c r="K2584" s="44">
        <v>106.389999</v>
      </c>
    </row>
    <row r="2585" spans="6:11" x14ac:dyDescent="0.3">
      <c r="F2585" s="43">
        <v>41635</v>
      </c>
      <c r="G2585" s="44">
        <v>1841.400024</v>
      </c>
      <c r="H2585" s="44">
        <v>1336.3000489999999</v>
      </c>
      <c r="I2585" s="44">
        <v>1161.089966</v>
      </c>
      <c r="J2585" s="44">
        <v>66.569999999999993</v>
      </c>
      <c r="K2585" s="44">
        <v>106.43</v>
      </c>
    </row>
    <row r="2586" spans="6:11" x14ac:dyDescent="0.3">
      <c r="F2586" s="43">
        <v>41638</v>
      </c>
      <c r="G2586" s="44">
        <v>1841.0699460000001</v>
      </c>
      <c r="H2586" s="44">
        <v>1338.209961</v>
      </c>
      <c r="I2586" s="44">
        <v>1160.589966</v>
      </c>
      <c r="J2586" s="44">
        <v>66.849997999999999</v>
      </c>
      <c r="K2586" s="44">
        <v>106.529999</v>
      </c>
    </row>
    <row r="2587" spans="6:11" x14ac:dyDescent="0.3">
      <c r="F2587" s="43">
        <v>41639</v>
      </c>
      <c r="G2587" s="44">
        <v>1848.3599850000001</v>
      </c>
      <c r="H2587" s="44">
        <v>1342.530029</v>
      </c>
      <c r="I2587" s="44">
        <v>1163.6400149999999</v>
      </c>
      <c r="J2587" s="44">
        <v>67.099997999999999</v>
      </c>
      <c r="K2587" s="44">
        <v>106.43</v>
      </c>
    </row>
    <row r="2588" spans="6:11" x14ac:dyDescent="0.3">
      <c r="F2588" s="43">
        <v>41641</v>
      </c>
      <c r="G2588" s="44">
        <v>1831.9799800000001</v>
      </c>
      <c r="H2588" s="44">
        <v>1328.2299800000001</v>
      </c>
      <c r="I2588" s="44">
        <v>1150.719971</v>
      </c>
      <c r="J2588" s="44">
        <v>65.910004000000001</v>
      </c>
      <c r="K2588" s="44">
        <v>106.5</v>
      </c>
    </row>
    <row r="2589" spans="6:11" x14ac:dyDescent="0.3">
      <c r="F2589" s="43">
        <v>41642</v>
      </c>
      <c r="G2589" s="44">
        <v>1831.369995</v>
      </c>
      <c r="H2589" s="44">
        <v>1333.780029</v>
      </c>
      <c r="I2589" s="44">
        <v>1156.089966</v>
      </c>
      <c r="J2589" s="44">
        <v>65.980002999999996</v>
      </c>
      <c r="K2589" s="44">
        <v>106.540001</v>
      </c>
    </row>
    <row r="2590" spans="6:11" x14ac:dyDescent="0.3">
      <c r="F2590" s="43">
        <v>41645</v>
      </c>
      <c r="G2590" s="44">
        <v>1826.7700199999999</v>
      </c>
      <c r="H2590" s="44">
        <v>1325.209961</v>
      </c>
      <c r="I2590" s="44">
        <v>1147.160034</v>
      </c>
      <c r="J2590" s="44">
        <v>65.900002000000001</v>
      </c>
      <c r="K2590" s="44">
        <v>106.68</v>
      </c>
    </row>
    <row r="2591" spans="6:11" x14ac:dyDescent="0.3">
      <c r="F2591" s="43">
        <v>41646</v>
      </c>
      <c r="G2591" s="44">
        <v>1837.880005</v>
      </c>
      <c r="H2591" s="44">
        <v>1336.579956</v>
      </c>
      <c r="I2591" s="44">
        <v>1157.630005</v>
      </c>
      <c r="J2591" s="44">
        <v>66.269997000000004</v>
      </c>
      <c r="K2591" s="44">
        <v>106.730003</v>
      </c>
    </row>
    <row r="2592" spans="6:11" x14ac:dyDescent="0.3">
      <c r="F2592" s="43">
        <v>41647</v>
      </c>
      <c r="G2592" s="44">
        <v>1837.48999</v>
      </c>
      <c r="H2592" s="44">
        <v>1338.51001</v>
      </c>
      <c r="I2592" s="44">
        <v>1157.459961</v>
      </c>
      <c r="J2592" s="44">
        <v>66.25</v>
      </c>
      <c r="K2592" s="44">
        <v>106.410004</v>
      </c>
    </row>
    <row r="2593" spans="6:11" x14ac:dyDescent="0.3">
      <c r="F2593" s="43">
        <v>41648</v>
      </c>
      <c r="G2593" s="44">
        <v>1838.130005</v>
      </c>
      <c r="H2593" s="44">
        <v>1340.0200199999999</v>
      </c>
      <c r="I2593" s="44">
        <v>1158.349976</v>
      </c>
      <c r="J2593" s="44">
        <v>66.199996999999996</v>
      </c>
      <c r="K2593" s="44">
        <v>106.55999799999999</v>
      </c>
    </row>
    <row r="2594" spans="6:11" x14ac:dyDescent="0.3">
      <c r="F2594" s="43">
        <v>41649</v>
      </c>
      <c r="G2594" s="44">
        <v>1842.369995</v>
      </c>
      <c r="H2594" s="44">
        <v>1349.089966</v>
      </c>
      <c r="I2594" s="44">
        <v>1164.530029</v>
      </c>
      <c r="J2594" s="44">
        <v>66.809997999999993</v>
      </c>
      <c r="K2594" s="44">
        <v>107.099998</v>
      </c>
    </row>
    <row r="2595" spans="6:11" x14ac:dyDescent="0.3">
      <c r="F2595" s="43">
        <v>41652</v>
      </c>
      <c r="G2595" s="44">
        <v>1819.1999510000001</v>
      </c>
      <c r="H2595" s="44">
        <v>1329.869995</v>
      </c>
      <c r="I2595" s="44">
        <v>1148.089966</v>
      </c>
      <c r="J2595" s="44">
        <v>66.230002999999996</v>
      </c>
      <c r="K2595" s="44">
        <v>107.199997</v>
      </c>
    </row>
    <row r="2596" spans="6:11" x14ac:dyDescent="0.3">
      <c r="F2596" s="43">
        <v>41653</v>
      </c>
      <c r="G2596" s="44">
        <v>1838.880005</v>
      </c>
      <c r="H2596" s="44">
        <v>1346.079956</v>
      </c>
      <c r="I2596" s="44">
        <v>1163.4300539999999</v>
      </c>
      <c r="J2596" s="44">
        <v>66.760002</v>
      </c>
      <c r="K2596" s="44">
        <v>107.040001</v>
      </c>
    </row>
    <row r="2597" spans="6:11" x14ac:dyDescent="0.3">
      <c r="F2597" s="43">
        <v>41654</v>
      </c>
      <c r="G2597" s="44">
        <v>1848.380005</v>
      </c>
      <c r="H2597" s="44">
        <v>1353.75</v>
      </c>
      <c r="I2597" s="44">
        <v>1171.349976</v>
      </c>
      <c r="J2597" s="44">
        <v>67.040001000000004</v>
      </c>
      <c r="K2597" s="44">
        <v>106.949997</v>
      </c>
    </row>
    <row r="2598" spans="6:11" x14ac:dyDescent="0.3">
      <c r="F2598" s="43">
        <v>41655</v>
      </c>
      <c r="G2598" s="44">
        <v>1845.8900149999999</v>
      </c>
      <c r="H2598" s="44">
        <v>1352.0600589999999</v>
      </c>
      <c r="I2598" s="44">
        <v>1173.130005</v>
      </c>
      <c r="J2598" s="44">
        <v>67.010002</v>
      </c>
      <c r="K2598" s="44">
        <v>107.199997</v>
      </c>
    </row>
    <row r="2599" spans="6:11" x14ac:dyDescent="0.3">
      <c r="F2599" s="43">
        <v>41656</v>
      </c>
      <c r="G2599" s="44">
        <v>1838.6999510000001</v>
      </c>
      <c r="H2599" s="44">
        <v>1347.8100589999999</v>
      </c>
      <c r="I2599" s="44">
        <v>1168.4300539999999</v>
      </c>
      <c r="J2599" s="44">
        <v>66.809997999999993</v>
      </c>
      <c r="K2599" s="44">
        <v>107.25</v>
      </c>
    </row>
    <row r="2600" spans="6:11" x14ac:dyDescent="0.3">
      <c r="F2600" s="43">
        <v>41660</v>
      </c>
      <c r="G2600" s="44">
        <v>1843.8000489999999</v>
      </c>
      <c r="H2600" s="44">
        <v>1352.9300539999999</v>
      </c>
      <c r="I2600" s="44">
        <v>1175.719971</v>
      </c>
      <c r="J2600" s="44">
        <v>67.129997000000003</v>
      </c>
      <c r="K2600" s="44">
        <v>107.300003</v>
      </c>
    </row>
    <row r="2601" spans="6:11" x14ac:dyDescent="0.3">
      <c r="F2601" s="43">
        <v>41661</v>
      </c>
      <c r="G2601" s="44">
        <v>1844.8599850000001</v>
      </c>
      <c r="H2601" s="44">
        <v>1359.400024</v>
      </c>
      <c r="I2601" s="44">
        <v>1181.290039</v>
      </c>
      <c r="J2601" s="44">
        <v>67.129997000000003</v>
      </c>
      <c r="K2601" s="44">
        <v>107.07</v>
      </c>
    </row>
    <row r="2602" spans="6:11" x14ac:dyDescent="0.3">
      <c r="F2602" s="43">
        <v>41662</v>
      </c>
      <c r="G2602" s="44">
        <v>1828.459961</v>
      </c>
      <c r="H2602" s="44">
        <v>1347.869995</v>
      </c>
      <c r="I2602" s="44">
        <v>1172.400024</v>
      </c>
      <c r="J2602" s="44">
        <v>66.680000000000007</v>
      </c>
      <c r="K2602" s="44">
        <v>107.349998</v>
      </c>
    </row>
    <row r="2603" spans="6:11" x14ac:dyDescent="0.3">
      <c r="F2603" s="43">
        <v>41663</v>
      </c>
      <c r="G2603" s="44">
        <v>1790.290039</v>
      </c>
      <c r="H2603" s="44">
        <v>1314.0699460000001</v>
      </c>
      <c r="I2603" s="44">
        <v>1144.130005</v>
      </c>
      <c r="J2603" s="44">
        <v>64.849997999999999</v>
      </c>
      <c r="K2603" s="44">
        <v>107.58000199999999</v>
      </c>
    </row>
    <row r="2604" spans="6:11" x14ac:dyDescent="0.3">
      <c r="F2604" s="43">
        <v>41666</v>
      </c>
      <c r="G2604" s="44">
        <v>1781.5600589999999</v>
      </c>
      <c r="H2604" s="44">
        <v>1302.51001</v>
      </c>
      <c r="I2604" s="44">
        <v>1127.7299800000001</v>
      </c>
      <c r="J2604" s="44">
        <v>64.550003000000004</v>
      </c>
      <c r="K2604" s="44">
        <v>107.349998</v>
      </c>
    </row>
    <row r="2605" spans="6:11" x14ac:dyDescent="0.3">
      <c r="F2605" s="43">
        <v>41667</v>
      </c>
      <c r="G2605" s="44">
        <v>1792.5</v>
      </c>
      <c r="H2605" s="44">
        <v>1314.3199460000001</v>
      </c>
      <c r="I2605" s="44">
        <v>1138.23999</v>
      </c>
      <c r="J2605" s="44">
        <v>65.110000999999997</v>
      </c>
      <c r="K2605" s="44">
        <v>107.529999</v>
      </c>
    </row>
    <row r="2606" spans="6:11" x14ac:dyDescent="0.3">
      <c r="F2606" s="43">
        <v>41668</v>
      </c>
      <c r="G2606" s="44">
        <v>1774.1999510000001</v>
      </c>
      <c r="H2606" s="44">
        <v>1300.7299800000001</v>
      </c>
      <c r="I2606" s="44">
        <v>1122.4499510000001</v>
      </c>
      <c r="J2606" s="44">
        <v>64.379997000000003</v>
      </c>
      <c r="K2606" s="44">
        <v>107.849998</v>
      </c>
    </row>
    <row r="2607" spans="6:11" x14ac:dyDescent="0.3">
      <c r="F2607" s="43">
        <v>41669</v>
      </c>
      <c r="G2607" s="44">
        <v>1794.1899410000001</v>
      </c>
      <c r="H2607" s="44">
        <v>1318.920044</v>
      </c>
      <c r="I2607" s="44">
        <v>1139.3599850000001</v>
      </c>
      <c r="J2607" s="44">
        <v>64.709998999999996</v>
      </c>
      <c r="K2607" s="44">
        <v>107.870003</v>
      </c>
    </row>
    <row r="2608" spans="6:11" x14ac:dyDescent="0.3">
      <c r="F2608" s="43">
        <v>41670</v>
      </c>
      <c r="G2608" s="44">
        <v>1782.589966</v>
      </c>
      <c r="H2608" s="44">
        <v>1313.079956</v>
      </c>
      <c r="I2608" s="44">
        <v>1130.880005</v>
      </c>
      <c r="J2608" s="44">
        <v>63.610000999999997</v>
      </c>
      <c r="K2608" s="44">
        <v>108.07</v>
      </c>
    </row>
    <row r="2609" spans="6:11" x14ac:dyDescent="0.3">
      <c r="F2609" s="43">
        <v>41673</v>
      </c>
      <c r="G2609" s="44">
        <v>1741.8900149999999</v>
      </c>
      <c r="H2609" s="44">
        <v>1265.6099850000001</v>
      </c>
      <c r="I2609" s="44">
        <v>1094.579956</v>
      </c>
      <c r="J2609" s="44">
        <v>62.310001</v>
      </c>
      <c r="K2609" s="44">
        <v>108.230003</v>
      </c>
    </row>
    <row r="2610" spans="6:11" x14ac:dyDescent="0.3">
      <c r="F2610" s="43">
        <v>41674</v>
      </c>
      <c r="G2610" s="44">
        <v>1755.1999510000001</v>
      </c>
      <c r="H2610" s="44">
        <v>1280.5200199999999</v>
      </c>
      <c r="I2610" s="44">
        <v>1102.839966</v>
      </c>
      <c r="J2610" s="44">
        <v>63.029998999999997</v>
      </c>
      <c r="K2610" s="44">
        <v>107.970001</v>
      </c>
    </row>
    <row r="2611" spans="6:11" x14ac:dyDescent="0.3">
      <c r="F2611" s="43">
        <v>41675</v>
      </c>
      <c r="G2611" s="44">
        <v>1751.6400149999999</v>
      </c>
      <c r="H2611" s="44">
        <v>1277.0600589999999</v>
      </c>
      <c r="I2611" s="44">
        <v>1093.589966</v>
      </c>
      <c r="J2611" s="44">
        <v>63.16</v>
      </c>
      <c r="K2611" s="44">
        <v>107.699997</v>
      </c>
    </row>
    <row r="2612" spans="6:11" x14ac:dyDescent="0.3">
      <c r="F2612" s="43">
        <v>41676</v>
      </c>
      <c r="G2612" s="44">
        <v>1773.4300539999999</v>
      </c>
      <c r="H2612" s="44">
        <v>1294.8199460000001</v>
      </c>
      <c r="I2612" s="44">
        <v>1103.9300539999999</v>
      </c>
      <c r="J2612" s="44">
        <v>64.279999000000004</v>
      </c>
      <c r="K2612" s="44">
        <v>107.650002</v>
      </c>
    </row>
    <row r="2613" spans="6:11" x14ac:dyDescent="0.3">
      <c r="F2613" s="43">
        <v>41677</v>
      </c>
      <c r="G2613" s="44">
        <v>1797.0200199999999</v>
      </c>
      <c r="H2613" s="44">
        <v>1308.380005</v>
      </c>
      <c r="I2613" s="44">
        <v>1116.5500489999999</v>
      </c>
      <c r="J2613" s="44">
        <v>65.120002999999997</v>
      </c>
      <c r="K2613" s="44">
        <v>107.82</v>
      </c>
    </row>
    <row r="2614" spans="6:11" x14ac:dyDescent="0.3">
      <c r="F2614" s="43">
        <v>41680</v>
      </c>
      <c r="G2614" s="44">
        <v>1799.839966</v>
      </c>
      <c r="H2614" s="44">
        <v>1311.3100589999999</v>
      </c>
      <c r="I2614" s="44">
        <v>1118.7299800000001</v>
      </c>
      <c r="J2614" s="44">
        <v>64.900002000000001</v>
      </c>
      <c r="K2614" s="44">
        <v>107.93</v>
      </c>
    </row>
    <row r="2615" spans="6:11" x14ac:dyDescent="0.3">
      <c r="F2615" s="43">
        <v>41681</v>
      </c>
      <c r="G2615" s="44">
        <v>1819.75</v>
      </c>
      <c r="H2615" s="44">
        <v>1324.73999</v>
      </c>
      <c r="I2615" s="44">
        <v>1129.160034</v>
      </c>
      <c r="J2615" s="44">
        <v>65.930000000000007</v>
      </c>
      <c r="K2615" s="44">
        <v>107.720001</v>
      </c>
    </row>
    <row r="2616" spans="6:11" x14ac:dyDescent="0.3">
      <c r="F2616" s="43">
        <v>41682</v>
      </c>
      <c r="G2616" s="44">
        <v>1819.26001</v>
      </c>
      <c r="H2616" s="44">
        <v>1331.8100589999999</v>
      </c>
      <c r="I2616" s="44">
        <v>1132.540039</v>
      </c>
      <c r="J2616" s="44">
        <v>66.040001000000004</v>
      </c>
      <c r="K2616" s="44">
        <v>107.540001</v>
      </c>
    </row>
    <row r="2617" spans="6:11" x14ac:dyDescent="0.3">
      <c r="F2617" s="43">
        <v>41683</v>
      </c>
      <c r="G2617" s="44">
        <v>1829.829956</v>
      </c>
      <c r="H2617" s="44">
        <v>1341.670044</v>
      </c>
      <c r="I2617" s="44">
        <v>1147.790039</v>
      </c>
      <c r="J2617" s="44">
        <v>66.239998</v>
      </c>
      <c r="K2617" s="44">
        <v>107.769997</v>
      </c>
    </row>
    <row r="2618" spans="6:11" x14ac:dyDescent="0.3">
      <c r="F2618" s="43">
        <v>41684</v>
      </c>
      <c r="G2618" s="44">
        <v>1838.630005</v>
      </c>
      <c r="H2618" s="44">
        <v>1346.8599850000001</v>
      </c>
      <c r="I2618" s="44">
        <v>1149.209961</v>
      </c>
      <c r="J2618" s="44">
        <v>66.489998</v>
      </c>
      <c r="K2618" s="44">
        <v>107.769997</v>
      </c>
    </row>
    <row r="2619" spans="6:11" x14ac:dyDescent="0.3">
      <c r="F2619" s="43">
        <v>41688</v>
      </c>
      <c r="G2619" s="44">
        <v>1840.76001</v>
      </c>
      <c r="H2619" s="44">
        <v>1355.160034</v>
      </c>
      <c r="I2619" s="44">
        <v>1161.4799800000001</v>
      </c>
      <c r="J2619" s="44">
        <v>67.059997999999993</v>
      </c>
      <c r="K2619" s="44">
        <v>107.839996</v>
      </c>
    </row>
    <row r="2620" spans="6:11" x14ac:dyDescent="0.3">
      <c r="F2620" s="43">
        <v>41689</v>
      </c>
      <c r="G2620" s="44">
        <v>1828.75</v>
      </c>
      <c r="H2620" s="44">
        <v>1345.6099850000001</v>
      </c>
      <c r="I2620" s="44">
        <v>1149.0699460000001</v>
      </c>
      <c r="J2620" s="44">
        <v>66.610000999999997</v>
      </c>
      <c r="K2620" s="44">
        <v>107.760002</v>
      </c>
    </row>
    <row r="2621" spans="6:11" x14ac:dyDescent="0.3">
      <c r="F2621" s="43">
        <v>41690</v>
      </c>
      <c r="G2621" s="44">
        <v>1839.780029</v>
      </c>
      <c r="H2621" s="44">
        <v>1355.540039</v>
      </c>
      <c r="I2621" s="44">
        <v>1162.119995</v>
      </c>
      <c r="J2621" s="44">
        <v>66.839995999999999</v>
      </c>
      <c r="K2621" s="44">
        <v>107.699997</v>
      </c>
    </row>
    <row r="2622" spans="6:11" x14ac:dyDescent="0.3">
      <c r="F2622" s="43">
        <v>41691</v>
      </c>
      <c r="G2622" s="44">
        <v>1836.25</v>
      </c>
      <c r="H2622" s="44">
        <v>1356.5600589999999</v>
      </c>
      <c r="I2622" s="44">
        <v>1164.630005</v>
      </c>
      <c r="J2622" s="44">
        <v>66.970000999999996</v>
      </c>
      <c r="K2622" s="44">
        <v>107.800003</v>
      </c>
    </row>
    <row r="2623" spans="6:11" x14ac:dyDescent="0.3">
      <c r="F2623" s="43">
        <v>41694</v>
      </c>
      <c r="G2623" s="44">
        <v>1847.6099850000001</v>
      </c>
      <c r="H2623" s="44">
        <v>1363.290039</v>
      </c>
      <c r="I2623" s="44">
        <v>1174.5500489999999</v>
      </c>
      <c r="J2623" s="44">
        <v>67.550003000000004</v>
      </c>
      <c r="K2623" s="44">
        <v>107.699997</v>
      </c>
    </row>
    <row r="2624" spans="6:11" x14ac:dyDescent="0.3">
      <c r="F2624" s="43">
        <v>41695</v>
      </c>
      <c r="G2624" s="44">
        <v>1845.119995</v>
      </c>
      <c r="H2624" s="44">
        <v>1361.0500489999999</v>
      </c>
      <c r="I2624" s="44">
        <v>1173.9499510000001</v>
      </c>
      <c r="J2624" s="44">
        <v>67.389999000000003</v>
      </c>
      <c r="K2624" s="44">
        <v>107.989998</v>
      </c>
    </row>
    <row r="2625" spans="6:11" x14ac:dyDescent="0.3">
      <c r="F2625" s="43">
        <v>41696</v>
      </c>
      <c r="G2625" s="44">
        <v>1845.160034</v>
      </c>
      <c r="H2625" s="44">
        <v>1367.6899410000001</v>
      </c>
      <c r="I2625" s="44">
        <v>1181.719971</v>
      </c>
      <c r="J2625" s="44">
        <v>67.160004000000001</v>
      </c>
      <c r="K2625" s="44">
        <v>108.220001</v>
      </c>
    </row>
    <row r="2626" spans="6:11" x14ac:dyDescent="0.3">
      <c r="F2626" s="43">
        <v>41697</v>
      </c>
      <c r="G2626" s="44">
        <v>1854.290039</v>
      </c>
      <c r="H2626" s="44">
        <v>1371.9799800000001</v>
      </c>
      <c r="I2626" s="44">
        <v>1187.9399410000001</v>
      </c>
      <c r="J2626" s="44">
        <v>67.389999000000003</v>
      </c>
      <c r="K2626" s="44">
        <v>108.33000199999999</v>
      </c>
    </row>
    <row r="2627" spans="6:11" x14ac:dyDescent="0.3">
      <c r="F2627" s="43">
        <v>41698</v>
      </c>
      <c r="G2627" s="44">
        <v>1859.4499510000001</v>
      </c>
      <c r="H2627" s="44">
        <v>1375.329956</v>
      </c>
      <c r="I2627" s="44">
        <v>1183.030029</v>
      </c>
      <c r="J2627" s="44">
        <v>67.510002</v>
      </c>
      <c r="K2627" s="44">
        <v>108.269997</v>
      </c>
    </row>
    <row r="2628" spans="6:11" x14ac:dyDescent="0.3">
      <c r="F2628" s="43">
        <v>41701</v>
      </c>
      <c r="G2628" s="44">
        <v>1845.7299800000001</v>
      </c>
      <c r="H2628" s="44">
        <v>1366.2700199999999</v>
      </c>
      <c r="I2628" s="44">
        <v>1176.3599850000001</v>
      </c>
      <c r="J2628" s="44">
        <v>66.080001999999993</v>
      </c>
      <c r="K2628" s="44">
        <v>108.349998</v>
      </c>
    </row>
    <row r="2629" spans="6:11" x14ac:dyDescent="0.3">
      <c r="F2629" s="43">
        <v>41702</v>
      </c>
      <c r="G2629" s="44">
        <v>1873.910034</v>
      </c>
      <c r="H2629" s="44">
        <v>1389.209961</v>
      </c>
      <c r="I2629" s="44">
        <v>1208.650024</v>
      </c>
      <c r="J2629" s="44">
        <v>67.389999000000003</v>
      </c>
      <c r="K2629" s="44">
        <v>107.949997</v>
      </c>
    </row>
    <row r="2630" spans="6:11" x14ac:dyDescent="0.3">
      <c r="F2630" s="43">
        <v>41703</v>
      </c>
      <c r="G2630" s="44">
        <v>1873.8100589999999</v>
      </c>
      <c r="H2630" s="44">
        <v>1385.540039</v>
      </c>
      <c r="I2630" s="44">
        <v>1205.910034</v>
      </c>
      <c r="J2630" s="44">
        <v>67.330001999999993</v>
      </c>
      <c r="K2630" s="44">
        <v>108.010002</v>
      </c>
    </row>
    <row r="2631" spans="6:11" x14ac:dyDescent="0.3">
      <c r="F2631" s="43">
        <v>41704</v>
      </c>
      <c r="G2631" s="44">
        <v>1877.030029</v>
      </c>
      <c r="H2631" s="44">
        <v>1386.5600589999999</v>
      </c>
      <c r="I2631" s="44">
        <v>1204.540039</v>
      </c>
      <c r="J2631" s="44">
        <v>68.029999000000004</v>
      </c>
      <c r="K2631" s="44">
        <v>107.769997</v>
      </c>
    </row>
    <row r="2632" spans="6:11" x14ac:dyDescent="0.3">
      <c r="F2632" s="43">
        <v>41705</v>
      </c>
      <c r="G2632" s="44">
        <v>1878.040039</v>
      </c>
      <c r="H2632" s="44">
        <v>1388.9499510000001</v>
      </c>
      <c r="I2632" s="44">
        <v>1203.3199460000001</v>
      </c>
      <c r="J2632" s="44">
        <v>67.660004000000001</v>
      </c>
      <c r="K2632" s="44">
        <v>107.470001</v>
      </c>
    </row>
    <row r="2633" spans="6:11" x14ac:dyDescent="0.3">
      <c r="F2633" s="43">
        <v>41708</v>
      </c>
      <c r="G2633" s="44">
        <v>1877.170044</v>
      </c>
      <c r="H2633" s="44">
        <v>1381.98999</v>
      </c>
      <c r="I2633" s="44">
        <v>1200.540039</v>
      </c>
      <c r="J2633" s="44">
        <v>67.239998</v>
      </c>
      <c r="K2633" s="44">
        <v>107.470001</v>
      </c>
    </row>
    <row r="2634" spans="6:11" x14ac:dyDescent="0.3">
      <c r="F2634" s="43">
        <v>41709</v>
      </c>
      <c r="G2634" s="44">
        <v>1867.630005</v>
      </c>
      <c r="H2634" s="44">
        <v>1372.8199460000001</v>
      </c>
      <c r="I2634" s="44">
        <v>1187.0500489999999</v>
      </c>
      <c r="J2634" s="44">
        <v>66.75</v>
      </c>
      <c r="K2634" s="44">
        <v>107.459999</v>
      </c>
    </row>
    <row r="2635" spans="6:11" x14ac:dyDescent="0.3">
      <c r="F2635" s="43">
        <v>41710</v>
      </c>
      <c r="G2635" s="44">
        <v>1868.1999510000001</v>
      </c>
      <c r="H2635" s="44">
        <v>1374.880005</v>
      </c>
      <c r="I2635" s="44">
        <v>1191.369995</v>
      </c>
      <c r="J2635" s="44">
        <v>66.5</v>
      </c>
      <c r="K2635" s="44">
        <v>107.699997</v>
      </c>
    </row>
    <row r="2636" spans="6:11" x14ac:dyDescent="0.3">
      <c r="F2636" s="43">
        <v>41711</v>
      </c>
      <c r="G2636" s="44">
        <v>1846.339966</v>
      </c>
      <c r="H2636" s="44">
        <v>1359.709961</v>
      </c>
      <c r="I2636" s="44">
        <v>1176.73999</v>
      </c>
      <c r="J2636" s="44">
        <v>65.260002</v>
      </c>
      <c r="K2636" s="44">
        <v>107.980003</v>
      </c>
    </row>
    <row r="2637" spans="6:11" x14ac:dyDescent="0.3">
      <c r="F2637" s="43">
        <v>41712</v>
      </c>
      <c r="G2637" s="44">
        <v>1841.130005</v>
      </c>
      <c r="H2637" s="44">
        <v>1364.099976</v>
      </c>
      <c r="I2637" s="44">
        <v>1181.410034</v>
      </c>
      <c r="J2637" s="44">
        <v>65.120002999999997</v>
      </c>
      <c r="K2637" s="44">
        <v>107.93</v>
      </c>
    </row>
    <row r="2638" spans="6:11" x14ac:dyDescent="0.3">
      <c r="F2638" s="43">
        <v>41715</v>
      </c>
      <c r="G2638" s="44">
        <v>1858.829956</v>
      </c>
      <c r="H2638" s="44">
        <v>1374</v>
      </c>
      <c r="I2638" s="44">
        <v>1188.2299800000001</v>
      </c>
      <c r="J2638" s="44">
        <v>65.940002000000007</v>
      </c>
      <c r="K2638" s="44">
        <v>107.870003</v>
      </c>
    </row>
    <row r="2639" spans="6:11" x14ac:dyDescent="0.3">
      <c r="F2639" s="43">
        <v>41716</v>
      </c>
      <c r="G2639" s="44">
        <v>1872.25</v>
      </c>
      <c r="H2639" s="44">
        <v>1387.1800539999999</v>
      </c>
      <c r="I2639" s="44">
        <v>1205.040039</v>
      </c>
      <c r="J2639" s="44">
        <v>66.349997999999999</v>
      </c>
      <c r="K2639" s="44">
        <v>108</v>
      </c>
    </row>
    <row r="2640" spans="6:11" x14ac:dyDescent="0.3">
      <c r="F2640" s="43">
        <v>41717</v>
      </c>
      <c r="G2640" s="44">
        <v>1860.7700199999999</v>
      </c>
      <c r="H2640" s="44">
        <v>1377.369995</v>
      </c>
      <c r="I2640" s="44">
        <v>1195.660034</v>
      </c>
      <c r="J2640" s="44">
        <v>65.540001000000004</v>
      </c>
      <c r="K2640" s="44">
        <v>107.519997</v>
      </c>
    </row>
    <row r="2641" spans="6:11" x14ac:dyDescent="0.3">
      <c r="F2641" s="43">
        <v>41718</v>
      </c>
      <c r="G2641" s="44">
        <v>1872.01001</v>
      </c>
      <c r="H2641" s="44">
        <v>1381.7299800000001</v>
      </c>
      <c r="I2641" s="44">
        <v>1198.969971</v>
      </c>
      <c r="J2641" s="44">
        <v>65.290001000000004</v>
      </c>
      <c r="K2641" s="44">
        <v>107.44000200000001</v>
      </c>
    </row>
    <row r="2642" spans="6:11" x14ac:dyDescent="0.3">
      <c r="F2642" s="43">
        <v>41719</v>
      </c>
      <c r="G2642" s="44">
        <v>1866.5200199999999</v>
      </c>
      <c r="H2642" s="44">
        <v>1379.869995</v>
      </c>
      <c r="I2642" s="44">
        <v>1193.7299800000001</v>
      </c>
      <c r="J2642" s="44">
        <v>65.160004000000001</v>
      </c>
      <c r="K2642" s="44">
        <v>107.589996</v>
      </c>
    </row>
    <row r="2643" spans="6:11" x14ac:dyDescent="0.3">
      <c r="F2643" s="43">
        <v>41722</v>
      </c>
      <c r="G2643" s="44">
        <v>1857.4399410000001</v>
      </c>
      <c r="H2643" s="44">
        <v>1369.290039</v>
      </c>
      <c r="I2643" s="44">
        <v>1178.2299800000001</v>
      </c>
      <c r="J2643" s="44">
        <v>65.330001999999993</v>
      </c>
      <c r="K2643" s="44">
        <v>107.75</v>
      </c>
    </row>
    <row r="2644" spans="6:11" x14ac:dyDescent="0.3">
      <c r="F2644" s="43">
        <v>41723</v>
      </c>
      <c r="G2644" s="44">
        <v>1865.619995</v>
      </c>
      <c r="H2644" s="44">
        <v>1371.5500489999999</v>
      </c>
      <c r="I2644" s="44">
        <v>1178.0500489999999</v>
      </c>
      <c r="J2644" s="44">
        <v>66.040001000000004</v>
      </c>
      <c r="K2644" s="44">
        <v>107.639999</v>
      </c>
    </row>
    <row r="2645" spans="6:11" x14ac:dyDescent="0.3">
      <c r="F2645" s="43">
        <v>41724</v>
      </c>
      <c r="G2645" s="44">
        <v>1852.5600589999999</v>
      </c>
      <c r="H2645" s="44">
        <v>1354.079956</v>
      </c>
      <c r="I2645" s="44">
        <v>1155.48999</v>
      </c>
      <c r="J2645" s="44">
        <v>66.029999000000004</v>
      </c>
      <c r="K2645" s="44">
        <v>107.980003</v>
      </c>
    </row>
    <row r="2646" spans="6:11" x14ac:dyDescent="0.3">
      <c r="F2646" s="43">
        <v>41725</v>
      </c>
      <c r="G2646" s="44">
        <v>1849.040039</v>
      </c>
      <c r="H2646" s="44">
        <v>1350.910034</v>
      </c>
      <c r="I2646" s="44">
        <v>1151.4399410000001</v>
      </c>
      <c r="J2646" s="44">
        <v>66.360000999999997</v>
      </c>
      <c r="K2646" s="44">
        <v>108.05999799999999</v>
      </c>
    </row>
    <row r="2647" spans="6:11" x14ac:dyDescent="0.3">
      <c r="F2647" s="43">
        <v>41726</v>
      </c>
      <c r="G2647" s="44">
        <v>1857.619995</v>
      </c>
      <c r="H2647" s="44">
        <v>1358.1999510000001</v>
      </c>
      <c r="I2647" s="44">
        <v>1151.8100589999999</v>
      </c>
      <c r="J2647" s="44">
        <v>66.860000999999997</v>
      </c>
      <c r="K2647" s="44">
        <v>107.900002</v>
      </c>
    </row>
    <row r="2648" spans="6:11" x14ac:dyDescent="0.3">
      <c r="F2648" s="43">
        <v>41729</v>
      </c>
      <c r="G2648" s="44">
        <v>1872.339966</v>
      </c>
      <c r="H2648" s="44">
        <v>1378.5</v>
      </c>
      <c r="I2648" s="44">
        <v>1173.040039</v>
      </c>
      <c r="J2648" s="44">
        <v>67.199996999999996</v>
      </c>
      <c r="K2648" s="44">
        <v>107.910004</v>
      </c>
    </row>
    <row r="2649" spans="6:11" x14ac:dyDescent="0.3">
      <c r="F2649" s="43">
        <v>41730</v>
      </c>
      <c r="G2649" s="44">
        <v>1885.5200199999999</v>
      </c>
      <c r="H2649" s="44">
        <v>1390.599976</v>
      </c>
      <c r="I2649" s="44">
        <v>1188.6999510000001</v>
      </c>
      <c r="J2649" s="44">
        <v>67.629997000000003</v>
      </c>
      <c r="K2649" s="44">
        <v>107.540001</v>
      </c>
    </row>
    <row r="2650" spans="6:11" x14ac:dyDescent="0.3">
      <c r="F2650" s="43">
        <v>41731</v>
      </c>
      <c r="G2650" s="44">
        <v>1890.900024</v>
      </c>
      <c r="H2650" s="44">
        <v>1394.660034</v>
      </c>
      <c r="I2650" s="44">
        <v>1192.8100589999999</v>
      </c>
      <c r="J2650" s="44">
        <v>67.760002</v>
      </c>
      <c r="K2650" s="44">
        <v>107.360001</v>
      </c>
    </row>
    <row r="2651" spans="6:11" x14ac:dyDescent="0.3">
      <c r="F2651" s="43">
        <v>41732</v>
      </c>
      <c r="G2651" s="44">
        <v>1888.7700199999999</v>
      </c>
      <c r="H2651" s="44">
        <v>1389.150024</v>
      </c>
      <c r="I2651" s="44">
        <v>1181.119995</v>
      </c>
      <c r="J2651" s="44">
        <v>67.569999999999993</v>
      </c>
      <c r="K2651" s="44">
        <v>107.44000200000001</v>
      </c>
    </row>
    <row r="2652" spans="6:11" x14ac:dyDescent="0.3">
      <c r="F2652" s="43">
        <v>41733</v>
      </c>
      <c r="G2652" s="44">
        <v>1865.089966</v>
      </c>
      <c r="H2652" s="44">
        <v>1367.1099850000001</v>
      </c>
      <c r="I2652" s="44">
        <v>1153.380005</v>
      </c>
      <c r="J2652" s="44">
        <v>67.360000999999997</v>
      </c>
      <c r="K2652" s="44">
        <v>107.779999</v>
      </c>
    </row>
    <row r="2653" spans="6:11" x14ac:dyDescent="0.3">
      <c r="F2653" s="43">
        <v>41736</v>
      </c>
      <c r="G2653" s="44">
        <v>1845.040039</v>
      </c>
      <c r="H2653" s="44">
        <v>1343.9499510000001</v>
      </c>
      <c r="I2653" s="44">
        <v>1135.780029</v>
      </c>
      <c r="J2653" s="44">
        <v>67.040001000000004</v>
      </c>
      <c r="K2653" s="44">
        <v>107.94000200000001</v>
      </c>
    </row>
    <row r="2654" spans="6:11" x14ac:dyDescent="0.3">
      <c r="F2654" s="43">
        <v>41737</v>
      </c>
      <c r="G2654" s="44">
        <v>1851.959961</v>
      </c>
      <c r="H2654" s="44">
        <v>1351.8100589999999</v>
      </c>
      <c r="I2654" s="44">
        <v>1144.23999</v>
      </c>
      <c r="J2654" s="44">
        <v>67</v>
      </c>
      <c r="K2654" s="44">
        <v>108.07</v>
      </c>
    </row>
    <row r="2655" spans="6:11" x14ac:dyDescent="0.3">
      <c r="F2655" s="43">
        <v>41738</v>
      </c>
      <c r="G2655" s="44">
        <v>1872.1800539999999</v>
      </c>
      <c r="H2655" s="44">
        <v>1365.1099850000001</v>
      </c>
      <c r="I2655" s="44">
        <v>1159.959961</v>
      </c>
      <c r="J2655" s="44">
        <v>67.860000999999997</v>
      </c>
      <c r="K2655" s="44">
        <v>108.08000199999999</v>
      </c>
    </row>
    <row r="2656" spans="6:11" x14ac:dyDescent="0.3">
      <c r="F2656" s="43">
        <v>41739</v>
      </c>
      <c r="G2656" s="44">
        <v>1833.079956</v>
      </c>
      <c r="H2656" s="44">
        <v>1335.51001</v>
      </c>
      <c r="I2656" s="44">
        <v>1127.660034</v>
      </c>
      <c r="J2656" s="44">
        <v>66.660004000000001</v>
      </c>
      <c r="K2656" s="44">
        <v>108.33000199999999</v>
      </c>
    </row>
    <row r="2657" spans="6:11" x14ac:dyDescent="0.3">
      <c r="F2657" s="43">
        <v>41740</v>
      </c>
      <c r="G2657" s="44">
        <v>1815.6899410000001</v>
      </c>
      <c r="H2657" s="44">
        <v>1318.5</v>
      </c>
      <c r="I2657" s="44">
        <v>1111.4399410000001</v>
      </c>
      <c r="J2657" s="44">
        <v>66.260002</v>
      </c>
      <c r="K2657" s="44">
        <v>108.43</v>
      </c>
    </row>
    <row r="2658" spans="6:11" x14ac:dyDescent="0.3">
      <c r="F2658" s="43">
        <v>41743</v>
      </c>
      <c r="G2658" s="44">
        <v>1830.6099850000001</v>
      </c>
      <c r="H2658" s="44">
        <v>1324.599976</v>
      </c>
      <c r="I2658" s="44">
        <v>1115.349976</v>
      </c>
      <c r="J2658" s="44">
        <v>66.639999000000003</v>
      </c>
      <c r="K2658" s="44">
        <v>108.470001</v>
      </c>
    </row>
    <row r="2659" spans="6:11" x14ac:dyDescent="0.3">
      <c r="F2659" s="43">
        <v>41744</v>
      </c>
      <c r="G2659" s="44">
        <v>1842.9799800000001</v>
      </c>
      <c r="H2659" s="44">
        <v>1333.1899410000001</v>
      </c>
      <c r="I2659" s="44">
        <v>1119.48999</v>
      </c>
      <c r="J2659" s="44">
        <v>66.360000999999997</v>
      </c>
      <c r="K2659" s="44">
        <v>108.480003</v>
      </c>
    </row>
    <row r="2660" spans="6:11" x14ac:dyDescent="0.3">
      <c r="F2660" s="43">
        <v>41745</v>
      </c>
      <c r="G2660" s="44">
        <v>1862.3100589999999</v>
      </c>
      <c r="H2660" s="44">
        <v>1348.3599850000001</v>
      </c>
      <c r="I2660" s="44">
        <v>1131.7700199999999</v>
      </c>
      <c r="J2660" s="44">
        <v>67.180000000000007</v>
      </c>
      <c r="K2660" s="44">
        <v>108.540001</v>
      </c>
    </row>
    <row r="2661" spans="6:11" x14ac:dyDescent="0.3">
      <c r="F2661" s="43">
        <v>41746</v>
      </c>
      <c r="G2661" s="44">
        <v>1864.849976</v>
      </c>
      <c r="H2661" s="44">
        <v>1351.420044</v>
      </c>
      <c r="I2661" s="44">
        <v>1137.900024</v>
      </c>
      <c r="J2661" s="44">
        <v>67.529999000000004</v>
      </c>
      <c r="K2661" s="44">
        <v>108.19000200000001</v>
      </c>
    </row>
    <row r="2662" spans="6:11" x14ac:dyDescent="0.3">
      <c r="F2662" s="43">
        <v>41750</v>
      </c>
      <c r="G2662" s="44">
        <v>1871.8900149999999</v>
      </c>
      <c r="H2662" s="44">
        <v>1355.170044</v>
      </c>
      <c r="I2662" s="44">
        <v>1142.3100589999999</v>
      </c>
      <c r="J2662" s="44">
        <v>67.620002999999997</v>
      </c>
      <c r="K2662" s="44">
        <v>108.18</v>
      </c>
    </row>
    <row r="2663" spans="6:11" x14ac:dyDescent="0.3">
      <c r="F2663" s="43">
        <v>41751</v>
      </c>
      <c r="G2663" s="44">
        <v>1879.5500489999999</v>
      </c>
      <c r="H2663" s="44">
        <v>1365.160034</v>
      </c>
      <c r="I2663" s="44">
        <v>1155.6099850000001</v>
      </c>
      <c r="J2663" s="44">
        <v>67.900002000000001</v>
      </c>
      <c r="K2663" s="44">
        <v>108.160004</v>
      </c>
    </row>
    <row r="2664" spans="6:11" x14ac:dyDescent="0.3">
      <c r="F2664" s="43">
        <v>41752</v>
      </c>
      <c r="G2664" s="44">
        <v>1875.3900149999999</v>
      </c>
      <c r="H2664" s="44">
        <v>1362.7299800000001</v>
      </c>
      <c r="I2664" s="44">
        <v>1147.079956</v>
      </c>
      <c r="J2664" s="44">
        <v>67.739998</v>
      </c>
      <c r="K2664" s="44">
        <v>108.269997</v>
      </c>
    </row>
    <row r="2665" spans="6:11" x14ac:dyDescent="0.3">
      <c r="F2665" s="43">
        <v>41753</v>
      </c>
      <c r="G2665" s="44">
        <v>1878.6099850000001</v>
      </c>
      <c r="H2665" s="44">
        <v>1363.329956</v>
      </c>
      <c r="I2665" s="44">
        <v>1144.349976</v>
      </c>
      <c r="J2665" s="44">
        <v>67.730002999999996</v>
      </c>
      <c r="K2665" s="44">
        <v>108.370003</v>
      </c>
    </row>
    <row r="2666" spans="6:11" x14ac:dyDescent="0.3">
      <c r="F2666" s="43">
        <v>41754</v>
      </c>
      <c r="G2666" s="44">
        <v>1863.400024</v>
      </c>
      <c r="H2666" s="44">
        <v>1347.219971</v>
      </c>
      <c r="I2666" s="44">
        <v>1123.030029</v>
      </c>
      <c r="J2666" s="44">
        <v>67.400002000000001</v>
      </c>
      <c r="K2666" s="44">
        <v>108.389999</v>
      </c>
    </row>
    <row r="2667" spans="6:11" x14ac:dyDescent="0.3">
      <c r="F2667" s="43">
        <v>41757</v>
      </c>
      <c r="G2667" s="44">
        <v>1869.4300539999999</v>
      </c>
      <c r="H2667" s="44">
        <v>1342.3599850000001</v>
      </c>
      <c r="I2667" s="44">
        <v>1117.0600589999999</v>
      </c>
      <c r="J2667" s="44">
        <v>67.610000999999997</v>
      </c>
      <c r="K2667" s="44">
        <v>108.32</v>
      </c>
    </row>
    <row r="2668" spans="6:11" x14ac:dyDescent="0.3">
      <c r="F2668" s="43">
        <v>41758</v>
      </c>
      <c r="G2668" s="44">
        <v>1878.329956</v>
      </c>
      <c r="H2668" s="44">
        <v>1348.25</v>
      </c>
      <c r="I2668" s="44">
        <v>1120.829956</v>
      </c>
      <c r="J2668" s="44">
        <v>68.050003000000004</v>
      </c>
      <c r="K2668" s="44">
        <v>108.370003</v>
      </c>
    </row>
    <row r="2669" spans="6:11" x14ac:dyDescent="0.3">
      <c r="F2669" s="43">
        <v>41759</v>
      </c>
      <c r="G2669" s="44">
        <v>1883.9499510000001</v>
      </c>
      <c r="H2669" s="44">
        <v>1355.959961</v>
      </c>
      <c r="I2669" s="44">
        <v>1126.8599850000001</v>
      </c>
      <c r="J2669" s="44">
        <v>68.319999999999993</v>
      </c>
      <c r="K2669" s="44">
        <v>108.589996</v>
      </c>
    </row>
    <row r="2670" spans="6:11" x14ac:dyDescent="0.3">
      <c r="F2670" s="43">
        <v>41760</v>
      </c>
      <c r="G2670" s="44">
        <v>1883.6800539999999</v>
      </c>
      <c r="H2670" s="44">
        <v>1358.5699460000001</v>
      </c>
      <c r="I2670" s="44">
        <v>1125.969971</v>
      </c>
      <c r="J2670" s="44">
        <v>68.510002</v>
      </c>
      <c r="K2670" s="44">
        <v>108.550003</v>
      </c>
    </row>
    <row r="2671" spans="6:11" x14ac:dyDescent="0.3">
      <c r="F2671" s="43">
        <v>41761</v>
      </c>
      <c r="G2671" s="44">
        <v>1881.1400149999999</v>
      </c>
      <c r="H2671" s="44">
        <v>1361.5699460000001</v>
      </c>
      <c r="I2671" s="44">
        <v>1128.8000489999999</v>
      </c>
      <c r="J2671" s="44">
        <v>68.400002000000001</v>
      </c>
      <c r="K2671" s="44">
        <v>108.68</v>
      </c>
    </row>
    <row r="2672" spans="6:11" x14ac:dyDescent="0.3">
      <c r="F2672" s="43">
        <v>41764</v>
      </c>
      <c r="G2672" s="44">
        <v>1884.660034</v>
      </c>
      <c r="H2672" s="44">
        <v>1361.6899410000001</v>
      </c>
      <c r="I2672" s="44">
        <v>1126.3000489999999</v>
      </c>
      <c r="J2672" s="44">
        <v>68.349997999999999</v>
      </c>
      <c r="K2672" s="44">
        <v>108.639999</v>
      </c>
    </row>
    <row r="2673" spans="6:11" x14ac:dyDescent="0.3">
      <c r="F2673" s="43">
        <v>41765</v>
      </c>
      <c r="G2673" s="44">
        <v>1867.719971</v>
      </c>
      <c r="H2673" s="44">
        <v>1351.5600589999999</v>
      </c>
      <c r="I2673" s="44">
        <v>1108.01001</v>
      </c>
      <c r="J2673" s="44">
        <v>68.230002999999996</v>
      </c>
      <c r="K2673" s="44">
        <v>108.720001</v>
      </c>
    </row>
    <row r="2674" spans="6:11" x14ac:dyDescent="0.3">
      <c r="F2674" s="43">
        <v>41766</v>
      </c>
      <c r="G2674" s="44">
        <v>1878.209961</v>
      </c>
      <c r="H2674" s="44">
        <v>1357.459961</v>
      </c>
      <c r="I2674" s="44">
        <v>1108.5500489999999</v>
      </c>
      <c r="J2674" s="44">
        <v>68.309997999999993</v>
      </c>
      <c r="K2674" s="44">
        <v>108.720001</v>
      </c>
    </row>
    <row r="2675" spans="6:11" x14ac:dyDescent="0.3">
      <c r="F2675" s="43">
        <v>41767</v>
      </c>
      <c r="G2675" s="44">
        <v>1875.630005</v>
      </c>
      <c r="H2675" s="44">
        <v>1350.530029</v>
      </c>
      <c r="I2675" s="44">
        <v>1097.4300539999999</v>
      </c>
      <c r="J2675" s="44">
        <v>68.319999999999993</v>
      </c>
      <c r="K2675" s="44">
        <v>108.790001</v>
      </c>
    </row>
    <row r="2676" spans="6:11" x14ac:dyDescent="0.3">
      <c r="F2676" s="43">
        <v>41768</v>
      </c>
      <c r="G2676" s="44">
        <v>1878.4799800000001</v>
      </c>
      <c r="H2676" s="44">
        <v>1353.790039</v>
      </c>
      <c r="I2676" s="44">
        <v>1107.219971</v>
      </c>
      <c r="J2676" s="44">
        <v>68.220000999999996</v>
      </c>
      <c r="K2676" s="44">
        <v>108.69000200000001</v>
      </c>
    </row>
    <row r="2677" spans="6:11" x14ac:dyDescent="0.3">
      <c r="F2677" s="43">
        <v>41771</v>
      </c>
      <c r="G2677" s="44">
        <v>1896.650024</v>
      </c>
      <c r="H2677" s="44">
        <v>1374.579956</v>
      </c>
      <c r="I2677" s="44">
        <v>1133.650024</v>
      </c>
      <c r="J2677" s="44">
        <v>68.669998000000007</v>
      </c>
      <c r="K2677" s="44">
        <v>108.599998</v>
      </c>
    </row>
    <row r="2678" spans="6:11" x14ac:dyDescent="0.3">
      <c r="F2678" s="43">
        <v>41772</v>
      </c>
      <c r="G2678" s="44">
        <v>1897.4499510000001</v>
      </c>
      <c r="H2678" s="44">
        <v>1368.099976</v>
      </c>
      <c r="I2678" s="44">
        <v>1121.160034</v>
      </c>
      <c r="J2678" s="44">
        <v>68.769997000000004</v>
      </c>
      <c r="K2678" s="44">
        <v>108.779999</v>
      </c>
    </row>
    <row r="2679" spans="6:11" x14ac:dyDescent="0.3">
      <c r="F2679" s="43">
        <v>41773</v>
      </c>
      <c r="G2679" s="44">
        <v>1888.530029</v>
      </c>
      <c r="H2679" s="44">
        <v>1357.0600589999999</v>
      </c>
      <c r="I2679" s="44">
        <v>1103.1400149999999</v>
      </c>
      <c r="J2679" s="44">
        <v>68.639999000000003</v>
      </c>
      <c r="K2679" s="44">
        <v>109.089996</v>
      </c>
    </row>
    <row r="2680" spans="6:11" x14ac:dyDescent="0.3">
      <c r="F2680" s="43">
        <v>41774</v>
      </c>
      <c r="G2680" s="44">
        <v>1870.849976</v>
      </c>
      <c r="H2680" s="44">
        <v>1345.790039</v>
      </c>
      <c r="I2680" s="44">
        <v>1095.98999</v>
      </c>
      <c r="J2680" s="44">
        <v>68.339995999999999</v>
      </c>
      <c r="K2680" s="44">
        <v>109.32</v>
      </c>
    </row>
    <row r="2681" spans="6:11" x14ac:dyDescent="0.3">
      <c r="F2681" s="43">
        <v>41775</v>
      </c>
      <c r="G2681" s="44">
        <v>1877.8599850000001</v>
      </c>
      <c r="H2681" s="44">
        <v>1352.530029</v>
      </c>
      <c r="I2681" s="44">
        <v>1102.910034</v>
      </c>
      <c r="J2681" s="44">
        <v>68.489998</v>
      </c>
      <c r="K2681" s="44">
        <v>109.199997</v>
      </c>
    </row>
    <row r="2682" spans="6:11" x14ac:dyDescent="0.3">
      <c r="F2682" s="43">
        <v>41778</v>
      </c>
      <c r="G2682" s="44">
        <v>1885.079956</v>
      </c>
      <c r="H2682" s="44">
        <v>1360.1800539999999</v>
      </c>
      <c r="I2682" s="44">
        <v>1114.4300539999999</v>
      </c>
      <c r="J2682" s="44">
        <v>68.349997999999999</v>
      </c>
      <c r="K2682" s="44">
        <v>109.160004</v>
      </c>
    </row>
    <row r="2683" spans="6:11" x14ac:dyDescent="0.3">
      <c r="F2683" s="43">
        <v>41779</v>
      </c>
      <c r="G2683" s="44">
        <v>1872.829956</v>
      </c>
      <c r="H2683" s="44">
        <v>1345.3000489999999</v>
      </c>
      <c r="I2683" s="44">
        <v>1097.900024</v>
      </c>
      <c r="J2683" s="44">
        <v>67.919998000000007</v>
      </c>
      <c r="K2683" s="44">
        <v>109.209999</v>
      </c>
    </row>
    <row r="2684" spans="6:11" x14ac:dyDescent="0.3">
      <c r="F2684" s="43">
        <v>41780</v>
      </c>
      <c r="G2684" s="44">
        <v>1888.030029</v>
      </c>
      <c r="H2684" s="44">
        <v>1352.650024</v>
      </c>
      <c r="I2684" s="44">
        <v>1103.630005</v>
      </c>
      <c r="J2684" s="44">
        <v>68.449996999999996</v>
      </c>
      <c r="K2684" s="44">
        <v>109.16999800000001</v>
      </c>
    </row>
    <row r="2685" spans="6:11" x14ac:dyDescent="0.3">
      <c r="F2685" s="43">
        <v>41781</v>
      </c>
      <c r="G2685" s="44">
        <v>1892.48999</v>
      </c>
      <c r="H2685" s="44">
        <v>1360.4799800000001</v>
      </c>
      <c r="I2685" s="44">
        <v>1113.869995</v>
      </c>
      <c r="J2685" s="44">
        <v>68.540001000000004</v>
      </c>
      <c r="K2685" s="44">
        <v>109.120003</v>
      </c>
    </row>
    <row r="2686" spans="6:11" x14ac:dyDescent="0.3">
      <c r="F2686" s="43">
        <v>41782</v>
      </c>
      <c r="G2686" s="44">
        <v>1900.530029</v>
      </c>
      <c r="H2686" s="44">
        <v>1369.660034</v>
      </c>
      <c r="I2686" s="44">
        <v>1126.1899410000001</v>
      </c>
      <c r="J2686" s="44">
        <v>68.720000999999996</v>
      </c>
      <c r="K2686" s="44">
        <v>109.230003</v>
      </c>
    </row>
    <row r="2687" spans="6:11" x14ac:dyDescent="0.3">
      <c r="F2687" s="43">
        <v>41786</v>
      </c>
      <c r="G2687" s="44">
        <v>1911.910034</v>
      </c>
      <c r="H2687" s="44">
        <v>1378.400024</v>
      </c>
      <c r="I2687" s="44">
        <v>1142.1999510000001</v>
      </c>
      <c r="J2687" s="44">
        <v>69.209998999999996</v>
      </c>
      <c r="K2687" s="44">
        <v>109.33000199999999</v>
      </c>
    </row>
    <row r="2688" spans="6:11" x14ac:dyDescent="0.3">
      <c r="F2688" s="43">
        <v>41787</v>
      </c>
      <c r="G2688" s="44">
        <v>1909.780029</v>
      </c>
      <c r="H2688" s="44">
        <v>1374.5600589999999</v>
      </c>
      <c r="I2688" s="44">
        <v>1136.6800539999999</v>
      </c>
      <c r="J2688" s="44">
        <v>68.980002999999996</v>
      </c>
      <c r="K2688" s="44">
        <v>109.629997</v>
      </c>
    </row>
    <row r="2689" spans="6:11" x14ac:dyDescent="0.3">
      <c r="F2689" s="43">
        <v>41788</v>
      </c>
      <c r="G2689" s="44">
        <v>1920.030029</v>
      </c>
      <c r="H2689" s="44">
        <v>1380.530029</v>
      </c>
      <c r="I2689" s="44">
        <v>1140.0699460000001</v>
      </c>
      <c r="J2689" s="44">
        <v>69.400002000000001</v>
      </c>
      <c r="K2689" s="44">
        <v>109.57</v>
      </c>
    </row>
    <row r="2690" spans="6:11" x14ac:dyDescent="0.3">
      <c r="F2690" s="43">
        <v>41789</v>
      </c>
      <c r="G2690" s="44">
        <v>1923.5699460000001</v>
      </c>
      <c r="H2690" s="44">
        <v>1377.9799800000001</v>
      </c>
      <c r="I2690" s="44">
        <v>1134.5</v>
      </c>
      <c r="J2690" s="44">
        <v>69.410004000000001</v>
      </c>
      <c r="K2690" s="44">
        <v>109.66999800000001</v>
      </c>
    </row>
    <row r="2691" spans="6:11" x14ac:dyDescent="0.3">
      <c r="F2691" s="43">
        <v>41792</v>
      </c>
      <c r="G2691" s="44">
        <v>1924.969971</v>
      </c>
      <c r="H2691" s="44">
        <v>1381.8900149999999</v>
      </c>
      <c r="I2691" s="44">
        <v>1128.900024</v>
      </c>
      <c r="J2691" s="44">
        <v>69.550003000000004</v>
      </c>
      <c r="K2691" s="44">
        <v>109.129997</v>
      </c>
    </row>
    <row r="2692" spans="6:11" x14ac:dyDescent="0.3">
      <c r="F2692" s="43">
        <v>41793</v>
      </c>
      <c r="G2692" s="44">
        <v>1924.23999</v>
      </c>
      <c r="H2692" s="44">
        <v>1381.51001</v>
      </c>
      <c r="I2692" s="44">
        <v>1126.150024</v>
      </c>
      <c r="J2692" s="44">
        <v>69.379997000000003</v>
      </c>
      <c r="K2692" s="44">
        <v>108.839996</v>
      </c>
    </row>
    <row r="2693" spans="6:11" x14ac:dyDescent="0.3">
      <c r="F2693" s="43">
        <v>41794</v>
      </c>
      <c r="G2693" s="44">
        <v>1927.880005</v>
      </c>
      <c r="H2693" s="44">
        <v>1387.910034</v>
      </c>
      <c r="I2693" s="44">
        <v>1131.219971</v>
      </c>
      <c r="J2693" s="44">
        <v>69.360000999999997</v>
      </c>
      <c r="K2693" s="44">
        <v>108.800003</v>
      </c>
    </row>
    <row r="2694" spans="6:11" x14ac:dyDescent="0.3">
      <c r="F2694" s="43">
        <v>41795</v>
      </c>
      <c r="G2694" s="44">
        <v>1940.459961</v>
      </c>
      <c r="H2694" s="44">
        <v>1401.9499510000001</v>
      </c>
      <c r="I2694" s="44">
        <v>1153.9399410000001</v>
      </c>
      <c r="J2694" s="44">
        <v>69.839995999999999</v>
      </c>
      <c r="K2694" s="44">
        <v>108.94000200000001</v>
      </c>
    </row>
    <row r="2695" spans="6:11" x14ac:dyDescent="0.3">
      <c r="F2695" s="43">
        <v>41796</v>
      </c>
      <c r="G2695" s="44">
        <v>1949.4399410000001</v>
      </c>
      <c r="H2695" s="44">
        <v>1410.4300539999999</v>
      </c>
      <c r="I2695" s="44">
        <v>1165.209961</v>
      </c>
      <c r="J2695" s="44">
        <v>70.220000999999996</v>
      </c>
      <c r="K2695" s="44">
        <v>108.879997</v>
      </c>
    </row>
    <row r="2696" spans="6:11" x14ac:dyDescent="0.3">
      <c r="F2696" s="43">
        <v>41799</v>
      </c>
      <c r="G2696" s="44">
        <v>1951.2700199999999</v>
      </c>
      <c r="H2696" s="44">
        <v>1415.01001</v>
      </c>
      <c r="I2696" s="44">
        <v>1175.880005</v>
      </c>
      <c r="J2696" s="44">
        <v>70.150002000000001</v>
      </c>
      <c r="K2696" s="44">
        <v>108.779999</v>
      </c>
    </row>
    <row r="2697" spans="6:11" x14ac:dyDescent="0.3">
      <c r="F2697" s="43">
        <v>41800</v>
      </c>
      <c r="G2697" s="44">
        <v>1950.790039</v>
      </c>
      <c r="H2697" s="44">
        <v>1410.839966</v>
      </c>
      <c r="I2697" s="44">
        <v>1172.709961</v>
      </c>
      <c r="J2697" s="44">
        <v>70</v>
      </c>
      <c r="K2697" s="44">
        <v>108.620003</v>
      </c>
    </row>
    <row r="2698" spans="6:11" x14ac:dyDescent="0.3">
      <c r="F2698" s="43">
        <v>41801</v>
      </c>
      <c r="G2698" s="44">
        <v>1943.8900149999999</v>
      </c>
      <c r="H2698" s="44">
        <v>1405.76001</v>
      </c>
      <c r="I2698" s="44">
        <v>1166.709961</v>
      </c>
      <c r="J2698" s="44">
        <v>69.650002000000001</v>
      </c>
      <c r="K2698" s="44">
        <v>108.699997</v>
      </c>
    </row>
    <row r="2699" spans="6:11" x14ac:dyDescent="0.3">
      <c r="F2699" s="43">
        <v>41802</v>
      </c>
      <c r="G2699" s="44">
        <v>1930.1099850000001</v>
      </c>
      <c r="H2699" s="44">
        <v>1398.76001</v>
      </c>
      <c r="I2699" s="44">
        <v>1159.400024</v>
      </c>
      <c r="J2699" s="44">
        <v>69.669998000000007</v>
      </c>
      <c r="K2699" s="44">
        <v>108.910004</v>
      </c>
    </row>
    <row r="2700" spans="6:11" x14ac:dyDescent="0.3">
      <c r="F2700" s="43">
        <v>41803</v>
      </c>
      <c r="G2700" s="44">
        <v>1936.160034</v>
      </c>
      <c r="H2700" s="44">
        <v>1402.380005</v>
      </c>
      <c r="I2700" s="44">
        <v>1162.6800539999999</v>
      </c>
      <c r="J2700" s="44">
        <v>69.720000999999996</v>
      </c>
      <c r="K2700" s="44">
        <v>108.879997</v>
      </c>
    </row>
    <row r="2701" spans="6:11" x14ac:dyDescent="0.3">
      <c r="F2701" s="43">
        <v>41806</v>
      </c>
      <c r="G2701" s="44">
        <v>1937.780029</v>
      </c>
      <c r="H2701" s="44">
        <v>1402.5500489999999</v>
      </c>
      <c r="I2701" s="44">
        <v>1166.8199460000001</v>
      </c>
      <c r="J2701" s="44">
        <v>69.739998</v>
      </c>
      <c r="K2701" s="44">
        <v>108.82</v>
      </c>
    </row>
    <row r="2702" spans="6:11" x14ac:dyDescent="0.3">
      <c r="F2702" s="43">
        <v>41807</v>
      </c>
      <c r="G2702" s="44">
        <v>1941.98999</v>
      </c>
      <c r="H2702" s="44">
        <v>1414.73999</v>
      </c>
      <c r="I2702" s="44">
        <v>1176.619995</v>
      </c>
      <c r="J2702" s="44">
        <v>69.690002000000007</v>
      </c>
      <c r="K2702" s="44">
        <v>108.620003</v>
      </c>
    </row>
    <row r="2703" spans="6:11" x14ac:dyDescent="0.3">
      <c r="F2703" s="43">
        <v>41808</v>
      </c>
      <c r="G2703" s="44">
        <v>1956.9799800000001</v>
      </c>
      <c r="H2703" s="44">
        <v>1420.7299800000001</v>
      </c>
      <c r="I2703" s="44">
        <v>1183.130005</v>
      </c>
      <c r="J2703" s="44">
        <v>70.290001000000004</v>
      </c>
      <c r="K2703" s="44">
        <v>108.910004</v>
      </c>
    </row>
    <row r="2704" spans="6:11" x14ac:dyDescent="0.3">
      <c r="F2704" s="43">
        <v>41809</v>
      </c>
      <c r="G2704" s="44">
        <v>1959.4799800000001</v>
      </c>
      <c r="H2704" s="44">
        <v>1421.7700199999999</v>
      </c>
      <c r="I2704" s="44">
        <v>1184.030029</v>
      </c>
      <c r="J2704" s="44">
        <v>70.669998000000007</v>
      </c>
      <c r="K2704" s="44">
        <v>108.75</v>
      </c>
    </row>
    <row r="2705" spans="6:11" x14ac:dyDescent="0.3">
      <c r="F2705" s="43">
        <v>41810</v>
      </c>
      <c r="G2705" s="44">
        <v>1962.869995</v>
      </c>
      <c r="H2705" s="44">
        <v>1425.3599850000001</v>
      </c>
      <c r="I2705" s="44">
        <v>1188.4300539999999</v>
      </c>
      <c r="J2705" s="44">
        <v>70.550003000000004</v>
      </c>
      <c r="K2705" s="44">
        <v>108.94000200000001</v>
      </c>
    </row>
    <row r="2706" spans="6:11" x14ac:dyDescent="0.3">
      <c r="F2706" s="43">
        <v>41813</v>
      </c>
      <c r="G2706" s="44">
        <v>1962.6099850000001</v>
      </c>
      <c r="H2706" s="44">
        <v>1424.26001</v>
      </c>
      <c r="I2706" s="44">
        <v>1184.9499510000001</v>
      </c>
      <c r="J2706" s="44">
        <v>70.360000999999997</v>
      </c>
      <c r="K2706" s="44">
        <v>108.839996</v>
      </c>
    </row>
    <row r="2707" spans="6:11" x14ac:dyDescent="0.3">
      <c r="F2707" s="43">
        <v>41814</v>
      </c>
      <c r="G2707" s="44">
        <v>1949.9799800000001</v>
      </c>
      <c r="H2707" s="44">
        <v>1413.5</v>
      </c>
      <c r="I2707" s="44">
        <v>1173.23999</v>
      </c>
      <c r="J2707" s="44">
        <v>69.919998000000007</v>
      </c>
      <c r="K2707" s="44">
        <v>109.029999</v>
      </c>
    </row>
    <row r="2708" spans="6:11" x14ac:dyDescent="0.3">
      <c r="F2708" s="43">
        <v>41815</v>
      </c>
      <c r="G2708" s="44">
        <v>1959.530029</v>
      </c>
      <c r="H2708" s="44">
        <v>1422.079956</v>
      </c>
      <c r="I2708" s="44">
        <v>1182.6800539999999</v>
      </c>
      <c r="J2708" s="44">
        <v>68.220000999999996</v>
      </c>
      <c r="K2708" s="44">
        <v>109.18</v>
      </c>
    </row>
    <row r="2709" spans="6:11" x14ac:dyDescent="0.3">
      <c r="F2709" s="43">
        <v>41816</v>
      </c>
      <c r="G2709" s="44">
        <v>1957.219971</v>
      </c>
      <c r="H2709" s="44">
        <v>1419.25</v>
      </c>
      <c r="I2709" s="44">
        <v>1180.709961</v>
      </c>
      <c r="J2709" s="44">
        <v>68.269997000000004</v>
      </c>
      <c r="K2709" s="44">
        <v>109.389999</v>
      </c>
    </row>
    <row r="2710" spans="6:11" x14ac:dyDescent="0.3">
      <c r="F2710" s="43">
        <v>41817</v>
      </c>
      <c r="G2710" s="44">
        <v>1960.959961</v>
      </c>
      <c r="H2710" s="44">
        <v>1426.5500489999999</v>
      </c>
      <c r="I2710" s="44">
        <v>1189.5</v>
      </c>
      <c r="J2710" s="44">
        <v>68.309997999999993</v>
      </c>
      <c r="K2710" s="44">
        <v>109.389999</v>
      </c>
    </row>
    <row r="2711" spans="6:11" x14ac:dyDescent="0.3">
      <c r="F2711" s="43">
        <v>41820</v>
      </c>
      <c r="G2711" s="44">
        <v>1960.2299800000001</v>
      </c>
      <c r="H2711" s="44">
        <v>1432.9399410000001</v>
      </c>
      <c r="I2711" s="44">
        <v>1192.959961</v>
      </c>
      <c r="J2711" s="44">
        <v>68.370002999999997</v>
      </c>
      <c r="K2711" s="44">
        <v>109.400002</v>
      </c>
    </row>
    <row r="2712" spans="6:11" x14ac:dyDescent="0.3">
      <c r="F2712" s="43">
        <v>41821</v>
      </c>
      <c r="G2712" s="44">
        <v>1973.3199460000001</v>
      </c>
      <c r="H2712" s="44">
        <v>1445.160034</v>
      </c>
      <c r="I2712" s="44">
        <v>1205.9499510000001</v>
      </c>
      <c r="J2712" s="44">
        <v>68.970000999999996</v>
      </c>
      <c r="K2712" s="44">
        <v>109.07</v>
      </c>
    </row>
    <row r="2713" spans="6:11" x14ac:dyDescent="0.3">
      <c r="F2713" s="43">
        <v>41822</v>
      </c>
      <c r="G2713" s="44">
        <v>1974.619995</v>
      </c>
      <c r="H2713" s="44">
        <v>1436.410034</v>
      </c>
      <c r="I2713" s="44">
        <v>1199.5</v>
      </c>
      <c r="J2713" s="44">
        <v>69.080001999999993</v>
      </c>
      <c r="K2713" s="44">
        <v>108.69000200000001</v>
      </c>
    </row>
    <row r="2714" spans="6:11" x14ac:dyDescent="0.3">
      <c r="F2714" s="43">
        <v>41823</v>
      </c>
      <c r="G2714" s="44">
        <v>1985.4399410000001</v>
      </c>
      <c r="H2714" s="44">
        <v>1444.1400149999999</v>
      </c>
      <c r="I2714" s="44">
        <v>1208.150024</v>
      </c>
      <c r="J2714" s="44">
        <v>69.220000999999996</v>
      </c>
      <c r="K2714" s="44">
        <v>108.620003</v>
      </c>
    </row>
    <row r="2715" spans="6:11" x14ac:dyDescent="0.3">
      <c r="F2715" s="43">
        <v>41827</v>
      </c>
      <c r="G2715" s="44">
        <v>1977.650024</v>
      </c>
      <c r="H2715" s="44">
        <v>1430.579956</v>
      </c>
      <c r="I2715" s="44">
        <v>1186.73999</v>
      </c>
      <c r="J2715" s="44">
        <v>68.680000000000007</v>
      </c>
      <c r="K2715" s="44">
        <v>108.650002</v>
      </c>
    </row>
    <row r="2716" spans="6:11" x14ac:dyDescent="0.3">
      <c r="F2716" s="43">
        <v>41828</v>
      </c>
      <c r="G2716" s="44">
        <v>1963.709961</v>
      </c>
      <c r="H2716" s="44">
        <v>1420.0600589999999</v>
      </c>
      <c r="I2716" s="44">
        <v>1172.150024</v>
      </c>
      <c r="J2716" s="44">
        <v>67.959998999999996</v>
      </c>
      <c r="K2716" s="44">
        <v>108.870003</v>
      </c>
    </row>
    <row r="2717" spans="6:11" x14ac:dyDescent="0.3">
      <c r="F2717" s="43">
        <v>41829</v>
      </c>
      <c r="G2717" s="44">
        <v>1972.829956</v>
      </c>
      <c r="H2717" s="44">
        <v>1422.959961</v>
      </c>
      <c r="I2717" s="44">
        <v>1173.8100589999999</v>
      </c>
      <c r="J2717" s="44">
        <v>68.180000000000007</v>
      </c>
      <c r="K2717" s="44">
        <v>108.959999</v>
      </c>
    </row>
    <row r="2718" spans="6:11" x14ac:dyDescent="0.3">
      <c r="F2718" s="43">
        <v>41830</v>
      </c>
      <c r="G2718" s="44">
        <v>1964.6800539999999</v>
      </c>
      <c r="H2718" s="44">
        <v>1413.8100589999999</v>
      </c>
      <c r="I2718" s="44">
        <v>1161.8599850000001</v>
      </c>
      <c r="J2718" s="44">
        <v>67.430000000000007</v>
      </c>
      <c r="K2718" s="44">
        <v>109.010002</v>
      </c>
    </row>
    <row r="2719" spans="6:11" x14ac:dyDescent="0.3">
      <c r="F2719" s="43">
        <v>41831</v>
      </c>
      <c r="G2719" s="44">
        <v>1967.5699460000001</v>
      </c>
      <c r="H2719" s="44">
        <v>1411.4799800000001</v>
      </c>
      <c r="I2719" s="44">
        <v>1159.9300539999999</v>
      </c>
      <c r="J2719" s="44">
        <v>67.470000999999996</v>
      </c>
      <c r="K2719" s="44">
        <v>109.160004</v>
      </c>
    </row>
    <row r="2720" spans="6:11" x14ac:dyDescent="0.3">
      <c r="F2720" s="43">
        <v>41834</v>
      </c>
      <c r="G2720" s="44">
        <v>1977.099976</v>
      </c>
      <c r="H2720" s="44">
        <v>1417.160034</v>
      </c>
      <c r="I2720" s="44">
        <v>1167.209961</v>
      </c>
      <c r="J2720" s="44">
        <v>67.970000999999996</v>
      </c>
      <c r="K2720" s="44">
        <v>109.07</v>
      </c>
    </row>
    <row r="2721" spans="6:11" x14ac:dyDescent="0.3">
      <c r="F2721" s="43">
        <v>41835</v>
      </c>
      <c r="G2721" s="44">
        <v>1973.280029</v>
      </c>
      <c r="H2721" s="44">
        <v>1412.369995</v>
      </c>
      <c r="I2721" s="44">
        <v>1153.8100589999999</v>
      </c>
      <c r="J2721" s="44">
        <v>67.800003000000004</v>
      </c>
      <c r="K2721" s="44">
        <v>108.93</v>
      </c>
    </row>
    <row r="2722" spans="6:11" x14ac:dyDescent="0.3">
      <c r="F2722" s="43">
        <v>41836</v>
      </c>
      <c r="G2722" s="44">
        <v>1981.5699460000001</v>
      </c>
      <c r="H2722" s="44">
        <v>1410.6899410000001</v>
      </c>
      <c r="I2722" s="44">
        <v>1151.5500489999999</v>
      </c>
      <c r="J2722" s="44">
        <v>68.220000999999996</v>
      </c>
      <c r="K2722" s="44">
        <v>109.019997</v>
      </c>
    </row>
    <row r="2723" spans="6:11" x14ac:dyDescent="0.3">
      <c r="F2723" s="43">
        <v>41837</v>
      </c>
      <c r="G2723" s="44">
        <v>1958.119995</v>
      </c>
      <c r="H2723" s="44">
        <v>1395.349976</v>
      </c>
      <c r="I2723" s="44">
        <v>1133.599976</v>
      </c>
      <c r="J2723" s="44">
        <v>67.349997999999999</v>
      </c>
      <c r="K2723" s="44">
        <v>109.339996</v>
      </c>
    </row>
    <row r="2724" spans="6:11" x14ac:dyDescent="0.3">
      <c r="F2724" s="43">
        <v>41838</v>
      </c>
      <c r="G2724" s="44">
        <v>1978.219971</v>
      </c>
      <c r="H2724" s="44">
        <v>1412.7299800000001</v>
      </c>
      <c r="I2724" s="44">
        <v>1151.6099850000001</v>
      </c>
      <c r="J2724" s="44">
        <v>67.879997000000003</v>
      </c>
      <c r="K2724" s="44">
        <v>109.220001</v>
      </c>
    </row>
    <row r="2725" spans="6:11" x14ac:dyDescent="0.3">
      <c r="F2725" s="43">
        <v>41841</v>
      </c>
      <c r="G2725" s="44">
        <v>1973.630005</v>
      </c>
      <c r="H2725" s="44">
        <v>1407.25</v>
      </c>
      <c r="I2725" s="44">
        <v>1146.660034</v>
      </c>
      <c r="J2725" s="44">
        <v>67.629997000000003</v>
      </c>
      <c r="K2725" s="44">
        <v>109.260002</v>
      </c>
    </row>
    <row r="2726" spans="6:11" x14ac:dyDescent="0.3">
      <c r="F2726" s="43">
        <v>41842</v>
      </c>
      <c r="G2726" s="44">
        <v>1983.530029</v>
      </c>
      <c r="H2726" s="44">
        <v>1415</v>
      </c>
      <c r="I2726" s="44">
        <v>1156.150024</v>
      </c>
      <c r="J2726" s="44">
        <v>67.930000000000007</v>
      </c>
      <c r="K2726" s="44">
        <v>109.44000200000001</v>
      </c>
    </row>
    <row r="2727" spans="6:11" x14ac:dyDescent="0.3">
      <c r="F2727" s="43">
        <v>41843</v>
      </c>
      <c r="G2727" s="44">
        <v>1987.01001</v>
      </c>
      <c r="H2727" s="44">
        <v>1413.280029</v>
      </c>
      <c r="I2727" s="44">
        <v>1158.1099850000001</v>
      </c>
      <c r="J2727" s="44">
        <v>68.069999999999993</v>
      </c>
      <c r="K2727" s="44">
        <v>109.459999</v>
      </c>
    </row>
    <row r="2728" spans="6:11" x14ac:dyDescent="0.3">
      <c r="F2728" s="43">
        <v>41844</v>
      </c>
      <c r="G2728" s="44">
        <v>1987.9799800000001</v>
      </c>
      <c r="H2728" s="44">
        <v>1415.280029</v>
      </c>
      <c r="I2728" s="44">
        <v>1156.26001</v>
      </c>
      <c r="J2728" s="44">
        <v>68.230002999999996</v>
      </c>
      <c r="K2728" s="44">
        <v>109.120003</v>
      </c>
    </row>
    <row r="2729" spans="6:11" x14ac:dyDescent="0.3">
      <c r="F2729" s="43">
        <v>41845</v>
      </c>
      <c r="G2729" s="44">
        <v>1978.339966</v>
      </c>
      <c r="H2729" s="44">
        <v>1405.719971</v>
      </c>
      <c r="I2729" s="44">
        <v>1144.719971</v>
      </c>
      <c r="J2729" s="44">
        <v>67.949996999999996</v>
      </c>
      <c r="K2729" s="44">
        <v>109.33000199999999</v>
      </c>
    </row>
    <row r="2730" spans="6:11" x14ac:dyDescent="0.3">
      <c r="F2730" s="43">
        <v>41848</v>
      </c>
      <c r="G2730" s="44">
        <v>1978.910034</v>
      </c>
      <c r="H2730" s="44">
        <v>1403.3599850000001</v>
      </c>
      <c r="I2730" s="44">
        <v>1139.5</v>
      </c>
      <c r="J2730" s="44">
        <v>67.959998999999996</v>
      </c>
      <c r="K2730" s="44">
        <v>109.349998</v>
      </c>
    </row>
    <row r="2731" spans="6:11" x14ac:dyDescent="0.3">
      <c r="F2731" s="43">
        <v>41849</v>
      </c>
      <c r="G2731" s="44">
        <v>1969.9499510000001</v>
      </c>
      <c r="H2731" s="44">
        <v>1395.869995</v>
      </c>
      <c r="I2731" s="44">
        <v>1141.6400149999999</v>
      </c>
      <c r="J2731" s="44">
        <v>67.819999999999993</v>
      </c>
      <c r="K2731" s="44">
        <v>109.459999</v>
      </c>
    </row>
    <row r="2732" spans="6:11" x14ac:dyDescent="0.3">
      <c r="F2732" s="43">
        <v>41850</v>
      </c>
      <c r="G2732" s="44">
        <v>1970.0699460000001</v>
      </c>
      <c r="H2732" s="44">
        <v>1398.9499510000001</v>
      </c>
      <c r="I2732" s="44">
        <v>1146.5699460000001</v>
      </c>
      <c r="J2732" s="44">
        <v>67.720000999999996</v>
      </c>
      <c r="K2732" s="44">
        <v>109.07</v>
      </c>
    </row>
    <row r="2733" spans="6:11" x14ac:dyDescent="0.3">
      <c r="F2733" s="43">
        <v>41851</v>
      </c>
      <c r="G2733" s="44">
        <v>1930.670044</v>
      </c>
      <c r="H2733" s="44">
        <v>1370.6999510000001</v>
      </c>
      <c r="I2733" s="44">
        <v>1120.0699460000001</v>
      </c>
      <c r="J2733" s="44">
        <v>66.589995999999999</v>
      </c>
      <c r="K2733" s="44">
        <v>108.93</v>
      </c>
    </row>
    <row r="2734" spans="6:11" x14ac:dyDescent="0.3">
      <c r="F2734" s="43">
        <v>41852</v>
      </c>
      <c r="G2734" s="44">
        <v>1925.150024</v>
      </c>
      <c r="H2734" s="44">
        <v>1367.1999510000001</v>
      </c>
      <c r="I2734" s="44">
        <v>1114.8599850000001</v>
      </c>
      <c r="J2734" s="44">
        <v>66.129997000000003</v>
      </c>
      <c r="K2734" s="44">
        <v>109.139999</v>
      </c>
    </row>
    <row r="2735" spans="6:11" x14ac:dyDescent="0.3">
      <c r="F2735" s="43">
        <v>41855</v>
      </c>
      <c r="G2735" s="44">
        <v>1938.98999</v>
      </c>
      <c r="H2735" s="44">
        <v>1374.9499510000001</v>
      </c>
      <c r="I2735" s="44">
        <v>1124.8199460000001</v>
      </c>
      <c r="J2735" s="44">
        <v>66.440002000000007</v>
      </c>
      <c r="K2735" s="44">
        <v>109.120003</v>
      </c>
    </row>
    <row r="2736" spans="6:11" x14ac:dyDescent="0.3">
      <c r="F2736" s="43">
        <v>41856</v>
      </c>
      <c r="G2736" s="44">
        <v>1920.209961</v>
      </c>
      <c r="H2736" s="44">
        <v>1368.5500489999999</v>
      </c>
      <c r="I2736" s="44">
        <v>1121.5600589999999</v>
      </c>
      <c r="J2736" s="44">
        <v>65.589995999999999</v>
      </c>
      <c r="K2736" s="44">
        <v>109.120003</v>
      </c>
    </row>
    <row r="2737" spans="6:11" x14ac:dyDescent="0.3">
      <c r="F2737" s="43">
        <v>41857</v>
      </c>
      <c r="G2737" s="44">
        <v>1920.23999</v>
      </c>
      <c r="H2737" s="44">
        <v>1370.160034</v>
      </c>
      <c r="I2737" s="44">
        <v>1125.5500489999999</v>
      </c>
      <c r="J2737" s="44">
        <v>65.430000000000007</v>
      </c>
      <c r="K2737" s="44">
        <v>109.129997</v>
      </c>
    </row>
    <row r="2738" spans="6:11" x14ac:dyDescent="0.3">
      <c r="F2738" s="43">
        <v>41858</v>
      </c>
      <c r="G2738" s="44">
        <v>1909.5699460000001</v>
      </c>
      <c r="H2738" s="44">
        <v>1365.3100589999999</v>
      </c>
      <c r="I2738" s="44">
        <v>1119.76001</v>
      </c>
      <c r="J2738" s="44">
        <v>64.900002000000001</v>
      </c>
      <c r="K2738" s="44">
        <v>109.339996</v>
      </c>
    </row>
    <row r="2739" spans="6:11" x14ac:dyDescent="0.3">
      <c r="F2739" s="43">
        <v>41859</v>
      </c>
      <c r="G2739" s="44">
        <v>1931.589966</v>
      </c>
      <c r="H2739" s="44">
        <v>1379.3000489999999</v>
      </c>
      <c r="I2739" s="44">
        <v>1131.349976</v>
      </c>
      <c r="J2739" s="44">
        <v>65.279999000000004</v>
      </c>
      <c r="K2739" s="44">
        <v>109.379997</v>
      </c>
    </row>
    <row r="2740" spans="6:11" x14ac:dyDescent="0.3">
      <c r="F2740" s="43">
        <v>41862</v>
      </c>
      <c r="G2740" s="44">
        <v>1936.920044</v>
      </c>
      <c r="H2740" s="44">
        <v>1385.75</v>
      </c>
      <c r="I2740" s="44">
        <v>1141.9300539999999</v>
      </c>
      <c r="J2740" s="44">
        <v>65.529999000000004</v>
      </c>
      <c r="K2740" s="44">
        <v>109.389999</v>
      </c>
    </row>
    <row r="2741" spans="6:11" x14ac:dyDescent="0.3">
      <c r="F2741" s="43">
        <v>41863</v>
      </c>
      <c r="G2741" s="44">
        <v>1933.75</v>
      </c>
      <c r="H2741" s="44">
        <v>1380.160034</v>
      </c>
      <c r="I2741" s="44">
        <v>1133.030029</v>
      </c>
      <c r="J2741" s="44">
        <v>65.480002999999996</v>
      </c>
      <c r="K2741" s="44">
        <v>109.339996</v>
      </c>
    </row>
    <row r="2742" spans="6:11" x14ac:dyDescent="0.3">
      <c r="F2742" s="43">
        <v>41864</v>
      </c>
      <c r="G2742" s="44">
        <v>1946.719971</v>
      </c>
      <c r="H2742" s="44">
        <v>1391.5</v>
      </c>
      <c r="I2742" s="44">
        <v>1141.780029</v>
      </c>
      <c r="J2742" s="44">
        <v>65.849997999999999</v>
      </c>
      <c r="K2742" s="44">
        <v>109.55999799999999</v>
      </c>
    </row>
    <row r="2743" spans="6:11" x14ac:dyDescent="0.3">
      <c r="F2743" s="43">
        <v>41865</v>
      </c>
      <c r="G2743" s="44">
        <v>1955.1800539999999</v>
      </c>
      <c r="H2743" s="44">
        <v>1396.6099850000001</v>
      </c>
      <c r="I2743" s="44">
        <v>1143.339966</v>
      </c>
      <c r="J2743" s="44">
        <v>66.199996999999996</v>
      </c>
      <c r="K2743" s="44">
        <v>109.620003</v>
      </c>
    </row>
    <row r="2744" spans="6:11" x14ac:dyDescent="0.3">
      <c r="F2744" s="43">
        <v>41866</v>
      </c>
      <c r="G2744" s="44">
        <v>1955.0600589999999</v>
      </c>
      <c r="H2744" s="44">
        <v>1395.5</v>
      </c>
      <c r="I2744" s="44">
        <v>1141.650024</v>
      </c>
      <c r="J2744" s="44">
        <v>66.129997000000003</v>
      </c>
      <c r="K2744" s="44">
        <v>109.889999</v>
      </c>
    </row>
    <row r="2745" spans="6:11" x14ac:dyDescent="0.3">
      <c r="F2745" s="43">
        <v>41869</v>
      </c>
      <c r="G2745" s="44">
        <v>1971.73999</v>
      </c>
      <c r="H2745" s="44">
        <v>1412.48999</v>
      </c>
      <c r="I2745" s="44">
        <v>1158.400024</v>
      </c>
      <c r="J2745" s="44">
        <v>66.559997999999993</v>
      </c>
      <c r="K2745" s="44">
        <v>109.660004</v>
      </c>
    </row>
    <row r="2746" spans="6:11" x14ac:dyDescent="0.3">
      <c r="F2746" s="43">
        <v>41870</v>
      </c>
      <c r="G2746" s="44">
        <v>1981.599976</v>
      </c>
      <c r="H2746" s="44">
        <v>1420.829956</v>
      </c>
      <c r="I2746" s="44">
        <v>1162.469971</v>
      </c>
      <c r="J2746" s="44">
        <v>66.720000999999996</v>
      </c>
      <c r="K2746" s="44">
        <v>109.510002</v>
      </c>
    </row>
    <row r="2747" spans="6:11" x14ac:dyDescent="0.3">
      <c r="F2747" s="43">
        <v>41871</v>
      </c>
      <c r="G2747" s="44">
        <v>1986.51001</v>
      </c>
      <c r="H2747" s="44">
        <v>1424.6899410000001</v>
      </c>
      <c r="I2747" s="44">
        <v>1157.51001</v>
      </c>
      <c r="J2747" s="44">
        <v>66.510002</v>
      </c>
      <c r="K2747" s="44">
        <v>109.389999</v>
      </c>
    </row>
    <row r="2748" spans="6:11" x14ac:dyDescent="0.3">
      <c r="F2748" s="43">
        <v>41872</v>
      </c>
      <c r="G2748" s="44">
        <v>1992.369995</v>
      </c>
      <c r="H2748" s="44">
        <v>1427.040039</v>
      </c>
      <c r="I2748" s="44">
        <v>1160.030029</v>
      </c>
      <c r="J2748" s="44">
        <v>66.790001000000004</v>
      </c>
      <c r="K2748" s="44">
        <v>109.58000199999999</v>
      </c>
    </row>
    <row r="2749" spans="6:11" x14ac:dyDescent="0.3">
      <c r="F2749" s="43">
        <v>41873</v>
      </c>
      <c r="G2749" s="44">
        <v>1988.400024</v>
      </c>
      <c r="H2749" s="44">
        <v>1425.9300539999999</v>
      </c>
      <c r="I2749" s="44">
        <v>1160.339966</v>
      </c>
      <c r="J2749" s="44">
        <v>66.470000999999996</v>
      </c>
      <c r="K2749" s="44">
        <v>109.55999799999999</v>
      </c>
    </row>
    <row r="2750" spans="6:11" x14ac:dyDescent="0.3">
      <c r="F2750" s="43">
        <v>41876</v>
      </c>
      <c r="G2750" s="44">
        <v>1997.920044</v>
      </c>
      <c r="H2750" s="44">
        <v>1430.369995</v>
      </c>
      <c r="I2750" s="44">
        <v>1165.219971</v>
      </c>
      <c r="J2750" s="44">
        <v>66.900002000000001</v>
      </c>
      <c r="K2750" s="44">
        <v>109.650002</v>
      </c>
    </row>
    <row r="2751" spans="6:11" x14ac:dyDescent="0.3">
      <c r="F2751" s="43">
        <v>41877</v>
      </c>
      <c r="G2751" s="44">
        <v>2000.0200199999999</v>
      </c>
      <c r="H2751" s="44">
        <v>1434.75</v>
      </c>
      <c r="I2751" s="44">
        <v>1175.170044</v>
      </c>
      <c r="J2751" s="44">
        <v>66.910004000000001</v>
      </c>
      <c r="K2751" s="44">
        <v>109.660004</v>
      </c>
    </row>
    <row r="2752" spans="6:11" x14ac:dyDescent="0.3">
      <c r="F2752" s="43">
        <v>41878</v>
      </c>
      <c r="G2752" s="44">
        <v>2000.119995</v>
      </c>
      <c r="H2752" s="44">
        <v>1433.2700199999999</v>
      </c>
      <c r="I2752" s="44">
        <v>1172.709961</v>
      </c>
      <c r="J2752" s="44">
        <v>67.040001000000004</v>
      </c>
      <c r="K2752" s="44">
        <v>109.800003</v>
      </c>
    </row>
    <row r="2753" spans="6:11" x14ac:dyDescent="0.3">
      <c r="F2753" s="43">
        <v>41879</v>
      </c>
      <c r="G2753" s="44">
        <v>1996.73999</v>
      </c>
      <c r="H2753" s="44">
        <v>1430.209961</v>
      </c>
      <c r="I2753" s="44">
        <v>1165.9499510000001</v>
      </c>
      <c r="J2753" s="44">
        <v>66.739998</v>
      </c>
      <c r="K2753" s="44">
        <v>110.019997</v>
      </c>
    </row>
    <row r="2754" spans="6:11" x14ac:dyDescent="0.3">
      <c r="F2754" s="43">
        <v>41880</v>
      </c>
      <c r="G2754" s="44">
        <v>2003.369995</v>
      </c>
      <c r="H2754" s="44">
        <v>1438.170044</v>
      </c>
      <c r="I2754" s="44">
        <v>1174.349976</v>
      </c>
      <c r="J2754" s="44">
        <v>66.709998999999996</v>
      </c>
      <c r="K2754" s="44">
        <v>109.980003</v>
      </c>
    </row>
    <row r="2755" spans="6:11" x14ac:dyDescent="0.3">
      <c r="F2755" s="43">
        <v>41884</v>
      </c>
      <c r="G2755" s="44">
        <v>2002.280029</v>
      </c>
      <c r="H2755" s="44">
        <v>1442.8100589999999</v>
      </c>
      <c r="I2755" s="44">
        <v>1179.469971</v>
      </c>
      <c r="J2755" s="44">
        <v>66.839995999999999</v>
      </c>
      <c r="K2755" s="44">
        <v>109.449997</v>
      </c>
    </row>
    <row r="2756" spans="6:11" x14ac:dyDescent="0.3">
      <c r="F2756" s="43">
        <v>41885</v>
      </c>
      <c r="G2756" s="44">
        <v>2000.719971</v>
      </c>
      <c r="H2756" s="44">
        <v>1439.1099850000001</v>
      </c>
      <c r="I2756" s="44">
        <v>1172.1999510000001</v>
      </c>
      <c r="J2756" s="44">
        <v>67.309997999999993</v>
      </c>
      <c r="K2756" s="44">
        <v>109.57</v>
      </c>
    </row>
    <row r="2757" spans="6:11" x14ac:dyDescent="0.3">
      <c r="F2757" s="43">
        <v>41886</v>
      </c>
      <c r="G2757" s="44">
        <v>1997.650024</v>
      </c>
      <c r="H2757" s="44">
        <v>1434.369995</v>
      </c>
      <c r="I2757" s="44">
        <v>1167.209961</v>
      </c>
      <c r="J2757" s="44">
        <v>66.989998</v>
      </c>
      <c r="K2757" s="44">
        <v>109.43</v>
      </c>
    </row>
    <row r="2758" spans="6:11" x14ac:dyDescent="0.3">
      <c r="F2758" s="43">
        <v>41887</v>
      </c>
      <c r="G2758" s="44">
        <v>2007.709961</v>
      </c>
      <c r="H2758" s="44">
        <v>1440.01001</v>
      </c>
      <c r="I2758" s="44">
        <v>1170.130005</v>
      </c>
      <c r="J2758" s="44">
        <v>67</v>
      </c>
      <c r="K2758" s="44">
        <v>109.370003</v>
      </c>
    </row>
    <row r="2759" spans="6:11" x14ac:dyDescent="0.3">
      <c r="F2759" s="43">
        <v>41890</v>
      </c>
      <c r="G2759" s="44">
        <v>2001.540039</v>
      </c>
      <c r="H2759" s="44">
        <v>1439.1400149999999</v>
      </c>
      <c r="I2759" s="44">
        <v>1172.3100589999999</v>
      </c>
      <c r="J2759" s="44">
        <v>66.290001000000004</v>
      </c>
      <c r="K2759" s="44">
        <v>109.260002</v>
      </c>
    </row>
    <row r="2760" spans="6:11" x14ac:dyDescent="0.3">
      <c r="F2760" s="43">
        <v>41891</v>
      </c>
      <c r="G2760" s="44">
        <v>1988.4399410000001</v>
      </c>
      <c r="H2760" s="44">
        <v>1427.4399410000001</v>
      </c>
      <c r="I2760" s="44">
        <v>1158.5</v>
      </c>
      <c r="J2760" s="44">
        <v>66.099997999999999</v>
      </c>
      <c r="K2760" s="44">
        <v>109.110001</v>
      </c>
    </row>
    <row r="2761" spans="6:11" x14ac:dyDescent="0.3">
      <c r="F2761" s="43">
        <v>41892</v>
      </c>
      <c r="G2761" s="44">
        <v>1995.6899410000001</v>
      </c>
      <c r="H2761" s="44">
        <v>1429.670044</v>
      </c>
      <c r="I2761" s="44">
        <v>1164.98999</v>
      </c>
      <c r="J2761" s="44">
        <v>66.480002999999996</v>
      </c>
      <c r="K2761" s="44">
        <v>108.959999</v>
      </c>
    </row>
    <row r="2762" spans="6:11" x14ac:dyDescent="0.3">
      <c r="F2762" s="43">
        <v>41893</v>
      </c>
      <c r="G2762" s="44">
        <v>1997.4499510000001</v>
      </c>
      <c r="H2762" s="44">
        <v>1435.5600589999999</v>
      </c>
      <c r="I2762" s="44">
        <v>1172.339966</v>
      </c>
      <c r="J2762" s="44">
        <v>66.110000999999997</v>
      </c>
      <c r="K2762" s="44">
        <v>108.849998</v>
      </c>
    </row>
    <row r="2763" spans="6:11" x14ac:dyDescent="0.3">
      <c r="F2763" s="43">
        <v>41894</v>
      </c>
      <c r="G2763" s="44">
        <v>1985.540039</v>
      </c>
      <c r="H2763" s="44">
        <v>1422.0600589999999</v>
      </c>
      <c r="I2763" s="44">
        <v>1160.6099850000001</v>
      </c>
      <c r="J2763" s="44">
        <v>66.019997000000004</v>
      </c>
      <c r="K2763" s="44">
        <v>108.629997</v>
      </c>
    </row>
    <row r="2764" spans="6:11" x14ac:dyDescent="0.3">
      <c r="F2764" s="43">
        <v>41897</v>
      </c>
      <c r="G2764" s="44">
        <v>1984.130005</v>
      </c>
      <c r="H2764" s="44">
        <v>1415.869995</v>
      </c>
      <c r="I2764" s="44">
        <v>1146.5200199999999</v>
      </c>
      <c r="J2764" s="44">
        <v>65.879997000000003</v>
      </c>
      <c r="K2764" s="44">
        <v>108.610001</v>
      </c>
    </row>
    <row r="2765" spans="6:11" x14ac:dyDescent="0.3">
      <c r="F2765" s="43">
        <v>41898</v>
      </c>
      <c r="G2765" s="44">
        <v>1998.9799800000001</v>
      </c>
      <c r="H2765" s="44">
        <v>1423.839966</v>
      </c>
      <c r="I2765" s="44">
        <v>1150.969971</v>
      </c>
      <c r="J2765" s="44">
        <v>66.160004000000001</v>
      </c>
      <c r="K2765" s="44">
        <v>108.610001</v>
      </c>
    </row>
    <row r="2766" spans="6:11" x14ac:dyDescent="0.3">
      <c r="F2766" s="43">
        <v>41899</v>
      </c>
      <c r="G2766" s="44">
        <v>2001.5699460000001</v>
      </c>
      <c r="H2766" s="44">
        <v>1423.540039</v>
      </c>
      <c r="I2766" s="44">
        <v>1153.8900149999999</v>
      </c>
      <c r="J2766" s="44">
        <v>65.690002000000007</v>
      </c>
      <c r="K2766" s="44">
        <v>108.489998</v>
      </c>
    </row>
    <row r="2767" spans="6:11" x14ac:dyDescent="0.3">
      <c r="F2767" s="43">
        <v>41900</v>
      </c>
      <c r="G2767" s="44">
        <v>2011.3599850000001</v>
      </c>
      <c r="H2767" s="44">
        <v>1427.6099850000001</v>
      </c>
      <c r="I2767" s="44">
        <v>1159.2700199999999</v>
      </c>
      <c r="J2767" s="44">
        <v>66.199996999999996</v>
      </c>
      <c r="K2767" s="44">
        <v>108.5</v>
      </c>
    </row>
    <row r="2768" spans="6:11" x14ac:dyDescent="0.3">
      <c r="F2768" s="43">
        <v>41901</v>
      </c>
      <c r="G2768" s="44">
        <v>2010.400024</v>
      </c>
      <c r="H2768" s="44">
        <v>1419.1899410000001</v>
      </c>
      <c r="I2768" s="44">
        <v>1146.920044</v>
      </c>
      <c r="J2768" s="44">
        <v>65.970000999999996</v>
      </c>
      <c r="K2768" s="44">
        <v>108.68</v>
      </c>
    </row>
    <row r="2769" spans="6:11" x14ac:dyDescent="0.3">
      <c r="F2769" s="43">
        <v>41904</v>
      </c>
      <c r="G2769" s="44">
        <v>1994.290039</v>
      </c>
      <c r="H2769" s="44">
        <v>1399.959961</v>
      </c>
      <c r="I2769" s="44">
        <v>1129.3599850000001</v>
      </c>
      <c r="J2769" s="44">
        <v>65.680000000000007</v>
      </c>
      <c r="K2769" s="44">
        <v>108.83000199999999</v>
      </c>
    </row>
    <row r="2770" spans="6:11" x14ac:dyDescent="0.3">
      <c r="F2770" s="43">
        <v>41905</v>
      </c>
      <c r="G2770" s="44">
        <v>1982.7700199999999</v>
      </c>
      <c r="H2770" s="44">
        <v>1388.209961</v>
      </c>
      <c r="I2770" s="44">
        <v>1118.719971</v>
      </c>
      <c r="J2770" s="44">
        <v>65.129997000000003</v>
      </c>
      <c r="K2770" s="44">
        <v>108.93</v>
      </c>
    </row>
    <row r="2771" spans="6:11" x14ac:dyDescent="0.3">
      <c r="F2771" s="43">
        <v>41906</v>
      </c>
      <c r="G2771" s="44">
        <v>1998.3000489999999</v>
      </c>
      <c r="H2771" s="44">
        <v>1394.75</v>
      </c>
      <c r="I2771" s="44">
        <v>1128.3100589999999</v>
      </c>
      <c r="J2771" s="44">
        <v>65.459998999999996</v>
      </c>
      <c r="K2771" s="44">
        <v>108.860001</v>
      </c>
    </row>
    <row r="2772" spans="6:11" x14ac:dyDescent="0.3">
      <c r="F2772" s="43">
        <v>41907</v>
      </c>
      <c r="G2772" s="44">
        <v>1965.98999</v>
      </c>
      <c r="H2772" s="44">
        <v>1376.1999510000001</v>
      </c>
      <c r="I2772" s="44">
        <v>1110.23999</v>
      </c>
      <c r="J2772" s="44">
        <v>64.5</v>
      </c>
      <c r="K2772" s="44">
        <v>109.07</v>
      </c>
    </row>
    <row r="2773" spans="6:11" x14ac:dyDescent="0.3">
      <c r="F2773" s="43">
        <v>41908</v>
      </c>
      <c r="G2773" s="44">
        <v>1982.849976</v>
      </c>
      <c r="H2773" s="44">
        <v>1386.160034</v>
      </c>
      <c r="I2773" s="44">
        <v>1119.329956</v>
      </c>
      <c r="J2773" s="44">
        <v>64.769997000000004</v>
      </c>
      <c r="K2773" s="44">
        <v>109.05999799999999</v>
      </c>
    </row>
    <row r="2774" spans="6:11" x14ac:dyDescent="0.3">
      <c r="F2774" s="43">
        <v>41911</v>
      </c>
      <c r="G2774" s="44">
        <v>1977.8000489999999</v>
      </c>
      <c r="H2774" s="44">
        <v>1383.400024</v>
      </c>
      <c r="I2774" s="44">
        <v>1117.910034</v>
      </c>
      <c r="J2774" s="44">
        <v>64.169998000000007</v>
      </c>
      <c r="K2774" s="44">
        <v>109.18</v>
      </c>
    </row>
    <row r="2775" spans="6:11" x14ac:dyDescent="0.3">
      <c r="F2775" s="43">
        <v>41912</v>
      </c>
      <c r="G2775" s="44">
        <v>1972.290039</v>
      </c>
      <c r="H2775" s="44">
        <v>1370.969971</v>
      </c>
      <c r="I2775" s="44">
        <v>1101.6800539999999</v>
      </c>
      <c r="J2775" s="44">
        <v>64.120002999999997</v>
      </c>
      <c r="K2775" s="44">
        <v>109.110001</v>
      </c>
    </row>
    <row r="2776" spans="6:11" x14ac:dyDescent="0.3">
      <c r="F2776" s="43">
        <v>41913</v>
      </c>
      <c r="G2776" s="44">
        <v>1946.160034</v>
      </c>
      <c r="H2776" s="44">
        <v>1351.849976</v>
      </c>
      <c r="I2776" s="44">
        <v>1085.410034</v>
      </c>
      <c r="J2776" s="44">
        <v>63.360000999999997</v>
      </c>
      <c r="K2776" s="44">
        <v>109.529999</v>
      </c>
    </row>
    <row r="2777" spans="6:11" x14ac:dyDescent="0.3">
      <c r="F2777" s="43">
        <v>41914</v>
      </c>
      <c r="G2777" s="44">
        <v>1946.170044</v>
      </c>
      <c r="H2777" s="44">
        <v>1355.369995</v>
      </c>
      <c r="I2777" s="44">
        <v>1096.380005</v>
      </c>
      <c r="J2777" s="44">
        <v>62.68</v>
      </c>
      <c r="K2777" s="44">
        <v>109.349998</v>
      </c>
    </row>
    <row r="2778" spans="6:11" x14ac:dyDescent="0.3">
      <c r="F2778" s="43">
        <v>41915</v>
      </c>
      <c r="G2778" s="44">
        <v>1967.900024</v>
      </c>
      <c r="H2778" s="44">
        <v>1364.400024</v>
      </c>
      <c r="I2778" s="44">
        <v>1104.73999</v>
      </c>
      <c r="J2778" s="44">
        <v>62.68</v>
      </c>
      <c r="K2778" s="44">
        <v>109.300003</v>
      </c>
    </row>
    <row r="2779" spans="6:11" x14ac:dyDescent="0.3">
      <c r="F2779" s="43">
        <v>41918</v>
      </c>
      <c r="G2779" s="44">
        <v>1964.8199460000001</v>
      </c>
      <c r="H2779" s="44">
        <v>1360.5500489999999</v>
      </c>
      <c r="I2779" s="44">
        <v>1094.650024</v>
      </c>
      <c r="J2779" s="44">
        <v>63.080002</v>
      </c>
      <c r="K2779" s="44">
        <v>109.400002</v>
      </c>
    </row>
    <row r="2780" spans="6:11" x14ac:dyDescent="0.3">
      <c r="F2780" s="43">
        <v>41919</v>
      </c>
      <c r="G2780" s="44">
        <v>1935.099976</v>
      </c>
      <c r="H2780" s="44">
        <v>1340.290039</v>
      </c>
      <c r="I2780" s="44">
        <v>1076.3100589999999</v>
      </c>
      <c r="J2780" s="44">
        <v>62.009998000000003</v>
      </c>
      <c r="K2780" s="44">
        <v>109.82</v>
      </c>
    </row>
    <row r="2781" spans="6:11" x14ac:dyDescent="0.3">
      <c r="F2781" s="43">
        <v>41920</v>
      </c>
      <c r="G2781" s="44">
        <v>1968.8900149999999</v>
      </c>
      <c r="H2781" s="44">
        <v>1359.670044</v>
      </c>
      <c r="I2781" s="44">
        <v>1097.119995</v>
      </c>
      <c r="J2781" s="44">
        <v>62.990001999999997</v>
      </c>
      <c r="K2781" s="44">
        <v>110.129997</v>
      </c>
    </row>
    <row r="2782" spans="6:11" x14ac:dyDescent="0.3">
      <c r="F2782" s="43">
        <v>41921</v>
      </c>
      <c r="G2782" s="44">
        <v>1928.209961</v>
      </c>
      <c r="H2782" s="44">
        <v>1327.619995</v>
      </c>
      <c r="I2782" s="44">
        <v>1067.98999</v>
      </c>
      <c r="J2782" s="44">
        <v>61.299999</v>
      </c>
      <c r="K2782" s="44">
        <v>109.910004</v>
      </c>
    </row>
    <row r="2783" spans="6:11" x14ac:dyDescent="0.3">
      <c r="F2783" s="43">
        <v>41922</v>
      </c>
      <c r="G2783" s="44">
        <v>1906.130005</v>
      </c>
      <c r="H2783" s="44">
        <v>1304.589966</v>
      </c>
      <c r="I2783" s="44">
        <v>1053.3199460000001</v>
      </c>
      <c r="J2783" s="44">
        <v>60.380001</v>
      </c>
      <c r="K2783" s="44">
        <v>109.989998</v>
      </c>
    </row>
    <row r="2784" spans="6:11" x14ac:dyDescent="0.3">
      <c r="F2784" s="43">
        <v>41925</v>
      </c>
      <c r="G2784" s="44">
        <v>1874.73999</v>
      </c>
      <c r="H2784" s="44">
        <v>1288.099976</v>
      </c>
      <c r="I2784" s="44">
        <v>1049.3000489999999</v>
      </c>
      <c r="J2784" s="44">
        <v>60.299999</v>
      </c>
      <c r="K2784" s="44">
        <v>110.30999799999999</v>
      </c>
    </row>
    <row r="2785" spans="6:11" x14ac:dyDescent="0.3">
      <c r="F2785" s="43">
        <v>41926</v>
      </c>
      <c r="G2785" s="44">
        <v>1877.6999510000001</v>
      </c>
      <c r="H2785" s="44">
        <v>1300.2700199999999</v>
      </c>
      <c r="I2785" s="44">
        <v>1061.599976</v>
      </c>
      <c r="J2785" s="44">
        <v>60.450001</v>
      </c>
      <c r="K2785" s="44">
        <v>110.55999799999999</v>
      </c>
    </row>
    <row r="2786" spans="6:11" x14ac:dyDescent="0.3">
      <c r="F2786" s="43">
        <v>41927</v>
      </c>
      <c r="G2786" s="44">
        <v>1862.48999</v>
      </c>
      <c r="H2786" s="44">
        <v>1298.5699460000001</v>
      </c>
      <c r="I2786" s="44">
        <v>1072.4499510000001</v>
      </c>
      <c r="J2786" s="44">
        <v>60.09</v>
      </c>
      <c r="K2786" s="44">
        <v>110.760002</v>
      </c>
    </row>
    <row r="2787" spans="6:11" x14ac:dyDescent="0.3">
      <c r="F2787" s="43">
        <v>41928</v>
      </c>
      <c r="G2787" s="44">
        <v>1862.76001</v>
      </c>
      <c r="H2787" s="44">
        <v>1311.0600589999999</v>
      </c>
      <c r="I2787" s="44">
        <v>1086.1099850000001</v>
      </c>
      <c r="J2787" s="44">
        <v>59.529998999999997</v>
      </c>
      <c r="K2787" s="44">
        <v>110.66999800000001</v>
      </c>
    </row>
    <row r="2788" spans="6:11" x14ac:dyDescent="0.3">
      <c r="F2788" s="43">
        <v>41929</v>
      </c>
      <c r="G2788" s="44">
        <v>1886.76001</v>
      </c>
      <c r="H2788" s="44">
        <v>1322.119995</v>
      </c>
      <c r="I2788" s="44">
        <v>1082.329956</v>
      </c>
      <c r="J2788" s="44">
        <v>60.639999000000003</v>
      </c>
      <c r="K2788" s="44">
        <v>110.519997</v>
      </c>
    </row>
    <row r="2789" spans="6:11" x14ac:dyDescent="0.3">
      <c r="F2789" s="43">
        <v>41932</v>
      </c>
      <c r="G2789" s="44">
        <v>1904.01001</v>
      </c>
      <c r="H2789" s="44">
        <v>1335.75</v>
      </c>
      <c r="I2789" s="44">
        <v>1094.969971</v>
      </c>
      <c r="J2789" s="44">
        <v>61.02</v>
      </c>
      <c r="K2789" s="44">
        <v>110.650002</v>
      </c>
    </row>
    <row r="2790" spans="6:11" x14ac:dyDescent="0.3">
      <c r="F2790" s="43">
        <v>41933</v>
      </c>
      <c r="G2790" s="44">
        <v>1941.280029</v>
      </c>
      <c r="H2790" s="44">
        <v>1366.73999</v>
      </c>
      <c r="I2790" s="44">
        <v>1112.849976</v>
      </c>
      <c r="J2790" s="44">
        <v>61.75</v>
      </c>
      <c r="K2790" s="44">
        <v>110.550003</v>
      </c>
    </row>
    <row r="2791" spans="6:11" x14ac:dyDescent="0.3">
      <c r="F2791" s="43">
        <v>41934</v>
      </c>
      <c r="G2791" s="44">
        <v>1927.1099850000001</v>
      </c>
      <c r="H2791" s="44">
        <v>1352.2299800000001</v>
      </c>
      <c r="I2791" s="44">
        <v>1096.869995</v>
      </c>
      <c r="J2791" s="44">
        <v>61.299999</v>
      </c>
      <c r="K2791" s="44">
        <v>110.489998</v>
      </c>
    </row>
    <row r="2792" spans="6:11" x14ac:dyDescent="0.3">
      <c r="F2792" s="43">
        <v>41935</v>
      </c>
      <c r="G2792" s="44">
        <v>1950.8199460000001</v>
      </c>
      <c r="H2792" s="44">
        <v>1372.290039</v>
      </c>
      <c r="I2792" s="44">
        <v>1116.48999</v>
      </c>
      <c r="J2792" s="44">
        <v>61.889999000000003</v>
      </c>
      <c r="K2792" s="44">
        <v>110.230003</v>
      </c>
    </row>
    <row r="2793" spans="6:11" x14ac:dyDescent="0.3">
      <c r="F2793" s="43">
        <v>41936</v>
      </c>
      <c r="G2793" s="44">
        <v>1964.579956</v>
      </c>
      <c r="H2793" s="44">
        <v>1377.329956</v>
      </c>
      <c r="I2793" s="44">
        <v>1118.8199460000001</v>
      </c>
      <c r="J2793" s="44">
        <v>62.23</v>
      </c>
      <c r="K2793" s="44">
        <v>110.269997</v>
      </c>
    </row>
    <row r="2794" spans="6:11" x14ac:dyDescent="0.3">
      <c r="F2794" s="43">
        <v>41939</v>
      </c>
      <c r="G2794" s="44">
        <v>1961.630005</v>
      </c>
      <c r="H2794" s="44">
        <v>1376.380005</v>
      </c>
      <c r="I2794" s="44">
        <v>1117.4799800000001</v>
      </c>
      <c r="J2794" s="44">
        <v>61.880001</v>
      </c>
      <c r="K2794" s="44">
        <v>110.30999799999999</v>
      </c>
    </row>
    <row r="2795" spans="6:11" x14ac:dyDescent="0.3">
      <c r="F2795" s="43">
        <v>41940</v>
      </c>
      <c r="G2795" s="44">
        <v>1985.0500489999999</v>
      </c>
      <c r="H2795" s="44">
        <v>1400.3100589999999</v>
      </c>
      <c r="I2795" s="44">
        <v>1149.4499510000001</v>
      </c>
      <c r="J2795" s="44">
        <v>62.82</v>
      </c>
      <c r="K2795" s="44">
        <v>110.139999</v>
      </c>
    </row>
    <row r="2796" spans="6:11" x14ac:dyDescent="0.3">
      <c r="F2796" s="43">
        <v>41941</v>
      </c>
      <c r="G2796" s="44">
        <v>1982.3000489999999</v>
      </c>
      <c r="H2796" s="44">
        <v>1397.7299800000001</v>
      </c>
      <c r="I2796" s="44">
        <v>1146.369995</v>
      </c>
      <c r="J2796" s="44">
        <v>62.34</v>
      </c>
      <c r="K2796" s="44">
        <v>109.900002</v>
      </c>
    </row>
    <row r="2797" spans="6:11" x14ac:dyDescent="0.3">
      <c r="F2797" s="43">
        <v>41942</v>
      </c>
      <c r="G2797" s="44">
        <v>1994.650024</v>
      </c>
      <c r="H2797" s="44">
        <v>1401.670044</v>
      </c>
      <c r="I2797" s="44">
        <v>1155.7700199999999</v>
      </c>
      <c r="J2797" s="44">
        <v>62.790000999999997</v>
      </c>
      <c r="K2797" s="44">
        <v>110.08000199999999</v>
      </c>
    </row>
    <row r="2798" spans="6:11" x14ac:dyDescent="0.3">
      <c r="F2798" s="43">
        <v>41943</v>
      </c>
      <c r="G2798" s="44">
        <v>2018.0500489999999</v>
      </c>
      <c r="H2798" s="44">
        <v>1418.709961</v>
      </c>
      <c r="I2798" s="44">
        <v>1173.51001</v>
      </c>
      <c r="J2798" s="44">
        <v>63.950001</v>
      </c>
      <c r="K2798" s="44">
        <v>110.08000199999999</v>
      </c>
    </row>
    <row r="2799" spans="6:11" x14ac:dyDescent="0.3">
      <c r="F2799" s="43">
        <v>41946</v>
      </c>
      <c r="G2799" s="44">
        <v>2017.8100589999999</v>
      </c>
      <c r="H2799" s="44">
        <v>1420.670044</v>
      </c>
      <c r="I2799" s="44">
        <v>1170.1999510000001</v>
      </c>
      <c r="J2799" s="44">
        <v>63.400002000000001</v>
      </c>
      <c r="K2799" s="44">
        <v>109.68</v>
      </c>
    </row>
    <row r="2800" spans="6:11" x14ac:dyDescent="0.3">
      <c r="F2800" s="43">
        <v>41947</v>
      </c>
      <c r="G2800" s="44">
        <v>2012.099976</v>
      </c>
      <c r="H2800" s="44">
        <v>1414.869995</v>
      </c>
      <c r="I2800" s="44">
        <v>1165.420044</v>
      </c>
      <c r="J2800" s="44">
        <v>63.040000999999997</v>
      </c>
      <c r="K2800" s="44">
        <v>109.69000200000001</v>
      </c>
    </row>
    <row r="2801" spans="6:11" x14ac:dyDescent="0.3">
      <c r="F2801" s="43">
        <v>41948</v>
      </c>
      <c r="G2801" s="44">
        <v>2023.5699460000001</v>
      </c>
      <c r="H2801" s="44">
        <v>1419.880005</v>
      </c>
      <c r="I2801" s="44">
        <v>1167.0699460000001</v>
      </c>
      <c r="J2801" s="44">
        <v>63.16</v>
      </c>
      <c r="K2801" s="44">
        <v>109.730003</v>
      </c>
    </row>
    <row r="2802" spans="6:11" x14ac:dyDescent="0.3">
      <c r="F2802" s="43">
        <v>41949</v>
      </c>
      <c r="G2802" s="44">
        <v>2031.209961</v>
      </c>
      <c r="H2802" s="44">
        <v>1429.51001</v>
      </c>
      <c r="I2802" s="44">
        <v>1171.8599850000001</v>
      </c>
      <c r="J2802" s="44">
        <v>62.82</v>
      </c>
      <c r="K2802" s="44">
        <v>109.540001</v>
      </c>
    </row>
    <row r="2803" spans="6:11" x14ac:dyDescent="0.3">
      <c r="F2803" s="43">
        <v>41950</v>
      </c>
      <c r="G2803" s="44">
        <v>2031.920044</v>
      </c>
      <c r="H2803" s="44">
        <v>1430.0699460000001</v>
      </c>
      <c r="I2803" s="44">
        <v>1173.3199460000001</v>
      </c>
      <c r="J2803" s="44">
        <v>62.849997999999999</v>
      </c>
      <c r="K2803" s="44">
        <v>109.910004</v>
      </c>
    </row>
    <row r="2804" spans="6:11" x14ac:dyDescent="0.3">
      <c r="F2804" s="43">
        <v>41953</v>
      </c>
      <c r="G2804" s="44">
        <v>2038.26001</v>
      </c>
      <c r="H2804" s="44">
        <v>1434.8000489999999</v>
      </c>
      <c r="I2804" s="44">
        <v>1179.5699460000001</v>
      </c>
      <c r="J2804" s="44">
        <v>63.130001</v>
      </c>
      <c r="K2804" s="44">
        <v>109.650002</v>
      </c>
    </row>
    <row r="2805" spans="6:11" x14ac:dyDescent="0.3">
      <c r="F2805" s="43">
        <v>41954</v>
      </c>
      <c r="G2805" s="44">
        <v>2039.6800539999999</v>
      </c>
      <c r="H2805" s="44">
        <v>1435.0500489999999</v>
      </c>
      <c r="I2805" s="44">
        <v>1179.959961</v>
      </c>
      <c r="J2805" s="44">
        <v>63.509998000000003</v>
      </c>
      <c r="K2805" s="44">
        <v>109.699997</v>
      </c>
    </row>
    <row r="2806" spans="6:11" x14ac:dyDescent="0.3">
      <c r="F2806" s="43">
        <v>41955</v>
      </c>
      <c r="G2806" s="44">
        <v>2038.25</v>
      </c>
      <c r="H2806" s="44">
        <v>1438.25</v>
      </c>
      <c r="I2806" s="44">
        <v>1186.469971</v>
      </c>
      <c r="J2806" s="44">
        <v>62.970001000000003</v>
      </c>
      <c r="K2806" s="44">
        <v>109.709999</v>
      </c>
    </row>
    <row r="2807" spans="6:11" x14ac:dyDescent="0.3">
      <c r="F2807" s="43">
        <v>41956</v>
      </c>
      <c r="G2807" s="44">
        <v>2039.329956</v>
      </c>
      <c r="H2807" s="44">
        <v>1431.3599850000001</v>
      </c>
      <c r="I2807" s="44">
        <v>1175.420044</v>
      </c>
      <c r="J2807" s="44">
        <v>63.27</v>
      </c>
      <c r="K2807" s="44">
        <v>109.760002</v>
      </c>
    </row>
    <row r="2808" spans="6:11" x14ac:dyDescent="0.3">
      <c r="F2808" s="43">
        <v>41957</v>
      </c>
      <c r="G2808" s="44">
        <v>2039.8199460000001</v>
      </c>
      <c r="H2808" s="44">
        <v>1430.849976</v>
      </c>
      <c r="I2808" s="44">
        <v>1173.8100589999999</v>
      </c>
      <c r="J2808" s="44">
        <v>63.360000999999997</v>
      </c>
      <c r="K2808" s="44">
        <v>109.860001</v>
      </c>
    </row>
    <row r="2809" spans="6:11" x14ac:dyDescent="0.3">
      <c r="F2809" s="43">
        <v>41960</v>
      </c>
      <c r="G2809" s="44">
        <v>2041.3199460000001</v>
      </c>
      <c r="H2809" s="44">
        <v>1428.8100589999999</v>
      </c>
      <c r="I2809" s="44">
        <v>1164.2299800000001</v>
      </c>
      <c r="J2809" s="44">
        <v>63.110000999999997</v>
      </c>
      <c r="K2809" s="44">
        <v>109.730003</v>
      </c>
    </row>
    <row r="2810" spans="6:11" x14ac:dyDescent="0.3">
      <c r="F2810" s="43">
        <v>41961</v>
      </c>
      <c r="G2810" s="44">
        <v>2051.8000489999999</v>
      </c>
      <c r="H2810" s="44">
        <v>1436.2299800000001</v>
      </c>
      <c r="I2810" s="44">
        <v>1170.280029</v>
      </c>
      <c r="J2810" s="44">
        <v>63.799999</v>
      </c>
      <c r="K2810" s="44">
        <v>109.83000199999999</v>
      </c>
    </row>
    <row r="2811" spans="6:11" x14ac:dyDescent="0.3">
      <c r="F2811" s="43">
        <v>41962</v>
      </c>
      <c r="G2811" s="44">
        <v>2048.719971</v>
      </c>
      <c r="H2811" s="44">
        <v>1430.8199460000001</v>
      </c>
      <c r="I2811" s="44">
        <v>1157.6899410000001</v>
      </c>
      <c r="J2811" s="44">
        <v>63.610000999999997</v>
      </c>
      <c r="K2811" s="44">
        <v>109.57</v>
      </c>
    </row>
    <row r="2812" spans="6:11" x14ac:dyDescent="0.3">
      <c r="F2812" s="43">
        <v>41963</v>
      </c>
      <c r="G2812" s="44">
        <v>2052.75</v>
      </c>
      <c r="H2812" s="44">
        <v>1437.98999</v>
      </c>
      <c r="I2812" s="44">
        <v>1170.75</v>
      </c>
      <c r="J2812" s="44">
        <v>63.23</v>
      </c>
      <c r="K2812" s="44">
        <v>109.769997</v>
      </c>
    </row>
    <row r="2813" spans="6:11" x14ac:dyDescent="0.3">
      <c r="F2813" s="43">
        <v>41964</v>
      </c>
      <c r="G2813" s="44">
        <v>2063.5</v>
      </c>
      <c r="H2813" s="44">
        <v>1444.3900149999999</v>
      </c>
      <c r="I2813" s="44">
        <v>1172.420044</v>
      </c>
      <c r="J2813" s="44">
        <v>63.779998999999997</v>
      </c>
      <c r="K2813" s="44">
        <v>109.900002</v>
      </c>
    </row>
    <row r="2814" spans="6:11" x14ac:dyDescent="0.3">
      <c r="F2814" s="43">
        <v>41967</v>
      </c>
      <c r="G2814" s="44">
        <v>2069.4099120000001</v>
      </c>
      <c r="H2814" s="44">
        <v>1453.920044</v>
      </c>
      <c r="I2814" s="44">
        <v>1186.9399410000001</v>
      </c>
      <c r="J2814" s="44">
        <v>64.150002000000001</v>
      </c>
      <c r="K2814" s="44">
        <v>109.94000200000001</v>
      </c>
    </row>
    <row r="2815" spans="6:11" x14ac:dyDescent="0.3">
      <c r="F2815" s="43">
        <v>41968</v>
      </c>
      <c r="G2815" s="44">
        <v>2067.030029</v>
      </c>
      <c r="H2815" s="44">
        <v>1453.719971</v>
      </c>
      <c r="I2815" s="44">
        <v>1186.329956</v>
      </c>
      <c r="J2815" s="44">
        <v>64.260002</v>
      </c>
      <c r="K2815" s="44">
        <v>110.18</v>
      </c>
    </row>
    <row r="2816" spans="6:11" x14ac:dyDescent="0.3">
      <c r="F2816" s="43">
        <v>41969</v>
      </c>
      <c r="G2816" s="44">
        <v>2072.830078</v>
      </c>
      <c r="H2816" s="44">
        <v>1454.219971</v>
      </c>
      <c r="I2816" s="44">
        <v>1190.619995</v>
      </c>
      <c r="J2816" s="44">
        <v>64.510002</v>
      </c>
      <c r="K2816" s="44">
        <v>110.269997</v>
      </c>
    </row>
    <row r="2817" spans="6:11" x14ac:dyDescent="0.3">
      <c r="F2817" s="43">
        <v>41971</v>
      </c>
      <c r="G2817" s="44">
        <v>2067.5600589999999</v>
      </c>
      <c r="H2817" s="44">
        <v>1442.630005</v>
      </c>
      <c r="I2817" s="44">
        <v>1173.2299800000001</v>
      </c>
      <c r="J2817" s="44">
        <v>63.990001999999997</v>
      </c>
      <c r="K2817" s="44">
        <v>110.610001</v>
      </c>
    </row>
    <row r="2818" spans="6:11" x14ac:dyDescent="0.3">
      <c r="F2818" s="43">
        <v>41974</v>
      </c>
      <c r="G2818" s="44">
        <v>2053.4399410000001</v>
      </c>
      <c r="H2818" s="44">
        <v>1424.23999</v>
      </c>
      <c r="I2818" s="44">
        <v>1154.0500489999999</v>
      </c>
      <c r="J2818" s="44">
        <v>63.93</v>
      </c>
      <c r="K2818" s="44">
        <v>110.08000199999999</v>
      </c>
    </row>
    <row r="2819" spans="6:11" x14ac:dyDescent="0.3">
      <c r="F2819" s="43">
        <v>41975</v>
      </c>
      <c r="G2819" s="44">
        <v>2066.5500489999999</v>
      </c>
      <c r="H2819" s="44">
        <v>1432.6400149999999</v>
      </c>
      <c r="I2819" s="44">
        <v>1168.4499510000001</v>
      </c>
      <c r="J2819" s="44">
        <v>64.110000999999997</v>
      </c>
      <c r="K2819" s="44">
        <v>109.860001</v>
      </c>
    </row>
    <row r="2820" spans="6:11" x14ac:dyDescent="0.3">
      <c r="F2820" s="43">
        <v>41976</v>
      </c>
      <c r="G2820" s="44">
        <v>2074.330078</v>
      </c>
      <c r="H2820" s="44">
        <v>1445.079956</v>
      </c>
      <c r="I2820" s="44">
        <v>1179.01001</v>
      </c>
      <c r="J2820" s="44">
        <v>64.029999000000004</v>
      </c>
      <c r="K2820" s="44">
        <v>109.760002</v>
      </c>
    </row>
    <row r="2821" spans="6:11" x14ac:dyDescent="0.3">
      <c r="F2821" s="43">
        <v>41977</v>
      </c>
      <c r="G2821" s="44">
        <v>2071.919922</v>
      </c>
      <c r="H2821" s="44">
        <v>1441.6899410000001</v>
      </c>
      <c r="I2821" s="44">
        <v>1173.01001</v>
      </c>
      <c r="J2821" s="44">
        <v>63.82</v>
      </c>
      <c r="K2821" s="44">
        <v>110.089996</v>
      </c>
    </row>
    <row r="2822" spans="6:11" x14ac:dyDescent="0.3">
      <c r="F2822" s="43">
        <v>41978</v>
      </c>
      <c r="G2822" s="44">
        <v>2075.3701169999999</v>
      </c>
      <c r="H2822" s="44">
        <v>1444.3000489999999</v>
      </c>
      <c r="I2822" s="44">
        <v>1182.4300539999999</v>
      </c>
      <c r="J2822" s="44">
        <v>63.959999000000003</v>
      </c>
      <c r="K2822" s="44">
        <v>109.620003</v>
      </c>
    </row>
    <row r="2823" spans="6:11" x14ac:dyDescent="0.3">
      <c r="F2823" s="43">
        <v>41981</v>
      </c>
      <c r="G2823" s="44">
        <v>2060.3100589999999</v>
      </c>
      <c r="H2823" s="44">
        <v>1434.089966</v>
      </c>
      <c r="I2823" s="44">
        <v>1167.209961</v>
      </c>
      <c r="J2823" s="44">
        <v>63.400002000000001</v>
      </c>
      <c r="K2823" s="44">
        <v>109.889999</v>
      </c>
    </row>
    <row r="2824" spans="6:11" x14ac:dyDescent="0.3">
      <c r="F2824" s="43">
        <v>41982</v>
      </c>
      <c r="G2824" s="44">
        <v>2059.820068</v>
      </c>
      <c r="H2824" s="44">
        <v>1439.0500489999999</v>
      </c>
      <c r="I2824" s="44">
        <v>1188.0600589999999</v>
      </c>
      <c r="J2824" s="44">
        <v>63.060001</v>
      </c>
      <c r="K2824" s="44">
        <v>110.05999799999999</v>
      </c>
    </row>
    <row r="2825" spans="6:11" x14ac:dyDescent="0.3">
      <c r="F2825" s="43">
        <v>41983</v>
      </c>
      <c r="G2825" s="44">
        <v>2026.1400149999999</v>
      </c>
      <c r="H2825" s="44">
        <v>1414.23999</v>
      </c>
      <c r="I2825" s="44">
        <v>1161.8599850000001</v>
      </c>
      <c r="J2825" s="44">
        <v>62.259998000000003</v>
      </c>
      <c r="K2825" s="44">
        <v>110.25</v>
      </c>
    </row>
    <row r="2826" spans="6:11" x14ac:dyDescent="0.3">
      <c r="F2826" s="43">
        <v>41984</v>
      </c>
      <c r="G2826" s="44">
        <v>2035.329956</v>
      </c>
      <c r="H2826" s="44">
        <v>1421.5699460000001</v>
      </c>
      <c r="I2826" s="44">
        <v>1166.959961</v>
      </c>
      <c r="J2826" s="44">
        <v>62.18</v>
      </c>
      <c r="K2826" s="44">
        <v>110.209999</v>
      </c>
    </row>
    <row r="2827" spans="6:11" x14ac:dyDescent="0.3">
      <c r="F2827" s="43">
        <v>41985</v>
      </c>
      <c r="G2827" s="44">
        <v>2002.329956</v>
      </c>
      <c r="H2827" s="44">
        <v>1402.3599850000001</v>
      </c>
      <c r="I2827" s="44">
        <v>1152.4399410000001</v>
      </c>
      <c r="J2827" s="44">
        <v>60.98</v>
      </c>
      <c r="K2827" s="44">
        <v>110.55999799999999</v>
      </c>
    </row>
    <row r="2828" spans="6:11" x14ac:dyDescent="0.3">
      <c r="F2828" s="43">
        <v>41988</v>
      </c>
      <c r="G2828" s="44">
        <v>1989.630005</v>
      </c>
      <c r="H2828" s="44">
        <v>1392.2700199999999</v>
      </c>
      <c r="I2828" s="44">
        <v>1140.3000489999999</v>
      </c>
      <c r="J2828" s="44">
        <v>59.970001000000003</v>
      </c>
      <c r="K2828" s="44">
        <v>110.260002</v>
      </c>
    </row>
    <row r="2829" spans="6:11" x14ac:dyDescent="0.3">
      <c r="F2829" s="43">
        <v>41989</v>
      </c>
      <c r="G2829" s="44">
        <v>1972.73999</v>
      </c>
      <c r="H2829" s="44">
        <v>1389.1899410000001</v>
      </c>
      <c r="I2829" s="44">
        <v>1139.369995</v>
      </c>
      <c r="J2829" s="44">
        <v>60.400002000000001</v>
      </c>
      <c r="K2829" s="44">
        <v>110.529999</v>
      </c>
    </row>
    <row r="2830" spans="6:11" x14ac:dyDescent="0.3">
      <c r="F2830" s="43">
        <v>41990</v>
      </c>
      <c r="G2830" s="44">
        <v>2012.8900149999999</v>
      </c>
      <c r="H2830" s="44">
        <v>1421.030029</v>
      </c>
      <c r="I2830" s="44">
        <v>1174.839966</v>
      </c>
      <c r="J2830" s="44">
        <v>60.529998999999997</v>
      </c>
      <c r="K2830" s="44">
        <v>110.389999</v>
      </c>
    </row>
    <row r="2831" spans="6:11" x14ac:dyDescent="0.3">
      <c r="F2831" s="43">
        <v>41991</v>
      </c>
      <c r="G2831" s="44">
        <v>2061.2299800000001</v>
      </c>
      <c r="H2831" s="44">
        <v>1444.920044</v>
      </c>
      <c r="I2831" s="44">
        <v>1192.160034</v>
      </c>
      <c r="J2831" s="44">
        <v>61.610000999999997</v>
      </c>
      <c r="K2831" s="44">
        <v>110.099998</v>
      </c>
    </row>
    <row r="2832" spans="6:11" x14ac:dyDescent="0.3">
      <c r="F2832" s="43">
        <v>41992</v>
      </c>
      <c r="G2832" s="44">
        <v>2070.6499020000001</v>
      </c>
      <c r="H2832" s="44">
        <v>1449.7299800000001</v>
      </c>
      <c r="I2832" s="44">
        <v>1195.959961</v>
      </c>
      <c r="J2832" s="44">
        <v>61.700001</v>
      </c>
      <c r="K2832" s="44">
        <v>110.279999</v>
      </c>
    </row>
    <row r="2833" spans="6:11" x14ac:dyDescent="0.3">
      <c r="F2833" s="43">
        <v>41995</v>
      </c>
      <c r="G2833" s="44">
        <v>2078.540039</v>
      </c>
      <c r="H2833" s="44">
        <v>1455.3100589999999</v>
      </c>
      <c r="I2833" s="44">
        <v>1201.8599850000001</v>
      </c>
      <c r="J2833" s="44">
        <v>62</v>
      </c>
      <c r="K2833" s="44">
        <v>110.449997</v>
      </c>
    </row>
    <row r="2834" spans="6:11" x14ac:dyDescent="0.3">
      <c r="F2834" s="43">
        <v>41996</v>
      </c>
      <c r="G2834" s="44">
        <v>2082.169922</v>
      </c>
      <c r="H2834" s="44">
        <v>1460.7700199999999</v>
      </c>
      <c r="I2834" s="44">
        <v>1202.4399410000001</v>
      </c>
      <c r="J2834" s="44">
        <v>61.799999</v>
      </c>
      <c r="K2834" s="44">
        <v>109.94000200000001</v>
      </c>
    </row>
    <row r="2835" spans="6:11" x14ac:dyDescent="0.3">
      <c r="F2835" s="43">
        <v>41997</v>
      </c>
      <c r="G2835" s="44">
        <v>2081.8798830000001</v>
      </c>
      <c r="H2835" s="44">
        <v>1463.349976</v>
      </c>
      <c r="I2835" s="44">
        <v>1206.780029</v>
      </c>
      <c r="J2835" s="44">
        <v>62.080002</v>
      </c>
      <c r="K2835" s="44">
        <v>109.69000200000001</v>
      </c>
    </row>
    <row r="2836" spans="6:11" x14ac:dyDescent="0.3">
      <c r="F2836" s="43">
        <v>41999</v>
      </c>
      <c r="G2836" s="44">
        <v>2088.7700199999999</v>
      </c>
      <c r="H2836" s="44">
        <v>1467.900024</v>
      </c>
      <c r="I2836" s="44">
        <v>1215.209961</v>
      </c>
      <c r="J2836" s="44">
        <v>62.240001999999997</v>
      </c>
      <c r="K2836" s="44">
        <v>109.739998</v>
      </c>
    </row>
    <row r="2837" spans="6:11" x14ac:dyDescent="0.3">
      <c r="F2837" s="43">
        <v>42002</v>
      </c>
      <c r="G2837" s="44">
        <v>2090.570068</v>
      </c>
      <c r="H2837" s="44">
        <v>1474.400024</v>
      </c>
      <c r="I2837" s="44">
        <v>1219.1099850000001</v>
      </c>
      <c r="J2837" s="44">
        <v>61.790000999999997</v>
      </c>
      <c r="K2837" s="44">
        <v>109.970001</v>
      </c>
    </row>
    <row r="2838" spans="6:11" x14ac:dyDescent="0.3">
      <c r="F2838" s="43">
        <v>42003</v>
      </c>
      <c r="G2838" s="44">
        <v>2080.3500979999999</v>
      </c>
      <c r="H2838" s="44">
        <v>1467.8000489999999</v>
      </c>
      <c r="I2838" s="44">
        <v>1213.0500489999999</v>
      </c>
      <c r="J2838" s="44">
        <v>61.220001000000003</v>
      </c>
      <c r="K2838" s="44">
        <v>110.089996</v>
      </c>
    </row>
    <row r="2839" spans="6:11" x14ac:dyDescent="0.3">
      <c r="F2839" s="43">
        <v>42004</v>
      </c>
      <c r="G2839" s="44">
        <v>2058.8999020000001</v>
      </c>
      <c r="H2839" s="44">
        <v>1452.4399410000001</v>
      </c>
      <c r="I2839" s="44">
        <v>1204.6999510000001</v>
      </c>
      <c r="J2839" s="44">
        <v>60.84</v>
      </c>
      <c r="K2839" s="44">
        <v>110.120003</v>
      </c>
    </row>
    <row r="2840" spans="6:11" x14ac:dyDescent="0.3">
      <c r="F2840" s="43">
        <v>42006</v>
      </c>
      <c r="G2840" s="44">
        <v>2058.1999510000001</v>
      </c>
      <c r="H2840" s="44">
        <v>1451.3100589999999</v>
      </c>
      <c r="I2840" s="44">
        <v>1198.8000489999999</v>
      </c>
      <c r="J2840" s="44">
        <v>60.580002</v>
      </c>
      <c r="K2840" s="44">
        <v>110.43</v>
      </c>
    </row>
    <row r="2841" spans="6:11" x14ac:dyDescent="0.3">
      <c r="F2841" s="43">
        <v>42009</v>
      </c>
      <c r="G2841" s="44">
        <v>2020.579956</v>
      </c>
      <c r="H2841" s="44">
        <v>1428.4799800000001</v>
      </c>
      <c r="I2841" s="44">
        <v>1181.349976</v>
      </c>
      <c r="J2841" s="44">
        <v>59.150002000000001</v>
      </c>
      <c r="K2841" s="44">
        <v>110.66999800000001</v>
      </c>
    </row>
    <row r="2842" spans="6:11" x14ac:dyDescent="0.3">
      <c r="F2842" s="43">
        <v>42010</v>
      </c>
      <c r="G2842" s="44">
        <v>2002.6099850000001</v>
      </c>
      <c r="H2842" s="44">
        <v>1413.0699460000001</v>
      </c>
      <c r="I2842" s="44">
        <v>1161.3100589999999</v>
      </c>
      <c r="J2842" s="44">
        <v>58.48</v>
      </c>
      <c r="K2842" s="44">
        <v>110.949997</v>
      </c>
    </row>
    <row r="2843" spans="6:11" x14ac:dyDescent="0.3">
      <c r="F2843" s="43">
        <v>42011</v>
      </c>
      <c r="G2843" s="44">
        <v>2025.900024</v>
      </c>
      <c r="H2843" s="44">
        <v>1430.650024</v>
      </c>
      <c r="I2843" s="44">
        <v>1175.969971</v>
      </c>
      <c r="J2843" s="44">
        <v>59.130001</v>
      </c>
      <c r="K2843" s="44">
        <v>110.93</v>
      </c>
    </row>
    <row r="2844" spans="6:11" x14ac:dyDescent="0.3">
      <c r="F2844" s="43">
        <v>42012</v>
      </c>
      <c r="G2844" s="44">
        <v>2062.139893</v>
      </c>
      <c r="H2844" s="44">
        <v>1453.2299800000001</v>
      </c>
      <c r="I2844" s="44">
        <v>1196.130005</v>
      </c>
      <c r="J2844" s="44">
        <v>59.93</v>
      </c>
      <c r="K2844" s="44">
        <v>110.760002</v>
      </c>
    </row>
    <row r="2845" spans="6:11" x14ac:dyDescent="0.3">
      <c r="F2845" s="43">
        <v>42013</v>
      </c>
      <c r="G2845" s="44">
        <v>2044.8100589999999</v>
      </c>
      <c r="H2845" s="44">
        <v>1441.280029</v>
      </c>
      <c r="I2845" s="44">
        <v>1185.6800539999999</v>
      </c>
      <c r="J2845" s="44">
        <v>59.639999000000003</v>
      </c>
      <c r="K2845" s="44">
        <v>111.029999</v>
      </c>
    </row>
    <row r="2846" spans="6:11" x14ac:dyDescent="0.3">
      <c r="F2846" s="43">
        <v>42016</v>
      </c>
      <c r="G2846" s="44">
        <v>2028.26001</v>
      </c>
      <c r="H2846" s="44">
        <v>1433.660034</v>
      </c>
      <c r="I2846" s="44">
        <v>1180.089966</v>
      </c>
      <c r="J2846" s="44">
        <v>59.5</v>
      </c>
      <c r="K2846" s="44">
        <v>111.120003</v>
      </c>
    </row>
    <row r="2847" spans="6:11" x14ac:dyDescent="0.3">
      <c r="F2847" s="43">
        <v>42017</v>
      </c>
      <c r="G2847" s="44">
        <v>2023.030029</v>
      </c>
      <c r="H2847" s="44">
        <v>1432.1400149999999</v>
      </c>
      <c r="I2847" s="44">
        <v>1180.6400149999999</v>
      </c>
      <c r="J2847" s="44">
        <v>59.799999</v>
      </c>
      <c r="K2847" s="44">
        <v>111.150002</v>
      </c>
    </row>
    <row r="2848" spans="6:11" x14ac:dyDescent="0.3">
      <c r="F2848" s="43">
        <v>42018</v>
      </c>
      <c r="G2848" s="44">
        <v>2011.2700199999999</v>
      </c>
      <c r="H2848" s="44">
        <v>1426.48999</v>
      </c>
      <c r="I2848" s="44">
        <v>1177.0600589999999</v>
      </c>
      <c r="J2848" s="44">
        <v>59.630001</v>
      </c>
      <c r="K2848" s="44">
        <v>111.41999800000001</v>
      </c>
    </row>
    <row r="2849" spans="6:11" x14ac:dyDescent="0.3">
      <c r="F2849" s="43">
        <v>42019</v>
      </c>
      <c r="G2849" s="44">
        <v>1992.670044</v>
      </c>
      <c r="H2849" s="44">
        <v>1410.910034</v>
      </c>
      <c r="I2849" s="44">
        <v>1154.709961</v>
      </c>
      <c r="J2849" s="44">
        <v>60.009998000000003</v>
      </c>
      <c r="K2849" s="44">
        <v>111.93</v>
      </c>
    </row>
    <row r="2850" spans="6:11" x14ac:dyDescent="0.3">
      <c r="F2850" s="43">
        <v>42020</v>
      </c>
      <c r="G2850" s="44">
        <v>2019.420044</v>
      </c>
      <c r="H2850" s="44">
        <v>1430.8900149999999</v>
      </c>
      <c r="I2850" s="44">
        <v>1176.650024</v>
      </c>
      <c r="J2850" s="44">
        <v>60.790000999999997</v>
      </c>
      <c r="K2850" s="44">
        <v>111.5</v>
      </c>
    </row>
    <row r="2851" spans="6:11" x14ac:dyDescent="0.3">
      <c r="F2851" s="43">
        <v>42024</v>
      </c>
      <c r="G2851" s="44">
        <v>2022.5500489999999</v>
      </c>
      <c r="H2851" s="44">
        <v>1427.0200199999999</v>
      </c>
      <c r="I2851" s="44">
        <v>1170.25</v>
      </c>
      <c r="J2851" s="44">
        <v>61</v>
      </c>
      <c r="K2851" s="44">
        <v>111.69000200000001</v>
      </c>
    </row>
    <row r="2852" spans="6:11" x14ac:dyDescent="0.3">
      <c r="F2852" s="43">
        <v>42025</v>
      </c>
      <c r="G2852" s="44">
        <v>2032.119995</v>
      </c>
      <c r="H2852" s="44">
        <v>1435.719971</v>
      </c>
      <c r="I2852" s="44">
        <v>1166.25</v>
      </c>
      <c r="J2852" s="44">
        <v>61.48</v>
      </c>
      <c r="K2852" s="44">
        <v>111.489998</v>
      </c>
    </row>
    <row r="2853" spans="6:11" x14ac:dyDescent="0.3">
      <c r="F2853" s="43">
        <v>42026</v>
      </c>
      <c r="G2853" s="44">
        <v>2063.1499020000001</v>
      </c>
      <c r="H2853" s="44">
        <v>1462.290039</v>
      </c>
      <c r="I2853" s="44">
        <v>1190.369995</v>
      </c>
      <c r="J2853" s="44">
        <v>61.709999000000003</v>
      </c>
      <c r="K2853" s="44">
        <v>111.43</v>
      </c>
    </row>
    <row r="2854" spans="6:11" x14ac:dyDescent="0.3">
      <c r="F2854" s="43">
        <v>42027</v>
      </c>
      <c r="G2854" s="44">
        <v>2051.820068</v>
      </c>
      <c r="H2854" s="44">
        <v>1455.790039</v>
      </c>
      <c r="I2854" s="44">
        <v>1188.9300539999999</v>
      </c>
      <c r="J2854" s="44">
        <v>61.360000999999997</v>
      </c>
      <c r="K2854" s="44">
        <v>111.709999</v>
      </c>
    </row>
    <row r="2855" spans="6:11" x14ac:dyDescent="0.3">
      <c r="F2855" s="43">
        <v>42030</v>
      </c>
      <c r="G2855" s="44">
        <v>2057.0900879999999</v>
      </c>
      <c r="H2855" s="44">
        <v>1471.98999</v>
      </c>
      <c r="I2855" s="44">
        <v>1200.73999</v>
      </c>
      <c r="J2855" s="44">
        <v>62.200001</v>
      </c>
      <c r="K2855" s="44">
        <v>111.660004</v>
      </c>
    </row>
    <row r="2856" spans="6:11" x14ac:dyDescent="0.3">
      <c r="F2856" s="43">
        <v>42031</v>
      </c>
      <c r="G2856" s="44">
        <v>2029.5500489999999</v>
      </c>
      <c r="H2856" s="44">
        <v>1462.5200199999999</v>
      </c>
      <c r="I2856" s="44">
        <v>1194.660034</v>
      </c>
      <c r="J2856" s="44">
        <v>62.290000999999997</v>
      </c>
      <c r="K2856" s="44">
        <v>111.599998</v>
      </c>
    </row>
    <row r="2857" spans="6:11" x14ac:dyDescent="0.3">
      <c r="F2857" s="43">
        <v>42032</v>
      </c>
      <c r="G2857" s="44">
        <v>2002.160034</v>
      </c>
      <c r="H2857" s="44">
        <v>1444.660034</v>
      </c>
      <c r="I2857" s="44">
        <v>1175.119995</v>
      </c>
      <c r="J2857" s="44">
        <v>61.360000999999997</v>
      </c>
      <c r="K2857" s="44">
        <v>112.07</v>
      </c>
    </row>
    <row r="2858" spans="6:11" x14ac:dyDescent="0.3">
      <c r="F2858" s="43">
        <v>42033</v>
      </c>
      <c r="G2858" s="44">
        <v>2021.25</v>
      </c>
      <c r="H2858" s="44">
        <v>1455.349976</v>
      </c>
      <c r="I2858" s="44">
        <v>1190.1800539999999</v>
      </c>
      <c r="J2858" s="44">
        <v>62.200001</v>
      </c>
      <c r="K2858" s="44">
        <v>111.980003</v>
      </c>
    </row>
    <row r="2859" spans="6:11" x14ac:dyDescent="0.3">
      <c r="F2859" s="43">
        <v>42034</v>
      </c>
      <c r="G2859" s="44">
        <v>1994.98999</v>
      </c>
      <c r="H2859" s="44">
        <v>1435.099976</v>
      </c>
      <c r="I2859" s="44">
        <v>1165.3900149999999</v>
      </c>
      <c r="J2859" s="44">
        <v>61.220001000000003</v>
      </c>
      <c r="K2859" s="44">
        <v>112.379997</v>
      </c>
    </row>
    <row r="2860" spans="6:11" x14ac:dyDescent="0.3">
      <c r="F2860" s="43">
        <v>42037</v>
      </c>
      <c r="G2860" s="44">
        <v>2020.849976</v>
      </c>
      <c r="H2860" s="44">
        <v>1447.1899410000001</v>
      </c>
      <c r="I2860" s="44">
        <v>1175.51001</v>
      </c>
      <c r="J2860" s="44">
        <v>61.959999000000003</v>
      </c>
      <c r="K2860" s="44">
        <v>112.199997</v>
      </c>
    </row>
    <row r="2861" spans="6:11" x14ac:dyDescent="0.3">
      <c r="F2861" s="43">
        <v>42038</v>
      </c>
      <c r="G2861" s="44">
        <v>2050.030029</v>
      </c>
      <c r="H2861" s="44">
        <v>1473.9399410000001</v>
      </c>
      <c r="I2861" s="44">
        <v>1196.98999</v>
      </c>
      <c r="J2861" s="44">
        <v>62.950001</v>
      </c>
      <c r="K2861" s="44">
        <v>111.769997</v>
      </c>
    </row>
    <row r="2862" spans="6:11" x14ac:dyDescent="0.3">
      <c r="F2862" s="43">
        <v>42039</v>
      </c>
      <c r="G2862" s="44">
        <v>2041.51001</v>
      </c>
      <c r="H2862" s="44">
        <v>1467.4399410000001</v>
      </c>
      <c r="I2862" s="44">
        <v>1191.4399410000001</v>
      </c>
      <c r="J2862" s="44">
        <v>62.43</v>
      </c>
      <c r="K2862" s="44">
        <v>111.94000200000001</v>
      </c>
    </row>
    <row r="2863" spans="6:11" x14ac:dyDescent="0.3">
      <c r="F2863" s="43">
        <v>42040</v>
      </c>
      <c r="G2863" s="44">
        <v>2062.5200199999999</v>
      </c>
      <c r="H2863" s="44">
        <v>1482.040039</v>
      </c>
      <c r="I2863" s="44">
        <v>1208.709961</v>
      </c>
      <c r="J2863" s="44">
        <v>63.290000999999997</v>
      </c>
      <c r="K2863" s="44">
        <v>111.709999</v>
      </c>
    </row>
    <row r="2864" spans="6:11" x14ac:dyDescent="0.3">
      <c r="F2864" s="43">
        <v>42041</v>
      </c>
      <c r="G2864" s="44">
        <v>2055.469971</v>
      </c>
      <c r="H2864" s="44">
        <v>1476.8900149999999</v>
      </c>
      <c r="I2864" s="44">
        <v>1205.459961</v>
      </c>
      <c r="J2864" s="44">
        <v>62.5</v>
      </c>
      <c r="K2864" s="44">
        <v>111.05999799999999</v>
      </c>
    </row>
    <row r="2865" spans="6:11" x14ac:dyDescent="0.3">
      <c r="F2865" s="43">
        <v>42044</v>
      </c>
      <c r="G2865" s="44">
        <v>2046.73999</v>
      </c>
      <c r="H2865" s="44">
        <v>1469.459961</v>
      </c>
      <c r="I2865" s="44">
        <v>1195.829956</v>
      </c>
      <c r="J2865" s="44">
        <v>62.200001</v>
      </c>
      <c r="K2865" s="44">
        <v>111.040001</v>
      </c>
    </row>
    <row r="2866" spans="6:11" x14ac:dyDescent="0.3">
      <c r="F2866" s="43">
        <v>42045</v>
      </c>
      <c r="G2866" s="44">
        <v>2068.5900879999999</v>
      </c>
      <c r="H2866" s="44">
        <v>1480.589966</v>
      </c>
      <c r="I2866" s="44">
        <v>1203.1800539999999</v>
      </c>
      <c r="J2866" s="44">
        <v>62.77</v>
      </c>
      <c r="K2866" s="44">
        <v>110.91999800000001</v>
      </c>
    </row>
    <row r="2867" spans="6:11" x14ac:dyDescent="0.3">
      <c r="F2867" s="43">
        <v>42046</v>
      </c>
      <c r="G2867" s="44">
        <v>2068.530029</v>
      </c>
      <c r="H2867" s="44">
        <v>1480.099976</v>
      </c>
      <c r="I2867" s="44">
        <v>1201.5500489999999</v>
      </c>
      <c r="J2867" s="44">
        <v>62.43</v>
      </c>
      <c r="K2867" s="44">
        <v>110.870003</v>
      </c>
    </row>
    <row r="2868" spans="6:11" x14ac:dyDescent="0.3">
      <c r="F2868" s="43">
        <v>42047</v>
      </c>
      <c r="G2868" s="44">
        <v>2088.4799800000001</v>
      </c>
      <c r="H2868" s="44">
        <v>1494.849976</v>
      </c>
      <c r="I2868" s="44">
        <v>1216.2700199999999</v>
      </c>
      <c r="J2868" s="44">
        <v>63.400002000000001</v>
      </c>
      <c r="K2868" s="44">
        <v>110.889999</v>
      </c>
    </row>
    <row r="2869" spans="6:11" x14ac:dyDescent="0.3">
      <c r="F2869" s="43">
        <v>42048</v>
      </c>
      <c r="G2869" s="44">
        <v>2096.98999</v>
      </c>
      <c r="H2869" s="44">
        <v>1502.780029</v>
      </c>
      <c r="I2869" s="44">
        <v>1223.130005</v>
      </c>
      <c r="J2869" s="44">
        <v>63.82</v>
      </c>
      <c r="K2869" s="44">
        <v>110.760002</v>
      </c>
    </row>
    <row r="2870" spans="6:11" x14ac:dyDescent="0.3">
      <c r="F2870" s="43">
        <v>42052</v>
      </c>
      <c r="G2870" s="44">
        <v>2100.3400879999999</v>
      </c>
      <c r="H2870" s="44">
        <v>1502.6899410000001</v>
      </c>
      <c r="I2870" s="44">
        <v>1225.01001</v>
      </c>
      <c r="J2870" s="44">
        <v>63.970001000000003</v>
      </c>
      <c r="K2870" s="44">
        <v>110.30999799999999</v>
      </c>
    </row>
    <row r="2871" spans="6:11" x14ac:dyDescent="0.3">
      <c r="F2871" s="43">
        <v>42053</v>
      </c>
      <c r="G2871" s="44">
        <v>2099.679932</v>
      </c>
      <c r="H2871" s="44">
        <v>1507.9300539999999</v>
      </c>
      <c r="I2871" s="44">
        <v>1227.9499510000001</v>
      </c>
      <c r="J2871" s="44">
        <v>64.349997999999999</v>
      </c>
      <c r="K2871" s="44">
        <v>110.620003</v>
      </c>
    </row>
    <row r="2872" spans="6:11" x14ac:dyDescent="0.3">
      <c r="F2872" s="43">
        <v>42054</v>
      </c>
      <c r="G2872" s="44">
        <v>2097.4499510000001</v>
      </c>
      <c r="H2872" s="44">
        <v>1505.329956</v>
      </c>
      <c r="I2872" s="44">
        <v>1227.910034</v>
      </c>
      <c r="J2872" s="44">
        <v>64.430000000000007</v>
      </c>
      <c r="K2872" s="44">
        <v>110.529999</v>
      </c>
    </row>
    <row r="2873" spans="6:11" x14ac:dyDescent="0.3">
      <c r="F2873" s="43">
        <v>42055</v>
      </c>
      <c r="G2873" s="44">
        <v>2110.3000489999999</v>
      </c>
      <c r="H2873" s="44">
        <v>1516.839966</v>
      </c>
      <c r="I2873" s="44">
        <v>1231.790039</v>
      </c>
      <c r="J2873" s="44">
        <v>65.029999000000004</v>
      </c>
      <c r="K2873" s="44">
        <v>110.550003</v>
      </c>
    </row>
    <row r="2874" spans="6:11" x14ac:dyDescent="0.3">
      <c r="F2874" s="43">
        <v>42058</v>
      </c>
      <c r="G2874" s="44">
        <v>2109.6599120000001</v>
      </c>
      <c r="H2874" s="44">
        <v>1515.619995</v>
      </c>
      <c r="I2874" s="44">
        <v>1231.829956</v>
      </c>
      <c r="J2874" s="44">
        <v>64.800003000000004</v>
      </c>
      <c r="K2874" s="44">
        <v>110.75</v>
      </c>
    </row>
    <row r="2875" spans="6:11" x14ac:dyDescent="0.3">
      <c r="F2875" s="43">
        <v>42059</v>
      </c>
      <c r="G2875" s="44">
        <v>2115.4799800000001</v>
      </c>
      <c r="H2875" s="44">
        <v>1517.719971</v>
      </c>
      <c r="I2875" s="44">
        <v>1233.9799800000001</v>
      </c>
      <c r="J2875" s="44">
        <v>65.199996999999996</v>
      </c>
      <c r="K2875" s="44">
        <v>111.239998</v>
      </c>
    </row>
    <row r="2876" spans="6:11" x14ac:dyDescent="0.3">
      <c r="F2876" s="43">
        <v>42060</v>
      </c>
      <c r="G2876" s="44">
        <v>2113.860107</v>
      </c>
      <c r="H2876" s="44">
        <v>1516.23999</v>
      </c>
      <c r="I2876" s="44">
        <v>1235.099976</v>
      </c>
      <c r="J2876" s="44">
        <v>65.25</v>
      </c>
      <c r="K2876" s="44">
        <v>111.32</v>
      </c>
    </row>
    <row r="2877" spans="6:11" x14ac:dyDescent="0.3">
      <c r="F2877" s="43">
        <v>42061</v>
      </c>
      <c r="G2877" s="44">
        <v>2110.73999</v>
      </c>
      <c r="H2877" s="44">
        <v>1512.400024</v>
      </c>
      <c r="I2877" s="44">
        <v>1239.1099850000001</v>
      </c>
      <c r="J2877" s="44">
        <v>65.069999999999993</v>
      </c>
      <c r="K2877" s="44">
        <v>110.91999800000001</v>
      </c>
    </row>
    <row r="2878" spans="6:11" x14ac:dyDescent="0.3">
      <c r="F2878" s="43">
        <v>42062</v>
      </c>
      <c r="G2878" s="44">
        <v>2104.5</v>
      </c>
      <c r="H2878" s="44">
        <v>1506.530029</v>
      </c>
      <c r="I2878" s="44">
        <v>1233.369995</v>
      </c>
      <c r="J2878" s="44">
        <v>65.099997999999999</v>
      </c>
      <c r="K2878" s="44">
        <v>111.199997</v>
      </c>
    </row>
    <row r="2879" spans="6:11" x14ac:dyDescent="0.3">
      <c r="F2879" s="43">
        <v>42065</v>
      </c>
      <c r="G2879" s="44">
        <v>2117.389893</v>
      </c>
      <c r="H2879" s="44">
        <v>1517.599976</v>
      </c>
      <c r="I2879" s="44">
        <v>1242.619995</v>
      </c>
      <c r="J2879" s="44">
        <v>65.199996999999996</v>
      </c>
      <c r="K2879" s="44">
        <v>110.449997</v>
      </c>
    </row>
    <row r="2880" spans="6:11" x14ac:dyDescent="0.3">
      <c r="F2880" s="43">
        <v>42066</v>
      </c>
      <c r="G2880" s="44">
        <v>2107.780029</v>
      </c>
      <c r="H2880" s="44">
        <v>1509.7299800000001</v>
      </c>
      <c r="I2880" s="44">
        <v>1234.76001</v>
      </c>
      <c r="J2880" s="44">
        <v>64.800003000000004</v>
      </c>
      <c r="K2880" s="44">
        <v>110.30999799999999</v>
      </c>
    </row>
    <row r="2881" spans="6:11" x14ac:dyDescent="0.3">
      <c r="F2881" s="43">
        <v>42067</v>
      </c>
      <c r="G2881" s="44">
        <v>2098.530029</v>
      </c>
      <c r="H2881" s="44">
        <v>1503.349976</v>
      </c>
      <c r="I2881" s="44">
        <v>1230.7299800000001</v>
      </c>
      <c r="J2881" s="44">
        <v>64.540001000000004</v>
      </c>
      <c r="K2881" s="44">
        <v>110.370003</v>
      </c>
    </row>
    <row r="2882" spans="6:11" x14ac:dyDescent="0.3">
      <c r="F2882" s="43">
        <v>42068</v>
      </c>
      <c r="G2882" s="44">
        <v>2101.040039</v>
      </c>
      <c r="H2882" s="44">
        <v>1504.8199460000001</v>
      </c>
      <c r="I2882" s="44">
        <v>1234.3100589999999</v>
      </c>
      <c r="J2882" s="44">
        <v>64.690002000000007</v>
      </c>
      <c r="K2882" s="44">
        <v>110.41999800000001</v>
      </c>
    </row>
    <row r="2883" spans="6:11" x14ac:dyDescent="0.3">
      <c r="F2883" s="43">
        <v>42069</v>
      </c>
      <c r="G2883" s="44">
        <v>2071.26001</v>
      </c>
      <c r="H2883" s="44">
        <v>1486.619995</v>
      </c>
      <c r="I2883" s="44">
        <v>1217.5200199999999</v>
      </c>
      <c r="J2883" s="44">
        <v>63.810001</v>
      </c>
      <c r="K2883" s="44">
        <v>109.699997</v>
      </c>
    </row>
    <row r="2884" spans="6:11" x14ac:dyDescent="0.3">
      <c r="F2884" s="43">
        <v>42072</v>
      </c>
      <c r="G2884" s="44">
        <v>2079.429932</v>
      </c>
      <c r="H2884" s="44">
        <v>1492.3100589999999</v>
      </c>
      <c r="I2884" s="44">
        <v>1223.589966</v>
      </c>
      <c r="J2884" s="44">
        <v>63.91</v>
      </c>
      <c r="K2884" s="44">
        <v>109.980003</v>
      </c>
    </row>
    <row r="2885" spans="6:11" x14ac:dyDescent="0.3">
      <c r="F2885" s="43">
        <v>42073</v>
      </c>
      <c r="G2885" s="44">
        <v>2044.160034</v>
      </c>
      <c r="H2885" s="44">
        <v>1472.4399410000001</v>
      </c>
      <c r="I2885" s="44">
        <v>1208.469971</v>
      </c>
      <c r="J2885" s="44">
        <v>62.52</v>
      </c>
      <c r="K2885" s="44">
        <v>110.239998</v>
      </c>
    </row>
    <row r="2886" spans="6:11" x14ac:dyDescent="0.3">
      <c r="F2886" s="43">
        <v>42074</v>
      </c>
      <c r="G2886" s="44">
        <v>2040.23999</v>
      </c>
      <c r="H2886" s="44">
        <v>1483.1899410000001</v>
      </c>
      <c r="I2886" s="44">
        <v>1215.780029</v>
      </c>
      <c r="J2886" s="44">
        <v>62.68</v>
      </c>
      <c r="K2886" s="44">
        <v>110.459999</v>
      </c>
    </row>
    <row r="2887" spans="6:11" x14ac:dyDescent="0.3">
      <c r="F2887" s="43">
        <v>42075</v>
      </c>
      <c r="G2887" s="44">
        <v>2065.9499510000001</v>
      </c>
      <c r="H2887" s="44">
        <v>1500.8100589999999</v>
      </c>
      <c r="I2887" s="44">
        <v>1236.6400149999999</v>
      </c>
      <c r="J2887" s="44">
        <v>63.459999000000003</v>
      </c>
      <c r="K2887" s="44">
        <v>110.550003</v>
      </c>
    </row>
    <row r="2888" spans="6:11" x14ac:dyDescent="0.3">
      <c r="F2888" s="43">
        <v>42076</v>
      </c>
      <c r="G2888" s="44">
        <v>2053.3999020000001</v>
      </c>
      <c r="H2888" s="44">
        <v>1491.119995</v>
      </c>
      <c r="I2888" s="44">
        <v>1232.1400149999999</v>
      </c>
      <c r="J2888" s="44">
        <v>63.09</v>
      </c>
      <c r="K2888" s="44">
        <v>110.339996</v>
      </c>
    </row>
    <row r="2889" spans="6:11" x14ac:dyDescent="0.3">
      <c r="F2889" s="43">
        <v>42079</v>
      </c>
      <c r="G2889" s="44">
        <v>2081.1899410000001</v>
      </c>
      <c r="H2889" s="44">
        <v>1508.910034</v>
      </c>
      <c r="I2889" s="44">
        <v>1239.780029</v>
      </c>
      <c r="J2889" s="44">
        <v>63.799999</v>
      </c>
      <c r="K2889" s="44">
        <v>110.58000199999999</v>
      </c>
    </row>
    <row r="2890" spans="6:11" x14ac:dyDescent="0.3">
      <c r="F2890" s="43">
        <v>42080</v>
      </c>
      <c r="G2890" s="44">
        <v>2074.280029</v>
      </c>
      <c r="H2890" s="44">
        <v>1510.630005</v>
      </c>
      <c r="I2890" s="44">
        <v>1242.2299800000001</v>
      </c>
      <c r="J2890" s="44">
        <v>63.639999000000003</v>
      </c>
      <c r="K2890" s="44">
        <v>110.55999799999999</v>
      </c>
    </row>
    <row r="2891" spans="6:11" x14ac:dyDescent="0.3">
      <c r="F2891" s="43">
        <v>42081</v>
      </c>
      <c r="G2891" s="44">
        <v>2099.5</v>
      </c>
      <c r="H2891" s="44">
        <v>1526.76001</v>
      </c>
      <c r="I2891" s="44">
        <v>1252.1400149999999</v>
      </c>
      <c r="J2891" s="44">
        <v>65</v>
      </c>
      <c r="K2891" s="44">
        <v>111.370003</v>
      </c>
    </row>
    <row r="2892" spans="6:11" x14ac:dyDescent="0.3">
      <c r="F2892" s="43">
        <v>42082</v>
      </c>
      <c r="G2892" s="44">
        <v>2089.2700199999999</v>
      </c>
      <c r="H2892" s="44">
        <v>1522.349976</v>
      </c>
      <c r="I2892" s="44">
        <v>1254.8599850000001</v>
      </c>
      <c r="J2892" s="44">
        <v>64.239998</v>
      </c>
      <c r="K2892" s="44">
        <v>110.980003</v>
      </c>
    </row>
    <row r="2893" spans="6:11" x14ac:dyDescent="0.3">
      <c r="F2893" s="43">
        <v>42083</v>
      </c>
      <c r="G2893" s="44">
        <v>2108.1000979999999</v>
      </c>
      <c r="H2893" s="44">
        <v>1539.6099850000001</v>
      </c>
      <c r="I2893" s="44">
        <v>1266.369995</v>
      </c>
      <c r="J2893" s="44">
        <v>65.660004000000001</v>
      </c>
      <c r="K2893" s="44">
        <v>111.32</v>
      </c>
    </row>
    <row r="2894" spans="6:11" x14ac:dyDescent="0.3">
      <c r="F2894" s="43">
        <v>42086</v>
      </c>
      <c r="G2894" s="44">
        <v>2104.419922</v>
      </c>
      <c r="H2894" s="44">
        <v>1537.130005</v>
      </c>
      <c r="I2894" s="44">
        <v>1264.709961</v>
      </c>
      <c r="J2894" s="44">
        <v>65.989998</v>
      </c>
      <c r="K2894" s="44">
        <v>111.339996</v>
      </c>
    </row>
    <row r="2895" spans="6:11" x14ac:dyDescent="0.3">
      <c r="F2895" s="43">
        <v>42087</v>
      </c>
      <c r="G2895" s="44">
        <v>2091.5</v>
      </c>
      <c r="H2895" s="44">
        <v>1530.790039</v>
      </c>
      <c r="I2895" s="44">
        <v>1263.459961</v>
      </c>
      <c r="J2895" s="44">
        <v>65.849997999999999</v>
      </c>
      <c r="K2895" s="44">
        <v>111.639999</v>
      </c>
    </row>
    <row r="2896" spans="6:11" x14ac:dyDescent="0.3">
      <c r="F2896" s="43">
        <v>42088</v>
      </c>
      <c r="G2896" s="44">
        <v>2061.0500489999999</v>
      </c>
      <c r="H2896" s="44">
        <v>1505.23999</v>
      </c>
      <c r="I2896" s="44">
        <v>1233.849976</v>
      </c>
      <c r="J2896" s="44">
        <v>65.540001000000004</v>
      </c>
      <c r="K2896" s="44">
        <v>111.43</v>
      </c>
    </row>
    <row r="2897" spans="6:11" x14ac:dyDescent="0.3">
      <c r="F2897" s="43">
        <v>42089</v>
      </c>
      <c r="G2897" s="44">
        <v>2056.1499020000001</v>
      </c>
      <c r="H2897" s="44">
        <v>1501.8100589999999</v>
      </c>
      <c r="I2897" s="44">
        <v>1231.98999</v>
      </c>
      <c r="J2897" s="44">
        <v>64.970000999999996</v>
      </c>
      <c r="K2897" s="44">
        <v>111.029999</v>
      </c>
    </row>
    <row r="2898" spans="6:11" x14ac:dyDescent="0.3">
      <c r="F2898" s="43">
        <v>42090</v>
      </c>
      <c r="G2898" s="44">
        <v>2061.0200199999999</v>
      </c>
      <c r="H2898" s="44">
        <v>1508.51001</v>
      </c>
      <c r="I2898" s="44">
        <v>1240.410034</v>
      </c>
      <c r="J2898" s="44">
        <v>65.139999000000003</v>
      </c>
      <c r="K2898" s="44">
        <v>111.19000200000001</v>
      </c>
    </row>
    <row r="2899" spans="6:11" x14ac:dyDescent="0.3">
      <c r="F2899" s="43">
        <v>42093</v>
      </c>
      <c r="G2899" s="44">
        <v>2086.23999</v>
      </c>
      <c r="H2899" s="44">
        <v>1529.73999</v>
      </c>
      <c r="I2899" s="44">
        <v>1257.8000489999999</v>
      </c>
      <c r="J2899" s="44">
        <v>65.180000000000007</v>
      </c>
      <c r="K2899" s="44">
        <v>111.239998</v>
      </c>
    </row>
    <row r="2900" spans="6:11" x14ac:dyDescent="0.3">
      <c r="F2900" s="43">
        <v>42094</v>
      </c>
      <c r="G2900" s="44">
        <v>2067.889893</v>
      </c>
      <c r="H2900" s="44">
        <v>1524.030029</v>
      </c>
      <c r="I2900" s="44">
        <v>1252.7700199999999</v>
      </c>
      <c r="J2900" s="44">
        <v>64.169998000000007</v>
      </c>
      <c r="K2900" s="44">
        <v>111.43</v>
      </c>
    </row>
    <row r="2901" spans="6:11" x14ac:dyDescent="0.3">
      <c r="F2901" s="43">
        <v>42095</v>
      </c>
      <c r="G2901" s="44">
        <v>2059.6899410000001</v>
      </c>
      <c r="H2901" s="44">
        <v>1518.7700199999999</v>
      </c>
      <c r="I2901" s="44">
        <v>1251.709961</v>
      </c>
      <c r="J2901" s="44">
        <v>64.629997000000003</v>
      </c>
      <c r="K2901" s="44">
        <v>111.58000199999999</v>
      </c>
    </row>
    <row r="2902" spans="6:11" x14ac:dyDescent="0.3">
      <c r="F2902" s="43">
        <v>42096</v>
      </c>
      <c r="G2902" s="44">
        <v>2066.959961</v>
      </c>
      <c r="H2902" s="44">
        <v>1523.9399410000001</v>
      </c>
      <c r="I2902" s="44">
        <v>1255.660034</v>
      </c>
      <c r="J2902" s="44">
        <v>65.190002000000007</v>
      </c>
      <c r="K2902" s="44">
        <v>111.43</v>
      </c>
    </row>
    <row r="2903" spans="6:11" x14ac:dyDescent="0.3">
      <c r="F2903" s="43">
        <v>42100</v>
      </c>
      <c r="G2903" s="44">
        <v>2080.6201169999999</v>
      </c>
      <c r="H2903" s="44">
        <v>1536.589966</v>
      </c>
      <c r="I2903" s="44">
        <v>1260.540039</v>
      </c>
      <c r="J2903" s="44">
        <v>65.849997999999999</v>
      </c>
      <c r="K2903" s="44">
        <v>111.5</v>
      </c>
    </row>
    <row r="2904" spans="6:11" x14ac:dyDescent="0.3">
      <c r="F2904" s="43">
        <v>42101</v>
      </c>
      <c r="G2904" s="44">
        <v>2076.330078</v>
      </c>
      <c r="H2904" s="44">
        <v>1524.619995</v>
      </c>
      <c r="I2904" s="44">
        <v>1253.3599850000001</v>
      </c>
      <c r="J2904" s="44">
        <v>65.760002</v>
      </c>
      <c r="K2904" s="44">
        <v>111.519997</v>
      </c>
    </row>
    <row r="2905" spans="6:11" x14ac:dyDescent="0.3">
      <c r="F2905" s="43">
        <v>42102</v>
      </c>
      <c r="G2905" s="44">
        <v>2081.8999020000001</v>
      </c>
      <c r="H2905" s="44">
        <v>1531.290039</v>
      </c>
      <c r="I2905" s="44">
        <v>1262.709961</v>
      </c>
      <c r="J2905" s="44">
        <v>66.040001000000004</v>
      </c>
      <c r="K2905" s="44">
        <v>111.529999</v>
      </c>
    </row>
    <row r="2906" spans="6:11" x14ac:dyDescent="0.3">
      <c r="F2906" s="43">
        <v>42103</v>
      </c>
      <c r="G2906" s="44">
        <v>2091.179932</v>
      </c>
      <c r="H2906" s="44">
        <v>1531.160034</v>
      </c>
      <c r="I2906" s="44">
        <v>1259.1099850000001</v>
      </c>
      <c r="J2906" s="44">
        <v>66.129997000000003</v>
      </c>
      <c r="K2906" s="44">
        <v>111.25</v>
      </c>
    </row>
    <row r="2907" spans="6:11" x14ac:dyDescent="0.3">
      <c r="F2907" s="43">
        <v>42104</v>
      </c>
      <c r="G2907" s="44">
        <v>2102.0600589999999</v>
      </c>
      <c r="H2907" s="44">
        <v>1534.959961</v>
      </c>
      <c r="I2907" s="44">
        <v>1264.7700199999999</v>
      </c>
      <c r="J2907" s="44">
        <v>66.260002</v>
      </c>
      <c r="K2907" s="44">
        <v>111.25</v>
      </c>
    </row>
    <row r="2908" spans="6:11" x14ac:dyDescent="0.3">
      <c r="F2908" s="43">
        <v>42107</v>
      </c>
      <c r="G2908" s="44">
        <v>2092.429932</v>
      </c>
      <c r="H2908" s="44">
        <v>1529.8900149999999</v>
      </c>
      <c r="I2908" s="44">
        <v>1265.589966</v>
      </c>
      <c r="J2908" s="44">
        <v>65.839995999999999</v>
      </c>
      <c r="K2908" s="44">
        <v>111.370003</v>
      </c>
    </row>
    <row r="2909" spans="6:11" x14ac:dyDescent="0.3">
      <c r="F2909" s="43">
        <v>42108</v>
      </c>
      <c r="G2909" s="44">
        <v>2095.8400879999999</v>
      </c>
      <c r="H2909" s="44">
        <v>1531.0600589999999</v>
      </c>
      <c r="I2909" s="44">
        <v>1265.349976</v>
      </c>
      <c r="J2909" s="44">
        <v>66.330001999999993</v>
      </c>
      <c r="K2909" s="44">
        <v>111.489998</v>
      </c>
    </row>
    <row r="2910" spans="6:11" x14ac:dyDescent="0.3">
      <c r="F2910" s="43">
        <v>42109</v>
      </c>
      <c r="G2910" s="44">
        <v>2106.6298830000001</v>
      </c>
      <c r="H2910" s="44">
        <v>1537.670044</v>
      </c>
      <c r="I2910" s="44">
        <v>1275.349976</v>
      </c>
      <c r="J2910" s="44">
        <v>66.629997000000003</v>
      </c>
      <c r="K2910" s="44">
        <v>111.639999</v>
      </c>
    </row>
    <row r="2911" spans="6:11" x14ac:dyDescent="0.3">
      <c r="F2911" s="43">
        <v>42110</v>
      </c>
      <c r="G2911" s="44">
        <v>2104.98999</v>
      </c>
      <c r="H2911" s="44">
        <v>1534.23999</v>
      </c>
      <c r="I2911" s="44">
        <v>1272.900024</v>
      </c>
      <c r="J2911" s="44">
        <v>66.809997999999993</v>
      </c>
      <c r="K2911" s="44">
        <v>111.58000199999999</v>
      </c>
    </row>
    <row r="2912" spans="6:11" x14ac:dyDescent="0.3">
      <c r="F2912" s="43">
        <v>42111</v>
      </c>
      <c r="G2912" s="44">
        <v>2081.179932</v>
      </c>
      <c r="H2912" s="44">
        <v>1515.8000489999999</v>
      </c>
      <c r="I2912" s="44">
        <v>1251.8599850000001</v>
      </c>
      <c r="J2912" s="44">
        <v>65.970000999999996</v>
      </c>
      <c r="K2912" s="44">
        <v>111.66999800000001</v>
      </c>
    </row>
    <row r="2913" spans="6:11" x14ac:dyDescent="0.3">
      <c r="F2913" s="43">
        <v>42114</v>
      </c>
      <c r="G2913" s="44">
        <v>2100.3999020000001</v>
      </c>
      <c r="H2913" s="44">
        <v>1528.839966</v>
      </c>
      <c r="I2913" s="44">
        <v>1264.920044</v>
      </c>
      <c r="J2913" s="44">
        <v>66.040001000000004</v>
      </c>
      <c r="K2913" s="44">
        <v>111.589996</v>
      </c>
    </row>
    <row r="2914" spans="6:11" x14ac:dyDescent="0.3">
      <c r="F2914" s="43">
        <v>42115</v>
      </c>
      <c r="G2914" s="44">
        <v>2097.290039</v>
      </c>
      <c r="H2914" s="44">
        <v>1528.9499510000001</v>
      </c>
      <c r="I2914" s="44">
        <v>1264.150024</v>
      </c>
      <c r="J2914" s="44">
        <v>66.629997000000003</v>
      </c>
      <c r="K2914" s="44">
        <v>111.470001</v>
      </c>
    </row>
    <row r="2915" spans="6:11" x14ac:dyDescent="0.3">
      <c r="F2915" s="43">
        <v>42116</v>
      </c>
      <c r="G2915" s="44">
        <v>2107.959961</v>
      </c>
      <c r="H2915" s="44">
        <v>1532.73999</v>
      </c>
      <c r="I2915" s="44">
        <v>1265.4799800000001</v>
      </c>
      <c r="J2915" s="44">
        <v>66.760002</v>
      </c>
      <c r="K2915" s="44">
        <v>111.139999</v>
      </c>
    </row>
    <row r="2916" spans="6:11" x14ac:dyDescent="0.3">
      <c r="F2916" s="43">
        <v>42117</v>
      </c>
      <c r="G2916" s="44">
        <v>2112.929932</v>
      </c>
      <c r="H2916" s="44">
        <v>1540.1999510000001</v>
      </c>
      <c r="I2916" s="44">
        <v>1271.540039</v>
      </c>
      <c r="J2916" s="44">
        <v>67.010002</v>
      </c>
      <c r="K2916" s="44">
        <v>111.30999799999999</v>
      </c>
    </row>
    <row r="2917" spans="6:11" x14ac:dyDescent="0.3">
      <c r="F2917" s="43">
        <v>42118</v>
      </c>
      <c r="G2917" s="44">
        <v>2117.6899410000001</v>
      </c>
      <c r="H2917" s="44">
        <v>1533.839966</v>
      </c>
      <c r="I2917" s="44">
        <v>1267.540039</v>
      </c>
      <c r="J2917" s="44">
        <v>67.400002000000001</v>
      </c>
      <c r="K2917" s="44">
        <v>111.5</v>
      </c>
    </row>
    <row r="2918" spans="6:11" x14ac:dyDescent="0.3">
      <c r="F2918" s="43">
        <v>42121</v>
      </c>
      <c r="G2918" s="44">
        <v>2108.919922</v>
      </c>
      <c r="H2918" s="44">
        <v>1521.8900149999999</v>
      </c>
      <c r="I2918" s="44">
        <v>1252.6999510000001</v>
      </c>
      <c r="J2918" s="44">
        <v>67.730002999999996</v>
      </c>
      <c r="K2918" s="44">
        <v>111.540001</v>
      </c>
    </row>
    <row r="2919" spans="6:11" x14ac:dyDescent="0.3">
      <c r="F2919" s="43">
        <v>42122</v>
      </c>
      <c r="G2919" s="44">
        <v>2114.76001</v>
      </c>
      <c r="H2919" s="44">
        <v>1526.969971</v>
      </c>
      <c r="I2919" s="44">
        <v>1259.3599850000001</v>
      </c>
      <c r="J2919" s="44">
        <v>67.809997999999993</v>
      </c>
      <c r="K2919" s="44">
        <v>111.110001</v>
      </c>
    </row>
    <row r="2920" spans="6:11" x14ac:dyDescent="0.3">
      <c r="F2920" s="43">
        <v>42123</v>
      </c>
      <c r="G2920" s="44">
        <v>2106.8500979999999</v>
      </c>
      <c r="H2920" s="44">
        <v>1518.589966</v>
      </c>
      <c r="I2920" s="44">
        <v>1246.9499510000001</v>
      </c>
      <c r="J2920" s="44">
        <v>67.220000999999996</v>
      </c>
      <c r="K2920" s="44">
        <v>110.860001</v>
      </c>
    </row>
    <row r="2921" spans="6:11" x14ac:dyDescent="0.3">
      <c r="F2921" s="43">
        <v>42124</v>
      </c>
      <c r="G2921" s="44">
        <v>2085.51001</v>
      </c>
      <c r="H2921" s="44">
        <v>1500.1899410000001</v>
      </c>
      <c r="I2921" s="44">
        <v>1220.130005</v>
      </c>
      <c r="J2921" s="44">
        <v>66.510002</v>
      </c>
      <c r="K2921" s="44">
        <v>110.860001</v>
      </c>
    </row>
    <row r="2922" spans="6:11" x14ac:dyDescent="0.3">
      <c r="F2922" s="43">
        <v>42125</v>
      </c>
      <c r="G2922" s="44">
        <v>2108.290039</v>
      </c>
      <c r="H2922" s="44">
        <v>1513.51001</v>
      </c>
      <c r="I2922" s="44">
        <v>1228.1099850000001</v>
      </c>
      <c r="J2922" s="44">
        <v>67.25</v>
      </c>
      <c r="K2922" s="44">
        <v>110.339996</v>
      </c>
    </row>
    <row r="2923" spans="6:11" x14ac:dyDescent="0.3">
      <c r="F2923" s="43">
        <v>42128</v>
      </c>
      <c r="G2923" s="44">
        <v>2114.48999</v>
      </c>
      <c r="H2923" s="44">
        <v>1519.459961</v>
      </c>
      <c r="I2923" s="44">
        <v>1233.219971</v>
      </c>
      <c r="J2923" s="44">
        <v>67.180000000000007</v>
      </c>
      <c r="K2923" s="44">
        <v>110.129997</v>
      </c>
    </row>
    <row r="2924" spans="6:11" x14ac:dyDescent="0.3">
      <c r="F2924" s="43">
        <v>42129</v>
      </c>
      <c r="G2924" s="44">
        <v>2089.459961</v>
      </c>
      <c r="H2924" s="44">
        <v>1500</v>
      </c>
      <c r="I2924" s="44">
        <v>1215.420044</v>
      </c>
      <c r="J2924" s="44">
        <v>66.180000000000007</v>
      </c>
      <c r="K2924" s="44">
        <v>110.029999</v>
      </c>
    </row>
    <row r="2925" spans="6:11" x14ac:dyDescent="0.3">
      <c r="F2925" s="43">
        <v>42130</v>
      </c>
      <c r="G2925" s="44">
        <v>2080.1499020000001</v>
      </c>
      <c r="H2925" s="44">
        <v>1499.6800539999999</v>
      </c>
      <c r="I2925" s="44">
        <v>1219.3599850000001</v>
      </c>
      <c r="J2925" s="44">
        <v>66.349997999999999</v>
      </c>
      <c r="K2925" s="44">
        <v>109.660004</v>
      </c>
    </row>
    <row r="2926" spans="6:11" x14ac:dyDescent="0.3">
      <c r="F2926" s="43">
        <v>42131</v>
      </c>
      <c r="G2926" s="44">
        <v>2088</v>
      </c>
      <c r="H2926" s="44">
        <v>1505.2299800000001</v>
      </c>
      <c r="I2926" s="44">
        <v>1225.540039</v>
      </c>
      <c r="J2926" s="44">
        <v>66.129997000000003</v>
      </c>
      <c r="K2926" s="44">
        <v>109.93</v>
      </c>
    </row>
    <row r="2927" spans="6:11" x14ac:dyDescent="0.3">
      <c r="F2927" s="43">
        <v>42132</v>
      </c>
      <c r="G2927" s="44">
        <v>2116.1000979999999</v>
      </c>
      <c r="H2927" s="44">
        <v>1518.7700199999999</v>
      </c>
      <c r="I2927" s="44">
        <v>1234.9300539999999</v>
      </c>
      <c r="J2927" s="44">
        <v>67.660004000000001</v>
      </c>
      <c r="K2927" s="44">
        <v>110.290001</v>
      </c>
    </row>
    <row r="2928" spans="6:11" x14ac:dyDescent="0.3">
      <c r="F2928" s="43">
        <v>42135</v>
      </c>
      <c r="G2928" s="44">
        <v>2105.330078</v>
      </c>
      <c r="H2928" s="44">
        <v>1517.9799800000001</v>
      </c>
      <c r="I2928" s="44">
        <v>1235.829956</v>
      </c>
      <c r="J2928" s="44">
        <v>67.069999999999993</v>
      </c>
      <c r="K2928" s="44">
        <v>109.589996</v>
      </c>
    </row>
    <row r="2929" spans="6:11" x14ac:dyDescent="0.3">
      <c r="F2929" s="43">
        <v>42136</v>
      </c>
      <c r="G2929" s="44">
        <v>2099.1201169999999</v>
      </c>
      <c r="H2929" s="44">
        <v>1514.73999</v>
      </c>
      <c r="I2929" s="44">
        <v>1233.130005</v>
      </c>
      <c r="J2929" s="44">
        <v>67.029999000000004</v>
      </c>
      <c r="K2929" s="44">
        <v>109.58000199999999</v>
      </c>
    </row>
    <row r="2930" spans="6:11" x14ac:dyDescent="0.3">
      <c r="F2930" s="43">
        <v>42137</v>
      </c>
      <c r="G2930" s="44">
        <v>2098.4799800000001</v>
      </c>
      <c r="H2930" s="44">
        <v>1515.920044</v>
      </c>
      <c r="I2930" s="44">
        <v>1232.280029</v>
      </c>
      <c r="J2930" s="44">
        <v>67.529999000000004</v>
      </c>
      <c r="K2930" s="44">
        <v>109.57</v>
      </c>
    </row>
    <row r="2931" spans="6:11" x14ac:dyDescent="0.3">
      <c r="F2931" s="43">
        <v>42138</v>
      </c>
      <c r="G2931" s="44">
        <v>2121.1000979999999</v>
      </c>
      <c r="H2931" s="44">
        <v>1531.98999</v>
      </c>
      <c r="I2931" s="44">
        <v>1245.1099850000001</v>
      </c>
      <c r="J2931" s="44">
        <v>68.339995999999999</v>
      </c>
      <c r="K2931" s="44">
        <v>109.739998</v>
      </c>
    </row>
    <row r="2932" spans="6:11" x14ac:dyDescent="0.3">
      <c r="F2932" s="43">
        <v>42139</v>
      </c>
      <c r="G2932" s="44">
        <v>2122.7299800000001</v>
      </c>
      <c r="H2932" s="44">
        <v>1531.280029</v>
      </c>
      <c r="I2932" s="44">
        <v>1243.9499510000001</v>
      </c>
      <c r="J2932" s="44">
        <v>68.419998000000007</v>
      </c>
      <c r="K2932" s="44">
        <v>110.199997</v>
      </c>
    </row>
    <row r="2933" spans="6:11" x14ac:dyDescent="0.3">
      <c r="F2933" s="43">
        <v>42142</v>
      </c>
      <c r="G2933" s="44">
        <v>2129.1999510000001</v>
      </c>
      <c r="H2933" s="44">
        <v>1543.6099850000001</v>
      </c>
      <c r="I2933" s="44">
        <v>1257.5200199999999</v>
      </c>
      <c r="J2933" s="44">
        <v>68.190002000000007</v>
      </c>
      <c r="K2933" s="44">
        <v>109.779999</v>
      </c>
    </row>
    <row r="2934" spans="6:11" x14ac:dyDescent="0.3">
      <c r="F2934" s="43">
        <v>42143</v>
      </c>
      <c r="G2934" s="44">
        <v>2127.830078</v>
      </c>
      <c r="H2934" s="44">
        <v>1540.969971</v>
      </c>
      <c r="I2934" s="44">
        <v>1255.660034</v>
      </c>
      <c r="J2934" s="44">
        <v>67.930000000000007</v>
      </c>
      <c r="K2934" s="44">
        <v>109.400002</v>
      </c>
    </row>
    <row r="2935" spans="6:11" x14ac:dyDescent="0.3">
      <c r="F2935" s="43">
        <v>42144</v>
      </c>
      <c r="G2935" s="44">
        <v>2125.8500979999999</v>
      </c>
      <c r="H2935" s="44">
        <v>1541.380005</v>
      </c>
      <c r="I2935" s="44">
        <v>1257.73999</v>
      </c>
      <c r="J2935" s="44">
        <v>68.059997999999993</v>
      </c>
      <c r="K2935" s="44">
        <v>109.57</v>
      </c>
    </row>
    <row r="2936" spans="6:11" x14ac:dyDescent="0.3">
      <c r="F2936" s="43">
        <v>42145</v>
      </c>
      <c r="G2936" s="44">
        <v>2130.820068</v>
      </c>
      <c r="H2936" s="44">
        <v>1542.790039</v>
      </c>
      <c r="I2936" s="44">
        <v>1256.73999</v>
      </c>
      <c r="J2936" s="44">
        <v>68.419998000000007</v>
      </c>
      <c r="K2936" s="44">
        <v>109.910004</v>
      </c>
    </row>
    <row r="2937" spans="6:11" x14ac:dyDescent="0.3">
      <c r="F2937" s="43">
        <v>42146</v>
      </c>
      <c r="G2937" s="44">
        <v>2126.0600589999999</v>
      </c>
      <c r="H2937" s="44">
        <v>1541.5600589999999</v>
      </c>
      <c r="I2937" s="44">
        <v>1252.219971</v>
      </c>
      <c r="J2937" s="44">
        <v>67.980002999999996</v>
      </c>
      <c r="K2937" s="44">
        <v>109.790001</v>
      </c>
    </row>
    <row r="2938" spans="6:11" x14ac:dyDescent="0.3">
      <c r="F2938" s="43">
        <v>42150</v>
      </c>
      <c r="G2938" s="44">
        <v>2104.1999510000001</v>
      </c>
      <c r="H2938" s="44">
        <v>1524.6999510000001</v>
      </c>
      <c r="I2938" s="44">
        <v>1238.76001</v>
      </c>
      <c r="J2938" s="44">
        <v>66.760002</v>
      </c>
      <c r="K2938" s="44">
        <v>110.05999799999999</v>
      </c>
    </row>
    <row r="2939" spans="6:11" x14ac:dyDescent="0.3">
      <c r="F2939" s="43">
        <v>42151</v>
      </c>
      <c r="G2939" s="44">
        <v>2123.4799800000001</v>
      </c>
      <c r="H2939" s="44">
        <v>1537.630005</v>
      </c>
      <c r="I2939" s="44">
        <v>1254.3599850000001</v>
      </c>
      <c r="J2939" s="44">
        <v>67.410004000000001</v>
      </c>
      <c r="K2939" s="44">
        <v>110.16999800000001</v>
      </c>
    </row>
    <row r="2940" spans="6:11" x14ac:dyDescent="0.3">
      <c r="F2940" s="43">
        <v>42152</v>
      </c>
      <c r="G2940" s="44">
        <v>2120.790039</v>
      </c>
      <c r="H2940" s="44">
        <v>1534.380005</v>
      </c>
      <c r="I2940" s="44">
        <v>1253.099976</v>
      </c>
      <c r="J2940" s="44">
        <v>67.290001000000004</v>
      </c>
      <c r="K2940" s="44">
        <v>110.129997</v>
      </c>
    </row>
    <row r="2941" spans="6:11" x14ac:dyDescent="0.3">
      <c r="F2941" s="43">
        <v>42153</v>
      </c>
      <c r="G2941" s="44">
        <v>2107.389893</v>
      </c>
      <c r="H2941" s="44">
        <v>1524.670044</v>
      </c>
      <c r="I2941" s="44">
        <v>1246.530029</v>
      </c>
      <c r="J2941" s="44">
        <v>66.639999000000003</v>
      </c>
      <c r="K2941" s="44">
        <v>110.16999800000001</v>
      </c>
    </row>
    <row r="2942" spans="6:11" x14ac:dyDescent="0.3">
      <c r="F2942" s="43">
        <v>42156</v>
      </c>
      <c r="G2942" s="44">
        <v>2111.7299800000001</v>
      </c>
      <c r="H2942" s="44">
        <v>1526.900024</v>
      </c>
      <c r="I2942" s="44">
        <v>1249.619995</v>
      </c>
      <c r="J2942" s="44">
        <v>66.459998999999996</v>
      </c>
      <c r="K2942" s="44">
        <v>109.660004</v>
      </c>
    </row>
    <row r="2943" spans="6:11" x14ac:dyDescent="0.3">
      <c r="F2943" s="43">
        <v>42157</v>
      </c>
      <c r="G2943" s="44">
        <v>2109.6000979999999</v>
      </c>
      <c r="H2943" s="44">
        <v>1528.0500489999999</v>
      </c>
      <c r="I2943" s="44">
        <v>1251.8000489999999</v>
      </c>
      <c r="J2943" s="44">
        <v>66.769997000000004</v>
      </c>
      <c r="K2943" s="44">
        <v>109.230003</v>
      </c>
    </row>
    <row r="2944" spans="6:11" x14ac:dyDescent="0.3">
      <c r="F2944" s="43">
        <v>42158</v>
      </c>
      <c r="G2944" s="44">
        <v>2114.070068</v>
      </c>
      <c r="H2944" s="44">
        <v>1535.6400149999999</v>
      </c>
      <c r="I2944" s="44">
        <v>1264.579956</v>
      </c>
      <c r="J2944" s="44">
        <v>67.139999000000003</v>
      </c>
      <c r="K2944" s="44">
        <v>108.800003</v>
      </c>
    </row>
    <row r="2945" spans="6:11" x14ac:dyDescent="0.3">
      <c r="F2945" s="43">
        <v>42159</v>
      </c>
      <c r="G2945" s="44">
        <v>2095.8400879999999</v>
      </c>
      <c r="H2945" s="44">
        <v>1521.4399410000001</v>
      </c>
      <c r="I2945" s="44">
        <v>1251.290039</v>
      </c>
      <c r="J2945" s="44">
        <v>66.419998000000007</v>
      </c>
      <c r="K2945" s="44">
        <v>109.029999</v>
      </c>
    </row>
    <row r="2946" spans="6:11" x14ac:dyDescent="0.3">
      <c r="F2946" s="43">
        <v>42160</v>
      </c>
      <c r="G2946" s="44">
        <v>2092.830078</v>
      </c>
      <c r="H2946" s="44">
        <v>1526.619995</v>
      </c>
      <c r="I2946" s="44">
        <v>1261.01001</v>
      </c>
      <c r="J2946" s="44">
        <v>65.629997000000003</v>
      </c>
      <c r="K2946" s="44">
        <v>108.550003</v>
      </c>
    </row>
    <row r="2947" spans="6:11" x14ac:dyDescent="0.3">
      <c r="F2947" s="43">
        <v>42163</v>
      </c>
      <c r="G2947" s="44">
        <v>2079.280029</v>
      </c>
      <c r="H2947" s="44">
        <v>1516.209961</v>
      </c>
      <c r="I2947" s="44">
        <v>1253.6999510000001</v>
      </c>
      <c r="J2947" s="44">
        <v>65.540001000000004</v>
      </c>
      <c r="K2947" s="44">
        <v>108.709999</v>
      </c>
    </row>
    <row r="2948" spans="6:11" x14ac:dyDescent="0.3">
      <c r="F2948" s="43">
        <v>42164</v>
      </c>
      <c r="G2948" s="44">
        <v>2080.1499020000001</v>
      </c>
      <c r="H2948" s="44">
        <v>1512.9799800000001</v>
      </c>
      <c r="I2948" s="44">
        <v>1249.660034</v>
      </c>
      <c r="J2948" s="44">
        <v>65.180000000000007</v>
      </c>
      <c r="K2948" s="44">
        <v>108.400002</v>
      </c>
    </row>
    <row r="2949" spans="6:11" x14ac:dyDescent="0.3">
      <c r="F2949" s="43">
        <v>42165</v>
      </c>
      <c r="G2949" s="44">
        <v>2105.1999510000001</v>
      </c>
      <c r="H2949" s="44">
        <v>1530.329956</v>
      </c>
      <c r="I2949" s="44">
        <v>1266.9300539999999</v>
      </c>
      <c r="J2949" s="44">
        <v>66.550003000000004</v>
      </c>
      <c r="K2949" s="44">
        <v>108.129997</v>
      </c>
    </row>
    <row r="2950" spans="6:11" x14ac:dyDescent="0.3">
      <c r="F2950" s="43">
        <v>42166</v>
      </c>
      <c r="G2950" s="44">
        <v>2108.860107</v>
      </c>
      <c r="H2950" s="44">
        <v>1537.540039</v>
      </c>
      <c r="I2950" s="44">
        <v>1268.920044</v>
      </c>
      <c r="J2950" s="44">
        <v>66.730002999999996</v>
      </c>
      <c r="K2950" s="44">
        <v>108.709999</v>
      </c>
    </row>
    <row r="2951" spans="6:11" x14ac:dyDescent="0.3">
      <c r="F2951" s="43">
        <v>42167</v>
      </c>
      <c r="G2951" s="44">
        <v>2094.110107</v>
      </c>
      <c r="H2951" s="44">
        <v>1530.8900149999999</v>
      </c>
      <c r="I2951" s="44">
        <v>1265.0200199999999</v>
      </c>
      <c r="J2951" s="44">
        <v>66.199996999999996</v>
      </c>
      <c r="K2951" s="44">
        <v>108.58000199999999</v>
      </c>
    </row>
    <row r="2952" spans="6:11" x14ac:dyDescent="0.3">
      <c r="F2952" s="43">
        <v>42170</v>
      </c>
      <c r="G2952" s="44">
        <v>2084.429932</v>
      </c>
      <c r="H2952" s="44">
        <v>1521.880005</v>
      </c>
      <c r="I2952" s="44">
        <v>1261.040039</v>
      </c>
      <c r="J2952" s="44">
        <v>65.800003000000004</v>
      </c>
      <c r="K2952" s="44">
        <v>108.709999</v>
      </c>
    </row>
    <row r="2953" spans="6:11" x14ac:dyDescent="0.3">
      <c r="F2953" s="43">
        <v>42171</v>
      </c>
      <c r="G2953" s="44">
        <v>2096.290039</v>
      </c>
      <c r="H2953" s="44">
        <v>1532.079956</v>
      </c>
      <c r="I2953" s="44">
        <v>1269.530029</v>
      </c>
      <c r="J2953" s="44">
        <v>65.779999000000004</v>
      </c>
      <c r="K2953" s="44">
        <v>108.889999</v>
      </c>
    </row>
    <row r="2954" spans="6:11" x14ac:dyDescent="0.3">
      <c r="F2954" s="43">
        <v>42172</v>
      </c>
      <c r="G2954" s="44">
        <v>2100.4399410000001</v>
      </c>
      <c r="H2954" s="44">
        <v>1531.780029</v>
      </c>
      <c r="I2954" s="44">
        <v>1268.329956</v>
      </c>
      <c r="J2954" s="44">
        <v>65.629997000000003</v>
      </c>
      <c r="K2954" s="44">
        <v>108.900002</v>
      </c>
    </row>
    <row r="2955" spans="6:11" x14ac:dyDescent="0.3">
      <c r="F2955" s="43">
        <v>42173</v>
      </c>
      <c r="G2955" s="44">
        <v>2121.23999</v>
      </c>
      <c r="H2955" s="44">
        <v>1544.2700199999999</v>
      </c>
      <c r="I2955" s="44">
        <v>1284.6800539999999</v>
      </c>
      <c r="J2955" s="44">
        <v>66.220000999999996</v>
      </c>
      <c r="K2955" s="44">
        <v>108.870003</v>
      </c>
    </row>
    <row r="2956" spans="6:11" x14ac:dyDescent="0.3">
      <c r="F2956" s="43">
        <v>42174</v>
      </c>
      <c r="G2956" s="44">
        <v>2109.98999</v>
      </c>
      <c r="H2956" s="44">
        <v>1540.829956</v>
      </c>
      <c r="I2956" s="44">
        <v>1284.660034</v>
      </c>
      <c r="J2956" s="44">
        <v>66.059997999999993</v>
      </c>
      <c r="K2956" s="44">
        <v>109.209999</v>
      </c>
    </row>
    <row r="2957" spans="6:11" x14ac:dyDescent="0.3">
      <c r="F2957" s="43">
        <v>42177</v>
      </c>
      <c r="G2957" s="44">
        <v>2122.8500979999999</v>
      </c>
      <c r="H2957" s="44">
        <v>1547.910034</v>
      </c>
      <c r="I2957" s="44">
        <v>1292.3900149999999</v>
      </c>
      <c r="J2957" s="44">
        <v>67.309997999999993</v>
      </c>
      <c r="K2957" s="44">
        <v>108.66999800000001</v>
      </c>
    </row>
    <row r="2958" spans="6:11" x14ac:dyDescent="0.3">
      <c r="F2958" s="43">
        <v>42178</v>
      </c>
      <c r="G2958" s="44">
        <v>2124.1999510000001</v>
      </c>
      <c r="H2958" s="44">
        <v>1549.4399410000001</v>
      </c>
      <c r="I2958" s="44">
        <v>1295.8000489999999</v>
      </c>
      <c r="J2958" s="44">
        <v>67.489998</v>
      </c>
      <c r="K2958" s="44">
        <v>108.41999800000001</v>
      </c>
    </row>
    <row r="2959" spans="6:11" x14ac:dyDescent="0.3">
      <c r="F2959" s="43">
        <v>42179</v>
      </c>
      <c r="G2959" s="44">
        <v>2108.580078</v>
      </c>
      <c r="H2959" s="44">
        <v>1534.3199460000001</v>
      </c>
      <c r="I2959" s="44">
        <v>1283.920044</v>
      </c>
      <c r="J2959" s="44">
        <v>66.910004000000001</v>
      </c>
      <c r="K2959" s="44">
        <v>108.589996</v>
      </c>
    </row>
    <row r="2960" spans="6:11" x14ac:dyDescent="0.3">
      <c r="F2960" s="43">
        <v>42180</v>
      </c>
      <c r="G2960" s="44">
        <v>2102.3100589999999</v>
      </c>
      <c r="H2960" s="44">
        <v>1530.410034</v>
      </c>
      <c r="I2960" s="44">
        <v>1283.280029</v>
      </c>
      <c r="J2960" s="44">
        <v>65.769997000000004</v>
      </c>
      <c r="K2960" s="44">
        <v>108.470001</v>
      </c>
    </row>
    <row r="2961" spans="6:11" x14ac:dyDescent="0.3">
      <c r="F2961" s="43">
        <v>42181</v>
      </c>
      <c r="G2961" s="44">
        <v>2101.48999</v>
      </c>
      <c r="H2961" s="44">
        <v>1532.619995</v>
      </c>
      <c r="I2961" s="44">
        <v>1279.8000489999999</v>
      </c>
      <c r="J2961" s="44">
        <v>65.739998</v>
      </c>
      <c r="K2961" s="44">
        <v>108.209999</v>
      </c>
    </row>
    <row r="2962" spans="6:11" x14ac:dyDescent="0.3">
      <c r="F2962" s="43">
        <v>42184</v>
      </c>
      <c r="G2962" s="44">
        <v>2057.639893</v>
      </c>
      <c r="H2962" s="44">
        <v>1500.099976</v>
      </c>
      <c r="I2962" s="44">
        <v>1246.75</v>
      </c>
      <c r="J2962" s="44">
        <v>63.720001000000003</v>
      </c>
      <c r="K2962" s="44">
        <v>108.849998</v>
      </c>
    </row>
    <row r="2963" spans="6:11" x14ac:dyDescent="0.3">
      <c r="F2963" s="43">
        <v>42185</v>
      </c>
      <c r="G2963" s="44">
        <v>2063.110107</v>
      </c>
      <c r="H2963" s="44">
        <v>1502.170044</v>
      </c>
      <c r="I2963" s="44">
        <v>1253.9499510000001</v>
      </c>
      <c r="J2963" s="44">
        <v>63.490001999999997</v>
      </c>
      <c r="K2963" s="44">
        <v>108.779999</v>
      </c>
    </row>
    <row r="2964" spans="6:11" x14ac:dyDescent="0.3">
      <c r="F2964" s="43">
        <v>42186</v>
      </c>
      <c r="G2964" s="44">
        <v>2077.419922</v>
      </c>
      <c r="H2964" s="44">
        <v>1508.5699460000001</v>
      </c>
      <c r="I2964" s="44">
        <v>1256.400024</v>
      </c>
      <c r="J2964" s="44">
        <v>63.900002000000001</v>
      </c>
      <c r="K2964" s="44">
        <v>108.290001</v>
      </c>
    </row>
    <row r="2965" spans="6:11" x14ac:dyDescent="0.3">
      <c r="F2965" s="43">
        <v>42187</v>
      </c>
      <c r="G2965" s="44">
        <v>2076.780029</v>
      </c>
      <c r="H2965" s="44">
        <v>1505.76001</v>
      </c>
      <c r="I2965" s="44">
        <v>1248.26001</v>
      </c>
      <c r="J2965" s="44">
        <v>63.98</v>
      </c>
      <c r="K2965" s="44">
        <v>108.44000200000001</v>
      </c>
    </row>
    <row r="2966" spans="6:11" x14ac:dyDescent="0.3">
      <c r="F2966" s="43">
        <v>42191</v>
      </c>
      <c r="G2966" s="44">
        <v>2068.76001</v>
      </c>
      <c r="H2966" s="44">
        <v>1500.839966</v>
      </c>
      <c r="I2966" s="44">
        <v>1246.959961</v>
      </c>
      <c r="J2966" s="44">
        <v>62.689999</v>
      </c>
      <c r="K2966" s="44">
        <v>108.83000199999999</v>
      </c>
    </row>
    <row r="2967" spans="6:11" x14ac:dyDescent="0.3">
      <c r="F2967" s="43">
        <v>42192</v>
      </c>
      <c r="G2967" s="44">
        <v>2081.3400879999999</v>
      </c>
      <c r="H2967" s="44">
        <v>1507.349976</v>
      </c>
      <c r="I2967" s="44">
        <v>1248.0500489999999</v>
      </c>
      <c r="J2967" s="44">
        <v>62.709999000000003</v>
      </c>
      <c r="K2967" s="44">
        <v>108.980003</v>
      </c>
    </row>
    <row r="2968" spans="6:11" x14ac:dyDescent="0.3">
      <c r="F2968" s="43">
        <v>42193</v>
      </c>
      <c r="G2968" s="44">
        <v>2046.6800539999999</v>
      </c>
      <c r="H2968" s="44">
        <v>1485.849976</v>
      </c>
      <c r="I2968" s="44">
        <v>1228.959961</v>
      </c>
      <c r="J2968" s="44">
        <v>61.25</v>
      </c>
      <c r="K2968" s="44">
        <v>109.239998</v>
      </c>
    </row>
    <row r="2969" spans="6:11" x14ac:dyDescent="0.3">
      <c r="F2969" s="43">
        <v>42194</v>
      </c>
      <c r="G2969" s="44">
        <v>2051.3100589999999</v>
      </c>
      <c r="H2969" s="44">
        <v>1487.8100589999999</v>
      </c>
      <c r="I2969" s="44">
        <v>1234.150024</v>
      </c>
      <c r="J2969" s="44">
        <v>62.259998000000003</v>
      </c>
      <c r="K2969" s="44">
        <v>108.839996</v>
      </c>
    </row>
    <row r="2970" spans="6:11" x14ac:dyDescent="0.3">
      <c r="F2970" s="43">
        <v>42195</v>
      </c>
      <c r="G2970" s="44">
        <v>2076.6201169999999</v>
      </c>
      <c r="H2970" s="44">
        <v>1503.7299800000001</v>
      </c>
      <c r="I2970" s="44">
        <v>1252.0200199999999</v>
      </c>
      <c r="J2970" s="44">
        <v>64.300003000000004</v>
      </c>
      <c r="K2970" s="44">
        <v>108.379997</v>
      </c>
    </row>
    <row r="2971" spans="6:11" x14ac:dyDescent="0.3">
      <c r="F2971" s="43">
        <v>42198</v>
      </c>
      <c r="G2971" s="44">
        <v>2099.6000979999999</v>
      </c>
      <c r="H2971" s="44">
        <v>1516.530029</v>
      </c>
      <c r="I2971" s="44">
        <v>1265.349976</v>
      </c>
      <c r="J2971" s="44">
        <v>64.540001000000004</v>
      </c>
      <c r="K2971" s="44">
        <v>108.220001</v>
      </c>
    </row>
    <row r="2972" spans="6:11" x14ac:dyDescent="0.3">
      <c r="F2972" s="43">
        <v>42199</v>
      </c>
      <c r="G2972" s="44">
        <v>2108.9499510000001</v>
      </c>
      <c r="H2972" s="44">
        <v>1522.98999</v>
      </c>
      <c r="I2972" s="44">
        <v>1273.329956</v>
      </c>
      <c r="J2972" s="44">
        <v>65.080001999999993</v>
      </c>
      <c r="K2972" s="44">
        <v>108.400002</v>
      </c>
    </row>
    <row r="2973" spans="6:11" x14ac:dyDescent="0.3">
      <c r="F2973" s="43">
        <v>42200</v>
      </c>
      <c r="G2973" s="44">
        <v>2107.3999020000001</v>
      </c>
      <c r="H2973" s="44">
        <v>1513.4300539999999</v>
      </c>
      <c r="I2973" s="44">
        <v>1264.5200199999999</v>
      </c>
      <c r="J2973" s="44">
        <v>64.839995999999999</v>
      </c>
      <c r="K2973" s="44">
        <v>108.69000200000001</v>
      </c>
    </row>
    <row r="2974" spans="6:11" x14ac:dyDescent="0.3">
      <c r="F2974" s="43">
        <v>42201</v>
      </c>
      <c r="G2974" s="44">
        <v>2124.290039</v>
      </c>
      <c r="H2974" s="44">
        <v>1519.4799800000001</v>
      </c>
      <c r="I2974" s="44">
        <v>1272.829956</v>
      </c>
      <c r="J2974" s="44">
        <v>65.400002000000001</v>
      </c>
      <c r="K2974" s="44">
        <v>108.779999</v>
      </c>
    </row>
    <row r="2975" spans="6:11" x14ac:dyDescent="0.3">
      <c r="F2975" s="43">
        <v>42202</v>
      </c>
      <c r="G2975" s="44">
        <v>2126.639893</v>
      </c>
      <c r="H2975" s="44">
        <v>1507.8199460000001</v>
      </c>
      <c r="I2975" s="44">
        <v>1267.089966</v>
      </c>
      <c r="J2975" s="44">
        <v>65.290001000000004</v>
      </c>
      <c r="K2975" s="44">
        <v>108.790001</v>
      </c>
    </row>
    <row r="2976" spans="6:11" x14ac:dyDescent="0.3">
      <c r="F2976" s="43">
        <v>42205</v>
      </c>
      <c r="G2976" s="44">
        <v>2128.280029</v>
      </c>
      <c r="H2976" s="44">
        <v>1507.48999</v>
      </c>
      <c r="I2976" s="44">
        <v>1260.219971</v>
      </c>
      <c r="J2976" s="44">
        <v>65.459998999999996</v>
      </c>
      <c r="K2976" s="44">
        <v>108.599998</v>
      </c>
    </row>
    <row r="2977" spans="6:11" x14ac:dyDescent="0.3">
      <c r="F2977" s="43">
        <v>42206</v>
      </c>
      <c r="G2977" s="44">
        <v>2119.209961</v>
      </c>
      <c r="H2977" s="44">
        <v>1496.4300539999999</v>
      </c>
      <c r="I2977" s="44">
        <v>1254.5699460000001</v>
      </c>
      <c r="J2977" s="44">
        <v>65.269997000000004</v>
      </c>
      <c r="K2977" s="44">
        <v>108.779999</v>
      </c>
    </row>
    <row r="2978" spans="6:11" x14ac:dyDescent="0.3">
      <c r="F2978" s="43">
        <v>42207</v>
      </c>
      <c r="G2978" s="44">
        <v>2114.1499020000001</v>
      </c>
      <c r="H2978" s="44">
        <v>1499.7700199999999</v>
      </c>
      <c r="I2978" s="44">
        <v>1258.349976</v>
      </c>
      <c r="J2978" s="44">
        <v>64.769997000000004</v>
      </c>
      <c r="K2978" s="44">
        <v>108.83000199999999</v>
      </c>
    </row>
    <row r="2979" spans="6:11" x14ac:dyDescent="0.3">
      <c r="F2979" s="43">
        <v>42208</v>
      </c>
      <c r="G2979" s="44">
        <v>2102.1499020000001</v>
      </c>
      <c r="H2979" s="44">
        <v>1490.3900149999999</v>
      </c>
      <c r="I2979" s="44">
        <v>1244.969971</v>
      </c>
      <c r="J2979" s="44">
        <v>64.599997999999999</v>
      </c>
      <c r="K2979" s="44">
        <v>109.139999</v>
      </c>
    </row>
    <row r="2980" spans="6:11" x14ac:dyDescent="0.3">
      <c r="F2980" s="43">
        <v>42209</v>
      </c>
      <c r="G2980" s="44">
        <v>2079.6499020000001</v>
      </c>
      <c r="H2980" s="44">
        <v>1476.73999</v>
      </c>
      <c r="I2980" s="44">
        <v>1225.98999</v>
      </c>
      <c r="J2980" s="44">
        <v>63.889999000000003</v>
      </c>
      <c r="K2980" s="44">
        <v>109.120003</v>
      </c>
    </row>
    <row r="2981" spans="6:11" x14ac:dyDescent="0.3">
      <c r="F2981" s="43">
        <v>42212</v>
      </c>
      <c r="G2981" s="44">
        <v>2067.639893</v>
      </c>
      <c r="H2981" s="44">
        <v>1464.969971</v>
      </c>
      <c r="I2981" s="44">
        <v>1214.6099850000001</v>
      </c>
      <c r="J2981" s="44">
        <v>63.419998</v>
      </c>
      <c r="K2981" s="44">
        <v>109.260002</v>
      </c>
    </row>
    <row r="2982" spans="6:11" x14ac:dyDescent="0.3">
      <c r="F2982" s="43">
        <v>42213</v>
      </c>
      <c r="G2982" s="44">
        <v>2093.25</v>
      </c>
      <c r="H2982" s="44">
        <v>1479.829956</v>
      </c>
      <c r="I2982" s="44">
        <v>1224.599976</v>
      </c>
      <c r="J2982" s="44">
        <v>64.220000999999996</v>
      </c>
      <c r="K2982" s="44">
        <v>109.150002</v>
      </c>
    </row>
    <row r="2983" spans="6:11" x14ac:dyDescent="0.3">
      <c r="F2983" s="43">
        <v>42214</v>
      </c>
      <c r="G2983" s="44">
        <v>2108.570068</v>
      </c>
      <c r="H2983" s="44">
        <v>1497.670044</v>
      </c>
      <c r="I2983" s="44">
        <v>1229.599976</v>
      </c>
      <c r="J2983" s="44">
        <v>64.449996999999996</v>
      </c>
      <c r="K2983" s="44">
        <v>109.05999799999999</v>
      </c>
    </row>
    <row r="2984" spans="6:11" x14ac:dyDescent="0.3">
      <c r="F2984" s="43">
        <v>42215</v>
      </c>
      <c r="G2984" s="44">
        <v>2108.6298830000001</v>
      </c>
      <c r="H2984" s="44">
        <v>1500.290039</v>
      </c>
      <c r="I2984" s="44">
        <v>1232.0699460000001</v>
      </c>
      <c r="J2984" s="44">
        <v>64.400002000000001</v>
      </c>
      <c r="K2984" s="44">
        <v>109.07</v>
      </c>
    </row>
    <row r="2985" spans="6:11" x14ac:dyDescent="0.3">
      <c r="F2985" s="43">
        <v>42216</v>
      </c>
      <c r="G2985" s="44">
        <v>2103.8400879999999</v>
      </c>
      <c r="H2985" s="44">
        <v>1502.8900149999999</v>
      </c>
      <c r="I2985" s="44">
        <v>1238.6800539999999</v>
      </c>
      <c r="J2985" s="44">
        <v>64.779999000000004</v>
      </c>
      <c r="K2985" s="44">
        <v>109.5</v>
      </c>
    </row>
    <row r="2986" spans="6:11" x14ac:dyDescent="0.3">
      <c r="F2986" s="43">
        <v>42219</v>
      </c>
      <c r="G2986" s="44">
        <v>2098.040039</v>
      </c>
      <c r="H2986" s="44">
        <v>1498.5699460000001</v>
      </c>
      <c r="I2986" s="44">
        <v>1231.790039</v>
      </c>
      <c r="J2986" s="44">
        <v>64.610000999999997</v>
      </c>
      <c r="K2986" s="44">
        <v>109.400002</v>
      </c>
    </row>
    <row r="2987" spans="6:11" x14ac:dyDescent="0.3">
      <c r="F2987" s="43">
        <v>42220</v>
      </c>
      <c r="G2987" s="44">
        <v>2093.320068</v>
      </c>
      <c r="H2987" s="44">
        <v>1496.719971</v>
      </c>
      <c r="I2987" s="44">
        <v>1228.849976</v>
      </c>
      <c r="J2987" s="44">
        <v>64.660004000000001</v>
      </c>
      <c r="K2987" s="44">
        <v>109.08000199999999</v>
      </c>
    </row>
    <row r="2988" spans="6:11" x14ac:dyDescent="0.3">
      <c r="F2988" s="43">
        <v>42221</v>
      </c>
      <c r="G2988" s="44">
        <v>2099.8400879999999</v>
      </c>
      <c r="H2988" s="44">
        <v>1503.619995</v>
      </c>
      <c r="I2988" s="44">
        <v>1231.75</v>
      </c>
      <c r="J2988" s="44">
        <v>65</v>
      </c>
      <c r="K2988" s="44">
        <v>108.879997</v>
      </c>
    </row>
    <row r="2989" spans="6:11" x14ac:dyDescent="0.3">
      <c r="F2989" s="43">
        <v>42222</v>
      </c>
      <c r="G2989" s="44">
        <v>2083.5600589999999</v>
      </c>
      <c r="H2989" s="44">
        <v>1490.4499510000001</v>
      </c>
      <c r="I2989" s="44">
        <v>1215.849976</v>
      </c>
      <c r="J2989" s="44">
        <v>64.730002999999996</v>
      </c>
      <c r="K2989" s="44">
        <v>109.010002</v>
      </c>
    </row>
    <row r="2990" spans="6:11" x14ac:dyDescent="0.3">
      <c r="F2990" s="43">
        <v>42223</v>
      </c>
      <c r="G2990" s="44">
        <v>2077.570068</v>
      </c>
      <c r="H2990" s="44">
        <v>1488.160034</v>
      </c>
      <c r="I2990" s="44">
        <v>1206.900024</v>
      </c>
      <c r="J2990" s="44">
        <v>64.610000999999997</v>
      </c>
      <c r="K2990" s="44">
        <v>109.199997</v>
      </c>
    </row>
    <row r="2991" spans="6:11" x14ac:dyDescent="0.3">
      <c r="F2991" s="43">
        <v>42226</v>
      </c>
      <c r="G2991" s="44">
        <v>2104.179932</v>
      </c>
      <c r="H2991" s="44">
        <v>1510.3000489999999</v>
      </c>
      <c r="I2991" s="44">
        <v>1222.670044</v>
      </c>
      <c r="J2991" s="44">
        <v>65.400002000000001</v>
      </c>
      <c r="K2991" s="44">
        <v>109.05999799999999</v>
      </c>
    </row>
    <row r="2992" spans="6:11" x14ac:dyDescent="0.3">
      <c r="F2992" s="43">
        <v>42227</v>
      </c>
      <c r="G2992" s="44">
        <v>2084.070068</v>
      </c>
      <c r="H2992" s="44">
        <v>1496.1400149999999</v>
      </c>
      <c r="I2992" s="44">
        <v>1211.1400149999999</v>
      </c>
      <c r="J2992" s="44">
        <v>64.400002000000001</v>
      </c>
      <c r="K2992" s="44">
        <v>109.41999800000001</v>
      </c>
    </row>
    <row r="2993" spans="6:11" x14ac:dyDescent="0.3">
      <c r="F2993" s="43">
        <v>42228</v>
      </c>
      <c r="G2993" s="44">
        <v>2086.0500489999999</v>
      </c>
      <c r="H2993" s="44">
        <v>1491.9399410000001</v>
      </c>
      <c r="I2993" s="44">
        <v>1208.9799800000001</v>
      </c>
      <c r="J2993" s="44">
        <v>63.939999</v>
      </c>
      <c r="K2993" s="44">
        <v>109.349998</v>
      </c>
    </row>
    <row r="2994" spans="6:11" x14ac:dyDescent="0.3">
      <c r="F2994" s="43">
        <v>42229</v>
      </c>
      <c r="G2994" s="44">
        <v>2083.389893</v>
      </c>
      <c r="H2994" s="44">
        <v>1491.8900149999999</v>
      </c>
      <c r="I2994" s="44">
        <v>1204.73999</v>
      </c>
      <c r="J2994" s="44">
        <v>63.900002000000001</v>
      </c>
      <c r="K2994" s="44">
        <v>109.120003</v>
      </c>
    </row>
    <row r="2995" spans="6:11" x14ac:dyDescent="0.3">
      <c r="F2995" s="43">
        <v>42230</v>
      </c>
      <c r="G2995" s="44">
        <v>2091.540039</v>
      </c>
      <c r="H2995" s="44">
        <v>1501.719971</v>
      </c>
      <c r="I2995" s="44">
        <v>1212.6899410000001</v>
      </c>
      <c r="J2995" s="44">
        <v>64</v>
      </c>
      <c r="K2995" s="44">
        <v>109.07</v>
      </c>
    </row>
    <row r="2996" spans="6:11" x14ac:dyDescent="0.3">
      <c r="F2996" s="43">
        <v>42233</v>
      </c>
      <c r="G2996" s="44">
        <v>2102.4399410000001</v>
      </c>
      <c r="H2996" s="44">
        <v>1514.420044</v>
      </c>
      <c r="I2996" s="44">
        <v>1225.089966</v>
      </c>
      <c r="J2996" s="44">
        <v>63.880001</v>
      </c>
      <c r="K2996" s="44">
        <v>109.260002</v>
      </c>
    </row>
    <row r="2997" spans="6:11" x14ac:dyDescent="0.3">
      <c r="F2997" s="43">
        <v>42234</v>
      </c>
      <c r="G2997" s="44">
        <v>2096.919922</v>
      </c>
      <c r="H2997" s="44">
        <v>1507.0500489999999</v>
      </c>
      <c r="I2997" s="44">
        <v>1214.8900149999999</v>
      </c>
      <c r="J2997" s="44">
        <v>63.400002000000001</v>
      </c>
      <c r="K2997" s="44">
        <v>109.05999799999999</v>
      </c>
    </row>
    <row r="2998" spans="6:11" x14ac:dyDescent="0.3">
      <c r="F2998" s="43">
        <v>42235</v>
      </c>
      <c r="G2998" s="44">
        <v>2079.610107</v>
      </c>
      <c r="H2998" s="44">
        <v>1491.209961</v>
      </c>
      <c r="I2998" s="44">
        <v>1202.9799800000001</v>
      </c>
      <c r="J2998" s="44">
        <v>62.84</v>
      </c>
      <c r="K2998" s="44">
        <v>109.400002</v>
      </c>
    </row>
    <row r="2999" spans="6:11" x14ac:dyDescent="0.3">
      <c r="F2999" s="43">
        <v>42236</v>
      </c>
      <c r="G2999" s="44">
        <v>2035.7299800000001</v>
      </c>
      <c r="H2999" s="44">
        <v>1457.3199460000001</v>
      </c>
      <c r="I2999" s="44">
        <v>1172.5200199999999</v>
      </c>
      <c r="J2999" s="44">
        <v>61.32</v>
      </c>
      <c r="K2999" s="44">
        <v>109.57</v>
      </c>
    </row>
    <row r="3000" spans="6:11" x14ac:dyDescent="0.3">
      <c r="F3000" s="43">
        <v>42237</v>
      </c>
      <c r="G3000" s="44">
        <v>1970.8900149999999</v>
      </c>
      <c r="H3000" s="44">
        <v>1423.1999510000001</v>
      </c>
      <c r="I3000" s="44">
        <v>1156.790039</v>
      </c>
      <c r="J3000" s="44">
        <v>59.919998</v>
      </c>
      <c r="K3000" s="44">
        <v>109.760002</v>
      </c>
    </row>
    <row r="3001" spans="6:11" x14ac:dyDescent="0.3">
      <c r="F3001" s="43">
        <v>42240</v>
      </c>
      <c r="G3001" s="44">
        <v>1893.209961</v>
      </c>
      <c r="H3001" s="44">
        <v>1366.1099850000001</v>
      </c>
      <c r="I3001" s="44">
        <v>1111.6899410000001</v>
      </c>
      <c r="J3001" s="44">
        <v>57.849997999999999</v>
      </c>
      <c r="K3001" s="44">
        <v>109.720001</v>
      </c>
    </row>
    <row r="3002" spans="6:11" x14ac:dyDescent="0.3">
      <c r="F3002" s="43">
        <v>42241</v>
      </c>
      <c r="G3002" s="44">
        <v>1867.6099850000001</v>
      </c>
      <c r="H3002" s="44">
        <v>1351.290039</v>
      </c>
      <c r="I3002" s="44">
        <v>1104.099976</v>
      </c>
      <c r="J3002" s="44">
        <v>58.400002000000001</v>
      </c>
      <c r="K3002" s="44">
        <v>109.459999</v>
      </c>
    </row>
    <row r="3003" spans="6:11" x14ac:dyDescent="0.3">
      <c r="F3003" s="43">
        <v>42242</v>
      </c>
      <c r="G3003" s="44">
        <v>1940.51001</v>
      </c>
      <c r="H3003" s="44">
        <v>1386.459961</v>
      </c>
      <c r="I3003" s="44">
        <v>1132.1899410000001</v>
      </c>
      <c r="J3003" s="44">
        <v>59.779998999999997</v>
      </c>
      <c r="K3003" s="44">
        <v>108.949997</v>
      </c>
    </row>
    <row r="3004" spans="6:11" x14ac:dyDescent="0.3">
      <c r="F3004" s="43">
        <v>42243</v>
      </c>
      <c r="G3004" s="44">
        <v>1987.660034</v>
      </c>
      <c r="H3004" s="44">
        <v>1419.719971</v>
      </c>
      <c r="I3004" s="44">
        <v>1153.6099850000001</v>
      </c>
      <c r="J3004" s="44">
        <v>60.509998000000003</v>
      </c>
      <c r="K3004" s="44">
        <v>109.099998</v>
      </c>
    </row>
    <row r="3005" spans="6:11" x14ac:dyDescent="0.3">
      <c r="F3005" s="43">
        <v>42244</v>
      </c>
      <c r="G3005" s="44">
        <v>1988.869995</v>
      </c>
      <c r="H3005" s="44">
        <v>1426.2299800000001</v>
      </c>
      <c r="I3005" s="44">
        <v>1162.910034</v>
      </c>
      <c r="J3005" s="44">
        <v>60.419998</v>
      </c>
      <c r="K3005" s="44">
        <v>109</v>
      </c>
    </row>
    <row r="3006" spans="6:11" x14ac:dyDescent="0.3">
      <c r="F3006" s="43">
        <v>42247</v>
      </c>
      <c r="G3006" s="44">
        <v>1972.1800539999999</v>
      </c>
      <c r="H3006" s="44">
        <v>1416.75</v>
      </c>
      <c r="I3006" s="44">
        <v>1159.4499510000001</v>
      </c>
      <c r="J3006" s="44">
        <v>59.970001000000003</v>
      </c>
      <c r="K3006" s="44">
        <v>108.91999800000001</v>
      </c>
    </row>
    <row r="3007" spans="6:11" x14ac:dyDescent="0.3">
      <c r="F3007" s="43">
        <v>42248</v>
      </c>
      <c r="G3007" s="44">
        <v>1913.849976</v>
      </c>
      <c r="H3007" s="44">
        <v>1376.6899410000001</v>
      </c>
      <c r="I3007" s="44">
        <v>1128.0500489999999</v>
      </c>
      <c r="J3007" s="44">
        <v>57.959999000000003</v>
      </c>
      <c r="K3007" s="44">
        <v>109.019997</v>
      </c>
    </row>
    <row r="3008" spans="6:11" x14ac:dyDescent="0.3">
      <c r="F3008" s="43">
        <v>42249</v>
      </c>
      <c r="G3008" s="44">
        <v>1948.8599850000001</v>
      </c>
      <c r="H3008" s="44">
        <v>1396.3199460000001</v>
      </c>
      <c r="I3008" s="44">
        <v>1146.030029</v>
      </c>
      <c r="J3008" s="44">
        <v>58.82</v>
      </c>
      <c r="K3008" s="44">
        <v>108.879997</v>
      </c>
    </row>
    <row r="3009" spans="6:11" x14ac:dyDescent="0.3">
      <c r="F3009" s="43">
        <v>42250</v>
      </c>
      <c r="G3009" s="44">
        <v>1951.130005</v>
      </c>
      <c r="H3009" s="44">
        <v>1403.209961</v>
      </c>
      <c r="I3009" s="44">
        <v>1145.150024</v>
      </c>
      <c r="J3009" s="44">
        <v>58.959999000000003</v>
      </c>
      <c r="K3009" s="44">
        <v>109.040001</v>
      </c>
    </row>
    <row r="3010" spans="6:11" x14ac:dyDescent="0.3">
      <c r="F3010" s="43">
        <v>42251</v>
      </c>
      <c r="G3010" s="44">
        <v>1921.219971</v>
      </c>
      <c r="H3010" s="44">
        <v>1386.2700199999999</v>
      </c>
      <c r="I3010" s="44">
        <v>1136.170044</v>
      </c>
      <c r="J3010" s="44">
        <v>57.610000999999997</v>
      </c>
      <c r="K3010" s="44">
        <v>109.269997</v>
      </c>
    </row>
    <row r="3011" spans="6:11" x14ac:dyDescent="0.3">
      <c r="F3011" s="43">
        <v>42255</v>
      </c>
      <c r="G3011" s="44">
        <v>1969.410034</v>
      </c>
      <c r="H3011" s="44">
        <v>1419.6800539999999</v>
      </c>
      <c r="I3011" s="44">
        <v>1161.76001</v>
      </c>
      <c r="J3011" s="44">
        <v>59.299999</v>
      </c>
      <c r="K3011" s="44">
        <v>109.010002</v>
      </c>
    </row>
    <row r="3012" spans="6:11" x14ac:dyDescent="0.3">
      <c r="F3012" s="43">
        <v>42256</v>
      </c>
      <c r="G3012" s="44">
        <v>1942.040039</v>
      </c>
      <c r="H3012" s="44">
        <v>1404.209961</v>
      </c>
      <c r="I3012" s="44">
        <v>1148.2299800000001</v>
      </c>
      <c r="J3012" s="44">
        <v>59.060001</v>
      </c>
      <c r="K3012" s="44">
        <v>109.050003</v>
      </c>
    </row>
    <row r="3013" spans="6:11" x14ac:dyDescent="0.3">
      <c r="F3013" s="43">
        <v>42257</v>
      </c>
      <c r="G3013" s="44">
        <v>1952.290039</v>
      </c>
      <c r="H3013" s="44">
        <v>1406.6099850000001</v>
      </c>
      <c r="I3013" s="44">
        <v>1153.030029</v>
      </c>
      <c r="J3013" s="44">
        <v>59.450001</v>
      </c>
      <c r="K3013" s="44">
        <v>108.93</v>
      </c>
    </row>
    <row r="3014" spans="6:11" x14ac:dyDescent="0.3">
      <c r="F3014" s="43">
        <v>42258</v>
      </c>
      <c r="G3014" s="44">
        <v>1961.0500489999999</v>
      </c>
      <c r="H3014" s="44">
        <v>1414.469971</v>
      </c>
      <c r="I3014" s="44">
        <v>1157.790039</v>
      </c>
      <c r="J3014" s="44">
        <v>59.439999</v>
      </c>
      <c r="K3014" s="44">
        <v>109.05999799999999</v>
      </c>
    </row>
    <row r="3015" spans="6:11" x14ac:dyDescent="0.3">
      <c r="F3015" s="43">
        <v>42261</v>
      </c>
      <c r="G3015" s="44">
        <v>1953.030029</v>
      </c>
      <c r="H3015" s="44">
        <v>1407.9300539999999</v>
      </c>
      <c r="I3015" s="44">
        <v>1153.5</v>
      </c>
      <c r="J3015" s="44">
        <v>58.990001999999997</v>
      </c>
      <c r="K3015" s="44">
        <v>109.089996</v>
      </c>
    </row>
    <row r="3016" spans="6:11" x14ac:dyDescent="0.3">
      <c r="F3016" s="43">
        <v>42262</v>
      </c>
      <c r="G3016" s="44">
        <v>1978.089966</v>
      </c>
      <c r="H3016" s="44">
        <v>1424</v>
      </c>
      <c r="I3016" s="44">
        <v>1166</v>
      </c>
      <c r="J3016" s="44">
        <v>59.389999000000003</v>
      </c>
      <c r="K3016" s="44">
        <v>108.599998</v>
      </c>
    </row>
    <row r="3017" spans="6:11" x14ac:dyDescent="0.3">
      <c r="F3017" s="43">
        <v>42263</v>
      </c>
      <c r="G3017" s="44">
        <v>1995.3100589999999</v>
      </c>
      <c r="H3017" s="44">
        <v>1437.3199460000001</v>
      </c>
      <c r="I3017" s="44">
        <v>1175.1999510000001</v>
      </c>
      <c r="J3017" s="44">
        <v>60.299999</v>
      </c>
      <c r="K3017" s="44">
        <v>108.510002</v>
      </c>
    </row>
    <row r="3018" spans="6:11" x14ac:dyDescent="0.3">
      <c r="F3018" s="43">
        <v>42264</v>
      </c>
      <c r="G3018" s="44">
        <v>1990.1999510000001</v>
      </c>
      <c r="H3018" s="44">
        <v>1436.1800539999999</v>
      </c>
      <c r="I3018" s="44">
        <v>1180.6899410000001</v>
      </c>
      <c r="J3018" s="44">
        <v>60.330002</v>
      </c>
      <c r="K3018" s="44">
        <v>109.19000200000001</v>
      </c>
    </row>
    <row r="3019" spans="6:11" x14ac:dyDescent="0.3">
      <c r="F3019" s="43">
        <v>42265</v>
      </c>
      <c r="G3019" s="44">
        <v>1958.030029</v>
      </c>
      <c r="H3019" s="44">
        <v>1413</v>
      </c>
      <c r="I3019" s="44">
        <v>1163.349976</v>
      </c>
      <c r="J3019" s="44">
        <v>58.82</v>
      </c>
      <c r="K3019" s="44">
        <v>109.279999</v>
      </c>
    </row>
    <row r="3020" spans="6:11" x14ac:dyDescent="0.3">
      <c r="F3020" s="43">
        <v>42268</v>
      </c>
      <c r="G3020" s="44">
        <v>1966.969971</v>
      </c>
      <c r="H3020" s="44">
        <v>1420.0600589999999</v>
      </c>
      <c r="I3020" s="44">
        <v>1161.089966</v>
      </c>
      <c r="J3020" s="44">
        <v>58.790000999999997</v>
      </c>
      <c r="K3020" s="44">
        <v>108.989998</v>
      </c>
    </row>
    <row r="3021" spans="6:11" x14ac:dyDescent="0.3">
      <c r="F3021" s="43">
        <v>42269</v>
      </c>
      <c r="G3021" s="44">
        <v>1942.73999</v>
      </c>
      <c r="H3021" s="44">
        <v>1400.599976</v>
      </c>
      <c r="I3021" s="44">
        <v>1143.030029</v>
      </c>
      <c r="J3021" s="44">
        <v>57.389999000000003</v>
      </c>
      <c r="K3021" s="44">
        <v>109.25</v>
      </c>
    </row>
    <row r="3022" spans="6:11" x14ac:dyDescent="0.3">
      <c r="F3022" s="43">
        <v>42270</v>
      </c>
      <c r="G3022" s="44">
        <v>1938.76001</v>
      </c>
      <c r="H3022" s="44">
        <v>1397.119995</v>
      </c>
      <c r="I3022" s="44">
        <v>1140.0500489999999</v>
      </c>
      <c r="J3022" s="44">
        <v>57.119999</v>
      </c>
      <c r="K3022" s="44">
        <v>109.160004</v>
      </c>
    </row>
    <row r="3023" spans="6:11" x14ac:dyDescent="0.3">
      <c r="F3023" s="43">
        <v>42271</v>
      </c>
      <c r="G3023" s="44">
        <v>1932.23999</v>
      </c>
      <c r="H3023" s="44">
        <v>1390.619995</v>
      </c>
      <c r="I3023" s="44">
        <v>1137.540039</v>
      </c>
      <c r="J3023" s="44">
        <v>56.959999000000003</v>
      </c>
      <c r="K3023" s="44">
        <v>109.300003</v>
      </c>
    </row>
    <row r="3024" spans="6:11" x14ac:dyDescent="0.3">
      <c r="F3024" s="43">
        <v>42272</v>
      </c>
      <c r="G3024" s="44">
        <v>1931.339966</v>
      </c>
      <c r="H3024" s="44">
        <v>1388.209961</v>
      </c>
      <c r="I3024" s="44">
        <v>1122.790039</v>
      </c>
      <c r="J3024" s="44">
        <v>57.459999000000003</v>
      </c>
      <c r="K3024" s="44">
        <v>109.110001</v>
      </c>
    </row>
    <row r="3025" spans="6:11" x14ac:dyDescent="0.3">
      <c r="F3025" s="43">
        <v>42275</v>
      </c>
      <c r="G3025" s="44">
        <v>1881.7700199999999</v>
      </c>
      <c r="H3025" s="44">
        <v>1352.8100589999999</v>
      </c>
      <c r="I3025" s="44">
        <v>1090.5699460000001</v>
      </c>
      <c r="J3025" s="44">
        <v>56.330002</v>
      </c>
      <c r="K3025" s="44">
        <v>109.370003</v>
      </c>
    </row>
    <row r="3026" spans="6:11" x14ac:dyDescent="0.3">
      <c r="F3026" s="43">
        <v>42276</v>
      </c>
      <c r="G3026" s="44">
        <v>1884.089966</v>
      </c>
      <c r="H3026" s="44">
        <v>1351.6400149999999</v>
      </c>
      <c r="I3026" s="44">
        <v>1083.910034</v>
      </c>
      <c r="J3026" s="44">
        <v>56.25</v>
      </c>
      <c r="K3026" s="44">
        <v>109.540001</v>
      </c>
    </row>
    <row r="3027" spans="6:11" x14ac:dyDescent="0.3">
      <c r="F3027" s="43">
        <v>42277</v>
      </c>
      <c r="G3027" s="44">
        <v>1920.030029</v>
      </c>
      <c r="H3027" s="44">
        <v>1368.910034</v>
      </c>
      <c r="I3027" s="44">
        <v>1100.6899410000001</v>
      </c>
      <c r="J3027" s="44">
        <v>57.32</v>
      </c>
      <c r="K3027" s="44">
        <v>109.58000199999999</v>
      </c>
    </row>
    <row r="3028" spans="6:11" x14ac:dyDescent="0.3">
      <c r="F3028" s="43">
        <v>42278</v>
      </c>
      <c r="G3028" s="44">
        <v>1923.8199460000001</v>
      </c>
      <c r="H3028" s="44">
        <v>1366.4399410000001</v>
      </c>
      <c r="I3028" s="44">
        <v>1097.5500489999999</v>
      </c>
      <c r="J3028" s="44">
        <v>57.5</v>
      </c>
      <c r="K3028" s="44">
        <v>109.459999</v>
      </c>
    </row>
    <row r="3029" spans="6:11" x14ac:dyDescent="0.3">
      <c r="F3029" s="43">
        <v>42279</v>
      </c>
      <c r="G3029" s="44">
        <v>1951.3599850000001</v>
      </c>
      <c r="H3029" s="44">
        <v>1386.079956</v>
      </c>
      <c r="I3029" s="44">
        <v>1114.119995</v>
      </c>
      <c r="J3029" s="44">
        <v>58.48</v>
      </c>
      <c r="K3029" s="44">
        <v>109.790001</v>
      </c>
    </row>
    <row r="3030" spans="6:11" x14ac:dyDescent="0.3">
      <c r="F3030" s="43">
        <v>42282</v>
      </c>
      <c r="G3030" s="44">
        <v>1987.0500489999999</v>
      </c>
      <c r="H3030" s="44">
        <v>1413.26001</v>
      </c>
      <c r="I3030" s="44">
        <v>1141.6400149999999</v>
      </c>
      <c r="J3030" s="44">
        <v>59.639999000000003</v>
      </c>
      <c r="K3030" s="44">
        <v>109.379997</v>
      </c>
    </row>
    <row r="3031" spans="6:11" x14ac:dyDescent="0.3">
      <c r="F3031" s="43">
        <v>42283</v>
      </c>
      <c r="G3031" s="44">
        <v>1979.920044</v>
      </c>
      <c r="H3031" s="44">
        <v>1407.0600589999999</v>
      </c>
      <c r="I3031" s="44">
        <v>1133.6899410000001</v>
      </c>
      <c r="J3031" s="44">
        <v>59.709999000000003</v>
      </c>
      <c r="K3031" s="44">
        <v>109.650002</v>
      </c>
    </row>
    <row r="3032" spans="6:11" x14ac:dyDescent="0.3">
      <c r="F3032" s="43">
        <v>42284</v>
      </c>
      <c r="G3032" s="44">
        <v>1995.829956</v>
      </c>
      <c r="H3032" s="44">
        <v>1424.530029</v>
      </c>
      <c r="I3032" s="44">
        <v>1152.599976</v>
      </c>
      <c r="J3032" s="44">
        <v>60.459999000000003</v>
      </c>
      <c r="K3032" s="44">
        <v>109.57</v>
      </c>
    </row>
    <row r="3033" spans="6:11" x14ac:dyDescent="0.3">
      <c r="F3033" s="43">
        <v>42285</v>
      </c>
      <c r="G3033" s="44">
        <v>2013.4300539999999</v>
      </c>
      <c r="H3033" s="44">
        <v>1440.089966</v>
      </c>
      <c r="I3033" s="44">
        <v>1163.23999</v>
      </c>
      <c r="J3033" s="44">
        <v>60.939999</v>
      </c>
      <c r="K3033" s="44">
        <v>109.41999800000001</v>
      </c>
    </row>
    <row r="3034" spans="6:11" x14ac:dyDescent="0.3">
      <c r="F3034" s="43">
        <v>42286</v>
      </c>
      <c r="G3034" s="44">
        <v>2014.8900149999999</v>
      </c>
      <c r="H3034" s="44">
        <v>1442.459961</v>
      </c>
      <c r="I3034" s="44">
        <v>1165.3599850000001</v>
      </c>
      <c r="J3034" s="44">
        <v>61.049999</v>
      </c>
      <c r="K3034" s="44">
        <v>109.33000199999999</v>
      </c>
    </row>
    <row r="3035" spans="6:11" x14ac:dyDescent="0.3">
      <c r="F3035" s="43">
        <v>42289</v>
      </c>
      <c r="G3035" s="44">
        <v>2017.459961</v>
      </c>
      <c r="H3035" s="44">
        <v>1441.829956</v>
      </c>
      <c r="I3035" s="44">
        <v>1164.400024</v>
      </c>
      <c r="J3035" s="44">
        <v>60.93</v>
      </c>
      <c r="K3035" s="44">
        <v>109.610001</v>
      </c>
    </row>
    <row r="3036" spans="6:11" x14ac:dyDescent="0.3">
      <c r="F3036" s="43">
        <v>42290</v>
      </c>
      <c r="G3036" s="44">
        <v>2003.6899410000001</v>
      </c>
      <c r="H3036" s="44">
        <v>1427.709961</v>
      </c>
      <c r="I3036" s="44">
        <v>1147.839966</v>
      </c>
      <c r="J3036" s="44">
        <v>60.16</v>
      </c>
      <c r="K3036" s="44">
        <v>109.620003</v>
      </c>
    </row>
    <row r="3037" spans="6:11" x14ac:dyDescent="0.3">
      <c r="F3037" s="43">
        <v>42291</v>
      </c>
      <c r="G3037" s="44">
        <v>1994.23999</v>
      </c>
      <c r="H3037" s="44">
        <v>1417.670044</v>
      </c>
      <c r="I3037" s="44">
        <v>1136.969971</v>
      </c>
      <c r="J3037" s="44">
        <v>60.279998999999997</v>
      </c>
      <c r="K3037" s="44">
        <v>110.029999</v>
      </c>
    </row>
    <row r="3038" spans="6:11" x14ac:dyDescent="0.3">
      <c r="F3038" s="43">
        <v>42292</v>
      </c>
      <c r="G3038" s="44">
        <v>2023.8599850000001</v>
      </c>
      <c r="H3038" s="44">
        <v>1433.709961</v>
      </c>
      <c r="I3038" s="44">
        <v>1162.7700199999999</v>
      </c>
      <c r="J3038" s="44">
        <v>61.310001</v>
      </c>
      <c r="K3038" s="44">
        <v>109.879997</v>
      </c>
    </row>
    <row r="3039" spans="6:11" x14ac:dyDescent="0.3">
      <c r="F3039" s="43">
        <v>42293</v>
      </c>
      <c r="G3039" s="44">
        <v>2033.1099850000001</v>
      </c>
      <c r="H3039" s="44">
        <v>1434.349976</v>
      </c>
      <c r="I3039" s="44">
        <v>1162.3100589999999</v>
      </c>
      <c r="J3039" s="44">
        <v>61.259998000000003</v>
      </c>
      <c r="K3039" s="44">
        <v>109.769997</v>
      </c>
    </row>
    <row r="3040" spans="6:11" x14ac:dyDescent="0.3">
      <c r="F3040" s="43">
        <v>42296</v>
      </c>
      <c r="G3040" s="44">
        <v>2033.660034</v>
      </c>
      <c r="H3040" s="44">
        <v>1438.1400149999999</v>
      </c>
      <c r="I3040" s="44">
        <v>1164.3000489999999</v>
      </c>
      <c r="J3040" s="44">
        <v>61.049999</v>
      </c>
      <c r="K3040" s="44">
        <v>109.879997</v>
      </c>
    </row>
    <row r="3041" spans="6:11" x14ac:dyDescent="0.3">
      <c r="F3041" s="43">
        <v>42297</v>
      </c>
      <c r="G3041" s="44">
        <v>2030.7700199999999</v>
      </c>
      <c r="H3041" s="44">
        <v>1438.349976</v>
      </c>
      <c r="I3041" s="44">
        <v>1163.2700199999999</v>
      </c>
      <c r="J3041" s="44">
        <v>60.799999</v>
      </c>
      <c r="K3041" s="44">
        <v>109.660004</v>
      </c>
    </row>
    <row r="3042" spans="6:11" x14ac:dyDescent="0.3">
      <c r="F3042" s="43">
        <v>42298</v>
      </c>
      <c r="G3042" s="44">
        <v>2018.9399410000001</v>
      </c>
      <c r="H3042" s="44">
        <v>1422.219971</v>
      </c>
      <c r="I3042" s="44">
        <v>1144.9499510000001</v>
      </c>
      <c r="J3042" s="44">
        <v>60.77</v>
      </c>
      <c r="K3042" s="44">
        <v>109.91999800000001</v>
      </c>
    </row>
    <row r="3043" spans="6:11" x14ac:dyDescent="0.3">
      <c r="F3043" s="43">
        <v>42299</v>
      </c>
      <c r="G3043" s="44">
        <v>2052.51001</v>
      </c>
      <c r="H3043" s="44">
        <v>1432.76001</v>
      </c>
      <c r="I3043" s="44">
        <v>1154.5200199999999</v>
      </c>
      <c r="J3043" s="44">
        <v>61.450001</v>
      </c>
      <c r="K3043" s="44">
        <v>109.94000200000001</v>
      </c>
    </row>
    <row r="3044" spans="6:11" x14ac:dyDescent="0.3">
      <c r="F3044" s="43">
        <v>42300</v>
      </c>
      <c r="G3044" s="44">
        <v>2075.1499020000001</v>
      </c>
      <c r="H3044" s="44">
        <v>1439.839966</v>
      </c>
      <c r="I3044" s="44">
        <v>1166.0600589999999</v>
      </c>
      <c r="J3044" s="44">
        <v>62.060001</v>
      </c>
      <c r="K3044" s="44">
        <v>109.75</v>
      </c>
    </row>
    <row r="3045" spans="6:11" x14ac:dyDescent="0.3">
      <c r="F3045" s="43">
        <v>42303</v>
      </c>
      <c r="G3045" s="44">
        <v>2071.179932</v>
      </c>
      <c r="H3045" s="44">
        <v>1437.1400149999999</v>
      </c>
      <c r="I3045" s="44">
        <v>1159.5</v>
      </c>
      <c r="J3045" s="44">
        <v>61.830002</v>
      </c>
      <c r="K3045" s="44">
        <v>109.800003</v>
      </c>
    </row>
    <row r="3046" spans="6:11" x14ac:dyDescent="0.3">
      <c r="F3046" s="43">
        <v>42304</v>
      </c>
      <c r="G3046" s="44">
        <v>2065.889893</v>
      </c>
      <c r="H3046" s="44">
        <v>1424.650024</v>
      </c>
      <c r="I3046" s="44">
        <v>1145.290039</v>
      </c>
      <c r="J3046" s="44">
        <v>61.290000999999997</v>
      </c>
      <c r="K3046" s="44">
        <v>109.959999</v>
      </c>
    </row>
    <row r="3047" spans="6:11" x14ac:dyDescent="0.3">
      <c r="F3047" s="43">
        <v>42305</v>
      </c>
      <c r="G3047" s="44">
        <v>2090.3500979999999</v>
      </c>
      <c r="H3047" s="44">
        <v>1453.5699460000001</v>
      </c>
      <c r="I3047" s="44">
        <v>1178.719971</v>
      </c>
      <c r="J3047" s="44">
        <v>61.689999</v>
      </c>
      <c r="K3047" s="44">
        <v>109.629997</v>
      </c>
    </row>
    <row r="3048" spans="6:11" x14ac:dyDescent="0.3">
      <c r="F3048" s="43">
        <v>42306</v>
      </c>
      <c r="G3048" s="44">
        <v>2089.4099120000001</v>
      </c>
      <c r="H3048" s="44">
        <v>1445.780029</v>
      </c>
      <c r="I3048" s="44">
        <v>1165.630005</v>
      </c>
      <c r="J3048" s="44">
        <v>61.240001999999997</v>
      </c>
      <c r="K3048" s="44">
        <v>109.160004</v>
      </c>
    </row>
    <row r="3049" spans="6:11" x14ac:dyDescent="0.3">
      <c r="F3049" s="43">
        <v>42307</v>
      </c>
      <c r="G3049" s="44">
        <v>2079.360107</v>
      </c>
      <c r="H3049" s="44">
        <v>1444.7700199999999</v>
      </c>
      <c r="I3049" s="44">
        <v>1161.8599850000001</v>
      </c>
      <c r="J3049" s="44">
        <v>61.110000999999997</v>
      </c>
      <c r="K3049" s="44">
        <v>109.449997</v>
      </c>
    </row>
    <row r="3050" spans="6:11" x14ac:dyDescent="0.3">
      <c r="F3050" s="43">
        <v>42310</v>
      </c>
      <c r="G3050" s="44">
        <v>2104.0500489999999</v>
      </c>
      <c r="H3050" s="44">
        <v>1465.969971</v>
      </c>
      <c r="I3050" s="44">
        <v>1186.089966</v>
      </c>
      <c r="J3050" s="44">
        <v>61.689999</v>
      </c>
      <c r="K3050" s="44">
        <v>109.019997</v>
      </c>
    </row>
    <row r="3051" spans="6:11" x14ac:dyDescent="0.3">
      <c r="F3051" s="43">
        <v>42311</v>
      </c>
      <c r="G3051" s="44">
        <v>2109.790039</v>
      </c>
      <c r="H3051" s="44">
        <v>1467.1999510000001</v>
      </c>
      <c r="I3051" s="44">
        <v>1191.579956</v>
      </c>
      <c r="J3051" s="44">
        <v>61.669998</v>
      </c>
      <c r="K3051" s="44">
        <v>108.82</v>
      </c>
    </row>
    <row r="3052" spans="6:11" x14ac:dyDescent="0.3">
      <c r="F3052" s="43">
        <v>42312</v>
      </c>
      <c r="G3052" s="44">
        <v>2102.3100589999999</v>
      </c>
      <c r="H3052" s="44">
        <v>1464.48999</v>
      </c>
      <c r="I3052" s="44">
        <v>1190.380005</v>
      </c>
      <c r="J3052" s="44">
        <v>61.330002</v>
      </c>
      <c r="K3052" s="44">
        <v>108.82</v>
      </c>
    </row>
    <row r="3053" spans="6:11" x14ac:dyDescent="0.3">
      <c r="F3053" s="43">
        <v>42313</v>
      </c>
      <c r="G3053" s="44">
        <v>2099.929932</v>
      </c>
      <c r="H3053" s="44">
        <v>1464.9300539999999</v>
      </c>
      <c r="I3053" s="44">
        <v>1190.6899410000001</v>
      </c>
      <c r="J3053" s="44">
        <v>61.220001000000003</v>
      </c>
      <c r="K3053" s="44">
        <v>108.769997</v>
      </c>
    </row>
    <row r="3054" spans="6:11" x14ac:dyDescent="0.3">
      <c r="F3054" s="43">
        <v>42314</v>
      </c>
      <c r="G3054" s="44">
        <v>2099.1999510000001</v>
      </c>
      <c r="H3054" s="44">
        <v>1463.3199460000001</v>
      </c>
      <c r="I3054" s="44">
        <v>1199.75</v>
      </c>
      <c r="J3054" s="44">
        <v>60.939999</v>
      </c>
      <c r="K3054" s="44">
        <v>108.25</v>
      </c>
    </row>
    <row r="3055" spans="6:11" x14ac:dyDescent="0.3">
      <c r="F3055" s="43">
        <v>42317</v>
      </c>
      <c r="G3055" s="44">
        <v>2078.580078</v>
      </c>
      <c r="H3055" s="44">
        <v>1450.329956</v>
      </c>
      <c r="I3055" s="44">
        <v>1184.4300539999999</v>
      </c>
      <c r="J3055" s="44">
        <v>60.310001</v>
      </c>
      <c r="K3055" s="44">
        <v>108.18</v>
      </c>
    </row>
    <row r="3056" spans="6:11" x14ac:dyDescent="0.3">
      <c r="F3056" s="43">
        <v>42318</v>
      </c>
      <c r="G3056" s="44">
        <v>2081.719971</v>
      </c>
      <c r="H3056" s="44">
        <v>1457.23999</v>
      </c>
      <c r="I3056" s="44">
        <v>1187.6999510000001</v>
      </c>
      <c r="J3056" s="44">
        <v>60.27</v>
      </c>
      <c r="K3056" s="44">
        <v>108.379997</v>
      </c>
    </row>
    <row r="3057" spans="6:11" x14ac:dyDescent="0.3">
      <c r="F3057" s="43">
        <v>42319</v>
      </c>
      <c r="G3057" s="44">
        <v>2075</v>
      </c>
      <c r="H3057" s="44">
        <v>1449.040039</v>
      </c>
      <c r="I3057" s="44">
        <v>1178.0699460000001</v>
      </c>
      <c r="J3057" s="44">
        <v>60.580002</v>
      </c>
      <c r="K3057" s="44">
        <v>108.239998</v>
      </c>
    </row>
    <row r="3058" spans="6:11" x14ac:dyDescent="0.3">
      <c r="F3058" s="43">
        <v>42320</v>
      </c>
      <c r="G3058" s="44">
        <v>2045.969971</v>
      </c>
      <c r="H3058" s="44">
        <v>1418.51001</v>
      </c>
      <c r="I3058" s="44">
        <v>1154.8100589999999</v>
      </c>
      <c r="J3058" s="44">
        <v>59.790000999999997</v>
      </c>
      <c r="K3058" s="44">
        <v>108.339996</v>
      </c>
    </row>
    <row r="3059" spans="6:11" x14ac:dyDescent="0.3">
      <c r="F3059" s="43">
        <v>42321</v>
      </c>
      <c r="G3059" s="44">
        <v>2023.040039</v>
      </c>
      <c r="H3059" s="44">
        <v>1406.0600589999999</v>
      </c>
      <c r="I3059" s="44">
        <v>1146.5500489999999</v>
      </c>
      <c r="J3059" s="44">
        <v>59.290000999999997</v>
      </c>
      <c r="K3059" s="44">
        <v>108.550003</v>
      </c>
    </row>
    <row r="3060" spans="6:11" x14ac:dyDescent="0.3">
      <c r="F3060" s="43">
        <v>42324</v>
      </c>
      <c r="G3060" s="44">
        <v>2053.1899410000001</v>
      </c>
      <c r="H3060" s="44">
        <v>1423.3599850000001</v>
      </c>
      <c r="I3060" s="44">
        <v>1156.079956</v>
      </c>
      <c r="J3060" s="44">
        <v>60.040000999999997</v>
      </c>
      <c r="K3060" s="44">
        <v>108.639999</v>
      </c>
    </row>
    <row r="3061" spans="6:11" x14ac:dyDescent="0.3">
      <c r="F3061" s="43">
        <v>42325</v>
      </c>
      <c r="G3061" s="44">
        <v>2050.4399410000001</v>
      </c>
      <c r="H3061" s="44">
        <v>1418.540039</v>
      </c>
      <c r="I3061" s="44">
        <v>1153.209961</v>
      </c>
      <c r="J3061" s="44">
        <v>60.200001</v>
      </c>
      <c r="K3061" s="44">
        <v>108.720001</v>
      </c>
    </row>
    <row r="3062" spans="6:11" x14ac:dyDescent="0.3">
      <c r="F3062" s="43">
        <v>42326</v>
      </c>
      <c r="G3062" s="44">
        <v>2083.580078</v>
      </c>
      <c r="H3062" s="44">
        <v>1442.4399410000001</v>
      </c>
      <c r="I3062" s="44">
        <v>1171.75</v>
      </c>
      <c r="J3062" s="44">
        <v>60.75</v>
      </c>
      <c r="K3062" s="44">
        <v>108.639999</v>
      </c>
    </row>
    <row r="3063" spans="6:11" x14ac:dyDescent="0.3">
      <c r="F3063" s="43">
        <v>42327</v>
      </c>
      <c r="G3063" s="44">
        <v>2081.23999</v>
      </c>
      <c r="H3063" s="44">
        <v>1440.5</v>
      </c>
      <c r="I3063" s="44">
        <v>1166.7299800000001</v>
      </c>
      <c r="J3063" s="44">
        <v>61.060001</v>
      </c>
      <c r="K3063" s="44">
        <v>108.69000200000001</v>
      </c>
    </row>
    <row r="3064" spans="6:11" x14ac:dyDescent="0.3">
      <c r="F3064" s="43">
        <v>42328</v>
      </c>
      <c r="G3064" s="44">
        <v>2089.169922</v>
      </c>
      <c r="H3064" s="44">
        <v>1447.0500489999999</v>
      </c>
      <c r="I3064" s="44">
        <v>1175.150024</v>
      </c>
      <c r="J3064" s="44">
        <v>60.919998</v>
      </c>
      <c r="K3064" s="44">
        <v>108.620003</v>
      </c>
    </row>
    <row r="3065" spans="6:11" x14ac:dyDescent="0.3">
      <c r="F3065" s="43">
        <v>42331</v>
      </c>
      <c r="G3065" s="44">
        <v>2086.5900879999999</v>
      </c>
      <c r="H3065" s="44">
        <v>1451.209961</v>
      </c>
      <c r="I3065" s="44">
        <v>1180.3599850000001</v>
      </c>
      <c r="J3065" s="44">
        <v>60.540000999999997</v>
      </c>
      <c r="K3065" s="44">
        <v>108.650002</v>
      </c>
    </row>
    <row r="3066" spans="6:11" x14ac:dyDescent="0.3">
      <c r="F3066" s="43">
        <v>42332</v>
      </c>
      <c r="G3066" s="44">
        <v>2089.139893</v>
      </c>
      <c r="H3066" s="44">
        <v>1459.030029</v>
      </c>
      <c r="I3066" s="44">
        <v>1188.8100589999999</v>
      </c>
      <c r="J3066" s="44">
        <v>60.549999</v>
      </c>
      <c r="K3066" s="44">
        <v>108.75</v>
      </c>
    </row>
    <row r="3067" spans="6:11" x14ac:dyDescent="0.3">
      <c r="F3067" s="43">
        <v>42333</v>
      </c>
      <c r="G3067" s="44">
        <v>2088.8701169999999</v>
      </c>
      <c r="H3067" s="44">
        <v>1464.25</v>
      </c>
      <c r="I3067" s="44">
        <v>1198.0200199999999</v>
      </c>
      <c r="J3067" s="44">
        <v>60.689999</v>
      </c>
      <c r="K3067" s="44">
        <v>108.800003</v>
      </c>
    </row>
    <row r="3068" spans="6:11" x14ac:dyDescent="0.3">
      <c r="F3068" s="43">
        <v>42335</v>
      </c>
      <c r="G3068" s="44">
        <v>2090.110107</v>
      </c>
      <c r="H3068" s="44">
        <v>1468.9799800000001</v>
      </c>
      <c r="I3068" s="44">
        <v>1202.380005</v>
      </c>
      <c r="J3068" s="44">
        <v>60.700001</v>
      </c>
      <c r="K3068" s="44">
        <v>108.769997</v>
      </c>
    </row>
    <row r="3069" spans="6:11" x14ac:dyDescent="0.3">
      <c r="F3069" s="43">
        <v>42338</v>
      </c>
      <c r="G3069" s="44">
        <v>2080.4099120000001</v>
      </c>
      <c r="H3069" s="44">
        <v>1461.8100589999999</v>
      </c>
      <c r="I3069" s="44">
        <v>1198.1099850000001</v>
      </c>
      <c r="J3069" s="44">
        <v>60.650002000000001</v>
      </c>
      <c r="K3069" s="44">
        <v>108.80999799999999</v>
      </c>
    </row>
    <row r="3070" spans="6:11" x14ac:dyDescent="0.3">
      <c r="F3070" s="43">
        <v>42339</v>
      </c>
      <c r="G3070" s="44">
        <v>2102.6298830000001</v>
      </c>
      <c r="H3070" s="44">
        <v>1473.1400149999999</v>
      </c>
      <c r="I3070" s="44">
        <v>1204.160034</v>
      </c>
      <c r="J3070" s="44">
        <v>61.290000999999997</v>
      </c>
      <c r="K3070" s="44">
        <v>108.82</v>
      </c>
    </row>
    <row r="3071" spans="6:11" x14ac:dyDescent="0.3">
      <c r="F3071" s="43">
        <v>42340</v>
      </c>
      <c r="G3071" s="44">
        <v>2079.51001</v>
      </c>
      <c r="H3071" s="44">
        <v>1456.089966</v>
      </c>
      <c r="I3071" s="44">
        <v>1191.6899410000001</v>
      </c>
      <c r="J3071" s="44">
        <v>60.639999000000003</v>
      </c>
      <c r="K3071" s="44">
        <v>108.69000200000001</v>
      </c>
    </row>
    <row r="3072" spans="6:11" x14ac:dyDescent="0.3">
      <c r="F3072" s="43">
        <v>42341</v>
      </c>
      <c r="G3072" s="44">
        <v>2049.6201169999999</v>
      </c>
      <c r="H3072" s="44">
        <v>1431.73999</v>
      </c>
      <c r="I3072" s="44">
        <v>1170.5699460000001</v>
      </c>
      <c r="J3072" s="44">
        <v>60.349997999999999</v>
      </c>
      <c r="K3072" s="44">
        <v>107.889999</v>
      </c>
    </row>
    <row r="3073" spans="6:11" x14ac:dyDescent="0.3">
      <c r="F3073" s="43">
        <v>42342</v>
      </c>
      <c r="G3073" s="44">
        <v>2091.6899410000001</v>
      </c>
      <c r="H3073" s="44">
        <v>1449.079956</v>
      </c>
      <c r="I3073" s="44">
        <v>1183.400024</v>
      </c>
      <c r="J3073" s="44">
        <v>60.84</v>
      </c>
      <c r="K3073" s="44">
        <v>108.239998</v>
      </c>
    </row>
    <row r="3074" spans="6:11" x14ac:dyDescent="0.3">
      <c r="F3074" s="43">
        <v>42345</v>
      </c>
      <c r="G3074" s="44">
        <v>2077.070068</v>
      </c>
      <c r="H3074" s="44">
        <v>1434.4399410000001</v>
      </c>
      <c r="I3074" s="44">
        <v>1164.3000489999999</v>
      </c>
      <c r="J3074" s="44">
        <v>60.450001</v>
      </c>
      <c r="K3074" s="44">
        <v>108.400002</v>
      </c>
    </row>
    <row r="3075" spans="6:11" x14ac:dyDescent="0.3">
      <c r="F3075" s="43">
        <v>42346</v>
      </c>
      <c r="G3075" s="44">
        <v>2063.5900879999999</v>
      </c>
      <c r="H3075" s="44">
        <v>1424.25</v>
      </c>
      <c r="I3075" s="44">
        <v>1159.400024</v>
      </c>
      <c r="J3075" s="44">
        <v>59.560001</v>
      </c>
      <c r="K3075" s="44">
        <v>108.44000200000001</v>
      </c>
    </row>
    <row r="3076" spans="6:11" x14ac:dyDescent="0.3">
      <c r="F3076" s="43">
        <v>42347</v>
      </c>
      <c r="G3076" s="44">
        <v>2047.619995</v>
      </c>
      <c r="H3076" s="44">
        <v>1407.839966</v>
      </c>
      <c r="I3076" s="44">
        <v>1145.869995</v>
      </c>
      <c r="J3076" s="44">
        <v>59.290000999999997</v>
      </c>
      <c r="K3076" s="44">
        <v>108.44000200000001</v>
      </c>
    </row>
    <row r="3077" spans="6:11" x14ac:dyDescent="0.3">
      <c r="F3077" s="43">
        <v>42348</v>
      </c>
      <c r="G3077" s="44">
        <v>2052.2299800000001</v>
      </c>
      <c r="H3077" s="44">
        <v>1411.369995</v>
      </c>
      <c r="I3077" s="44">
        <v>1149.0200199999999</v>
      </c>
      <c r="J3077" s="44">
        <v>59.299999</v>
      </c>
      <c r="K3077" s="44">
        <v>108.41999800000001</v>
      </c>
    </row>
    <row r="3078" spans="6:11" x14ac:dyDescent="0.3">
      <c r="F3078" s="43">
        <v>42349</v>
      </c>
      <c r="G3078" s="44">
        <v>2012.369995</v>
      </c>
      <c r="H3078" s="44">
        <v>1389.160034</v>
      </c>
      <c r="I3078" s="44">
        <v>1123.6099850000001</v>
      </c>
      <c r="J3078" s="44">
        <v>58.169998</v>
      </c>
      <c r="K3078" s="44">
        <v>108.69000200000001</v>
      </c>
    </row>
    <row r="3079" spans="6:11" x14ac:dyDescent="0.3">
      <c r="F3079" s="43">
        <v>42352</v>
      </c>
      <c r="G3079" s="44">
        <v>2021.9399410000001</v>
      </c>
      <c r="H3079" s="44">
        <v>1381.910034</v>
      </c>
      <c r="I3079" s="44">
        <v>1115.8599850000001</v>
      </c>
      <c r="J3079" s="44">
        <v>58.259998000000003</v>
      </c>
      <c r="K3079" s="44">
        <v>108.18</v>
      </c>
    </row>
    <row r="3080" spans="6:11" x14ac:dyDescent="0.3">
      <c r="F3080" s="43">
        <v>42353</v>
      </c>
      <c r="G3080" s="44">
        <v>2043.410034</v>
      </c>
      <c r="H3080" s="44">
        <v>1396.4499510000001</v>
      </c>
      <c r="I3080" s="44">
        <v>1131.5500489999999</v>
      </c>
      <c r="J3080" s="44">
        <v>58.549999</v>
      </c>
      <c r="K3080" s="44">
        <v>108.19000200000001</v>
      </c>
    </row>
    <row r="3081" spans="6:11" x14ac:dyDescent="0.3">
      <c r="F3081" s="43">
        <v>42354</v>
      </c>
      <c r="G3081" s="44">
        <v>2073.070068</v>
      </c>
      <c r="H3081" s="44">
        <v>1411.1800539999999</v>
      </c>
      <c r="I3081" s="44">
        <v>1148.969971</v>
      </c>
      <c r="J3081" s="44">
        <v>59.73</v>
      </c>
      <c r="K3081" s="44">
        <v>108</v>
      </c>
    </row>
    <row r="3082" spans="6:11" x14ac:dyDescent="0.3">
      <c r="F3082" s="43">
        <v>42355</v>
      </c>
      <c r="G3082" s="44">
        <v>2041.8900149999999</v>
      </c>
      <c r="H3082" s="44">
        <v>1393.900024</v>
      </c>
      <c r="I3082" s="44">
        <v>1135.3599850000001</v>
      </c>
      <c r="J3082" s="44">
        <v>58.970001000000003</v>
      </c>
      <c r="K3082" s="44">
        <v>108.150002</v>
      </c>
    </row>
    <row r="3083" spans="6:11" x14ac:dyDescent="0.3">
      <c r="F3083" s="43">
        <v>42356</v>
      </c>
      <c r="G3083" s="44">
        <v>2005.5500489999999</v>
      </c>
      <c r="H3083" s="44">
        <v>1375.2700199999999</v>
      </c>
      <c r="I3083" s="44">
        <v>1121.0200199999999</v>
      </c>
      <c r="J3083" s="44">
        <v>58.349997999999999</v>
      </c>
      <c r="K3083" s="44">
        <v>108.379997</v>
      </c>
    </row>
    <row r="3084" spans="6:11" x14ac:dyDescent="0.3">
      <c r="F3084" s="43">
        <v>42359</v>
      </c>
      <c r="G3084" s="44">
        <v>2021.150024</v>
      </c>
      <c r="H3084" s="44">
        <v>1383.9300539999999</v>
      </c>
      <c r="I3084" s="44">
        <v>1127.73999</v>
      </c>
      <c r="J3084" s="44">
        <v>58.110000999999997</v>
      </c>
      <c r="K3084" s="44">
        <v>108.279999</v>
      </c>
    </row>
    <row r="3085" spans="6:11" x14ac:dyDescent="0.3">
      <c r="F3085" s="43">
        <v>42360</v>
      </c>
      <c r="G3085" s="44">
        <v>2038.969971</v>
      </c>
      <c r="H3085" s="44">
        <v>1396.829956</v>
      </c>
      <c r="I3085" s="44">
        <v>1137.6899410000001</v>
      </c>
      <c r="J3085" s="44">
        <v>58.549999</v>
      </c>
      <c r="K3085" s="44">
        <v>108.199997</v>
      </c>
    </row>
    <row r="3086" spans="6:11" x14ac:dyDescent="0.3">
      <c r="F3086" s="43">
        <v>42361</v>
      </c>
      <c r="G3086" s="44">
        <v>2064.290039</v>
      </c>
      <c r="H3086" s="44">
        <v>1415.4399410000001</v>
      </c>
      <c r="I3086" s="44">
        <v>1152.8199460000001</v>
      </c>
      <c r="J3086" s="44">
        <v>59.529998999999997</v>
      </c>
      <c r="K3086" s="44">
        <v>108.18</v>
      </c>
    </row>
    <row r="3087" spans="6:11" x14ac:dyDescent="0.3">
      <c r="F3087" s="43">
        <v>42362</v>
      </c>
      <c r="G3087" s="44">
        <v>2060.98999</v>
      </c>
      <c r="H3087" s="44">
        <v>1416.099976</v>
      </c>
      <c r="I3087" s="44">
        <v>1154.76001</v>
      </c>
      <c r="J3087" s="44">
        <v>59.43</v>
      </c>
      <c r="K3087" s="44">
        <v>108.010002</v>
      </c>
    </row>
    <row r="3088" spans="6:11" x14ac:dyDescent="0.3">
      <c r="F3088" s="43">
        <v>42366</v>
      </c>
      <c r="G3088" s="44">
        <v>2056.5</v>
      </c>
      <c r="H3088" s="44">
        <v>1413.8599850000001</v>
      </c>
      <c r="I3088" s="44">
        <v>1148.209961</v>
      </c>
      <c r="J3088" s="44">
        <v>59.290000999999997</v>
      </c>
      <c r="K3088" s="44">
        <v>108.010002</v>
      </c>
    </row>
    <row r="3089" spans="6:11" x14ac:dyDescent="0.3">
      <c r="F3089" s="43">
        <v>42367</v>
      </c>
      <c r="G3089" s="44">
        <v>2078.360107</v>
      </c>
      <c r="H3089" s="44">
        <v>1424.4300539999999</v>
      </c>
      <c r="I3089" s="44">
        <v>1160.5200199999999</v>
      </c>
      <c r="J3089" s="44">
        <v>59.880001</v>
      </c>
      <c r="K3089" s="44">
        <v>107.739998</v>
      </c>
    </row>
    <row r="3090" spans="6:11" x14ac:dyDescent="0.3">
      <c r="F3090" s="43">
        <v>42368</v>
      </c>
      <c r="G3090" s="44">
        <v>2063.360107</v>
      </c>
      <c r="H3090" s="44">
        <v>1413.1099850000001</v>
      </c>
      <c r="I3090" s="44">
        <v>1149.6400149999999</v>
      </c>
      <c r="J3090" s="44">
        <v>59.52</v>
      </c>
      <c r="K3090" s="44">
        <v>107.720001</v>
      </c>
    </row>
    <row r="3091" spans="6:11" x14ac:dyDescent="0.3">
      <c r="F3091" s="43">
        <v>42369</v>
      </c>
      <c r="G3091" s="44">
        <v>2043.9399410000001</v>
      </c>
      <c r="H3091" s="44">
        <v>1398.579956</v>
      </c>
      <c r="I3091" s="44">
        <v>1135.8900149999999</v>
      </c>
      <c r="J3091" s="44">
        <v>58.720001000000003</v>
      </c>
      <c r="K3091" s="44">
        <v>108.010002</v>
      </c>
    </row>
    <row r="3092" spans="6:11" x14ac:dyDescent="0.3">
      <c r="F3092" s="43">
        <v>42373</v>
      </c>
      <c r="G3092" s="44">
        <v>2012.660034</v>
      </c>
      <c r="H3092" s="44">
        <v>1379.1800539999999</v>
      </c>
      <c r="I3092" s="44">
        <v>1108.619995</v>
      </c>
      <c r="J3092" s="44">
        <v>57.82</v>
      </c>
      <c r="K3092" s="44">
        <v>107.970001</v>
      </c>
    </row>
    <row r="3093" spans="6:11" x14ac:dyDescent="0.3">
      <c r="F3093" s="43">
        <v>42374</v>
      </c>
      <c r="G3093" s="44">
        <v>2016.709961</v>
      </c>
      <c r="H3093" s="44">
        <v>1380.3100589999999</v>
      </c>
      <c r="I3093" s="44">
        <v>1110.4399410000001</v>
      </c>
      <c r="J3093" s="44">
        <v>57.73</v>
      </c>
      <c r="K3093" s="44">
        <v>108.019997</v>
      </c>
    </row>
    <row r="3094" spans="6:11" x14ac:dyDescent="0.3">
      <c r="F3094" s="43">
        <v>42375</v>
      </c>
      <c r="G3094" s="44">
        <v>1990.26001</v>
      </c>
      <c r="H3094" s="44">
        <v>1360.829956</v>
      </c>
      <c r="I3094" s="44">
        <v>1094.369995</v>
      </c>
      <c r="J3094" s="44">
        <v>56.779998999999997</v>
      </c>
      <c r="K3094" s="44">
        <v>108.43</v>
      </c>
    </row>
    <row r="3095" spans="6:11" x14ac:dyDescent="0.3">
      <c r="F3095" s="43">
        <v>42376</v>
      </c>
      <c r="G3095" s="44">
        <v>1943.089966</v>
      </c>
      <c r="H3095" s="44">
        <v>1326.48999</v>
      </c>
      <c r="I3095" s="44">
        <v>1064.5699460000001</v>
      </c>
      <c r="J3095" s="44">
        <v>55.599997999999999</v>
      </c>
      <c r="K3095" s="44">
        <v>108.41999800000001</v>
      </c>
    </row>
    <row r="3096" spans="6:11" x14ac:dyDescent="0.3">
      <c r="F3096" s="43">
        <v>42377</v>
      </c>
      <c r="G3096" s="44">
        <v>1922.030029</v>
      </c>
      <c r="H3096" s="44">
        <v>1308.4799800000001</v>
      </c>
      <c r="I3096" s="44">
        <v>1046.1999510000001</v>
      </c>
      <c r="J3096" s="44">
        <v>54.93</v>
      </c>
      <c r="K3096" s="44">
        <v>108.660004</v>
      </c>
    </row>
    <row r="3097" spans="6:11" x14ac:dyDescent="0.3">
      <c r="F3097" s="43">
        <v>42380</v>
      </c>
      <c r="G3097" s="44">
        <v>1923.670044</v>
      </c>
      <c r="H3097" s="44">
        <v>1304</v>
      </c>
      <c r="I3097" s="44">
        <v>1041.900024</v>
      </c>
      <c r="J3097" s="44">
        <v>55.16</v>
      </c>
      <c r="K3097" s="44">
        <v>108.349998</v>
      </c>
    </row>
    <row r="3098" spans="6:11" x14ac:dyDescent="0.3">
      <c r="F3098" s="43">
        <v>42381</v>
      </c>
      <c r="G3098" s="44">
        <v>1938.6800539999999</v>
      </c>
      <c r="H3098" s="44">
        <v>1309.5699460000001</v>
      </c>
      <c r="I3098" s="44">
        <v>1044.6999510000001</v>
      </c>
      <c r="J3098" s="44">
        <v>55.419998</v>
      </c>
      <c r="K3098" s="44">
        <v>108.589996</v>
      </c>
    </row>
    <row r="3099" spans="6:11" x14ac:dyDescent="0.3">
      <c r="F3099" s="43">
        <v>42382</v>
      </c>
      <c r="G3099" s="44">
        <v>1890.280029</v>
      </c>
      <c r="H3099" s="44">
        <v>1274.369995</v>
      </c>
      <c r="I3099" s="44">
        <v>1010.190002</v>
      </c>
      <c r="J3099" s="44">
        <v>54.560001</v>
      </c>
      <c r="K3099" s="44">
        <v>108.839996</v>
      </c>
    </row>
    <row r="3100" spans="6:11" x14ac:dyDescent="0.3">
      <c r="F3100" s="43">
        <v>42383</v>
      </c>
      <c r="G3100" s="44">
        <v>1921.839966</v>
      </c>
      <c r="H3100" s="44">
        <v>1288.9799800000001</v>
      </c>
      <c r="I3100" s="44">
        <v>1025.670044</v>
      </c>
      <c r="J3100" s="44">
        <v>55.259998000000003</v>
      </c>
      <c r="K3100" s="44">
        <v>108.800003</v>
      </c>
    </row>
    <row r="3101" spans="6:11" x14ac:dyDescent="0.3">
      <c r="F3101" s="43">
        <v>42384</v>
      </c>
      <c r="G3101" s="44">
        <v>1880.329956</v>
      </c>
      <c r="H3101" s="44">
        <v>1269.829956</v>
      </c>
      <c r="I3101" s="44">
        <v>1007.719971</v>
      </c>
      <c r="J3101" s="44">
        <v>53.259998000000003</v>
      </c>
      <c r="K3101" s="44">
        <v>108.93</v>
      </c>
    </row>
    <row r="3102" spans="6:11" x14ac:dyDescent="0.3">
      <c r="F3102" s="43">
        <v>42388</v>
      </c>
      <c r="G3102" s="44">
        <v>1881.329956</v>
      </c>
      <c r="H3102" s="44">
        <v>1263.1400149999999</v>
      </c>
      <c r="I3102" s="44">
        <v>994.86999500000002</v>
      </c>
      <c r="J3102" s="44">
        <v>53.75</v>
      </c>
      <c r="K3102" s="44">
        <v>108.82</v>
      </c>
    </row>
    <row r="3103" spans="6:11" x14ac:dyDescent="0.3">
      <c r="F3103" s="43">
        <v>42389</v>
      </c>
      <c r="G3103" s="44">
        <v>1859.329956</v>
      </c>
      <c r="H3103" s="44">
        <v>1254.9300539999999</v>
      </c>
      <c r="I3103" s="44">
        <v>999.30999799999995</v>
      </c>
      <c r="J3103" s="44">
        <v>52.529998999999997</v>
      </c>
      <c r="K3103" s="44">
        <v>108.910004</v>
      </c>
    </row>
    <row r="3104" spans="6:11" x14ac:dyDescent="0.3">
      <c r="F3104" s="43">
        <v>42390</v>
      </c>
      <c r="G3104" s="44">
        <v>1868.98999</v>
      </c>
      <c r="H3104" s="44">
        <v>1256.839966</v>
      </c>
      <c r="I3104" s="44">
        <v>997.34002699999996</v>
      </c>
      <c r="J3104" s="44">
        <v>52.919998</v>
      </c>
      <c r="K3104" s="44">
        <v>108.760002</v>
      </c>
    </row>
    <row r="3105" spans="6:11" x14ac:dyDescent="0.3">
      <c r="F3105" s="43">
        <v>42391</v>
      </c>
      <c r="G3105" s="44">
        <v>1906.900024</v>
      </c>
      <c r="H3105" s="44">
        <v>1287.7700199999999</v>
      </c>
      <c r="I3105" s="44">
        <v>1020.659973</v>
      </c>
      <c r="J3105" s="44">
        <v>54.48</v>
      </c>
      <c r="K3105" s="44">
        <v>108.839996</v>
      </c>
    </row>
    <row r="3106" spans="6:11" x14ac:dyDescent="0.3">
      <c r="F3106" s="43">
        <v>42394</v>
      </c>
      <c r="G3106" s="44">
        <v>1877.079956</v>
      </c>
      <c r="H3106" s="44">
        <v>1261.380005</v>
      </c>
      <c r="I3106" s="44">
        <v>997.36999500000002</v>
      </c>
      <c r="J3106" s="44">
        <v>53.75</v>
      </c>
      <c r="K3106" s="44">
        <v>108.779999</v>
      </c>
    </row>
    <row r="3107" spans="6:11" x14ac:dyDescent="0.3">
      <c r="F3107" s="43">
        <v>42395</v>
      </c>
      <c r="G3107" s="44">
        <v>1903.630005</v>
      </c>
      <c r="H3107" s="44">
        <v>1289.780029</v>
      </c>
      <c r="I3107" s="44">
        <v>1017.969971</v>
      </c>
      <c r="J3107" s="44">
        <v>54.709999000000003</v>
      </c>
      <c r="K3107" s="44">
        <v>108.91999800000001</v>
      </c>
    </row>
    <row r="3108" spans="6:11" x14ac:dyDescent="0.3">
      <c r="F3108" s="43">
        <v>42396</v>
      </c>
      <c r="G3108" s="44">
        <v>1882.9499510000001</v>
      </c>
      <c r="H3108" s="44">
        <v>1276.579956</v>
      </c>
      <c r="I3108" s="44">
        <v>1002.75</v>
      </c>
      <c r="J3108" s="44">
        <v>54.360000999999997</v>
      </c>
      <c r="K3108" s="44">
        <v>108.94000200000001</v>
      </c>
    </row>
    <row r="3109" spans="6:11" x14ac:dyDescent="0.3">
      <c r="F3109" s="43">
        <v>42397</v>
      </c>
      <c r="G3109" s="44">
        <v>1893.3599850000001</v>
      </c>
      <c r="H3109" s="44">
        <v>1276.530029</v>
      </c>
      <c r="I3109" s="44">
        <v>1003.27002</v>
      </c>
      <c r="J3109" s="44">
        <v>54.52</v>
      </c>
      <c r="K3109" s="44">
        <v>109.029999</v>
      </c>
    </row>
    <row r="3110" spans="6:11" x14ac:dyDescent="0.3">
      <c r="F3110" s="43">
        <v>42398</v>
      </c>
      <c r="G3110" s="44">
        <v>1940.23999</v>
      </c>
      <c r="H3110" s="44">
        <v>1317.73999</v>
      </c>
      <c r="I3110" s="44">
        <v>1035.380005</v>
      </c>
      <c r="J3110" s="44">
        <v>55.48</v>
      </c>
      <c r="K3110" s="44">
        <v>109.349998</v>
      </c>
    </row>
    <row r="3111" spans="6:11" x14ac:dyDescent="0.3">
      <c r="F3111" s="43">
        <v>42401</v>
      </c>
      <c r="G3111" s="44">
        <v>1939.380005</v>
      </c>
      <c r="H3111" s="44">
        <v>1316.9499510000001</v>
      </c>
      <c r="I3111" s="44">
        <v>1032.3900149999999</v>
      </c>
      <c r="J3111" s="44">
        <v>55.419998</v>
      </c>
      <c r="K3111" s="44">
        <v>108.989998</v>
      </c>
    </row>
    <row r="3112" spans="6:11" x14ac:dyDescent="0.3">
      <c r="F3112" s="43">
        <v>42402</v>
      </c>
      <c r="G3112" s="44">
        <v>1903.030029</v>
      </c>
      <c r="H3112" s="44">
        <v>1289.1099850000001</v>
      </c>
      <c r="I3112" s="44">
        <v>1008.840027</v>
      </c>
      <c r="J3112" s="44">
        <v>54.130001</v>
      </c>
      <c r="K3112" s="44">
        <v>109.32</v>
      </c>
    </row>
    <row r="3113" spans="6:11" x14ac:dyDescent="0.3">
      <c r="F3113" s="43">
        <v>42403</v>
      </c>
      <c r="G3113" s="44">
        <v>1912.530029</v>
      </c>
      <c r="H3113" s="44">
        <v>1297.5699460000001</v>
      </c>
      <c r="I3113" s="44">
        <v>1010.299988</v>
      </c>
      <c r="J3113" s="44">
        <v>54.580002</v>
      </c>
      <c r="K3113" s="44">
        <v>109.30999799999999</v>
      </c>
    </row>
    <row r="3114" spans="6:11" x14ac:dyDescent="0.3">
      <c r="F3114" s="43">
        <v>42404</v>
      </c>
      <c r="G3114" s="44">
        <v>1915.4499510000001</v>
      </c>
      <c r="H3114" s="44">
        <v>1306.9799800000001</v>
      </c>
      <c r="I3114" s="44">
        <v>1014.789978</v>
      </c>
      <c r="J3114" s="44">
        <v>54.650002000000001</v>
      </c>
      <c r="K3114" s="44">
        <v>109.41999800000001</v>
      </c>
    </row>
    <row r="3115" spans="6:11" x14ac:dyDescent="0.3">
      <c r="F3115" s="43">
        <v>42405</v>
      </c>
      <c r="G3115" s="44">
        <v>1880.0500489999999</v>
      </c>
      <c r="H3115" s="44">
        <v>1279.3199460000001</v>
      </c>
      <c r="I3115" s="44">
        <v>985.61999500000002</v>
      </c>
      <c r="J3115" s="44">
        <v>53.810001</v>
      </c>
      <c r="K3115" s="44">
        <v>109.32</v>
      </c>
    </row>
    <row r="3116" spans="6:11" x14ac:dyDescent="0.3">
      <c r="F3116" s="43">
        <v>42408</v>
      </c>
      <c r="G3116" s="44">
        <v>1853.4399410000001</v>
      </c>
      <c r="H3116" s="44">
        <v>1256.339966</v>
      </c>
      <c r="I3116" s="44">
        <v>969.34002699999996</v>
      </c>
      <c r="J3116" s="44">
        <v>52.810001</v>
      </c>
      <c r="K3116" s="44">
        <v>109.739998</v>
      </c>
    </row>
    <row r="3117" spans="6:11" x14ac:dyDescent="0.3">
      <c r="F3117" s="43">
        <v>42409</v>
      </c>
      <c r="G3117" s="44">
        <v>1852.209961</v>
      </c>
      <c r="H3117" s="44">
        <v>1252.75</v>
      </c>
      <c r="I3117" s="44">
        <v>963.90002400000003</v>
      </c>
      <c r="J3117" s="44">
        <v>52.200001</v>
      </c>
      <c r="K3117" s="44">
        <v>109.730003</v>
      </c>
    </row>
    <row r="3118" spans="6:11" x14ac:dyDescent="0.3">
      <c r="F3118" s="43">
        <v>42410</v>
      </c>
      <c r="G3118" s="44">
        <v>1851.8599850000001</v>
      </c>
      <c r="H3118" s="44">
        <v>1256.5</v>
      </c>
      <c r="I3118" s="44">
        <v>963.47997999999995</v>
      </c>
      <c r="J3118" s="44">
        <v>52.139999000000003</v>
      </c>
      <c r="K3118" s="44">
        <v>110</v>
      </c>
    </row>
    <row r="3119" spans="6:11" x14ac:dyDescent="0.3">
      <c r="F3119" s="43">
        <v>42411</v>
      </c>
      <c r="G3119" s="44">
        <v>1829.079956</v>
      </c>
      <c r="H3119" s="44">
        <v>1238.8199460000001</v>
      </c>
      <c r="I3119" s="44">
        <v>953.71997099999999</v>
      </c>
      <c r="J3119" s="44">
        <v>51.380001</v>
      </c>
      <c r="K3119" s="44">
        <v>110.07</v>
      </c>
    </row>
    <row r="3120" spans="6:11" x14ac:dyDescent="0.3">
      <c r="F3120" s="43">
        <v>42412</v>
      </c>
      <c r="G3120" s="44">
        <v>1864.780029</v>
      </c>
      <c r="H3120" s="44">
        <v>1261.8900149999999</v>
      </c>
      <c r="I3120" s="44">
        <v>971.98999000000003</v>
      </c>
      <c r="J3120" s="44">
        <v>52.279998999999997</v>
      </c>
      <c r="K3120" s="44">
        <v>109.769997</v>
      </c>
    </row>
    <row r="3121" spans="6:11" x14ac:dyDescent="0.3">
      <c r="F3121" s="43">
        <v>42416</v>
      </c>
      <c r="G3121" s="44">
        <v>1895.579956</v>
      </c>
      <c r="H3121" s="44">
        <v>1289.2299800000001</v>
      </c>
      <c r="I3121" s="44">
        <v>995.79998799999998</v>
      </c>
      <c r="J3121" s="44">
        <v>53.34</v>
      </c>
      <c r="K3121" s="44">
        <v>109.5</v>
      </c>
    </row>
    <row r="3122" spans="6:11" x14ac:dyDescent="0.3">
      <c r="F3122" s="43">
        <v>42417</v>
      </c>
      <c r="G3122" s="44">
        <v>1926.8199460000001</v>
      </c>
      <c r="H3122" s="44">
        <v>1309.209961</v>
      </c>
      <c r="I3122" s="44">
        <v>1011.130005</v>
      </c>
      <c r="J3122" s="44">
        <v>54.259998000000003</v>
      </c>
      <c r="K3122" s="44">
        <v>109.44000200000001</v>
      </c>
    </row>
    <row r="3123" spans="6:11" x14ac:dyDescent="0.3">
      <c r="F3123" s="43">
        <v>42418</v>
      </c>
      <c r="G3123" s="44">
        <v>1917.829956</v>
      </c>
      <c r="H3123" s="44">
        <v>1305.75</v>
      </c>
      <c r="I3123" s="44">
        <v>1004.710022</v>
      </c>
      <c r="J3123" s="44">
        <v>53.98</v>
      </c>
      <c r="K3123" s="44">
        <v>109.769997</v>
      </c>
    </row>
    <row r="3124" spans="6:11" x14ac:dyDescent="0.3">
      <c r="F3124" s="43">
        <v>42419</v>
      </c>
      <c r="G3124" s="44">
        <v>1917.780029</v>
      </c>
      <c r="H3124" s="44">
        <v>1305.6800539999999</v>
      </c>
      <c r="I3124" s="44">
        <v>1010.01001</v>
      </c>
      <c r="J3124" s="44">
        <v>53.919998</v>
      </c>
      <c r="K3124" s="44">
        <v>109.790001</v>
      </c>
    </row>
    <row r="3125" spans="6:11" x14ac:dyDescent="0.3">
      <c r="F3125" s="43">
        <v>42422</v>
      </c>
      <c r="G3125" s="44">
        <v>1945.5</v>
      </c>
      <c r="H3125" s="44">
        <v>1323.369995</v>
      </c>
      <c r="I3125" s="44">
        <v>1021.73999</v>
      </c>
      <c r="J3125" s="44">
        <v>54.529998999999997</v>
      </c>
      <c r="K3125" s="44">
        <v>109.82</v>
      </c>
    </row>
    <row r="3126" spans="6:11" x14ac:dyDescent="0.3">
      <c r="F3126" s="43">
        <v>42423</v>
      </c>
      <c r="G3126" s="44">
        <v>1921.2700199999999</v>
      </c>
      <c r="H3126" s="44">
        <v>1311.630005</v>
      </c>
      <c r="I3126" s="44">
        <v>1012.150024</v>
      </c>
      <c r="J3126" s="44">
        <v>53.639999000000003</v>
      </c>
      <c r="K3126" s="44">
        <v>109.839996</v>
      </c>
    </row>
    <row r="3127" spans="6:11" x14ac:dyDescent="0.3">
      <c r="F3127" s="43">
        <v>42424</v>
      </c>
      <c r="G3127" s="44">
        <v>1929.8000489999999</v>
      </c>
      <c r="H3127" s="44">
        <v>1319.76001</v>
      </c>
      <c r="I3127" s="44">
        <v>1022.080017</v>
      </c>
      <c r="J3127" s="44">
        <v>53.450001</v>
      </c>
      <c r="K3127" s="44">
        <v>109.879997</v>
      </c>
    </row>
    <row r="3128" spans="6:11" x14ac:dyDescent="0.3">
      <c r="F3128" s="43">
        <v>42425</v>
      </c>
      <c r="G3128" s="44">
        <v>1951.6999510000001</v>
      </c>
      <c r="H3128" s="44">
        <v>1334.290039</v>
      </c>
      <c r="I3128" s="44">
        <v>1031.579956</v>
      </c>
      <c r="J3128" s="44">
        <v>54.09</v>
      </c>
      <c r="K3128" s="44">
        <v>110.160004</v>
      </c>
    </row>
    <row r="3129" spans="6:11" x14ac:dyDescent="0.3">
      <c r="F3129" s="43">
        <v>42426</v>
      </c>
      <c r="G3129" s="44">
        <v>1948.0500489999999</v>
      </c>
      <c r="H3129" s="44">
        <v>1340.280029</v>
      </c>
      <c r="I3129" s="44">
        <v>1037.1800539999999</v>
      </c>
      <c r="J3129" s="44">
        <v>53.950001</v>
      </c>
      <c r="K3129" s="44">
        <v>109.959999</v>
      </c>
    </row>
    <row r="3130" spans="6:11" x14ac:dyDescent="0.3">
      <c r="F3130" s="43">
        <v>42429</v>
      </c>
      <c r="G3130" s="44">
        <v>1932.2299800000001</v>
      </c>
      <c r="H3130" s="44">
        <v>1334.1999510000001</v>
      </c>
      <c r="I3130" s="44">
        <v>1033.900024</v>
      </c>
      <c r="J3130" s="44">
        <v>53.630001</v>
      </c>
      <c r="K3130" s="44">
        <v>110.089996</v>
      </c>
    </row>
    <row r="3131" spans="6:11" x14ac:dyDescent="0.3">
      <c r="F3131" s="43">
        <v>42430</v>
      </c>
      <c r="G3131" s="44">
        <v>1978.349976</v>
      </c>
      <c r="H3131" s="44">
        <v>1363.3000489999999</v>
      </c>
      <c r="I3131" s="44">
        <v>1054.48999</v>
      </c>
      <c r="J3131" s="44">
        <v>55.029998999999997</v>
      </c>
      <c r="K3131" s="44">
        <v>109.540001</v>
      </c>
    </row>
    <row r="3132" spans="6:11" x14ac:dyDescent="0.3">
      <c r="F3132" s="43">
        <v>42431</v>
      </c>
      <c r="G3132" s="44">
        <v>1986.4499510000001</v>
      </c>
      <c r="H3132" s="44">
        <v>1375.380005</v>
      </c>
      <c r="I3132" s="44">
        <v>1065.670044</v>
      </c>
      <c r="J3132" s="44">
        <v>55.41</v>
      </c>
      <c r="K3132" s="44">
        <v>109.41999800000001</v>
      </c>
    </row>
    <row r="3133" spans="6:11" x14ac:dyDescent="0.3">
      <c r="F3133" s="43">
        <v>42432</v>
      </c>
      <c r="G3133" s="44">
        <v>1993.400024</v>
      </c>
      <c r="H3133" s="44">
        <v>1389.8199460000001</v>
      </c>
      <c r="I3133" s="44">
        <v>1076.0500489999999</v>
      </c>
      <c r="J3133" s="44">
        <v>55.950001</v>
      </c>
      <c r="K3133" s="44">
        <v>109.550003</v>
      </c>
    </row>
    <row r="3134" spans="6:11" x14ac:dyDescent="0.3">
      <c r="F3134" s="43">
        <v>42433</v>
      </c>
      <c r="G3134" s="44">
        <v>1999.98999</v>
      </c>
      <c r="H3134" s="44">
        <v>1399.1999510000001</v>
      </c>
      <c r="I3134" s="44">
        <v>1081.9300539999999</v>
      </c>
      <c r="J3134" s="44">
        <v>56.360000999999997</v>
      </c>
      <c r="K3134" s="44">
        <v>109.379997</v>
      </c>
    </row>
    <row r="3135" spans="6:11" x14ac:dyDescent="0.3">
      <c r="F3135" s="43">
        <v>42436</v>
      </c>
      <c r="G3135" s="44">
        <v>2001.76001</v>
      </c>
      <c r="H3135" s="44">
        <v>1405.469971</v>
      </c>
      <c r="I3135" s="44">
        <v>1094.150024</v>
      </c>
      <c r="J3135" s="44">
        <v>56.290000999999997</v>
      </c>
      <c r="K3135" s="44">
        <v>109.349998</v>
      </c>
    </row>
    <row r="3136" spans="6:11" x14ac:dyDescent="0.3">
      <c r="F3136" s="43">
        <v>42437</v>
      </c>
      <c r="G3136" s="44">
        <v>1979.26001</v>
      </c>
      <c r="H3136" s="44">
        <v>1379.6999510000001</v>
      </c>
      <c r="I3136" s="44">
        <v>1067.880005</v>
      </c>
      <c r="J3136" s="44">
        <v>55.740001999999997</v>
      </c>
      <c r="K3136" s="44">
        <v>109.620003</v>
      </c>
    </row>
    <row r="3137" spans="6:11" x14ac:dyDescent="0.3">
      <c r="F3137" s="43">
        <v>42438</v>
      </c>
      <c r="G3137" s="44">
        <v>1989.26001</v>
      </c>
      <c r="H3137" s="44">
        <v>1384.869995</v>
      </c>
      <c r="I3137" s="44">
        <v>1072.7700199999999</v>
      </c>
      <c r="J3137" s="44">
        <v>55.950001</v>
      </c>
      <c r="K3137" s="44">
        <v>109.57</v>
      </c>
    </row>
    <row r="3138" spans="6:11" x14ac:dyDescent="0.3">
      <c r="F3138" s="43">
        <v>42439</v>
      </c>
      <c r="G3138" s="44">
        <v>1989.5699460000001</v>
      </c>
      <c r="H3138" s="44">
        <v>1381.1999510000001</v>
      </c>
      <c r="I3138" s="44">
        <v>1063.98999</v>
      </c>
      <c r="J3138" s="44">
        <v>55.860000999999997</v>
      </c>
      <c r="K3138" s="44">
        <v>109.620003</v>
      </c>
    </row>
    <row r="3139" spans="6:11" x14ac:dyDescent="0.3">
      <c r="F3139" s="43">
        <v>42440</v>
      </c>
      <c r="G3139" s="44">
        <v>2022.1899410000001</v>
      </c>
      <c r="H3139" s="44">
        <v>1407.130005</v>
      </c>
      <c r="I3139" s="44">
        <v>1087.5600589999999</v>
      </c>
      <c r="J3139" s="44">
        <v>57.32</v>
      </c>
      <c r="K3139" s="44">
        <v>109.41999800000001</v>
      </c>
    </row>
    <row r="3140" spans="6:11" x14ac:dyDescent="0.3">
      <c r="F3140" s="43">
        <v>42443</v>
      </c>
      <c r="G3140" s="44">
        <v>2019.6400149999999</v>
      </c>
      <c r="H3140" s="44">
        <v>1402.170044</v>
      </c>
      <c r="I3140" s="44">
        <v>1084.25</v>
      </c>
      <c r="J3140" s="44">
        <v>57.200001</v>
      </c>
      <c r="K3140" s="44">
        <v>109.480003</v>
      </c>
    </row>
    <row r="3141" spans="6:11" x14ac:dyDescent="0.3">
      <c r="F3141" s="43">
        <v>42444</v>
      </c>
      <c r="G3141" s="44">
        <v>2015.9300539999999</v>
      </c>
      <c r="H3141" s="44">
        <v>1392.5200199999999</v>
      </c>
      <c r="I3141" s="44">
        <v>1066.670044</v>
      </c>
      <c r="J3141" s="44">
        <v>56.66</v>
      </c>
      <c r="K3141" s="44">
        <v>109.379997</v>
      </c>
    </row>
    <row r="3142" spans="6:11" x14ac:dyDescent="0.3">
      <c r="F3142" s="43">
        <v>42445</v>
      </c>
      <c r="G3142" s="44">
        <v>2027.219971</v>
      </c>
      <c r="H3142" s="44">
        <v>1406.8199460000001</v>
      </c>
      <c r="I3142" s="44">
        <v>1074.51001</v>
      </c>
      <c r="J3142" s="44">
        <v>57.16</v>
      </c>
      <c r="K3142" s="44">
        <v>109.849998</v>
      </c>
    </row>
    <row r="3143" spans="6:11" x14ac:dyDescent="0.3">
      <c r="F3143" s="43">
        <v>42446</v>
      </c>
      <c r="G3143" s="44">
        <v>2040.589966</v>
      </c>
      <c r="H3143" s="44">
        <v>1421.5600589999999</v>
      </c>
      <c r="I3143" s="44">
        <v>1091.25</v>
      </c>
      <c r="J3143" s="44">
        <v>57.599997999999999</v>
      </c>
      <c r="K3143" s="44">
        <v>110.08000199999999</v>
      </c>
    </row>
    <row r="3144" spans="6:11" x14ac:dyDescent="0.3">
      <c r="F3144" s="43">
        <v>42447</v>
      </c>
      <c r="G3144" s="44">
        <v>2049.580078</v>
      </c>
      <c r="H3144" s="44">
        <v>1429.8000489999999</v>
      </c>
      <c r="I3144" s="44">
        <v>1101.670044</v>
      </c>
      <c r="J3144" s="44">
        <v>57.5</v>
      </c>
      <c r="K3144" s="44">
        <v>110.16999800000001</v>
      </c>
    </row>
    <row r="3145" spans="6:11" x14ac:dyDescent="0.3">
      <c r="F3145" s="43">
        <v>42450</v>
      </c>
      <c r="G3145" s="44">
        <v>2051.6000979999999</v>
      </c>
      <c r="H3145" s="44">
        <v>1429.660034</v>
      </c>
      <c r="I3145" s="44">
        <v>1098.579956</v>
      </c>
      <c r="J3145" s="44">
        <v>57.41</v>
      </c>
      <c r="K3145" s="44">
        <v>109.93</v>
      </c>
    </row>
    <row r="3146" spans="6:11" x14ac:dyDescent="0.3">
      <c r="F3146" s="43">
        <v>42451</v>
      </c>
      <c r="G3146" s="44">
        <v>2049.8000489999999</v>
      </c>
      <c r="H3146" s="44">
        <v>1429.9300539999999</v>
      </c>
      <c r="I3146" s="44">
        <v>1097.339966</v>
      </c>
      <c r="J3146" s="44">
        <v>57.310001</v>
      </c>
      <c r="K3146" s="44">
        <v>109.860001</v>
      </c>
    </row>
    <row r="3147" spans="6:11" x14ac:dyDescent="0.3">
      <c r="F3147" s="43">
        <v>42452</v>
      </c>
      <c r="G3147" s="44">
        <v>2036.709961</v>
      </c>
      <c r="H3147" s="44">
        <v>1412.119995</v>
      </c>
      <c r="I3147" s="44">
        <v>1075.6999510000001</v>
      </c>
      <c r="J3147" s="44">
        <v>56.73</v>
      </c>
      <c r="K3147" s="44">
        <v>110.099998</v>
      </c>
    </row>
    <row r="3148" spans="6:11" x14ac:dyDescent="0.3">
      <c r="F3148" s="43">
        <v>42453</v>
      </c>
      <c r="G3148" s="44">
        <v>2035.9399410000001</v>
      </c>
      <c r="H3148" s="44">
        <v>1413.8599850000001</v>
      </c>
      <c r="I3148" s="44">
        <v>1079.540039</v>
      </c>
      <c r="J3148" s="44">
        <v>56.349997999999999</v>
      </c>
      <c r="K3148" s="44">
        <v>110.110001</v>
      </c>
    </row>
    <row r="3149" spans="6:11" x14ac:dyDescent="0.3">
      <c r="F3149" s="43">
        <v>42457</v>
      </c>
      <c r="G3149" s="44">
        <v>2037.0500489999999</v>
      </c>
      <c r="H3149" s="44">
        <v>1418.349976</v>
      </c>
      <c r="I3149" s="44">
        <v>1080.2299800000001</v>
      </c>
      <c r="J3149" s="44">
        <v>56.689999</v>
      </c>
      <c r="K3149" s="44">
        <v>110.19000200000001</v>
      </c>
    </row>
    <row r="3150" spans="6:11" x14ac:dyDescent="0.3">
      <c r="F3150" s="43">
        <v>42458</v>
      </c>
      <c r="G3150" s="44">
        <v>2055.01001</v>
      </c>
      <c r="H3150" s="44">
        <v>1443.4399410000001</v>
      </c>
      <c r="I3150" s="44">
        <v>1109.079956</v>
      </c>
      <c r="J3150" s="44">
        <v>57.299999</v>
      </c>
      <c r="K3150" s="44">
        <v>110.519997</v>
      </c>
    </row>
    <row r="3151" spans="6:11" x14ac:dyDescent="0.3">
      <c r="F3151" s="43">
        <v>42459</v>
      </c>
      <c r="G3151" s="44">
        <v>2063.9499510000001</v>
      </c>
      <c r="H3151" s="44">
        <v>1443.579956</v>
      </c>
      <c r="I3151" s="44">
        <v>1110.4399410000001</v>
      </c>
      <c r="J3151" s="44">
        <v>57.73</v>
      </c>
      <c r="K3151" s="44">
        <v>110.480003</v>
      </c>
    </row>
    <row r="3152" spans="6:11" x14ac:dyDescent="0.3">
      <c r="F3152" s="43">
        <v>42460</v>
      </c>
      <c r="G3152" s="44">
        <v>2059.73999</v>
      </c>
      <c r="H3152" s="44">
        <v>1445.1899410000001</v>
      </c>
      <c r="I3152" s="44">
        <v>1114.030029</v>
      </c>
      <c r="J3152" s="44">
        <v>57.16</v>
      </c>
      <c r="K3152" s="44">
        <v>110.83000199999999</v>
      </c>
    </row>
    <row r="3153" spans="6:11" x14ac:dyDescent="0.3">
      <c r="F3153" s="43">
        <v>42461</v>
      </c>
      <c r="G3153" s="44">
        <v>2072.780029</v>
      </c>
      <c r="H3153" s="44">
        <v>1451.589966</v>
      </c>
      <c r="I3153" s="44">
        <v>1117.6800539999999</v>
      </c>
      <c r="J3153" s="44">
        <v>56.549999</v>
      </c>
      <c r="K3153" s="44">
        <v>110.510002</v>
      </c>
    </row>
    <row r="3154" spans="6:11" x14ac:dyDescent="0.3">
      <c r="F3154" s="43">
        <v>42464</v>
      </c>
      <c r="G3154" s="44">
        <v>2066.1298830000001</v>
      </c>
      <c r="H3154" s="44">
        <v>1437.9300539999999</v>
      </c>
      <c r="I3154" s="44">
        <v>1108.540039</v>
      </c>
      <c r="J3154" s="44">
        <v>56.43</v>
      </c>
      <c r="K3154" s="44">
        <v>110.620003</v>
      </c>
    </row>
    <row r="3155" spans="6:11" x14ac:dyDescent="0.3">
      <c r="F3155" s="43">
        <v>42465</v>
      </c>
      <c r="G3155" s="44">
        <v>2045.170044</v>
      </c>
      <c r="H3155" s="44">
        <v>1423.040039</v>
      </c>
      <c r="I3155" s="44">
        <v>1095.849976</v>
      </c>
      <c r="J3155" s="44">
        <v>55.32</v>
      </c>
      <c r="K3155" s="44">
        <v>110.769997</v>
      </c>
    </row>
    <row r="3156" spans="6:11" x14ac:dyDescent="0.3">
      <c r="F3156" s="43">
        <v>42466</v>
      </c>
      <c r="G3156" s="44">
        <v>2066.6599120000001</v>
      </c>
      <c r="H3156" s="44">
        <v>1436.780029</v>
      </c>
      <c r="I3156" s="44">
        <v>1108.8100589999999</v>
      </c>
      <c r="J3156" s="44">
        <v>56.220001000000003</v>
      </c>
      <c r="K3156" s="44">
        <v>110.75</v>
      </c>
    </row>
    <row r="3157" spans="6:11" x14ac:dyDescent="0.3">
      <c r="F3157" s="43">
        <v>42467</v>
      </c>
      <c r="G3157" s="44">
        <v>2041.910034</v>
      </c>
      <c r="H3157" s="44">
        <v>1418.339966</v>
      </c>
      <c r="I3157" s="44">
        <v>1092.790039</v>
      </c>
      <c r="J3157" s="44">
        <v>55.400002000000001</v>
      </c>
      <c r="K3157" s="44">
        <v>110.989998</v>
      </c>
    </row>
    <row r="3158" spans="6:11" x14ac:dyDescent="0.3">
      <c r="F3158" s="43">
        <v>42468</v>
      </c>
      <c r="G3158" s="44">
        <v>2047.599976</v>
      </c>
      <c r="H3158" s="44">
        <v>1427.219971</v>
      </c>
      <c r="I3158" s="44">
        <v>1097.3100589999999</v>
      </c>
      <c r="J3158" s="44">
        <v>56.459999000000003</v>
      </c>
      <c r="K3158" s="44">
        <v>110.879997</v>
      </c>
    </row>
    <row r="3159" spans="6:11" x14ac:dyDescent="0.3">
      <c r="F3159" s="43">
        <v>42471</v>
      </c>
      <c r="G3159" s="44">
        <v>2041.98999</v>
      </c>
      <c r="H3159" s="44">
        <v>1424.8100589999999</v>
      </c>
      <c r="I3159" s="44">
        <v>1094.339966</v>
      </c>
      <c r="J3159" s="44">
        <v>56.490001999999997</v>
      </c>
      <c r="K3159" s="44">
        <v>110.959999</v>
      </c>
    </row>
    <row r="3160" spans="6:11" x14ac:dyDescent="0.3">
      <c r="F3160" s="43">
        <v>42472</v>
      </c>
      <c r="G3160" s="44">
        <v>2061.719971</v>
      </c>
      <c r="H3160" s="44">
        <v>1439.75</v>
      </c>
      <c r="I3160" s="44">
        <v>1105.709961</v>
      </c>
      <c r="J3160" s="44">
        <v>57.330002</v>
      </c>
      <c r="K3160" s="44">
        <v>110.779999</v>
      </c>
    </row>
    <row r="3161" spans="6:11" x14ac:dyDescent="0.3">
      <c r="F3161" s="43">
        <v>42473</v>
      </c>
      <c r="G3161" s="44">
        <v>2082.419922</v>
      </c>
      <c r="H3161" s="44">
        <v>1463.9799800000001</v>
      </c>
      <c r="I3161" s="44">
        <v>1129.9300539999999</v>
      </c>
      <c r="J3161" s="44">
        <v>58.240001999999997</v>
      </c>
      <c r="K3161" s="44">
        <v>110.83000199999999</v>
      </c>
    </row>
    <row r="3162" spans="6:11" x14ac:dyDescent="0.3">
      <c r="F3162" s="43">
        <v>42474</v>
      </c>
      <c r="G3162" s="44">
        <v>2082.780029</v>
      </c>
      <c r="H3162" s="44">
        <v>1459.26001</v>
      </c>
      <c r="I3162" s="44">
        <v>1128.589966</v>
      </c>
      <c r="J3162" s="44">
        <v>58.43</v>
      </c>
      <c r="K3162" s="44">
        <v>110.639999</v>
      </c>
    </row>
    <row r="3163" spans="6:11" x14ac:dyDescent="0.3">
      <c r="F3163" s="43">
        <v>42475</v>
      </c>
      <c r="G3163" s="44">
        <v>2080.7299800000001</v>
      </c>
      <c r="H3163" s="44">
        <v>1464.7700199999999</v>
      </c>
      <c r="I3163" s="44">
        <v>1130.920044</v>
      </c>
      <c r="J3163" s="44">
        <v>58.299999</v>
      </c>
      <c r="K3163" s="44">
        <v>110.949997</v>
      </c>
    </row>
    <row r="3164" spans="6:11" x14ac:dyDescent="0.3">
      <c r="F3164" s="43">
        <v>42478</v>
      </c>
      <c r="G3164" s="44">
        <v>2094.3400879999999</v>
      </c>
      <c r="H3164" s="44">
        <v>1470.9399410000001</v>
      </c>
      <c r="I3164" s="44">
        <v>1139.280029</v>
      </c>
      <c r="J3164" s="44">
        <v>58.799999</v>
      </c>
      <c r="K3164" s="44">
        <v>110.94000200000001</v>
      </c>
    </row>
    <row r="3165" spans="6:11" x14ac:dyDescent="0.3">
      <c r="F3165" s="43">
        <v>42479</v>
      </c>
      <c r="G3165" s="44">
        <v>2100.8000489999999</v>
      </c>
      <c r="H3165" s="44">
        <v>1476.7700199999999</v>
      </c>
      <c r="I3165" s="44">
        <v>1140.2299800000001</v>
      </c>
      <c r="J3165" s="44">
        <v>59.82</v>
      </c>
      <c r="K3165" s="44">
        <v>110.93</v>
      </c>
    </row>
    <row r="3166" spans="6:11" x14ac:dyDescent="0.3">
      <c r="F3166" s="43">
        <v>42480</v>
      </c>
      <c r="G3166" s="44">
        <v>2102.3999020000001</v>
      </c>
      <c r="H3166" s="44">
        <v>1477.48999</v>
      </c>
      <c r="I3166" s="44">
        <v>1142.290039</v>
      </c>
      <c r="J3166" s="44">
        <v>59.869999</v>
      </c>
      <c r="K3166" s="44">
        <v>110.660004</v>
      </c>
    </row>
    <row r="3167" spans="6:11" x14ac:dyDescent="0.3">
      <c r="F3167" s="43">
        <v>42481</v>
      </c>
      <c r="G3167" s="44">
        <v>2091.4799800000001</v>
      </c>
      <c r="H3167" s="44">
        <v>1465.150024</v>
      </c>
      <c r="I3167" s="44">
        <v>1135.7700199999999</v>
      </c>
      <c r="J3167" s="44">
        <v>59.509998000000003</v>
      </c>
      <c r="K3167" s="44">
        <v>110.510002</v>
      </c>
    </row>
    <row r="3168" spans="6:11" x14ac:dyDescent="0.3">
      <c r="F3168" s="43">
        <v>42482</v>
      </c>
      <c r="G3168" s="44">
        <v>2091.580078</v>
      </c>
      <c r="H3168" s="44">
        <v>1477.0500489999999</v>
      </c>
      <c r="I3168" s="44">
        <v>1146.6899410000001</v>
      </c>
      <c r="J3168" s="44">
        <v>59.540000999999997</v>
      </c>
      <c r="K3168" s="44">
        <v>110.519997</v>
      </c>
    </row>
    <row r="3169" spans="6:11" x14ac:dyDescent="0.3">
      <c r="F3169" s="43">
        <v>42485</v>
      </c>
      <c r="G3169" s="44">
        <v>2087.790039</v>
      </c>
      <c r="H3169" s="44">
        <v>1469.339966</v>
      </c>
      <c r="I3169" s="44">
        <v>1138.099976</v>
      </c>
      <c r="J3169" s="44">
        <v>59.240001999999997</v>
      </c>
      <c r="K3169" s="44">
        <v>110.400002</v>
      </c>
    </row>
    <row r="3170" spans="6:11" x14ac:dyDescent="0.3">
      <c r="F3170" s="43">
        <v>42486</v>
      </c>
      <c r="G3170" s="44">
        <v>2091.6999510000001</v>
      </c>
      <c r="H3170" s="44">
        <v>1482.160034</v>
      </c>
      <c r="I3170" s="44">
        <v>1150.7299800000001</v>
      </c>
      <c r="J3170" s="44">
        <v>59.450001</v>
      </c>
      <c r="K3170" s="44">
        <v>110.349998</v>
      </c>
    </row>
    <row r="3171" spans="6:11" x14ac:dyDescent="0.3">
      <c r="F3171" s="43">
        <v>42487</v>
      </c>
      <c r="G3171" s="44">
        <v>2095.1499020000001</v>
      </c>
      <c r="H3171" s="44">
        <v>1488.329956</v>
      </c>
      <c r="I3171" s="44">
        <v>1154.150024</v>
      </c>
      <c r="J3171" s="44">
        <v>59.490001999999997</v>
      </c>
      <c r="K3171" s="44">
        <v>110.68</v>
      </c>
    </row>
    <row r="3172" spans="6:11" x14ac:dyDescent="0.3">
      <c r="F3172" s="43">
        <v>42488</v>
      </c>
      <c r="G3172" s="44">
        <v>2075.8100589999999</v>
      </c>
      <c r="H3172" s="44">
        <v>1469.5500489999999</v>
      </c>
      <c r="I3172" s="44">
        <v>1140.400024</v>
      </c>
      <c r="J3172" s="44">
        <v>58.68</v>
      </c>
      <c r="K3172" s="44">
        <v>110.900002</v>
      </c>
    </row>
    <row r="3173" spans="6:11" x14ac:dyDescent="0.3">
      <c r="F3173" s="43">
        <v>42489</v>
      </c>
      <c r="G3173" s="44">
        <v>2065.3000489999999</v>
      </c>
      <c r="H3173" s="44">
        <v>1461.650024</v>
      </c>
      <c r="I3173" s="44">
        <v>1130.849976</v>
      </c>
      <c r="J3173" s="44">
        <v>58.43</v>
      </c>
      <c r="K3173" s="44">
        <v>110.889999</v>
      </c>
    </row>
    <row r="3174" spans="6:11" x14ac:dyDescent="0.3">
      <c r="F3174" s="43">
        <v>42492</v>
      </c>
      <c r="G3174" s="44">
        <v>2081.429932</v>
      </c>
      <c r="H3174" s="44">
        <v>1473.660034</v>
      </c>
      <c r="I3174" s="44">
        <v>1140.920044</v>
      </c>
      <c r="J3174" s="44">
        <v>58.98</v>
      </c>
      <c r="K3174" s="44">
        <v>110.610001</v>
      </c>
    </row>
    <row r="3175" spans="6:11" x14ac:dyDescent="0.3">
      <c r="F3175" s="43">
        <v>42493</v>
      </c>
      <c r="G3175" s="44">
        <v>2063.3701169999999</v>
      </c>
      <c r="H3175" s="44">
        <v>1454.3000489999999</v>
      </c>
      <c r="I3175" s="44">
        <v>1121.76001</v>
      </c>
      <c r="J3175" s="44">
        <v>58.009998000000003</v>
      </c>
      <c r="K3175" s="44">
        <v>110.80999799999999</v>
      </c>
    </row>
    <row r="3176" spans="6:11" x14ac:dyDescent="0.3">
      <c r="F3176" s="43">
        <v>42494</v>
      </c>
      <c r="G3176" s="44">
        <v>2051.1201169999999</v>
      </c>
      <c r="H3176" s="44">
        <v>1448.130005</v>
      </c>
      <c r="I3176" s="44">
        <v>1113.130005</v>
      </c>
      <c r="J3176" s="44">
        <v>57.34</v>
      </c>
      <c r="K3176" s="44">
        <v>110.860001</v>
      </c>
    </row>
    <row r="3177" spans="6:11" x14ac:dyDescent="0.3">
      <c r="F3177" s="43">
        <v>42495</v>
      </c>
      <c r="G3177" s="44">
        <v>2050.6298830000001</v>
      </c>
      <c r="H3177" s="44">
        <v>1446.4799800000001</v>
      </c>
      <c r="I3177" s="44">
        <v>1107.9499510000001</v>
      </c>
      <c r="J3177" s="44">
        <v>57.220001000000003</v>
      </c>
      <c r="K3177" s="44">
        <v>111.139999</v>
      </c>
    </row>
    <row r="3178" spans="6:11" x14ac:dyDescent="0.3">
      <c r="F3178" s="43">
        <v>42496</v>
      </c>
      <c r="G3178" s="44">
        <v>2057.139893</v>
      </c>
      <c r="H3178" s="44">
        <v>1452.709961</v>
      </c>
      <c r="I3178" s="44">
        <v>1114.719971</v>
      </c>
      <c r="J3178" s="44">
        <v>57.380001</v>
      </c>
      <c r="K3178" s="44">
        <v>110.970001</v>
      </c>
    </row>
    <row r="3179" spans="6:11" x14ac:dyDescent="0.3">
      <c r="F3179" s="43">
        <v>42499</v>
      </c>
      <c r="G3179" s="44">
        <v>2058.6899410000001</v>
      </c>
      <c r="H3179" s="44">
        <v>1453.119995</v>
      </c>
      <c r="I3179" s="44">
        <v>1118.25</v>
      </c>
      <c r="J3179" s="44">
        <v>57.259998000000003</v>
      </c>
      <c r="K3179" s="44">
        <v>111.040001</v>
      </c>
    </row>
    <row r="3180" spans="6:11" x14ac:dyDescent="0.3">
      <c r="F3180" s="43">
        <v>42500</v>
      </c>
      <c r="G3180" s="44">
        <v>2084.389893</v>
      </c>
      <c r="H3180" s="44">
        <v>1469.7299800000001</v>
      </c>
      <c r="I3180" s="44">
        <v>1128.829956</v>
      </c>
      <c r="J3180" s="44">
        <v>58.080002</v>
      </c>
      <c r="K3180" s="44">
        <v>111.089996</v>
      </c>
    </row>
    <row r="3181" spans="6:11" x14ac:dyDescent="0.3">
      <c r="F3181" s="43">
        <v>42501</v>
      </c>
      <c r="G3181" s="44">
        <v>2064.459961</v>
      </c>
      <c r="H3181" s="44">
        <v>1455.0699460000001</v>
      </c>
      <c r="I3181" s="44">
        <v>1114.73999</v>
      </c>
      <c r="J3181" s="44">
        <v>57.580002</v>
      </c>
      <c r="K3181" s="44">
        <v>111.089996</v>
      </c>
    </row>
    <row r="3182" spans="6:11" x14ac:dyDescent="0.3">
      <c r="F3182" s="43">
        <v>42502</v>
      </c>
      <c r="G3182" s="44">
        <v>2064.110107</v>
      </c>
      <c r="H3182" s="44">
        <v>1453.780029</v>
      </c>
      <c r="I3182" s="44">
        <v>1108.599976</v>
      </c>
      <c r="J3182" s="44">
        <v>57.560001</v>
      </c>
      <c r="K3182" s="44">
        <v>110.989998</v>
      </c>
    </row>
    <row r="3183" spans="6:11" x14ac:dyDescent="0.3">
      <c r="F3183" s="43">
        <v>42503</v>
      </c>
      <c r="G3183" s="44">
        <v>2046.6099850000001</v>
      </c>
      <c r="H3183" s="44">
        <v>1440.599976</v>
      </c>
      <c r="I3183" s="44">
        <v>1102.4399410000001</v>
      </c>
      <c r="J3183" s="44">
        <v>56.970001000000003</v>
      </c>
      <c r="K3183" s="44">
        <v>111.199997</v>
      </c>
    </row>
    <row r="3184" spans="6:11" x14ac:dyDescent="0.3">
      <c r="F3184" s="43">
        <v>42506</v>
      </c>
      <c r="G3184" s="44">
        <v>2066.6599120000001</v>
      </c>
      <c r="H3184" s="44">
        <v>1454.780029</v>
      </c>
      <c r="I3184" s="44">
        <v>1116.209961</v>
      </c>
      <c r="J3184" s="44">
        <v>57.650002000000001</v>
      </c>
      <c r="K3184" s="44">
        <v>111.010002</v>
      </c>
    </row>
    <row r="3185" spans="6:11" x14ac:dyDescent="0.3">
      <c r="F3185" s="43">
        <v>42507</v>
      </c>
      <c r="G3185" s="44">
        <v>2047.209961</v>
      </c>
      <c r="H3185" s="44">
        <v>1438.8100589999999</v>
      </c>
      <c r="I3185" s="44">
        <v>1097.6800539999999</v>
      </c>
      <c r="J3185" s="44">
        <v>57.23</v>
      </c>
      <c r="K3185" s="44">
        <v>110.860001</v>
      </c>
    </row>
    <row r="3186" spans="6:11" x14ac:dyDescent="0.3">
      <c r="F3186" s="43">
        <v>42508</v>
      </c>
      <c r="G3186" s="44">
        <v>2047.630005</v>
      </c>
      <c r="H3186" s="44">
        <v>1436.150024</v>
      </c>
      <c r="I3186" s="44">
        <v>1102.9499510000001</v>
      </c>
      <c r="J3186" s="44">
        <v>57.25</v>
      </c>
      <c r="K3186" s="44">
        <v>110.400002</v>
      </c>
    </row>
    <row r="3187" spans="6:11" x14ac:dyDescent="0.3">
      <c r="F3187" s="43">
        <v>42509</v>
      </c>
      <c r="G3187" s="44">
        <v>2040.040039</v>
      </c>
      <c r="H3187" s="44">
        <v>1431.099976</v>
      </c>
      <c r="I3187" s="44">
        <v>1094.780029</v>
      </c>
      <c r="J3187" s="44">
        <v>56.84</v>
      </c>
      <c r="K3187" s="44">
        <v>110.470001</v>
      </c>
    </row>
    <row r="3188" spans="6:11" x14ac:dyDescent="0.3">
      <c r="F3188" s="43">
        <v>42510</v>
      </c>
      <c r="G3188" s="44">
        <v>2052.320068</v>
      </c>
      <c r="H3188" s="44">
        <v>1450.1099850000001</v>
      </c>
      <c r="I3188" s="44">
        <v>1112.280029</v>
      </c>
      <c r="J3188" s="44">
        <v>57.310001</v>
      </c>
      <c r="K3188" s="44">
        <v>110.540001</v>
      </c>
    </row>
    <row r="3189" spans="6:11" x14ac:dyDescent="0.3">
      <c r="F3189" s="43">
        <v>42513</v>
      </c>
      <c r="G3189" s="44">
        <v>2048.040039</v>
      </c>
      <c r="H3189" s="44">
        <v>1446.4399410000001</v>
      </c>
      <c r="I3189" s="44">
        <v>1111.369995</v>
      </c>
      <c r="J3189" s="44">
        <v>57.119999</v>
      </c>
      <c r="K3189" s="44">
        <v>110.519997</v>
      </c>
    </row>
    <row r="3190" spans="6:11" x14ac:dyDescent="0.3">
      <c r="F3190" s="43">
        <v>42514</v>
      </c>
      <c r="G3190" s="44">
        <v>2076.0600589999999</v>
      </c>
      <c r="H3190" s="44">
        <v>1471.48999</v>
      </c>
      <c r="I3190" s="44">
        <v>1135.3100589999999</v>
      </c>
      <c r="J3190" s="44">
        <v>57.950001</v>
      </c>
      <c r="K3190" s="44">
        <v>110.459999</v>
      </c>
    </row>
    <row r="3191" spans="6:11" x14ac:dyDescent="0.3">
      <c r="F3191" s="43">
        <v>42515</v>
      </c>
      <c r="G3191" s="44">
        <v>2090.540039</v>
      </c>
      <c r="H3191" s="44">
        <v>1481.1999510000001</v>
      </c>
      <c r="I3191" s="44">
        <v>1141.0200199999999</v>
      </c>
      <c r="J3191" s="44">
        <v>58.560001</v>
      </c>
      <c r="K3191" s="44">
        <v>110.480003</v>
      </c>
    </row>
    <row r="3192" spans="6:11" x14ac:dyDescent="0.3">
      <c r="F3192" s="43">
        <v>42516</v>
      </c>
      <c r="G3192" s="44">
        <v>2090.1000979999999</v>
      </c>
      <c r="H3192" s="44">
        <v>1480.650024</v>
      </c>
      <c r="I3192" s="44">
        <v>1139.75</v>
      </c>
      <c r="J3192" s="44">
        <v>58.720001000000003</v>
      </c>
      <c r="K3192" s="44">
        <v>110.650002</v>
      </c>
    </row>
    <row r="3193" spans="6:11" x14ac:dyDescent="0.3">
      <c r="F3193" s="43">
        <v>42517</v>
      </c>
      <c r="G3193" s="44">
        <v>2099.0600589999999</v>
      </c>
      <c r="H3193" s="44">
        <v>1492.0699460000001</v>
      </c>
      <c r="I3193" s="44">
        <v>1150.4499510000001</v>
      </c>
      <c r="J3193" s="44">
        <v>58.66</v>
      </c>
      <c r="K3193" s="44">
        <v>110.629997</v>
      </c>
    </row>
    <row r="3194" spans="6:11" x14ac:dyDescent="0.3">
      <c r="F3194" s="43">
        <v>42521</v>
      </c>
      <c r="G3194" s="44">
        <v>2096.9499510000001</v>
      </c>
      <c r="H3194" s="44">
        <v>1493.0500489999999</v>
      </c>
      <c r="I3194" s="44">
        <v>1154.790039</v>
      </c>
      <c r="J3194" s="44">
        <v>58.380001</v>
      </c>
      <c r="K3194" s="44">
        <v>110.699997</v>
      </c>
    </row>
    <row r="3195" spans="6:11" x14ac:dyDescent="0.3">
      <c r="F3195" s="43">
        <v>42522</v>
      </c>
      <c r="G3195" s="44">
        <v>2099.330078</v>
      </c>
      <c r="H3195" s="44">
        <v>1498.5200199999999</v>
      </c>
      <c r="I3195" s="44">
        <v>1163.040039</v>
      </c>
      <c r="J3195" s="44">
        <v>58.330002</v>
      </c>
      <c r="K3195" s="44">
        <v>110.41999800000001</v>
      </c>
    </row>
    <row r="3196" spans="6:11" x14ac:dyDescent="0.3">
      <c r="F3196" s="43">
        <v>42523</v>
      </c>
      <c r="G3196" s="44">
        <v>2105.26001</v>
      </c>
      <c r="H3196" s="44">
        <v>1507.089966</v>
      </c>
      <c r="I3196" s="44">
        <v>1170.579956</v>
      </c>
      <c r="J3196" s="44">
        <v>58.330002</v>
      </c>
      <c r="K3196" s="44">
        <v>110.699997</v>
      </c>
    </row>
    <row r="3197" spans="6:11" x14ac:dyDescent="0.3">
      <c r="F3197" s="43">
        <v>42524</v>
      </c>
      <c r="G3197" s="44">
        <v>2099.1298830000001</v>
      </c>
      <c r="H3197" s="44">
        <v>1500.900024</v>
      </c>
      <c r="I3197" s="44">
        <v>1164.130005</v>
      </c>
      <c r="J3197" s="44">
        <v>58.709999000000003</v>
      </c>
      <c r="K3197" s="44">
        <v>111.300003</v>
      </c>
    </row>
    <row r="3198" spans="6:11" x14ac:dyDescent="0.3">
      <c r="F3198" s="43">
        <v>42527</v>
      </c>
      <c r="G3198" s="44">
        <v>2109.4099120000001</v>
      </c>
      <c r="H3198" s="44">
        <v>1512.8199460000001</v>
      </c>
      <c r="I3198" s="44">
        <v>1176.869995</v>
      </c>
      <c r="J3198" s="44">
        <v>59.040000999999997</v>
      </c>
      <c r="K3198" s="44">
        <v>111.150002</v>
      </c>
    </row>
    <row r="3199" spans="6:11" x14ac:dyDescent="0.3">
      <c r="F3199" s="43">
        <v>42528</v>
      </c>
      <c r="G3199" s="44">
        <v>2112.1298830000001</v>
      </c>
      <c r="H3199" s="44">
        <v>1518.73999</v>
      </c>
      <c r="I3199" s="44">
        <v>1179.969971</v>
      </c>
      <c r="J3199" s="44">
        <v>59.470001000000003</v>
      </c>
      <c r="K3199" s="44">
        <v>111.25</v>
      </c>
    </row>
    <row r="3200" spans="6:11" x14ac:dyDescent="0.3">
      <c r="F3200" s="43">
        <v>42529</v>
      </c>
      <c r="G3200" s="44">
        <v>2119.1201169999999</v>
      </c>
      <c r="H3200" s="44">
        <v>1525.1400149999999</v>
      </c>
      <c r="I3200" s="44">
        <v>1188.9499510000001</v>
      </c>
      <c r="J3200" s="44">
        <v>59.59</v>
      </c>
      <c r="K3200" s="44">
        <v>111.290001</v>
      </c>
    </row>
    <row r="3201" spans="6:11" x14ac:dyDescent="0.3">
      <c r="F3201" s="43">
        <v>42530</v>
      </c>
      <c r="G3201" s="44">
        <v>2115.4799800000001</v>
      </c>
      <c r="H3201" s="44">
        <v>1520.9799800000001</v>
      </c>
      <c r="I3201" s="44">
        <v>1181.1999510000001</v>
      </c>
      <c r="J3201" s="44">
        <v>58.860000999999997</v>
      </c>
      <c r="K3201" s="44">
        <v>111.370003</v>
      </c>
    </row>
    <row r="3202" spans="6:11" x14ac:dyDescent="0.3">
      <c r="F3202" s="43">
        <v>42531</v>
      </c>
      <c r="G3202" s="44">
        <v>2096.070068</v>
      </c>
      <c r="H3202" s="44">
        <v>1499.0699460000001</v>
      </c>
      <c r="I3202" s="44">
        <v>1163.9300539999999</v>
      </c>
      <c r="J3202" s="44">
        <v>57.150002000000001</v>
      </c>
      <c r="K3202" s="44">
        <v>111.519997</v>
      </c>
    </row>
    <row r="3203" spans="6:11" x14ac:dyDescent="0.3">
      <c r="F3203" s="43">
        <v>42534</v>
      </c>
      <c r="G3203" s="44">
        <v>2079.0600589999999</v>
      </c>
      <c r="H3203" s="44">
        <v>1482.3199460000001</v>
      </c>
      <c r="I3203" s="44">
        <v>1150.6999510000001</v>
      </c>
      <c r="J3203" s="44">
        <v>56.32</v>
      </c>
      <c r="K3203" s="44">
        <v>111.610001</v>
      </c>
    </row>
    <row r="3204" spans="6:11" x14ac:dyDescent="0.3">
      <c r="F3204" s="43">
        <v>42535</v>
      </c>
      <c r="G3204" s="44">
        <v>2075.320068</v>
      </c>
      <c r="H3204" s="44">
        <v>1477.4300539999999</v>
      </c>
      <c r="I3204" s="44">
        <v>1147.8199460000001</v>
      </c>
      <c r="J3204" s="44">
        <v>55.419998</v>
      </c>
      <c r="K3204" s="44">
        <v>111.55999799999999</v>
      </c>
    </row>
    <row r="3205" spans="6:11" x14ac:dyDescent="0.3">
      <c r="F3205" s="43">
        <v>42536</v>
      </c>
      <c r="G3205" s="44">
        <v>2071.5</v>
      </c>
      <c r="H3205" s="44">
        <v>1479.969971</v>
      </c>
      <c r="I3205" s="44">
        <v>1149.3000489999999</v>
      </c>
      <c r="J3205" s="44">
        <v>55.790000999999997</v>
      </c>
      <c r="K3205" s="44">
        <v>111.800003</v>
      </c>
    </row>
    <row r="3206" spans="6:11" x14ac:dyDescent="0.3">
      <c r="F3206" s="43">
        <v>42537</v>
      </c>
      <c r="G3206" s="44">
        <v>2077.98999</v>
      </c>
      <c r="H3206" s="44">
        <v>1478.8100589999999</v>
      </c>
      <c r="I3206" s="44">
        <v>1148.1899410000001</v>
      </c>
      <c r="J3206" s="44">
        <v>55.91</v>
      </c>
      <c r="K3206" s="44">
        <v>111.870003</v>
      </c>
    </row>
    <row r="3207" spans="6:11" x14ac:dyDescent="0.3">
      <c r="F3207" s="43">
        <v>42538</v>
      </c>
      <c r="G3207" s="44">
        <v>2071.219971</v>
      </c>
      <c r="H3207" s="44">
        <v>1479.9499510000001</v>
      </c>
      <c r="I3207" s="44">
        <v>1144.6999510000001</v>
      </c>
      <c r="J3207" s="44">
        <v>56.459999000000003</v>
      </c>
      <c r="K3207" s="44">
        <v>111.790001</v>
      </c>
    </row>
    <row r="3208" spans="6:11" x14ac:dyDescent="0.3">
      <c r="F3208" s="43">
        <v>42541</v>
      </c>
      <c r="G3208" s="44">
        <v>2083.25</v>
      </c>
      <c r="H3208" s="44">
        <v>1494.9799800000001</v>
      </c>
      <c r="I3208" s="44">
        <v>1157.6999510000001</v>
      </c>
      <c r="J3208" s="44">
        <v>57.860000999999997</v>
      </c>
      <c r="K3208" s="44">
        <v>111.480003</v>
      </c>
    </row>
    <row r="3209" spans="6:11" x14ac:dyDescent="0.3">
      <c r="F3209" s="43">
        <v>42542</v>
      </c>
      <c r="G3209" s="44">
        <v>2088.8999020000001</v>
      </c>
      <c r="H3209" s="44">
        <v>1494.670044</v>
      </c>
      <c r="I3209" s="44">
        <v>1153.869995</v>
      </c>
      <c r="J3209" s="44">
        <v>58.330002</v>
      </c>
      <c r="K3209" s="44">
        <v>111.400002</v>
      </c>
    </row>
    <row r="3210" spans="6:11" x14ac:dyDescent="0.3">
      <c r="F3210" s="43">
        <v>42543</v>
      </c>
      <c r="G3210" s="44">
        <v>2085.4499510000001</v>
      </c>
      <c r="H3210" s="44">
        <v>1491.209961</v>
      </c>
      <c r="I3210" s="44">
        <v>1148.969971</v>
      </c>
      <c r="J3210" s="44">
        <v>57.119999</v>
      </c>
      <c r="K3210" s="44">
        <v>111.470001</v>
      </c>
    </row>
    <row r="3211" spans="6:11" x14ac:dyDescent="0.3">
      <c r="F3211" s="43">
        <v>42544</v>
      </c>
      <c r="G3211" s="44">
        <v>2113.320068</v>
      </c>
      <c r="H3211" s="44">
        <v>1517.51001</v>
      </c>
      <c r="I3211" s="44">
        <v>1172.219971</v>
      </c>
      <c r="J3211" s="44">
        <v>58.700001</v>
      </c>
      <c r="K3211" s="44">
        <v>111.279999</v>
      </c>
    </row>
    <row r="3212" spans="6:11" x14ac:dyDescent="0.3">
      <c r="F3212" s="43">
        <v>42545</v>
      </c>
      <c r="G3212" s="44">
        <v>2037.410034</v>
      </c>
      <c r="H3212" s="44">
        <v>1457.589966</v>
      </c>
      <c r="I3212" s="44">
        <v>1127.540039</v>
      </c>
      <c r="J3212" s="44">
        <v>53.66</v>
      </c>
      <c r="K3212" s="44">
        <v>111.879997</v>
      </c>
    </row>
    <row r="3213" spans="6:11" x14ac:dyDescent="0.3">
      <c r="F3213" s="43">
        <v>42548</v>
      </c>
      <c r="G3213" s="44">
        <v>2000.540039</v>
      </c>
      <c r="H3213" s="44">
        <v>1416.660034</v>
      </c>
      <c r="I3213" s="44">
        <v>1089.650024</v>
      </c>
      <c r="J3213" s="44">
        <v>52.630001</v>
      </c>
      <c r="K3213" s="44">
        <v>112.33000199999999</v>
      </c>
    </row>
    <row r="3214" spans="6:11" x14ac:dyDescent="0.3">
      <c r="F3214" s="43">
        <v>42549</v>
      </c>
      <c r="G3214" s="44">
        <v>2036.089966</v>
      </c>
      <c r="H3214" s="44">
        <v>1442.5</v>
      </c>
      <c r="I3214" s="44">
        <v>1107.3000489999999</v>
      </c>
      <c r="J3214" s="44">
        <v>54.009998000000003</v>
      </c>
      <c r="K3214" s="44">
        <v>112.470001</v>
      </c>
    </row>
    <row r="3215" spans="6:11" x14ac:dyDescent="0.3">
      <c r="F3215" s="43">
        <v>42550</v>
      </c>
      <c r="G3215" s="44">
        <v>2070.7700199999999</v>
      </c>
      <c r="H3215" s="44">
        <v>1468.1999510000001</v>
      </c>
      <c r="I3215" s="44">
        <v>1131.619995</v>
      </c>
      <c r="J3215" s="44">
        <v>55</v>
      </c>
      <c r="K3215" s="44">
        <v>112.389999</v>
      </c>
    </row>
    <row r="3216" spans="6:11" x14ac:dyDescent="0.3">
      <c r="F3216" s="43">
        <v>42551</v>
      </c>
      <c r="G3216" s="44">
        <v>2098.860107</v>
      </c>
      <c r="H3216" s="44">
        <v>1496.5</v>
      </c>
      <c r="I3216" s="44">
        <v>1151.920044</v>
      </c>
      <c r="J3216" s="44">
        <v>55.82</v>
      </c>
      <c r="K3216" s="44">
        <v>112.620003</v>
      </c>
    </row>
    <row r="3217" spans="6:11" x14ac:dyDescent="0.3">
      <c r="F3217" s="43">
        <v>42552</v>
      </c>
      <c r="G3217" s="44">
        <v>2102.9499510000001</v>
      </c>
      <c r="H3217" s="44">
        <v>1500.1999510000001</v>
      </c>
      <c r="I3217" s="44">
        <v>1156.7700199999999</v>
      </c>
      <c r="J3217" s="44">
        <v>55.82</v>
      </c>
      <c r="K3217" s="44">
        <v>112.650002</v>
      </c>
    </row>
    <row r="3218" spans="6:11" x14ac:dyDescent="0.3">
      <c r="F3218" s="43">
        <v>42556</v>
      </c>
      <c r="G3218" s="44">
        <v>2088.5500489999999</v>
      </c>
      <c r="H3218" s="44">
        <v>1482.3000489999999</v>
      </c>
      <c r="I3218" s="44">
        <v>1139.4499510000001</v>
      </c>
      <c r="J3218" s="44">
        <v>54.740001999999997</v>
      </c>
      <c r="K3218" s="44">
        <v>112.949997</v>
      </c>
    </row>
    <row r="3219" spans="6:11" x14ac:dyDescent="0.3">
      <c r="F3219" s="43">
        <v>42557</v>
      </c>
      <c r="G3219" s="44">
        <v>2099.7299800000001</v>
      </c>
      <c r="H3219" s="44">
        <v>1490.0200199999999</v>
      </c>
      <c r="I3219" s="44">
        <v>1147.329956</v>
      </c>
      <c r="J3219" s="44">
        <v>54.639999000000003</v>
      </c>
      <c r="K3219" s="44">
        <v>113.160004</v>
      </c>
    </row>
    <row r="3220" spans="6:11" x14ac:dyDescent="0.3">
      <c r="F3220" s="43">
        <v>42558</v>
      </c>
      <c r="G3220" s="44">
        <v>2097.8999020000001</v>
      </c>
      <c r="H3220" s="44">
        <v>1492.599976</v>
      </c>
      <c r="I3220" s="44">
        <v>1149.76001</v>
      </c>
      <c r="J3220" s="44">
        <v>54.419998</v>
      </c>
      <c r="K3220" s="44">
        <v>113.08000199999999</v>
      </c>
    </row>
    <row r="3221" spans="6:11" x14ac:dyDescent="0.3">
      <c r="F3221" s="43">
        <v>42559</v>
      </c>
      <c r="G3221" s="44">
        <v>2129.8999020000001</v>
      </c>
      <c r="H3221" s="44">
        <v>1520.420044</v>
      </c>
      <c r="I3221" s="44">
        <v>1177.3599850000001</v>
      </c>
      <c r="J3221" s="44">
        <v>55.25</v>
      </c>
      <c r="K3221" s="44">
        <v>113.25</v>
      </c>
    </row>
    <row r="3222" spans="6:11" x14ac:dyDescent="0.3">
      <c r="F3222" s="43">
        <v>42562</v>
      </c>
      <c r="G3222" s="44">
        <v>2137.1599120000001</v>
      </c>
      <c r="H3222" s="44">
        <v>1529.130005</v>
      </c>
      <c r="I3222" s="44">
        <v>1190.030029</v>
      </c>
      <c r="J3222" s="44">
        <v>56.060001</v>
      </c>
      <c r="K3222" s="44">
        <v>112.949997</v>
      </c>
    </row>
    <row r="3223" spans="6:11" x14ac:dyDescent="0.3">
      <c r="F3223" s="43">
        <v>42563</v>
      </c>
      <c r="G3223" s="44">
        <v>2152.139893</v>
      </c>
      <c r="H3223" s="44">
        <v>1543.719971</v>
      </c>
      <c r="I3223" s="44">
        <v>1205.8900149999999</v>
      </c>
      <c r="J3223" s="44">
        <v>56.82</v>
      </c>
      <c r="K3223" s="44">
        <v>112.610001</v>
      </c>
    </row>
    <row r="3224" spans="6:11" x14ac:dyDescent="0.3">
      <c r="F3224" s="43">
        <v>42564</v>
      </c>
      <c r="G3224" s="44">
        <v>2152.429932</v>
      </c>
      <c r="H3224" s="44">
        <v>1540.6899410000001</v>
      </c>
      <c r="I3224" s="44">
        <v>1201.160034</v>
      </c>
      <c r="J3224" s="44">
        <v>56.759998000000003</v>
      </c>
      <c r="K3224" s="44">
        <v>112.769997</v>
      </c>
    </row>
    <row r="3225" spans="6:11" x14ac:dyDescent="0.3">
      <c r="F3225" s="43">
        <v>42565</v>
      </c>
      <c r="G3225" s="44">
        <v>2163.75</v>
      </c>
      <c r="H3225" s="44">
        <v>1544.0600589999999</v>
      </c>
      <c r="I3225" s="44">
        <v>1202.170044</v>
      </c>
      <c r="J3225" s="44">
        <v>57.25</v>
      </c>
      <c r="K3225" s="44">
        <v>112.66999800000001</v>
      </c>
    </row>
    <row r="3226" spans="6:11" x14ac:dyDescent="0.3">
      <c r="F3226" s="43">
        <v>42566</v>
      </c>
      <c r="G3226" s="44">
        <v>2161.73999</v>
      </c>
      <c r="H3226" s="44">
        <v>1543.630005</v>
      </c>
      <c r="I3226" s="44">
        <v>1205.3100589999999</v>
      </c>
      <c r="J3226" s="44">
        <v>56.959999000000003</v>
      </c>
      <c r="K3226" s="44">
        <v>112.260002</v>
      </c>
    </row>
    <row r="3227" spans="6:11" x14ac:dyDescent="0.3">
      <c r="F3227" s="43">
        <v>42569</v>
      </c>
      <c r="G3227" s="44">
        <v>2166.889893</v>
      </c>
      <c r="H3227" s="44">
        <v>1545.0699460000001</v>
      </c>
      <c r="I3227" s="44">
        <v>1207.910034</v>
      </c>
      <c r="J3227" s="44">
        <v>57.099997999999999</v>
      </c>
      <c r="K3227" s="44">
        <v>112.279999</v>
      </c>
    </row>
    <row r="3228" spans="6:11" x14ac:dyDescent="0.3">
      <c r="F3228" s="43">
        <v>42570</v>
      </c>
      <c r="G3228" s="44">
        <v>2163.780029</v>
      </c>
      <c r="H3228" s="44">
        <v>1542.1800539999999</v>
      </c>
      <c r="I3228" s="44">
        <v>1200.4499510000001</v>
      </c>
      <c r="J3228" s="44">
        <v>56.650002000000001</v>
      </c>
      <c r="K3228" s="44">
        <v>112.510002</v>
      </c>
    </row>
    <row r="3229" spans="6:11" x14ac:dyDescent="0.3">
      <c r="F3229" s="43">
        <v>42571</v>
      </c>
      <c r="G3229" s="44">
        <v>2173.0200199999999</v>
      </c>
      <c r="H3229" s="44">
        <v>1549.51001</v>
      </c>
      <c r="I3229" s="44">
        <v>1209.73999</v>
      </c>
      <c r="J3229" s="44">
        <v>57.16</v>
      </c>
      <c r="K3229" s="44">
        <v>112.410004</v>
      </c>
    </row>
    <row r="3230" spans="6:11" x14ac:dyDescent="0.3">
      <c r="F3230" s="43">
        <v>42572</v>
      </c>
      <c r="G3230" s="44">
        <v>2165.169922</v>
      </c>
      <c r="H3230" s="44">
        <v>1542.0699460000001</v>
      </c>
      <c r="I3230" s="44">
        <v>1203.8599850000001</v>
      </c>
      <c r="J3230" s="44">
        <v>56.93</v>
      </c>
      <c r="K3230" s="44">
        <v>112.510002</v>
      </c>
    </row>
    <row r="3231" spans="6:11" x14ac:dyDescent="0.3">
      <c r="F3231" s="43">
        <v>42573</v>
      </c>
      <c r="G3231" s="44">
        <v>2175.030029</v>
      </c>
      <c r="H3231" s="44">
        <v>1552.339966</v>
      </c>
      <c r="I3231" s="44">
        <v>1212.8900149999999</v>
      </c>
      <c r="J3231" s="44">
        <v>57.040000999999997</v>
      </c>
      <c r="K3231" s="44">
        <v>112.529999</v>
      </c>
    </row>
    <row r="3232" spans="6:11" x14ac:dyDescent="0.3">
      <c r="F3232" s="43">
        <v>42576</v>
      </c>
      <c r="G3232" s="44">
        <v>2168.4799800000001</v>
      </c>
      <c r="H3232" s="44">
        <v>1546.8000489999999</v>
      </c>
      <c r="I3232" s="44">
        <v>1209.8199460000001</v>
      </c>
      <c r="J3232" s="44">
        <v>56.970001000000003</v>
      </c>
      <c r="K3232" s="44">
        <v>112.400002</v>
      </c>
    </row>
    <row r="3233" spans="6:11" x14ac:dyDescent="0.3">
      <c r="F3233" s="43">
        <v>42577</v>
      </c>
      <c r="G3233" s="44">
        <v>2169.179932</v>
      </c>
      <c r="H3233" s="44">
        <v>1554.709961</v>
      </c>
      <c r="I3233" s="44">
        <v>1216.8599850000001</v>
      </c>
      <c r="J3233" s="44">
        <v>57.209999000000003</v>
      </c>
      <c r="K3233" s="44">
        <v>112.400002</v>
      </c>
    </row>
    <row r="3234" spans="6:11" x14ac:dyDescent="0.3">
      <c r="F3234" s="43">
        <v>42578</v>
      </c>
      <c r="G3234" s="44">
        <v>2166.580078</v>
      </c>
      <c r="H3234" s="44">
        <v>1548.48999</v>
      </c>
      <c r="I3234" s="44">
        <v>1218.9300539999999</v>
      </c>
      <c r="J3234" s="44">
        <v>57.419998</v>
      </c>
      <c r="K3234" s="44">
        <v>112.730003</v>
      </c>
    </row>
    <row r="3235" spans="6:11" x14ac:dyDescent="0.3">
      <c r="F3235" s="43">
        <v>42579</v>
      </c>
      <c r="G3235" s="44">
        <v>2170.0600589999999</v>
      </c>
      <c r="H3235" s="44">
        <v>1553.4399410000001</v>
      </c>
      <c r="I3235" s="44">
        <v>1217.329956</v>
      </c>
      <c r="J3235" s="44">
        <v>57.360000999999997</v>
      </c>
      <c r="K3235" s="44">
        <v>112.720001</v>
      </c>
    </row>
    <row r="3236" spans="6:11" x14ac:dyDescent="0.3">
      <c r="F3236" s="43">
        <v>42580</v>
      </c>
      <c r="G3236" s="44">
        <v>2173.6000979999999</v>
      </c>
      <c r="H3236" s="44">
        <v>1559.459961</v>
      </c>
      <c r="I3236" s="44">
        <v>1219.9399410000001</v>
      </c>
      <c r="J3236" s="44">
        <v>58.040000999999997</v>
      </c>
      <c r="K3236" s="44">
        <v>113.019997</v>
      </c>
    </row>
    <row r="3237" spans="6:11" x14ac:dyDescent="0.3">
      <c r="F3237" s="43">
        <v>42583</v>
      </c>
      <c r="G3237" s="44">
        <v>2170.8400879999999</v>
      </c>
      <c r="H3237" s="44">
        <v>1555.079956</v>
      </c>
      <c r="I3237" s="44">
        <v>1219.119995</v>
      </c>
      <c r="J3237" s="44">
        <v>57.66</v>
      </c>
      <c r="K3237" s="44">
        <v>112.550003</v>
      </c>
    </row>
    <row r="3238" spans="6:11" x14ac:dyDescent="0.3">
      <c r="F3238" s="43">
        <v>42584</v>
      </c>
      <c r="G3238" s="44">
        <v>2157.030029</v>
      </c>
      <c r="H3238" s="44">
        <v>1537.290039</v>
      </c>
      <c r="I3238" s="44">
        <v>1202.349976</v>
      </c>
      <c r="J3238" s="44">
        <v>57.369999</v>
      </c>
      <c r="K3238" s="44">
        <v>112.220001</v>
      </c>
    </row>
    <row r="3239" spans="6:11" x14ac:dyDescent="0.3">
      <c r="F3239" s="43">
        <v>42585</v>
      </c>
      <c r="G3239" s="44">
        <v>2163.790039</v>
      </c>
      <c r="H3239" s="44">
        <v>1546.6400149999999</v>
      </c>
      <c r="I3239" s="44">
        <v>1212.7299800000001</v>
      </c>
      <c r="J3239" s="44">
        <v>57.169998</v>
      </c>
      <c r="K3239" s="44">
        <v>112.339996</v>
      </c>
    </row>
    <row r="3240" spans="6:11" x14ac:dyDescent="0.3">
      <c r="F3240" s="43">
        <v>42586</v>
      </c>
      <c r="G3240" s="44">
        <v>2164.25</v>
      </c>
      <c r="H3240" s="44">
        <v>1546.969971</v>
      </c>
      <c r="I3240" s="44">
        <v>1213.76001</v>
      </c>
      <c r="J3240" s="44">
        <v>57.5</v>
      </c>
      <c r="K3240" s="44">
        <v>112.550003</v>
      </c>
    </row>
    <row r="3241" spans="6:11" x14ac:dyDescent="0.3">
      <c r="F3241" s="43">
        <v>42587</v>
      </c>
      <c r="G3241" s="44">
        <v>2182.8701169999999</v>
      </c>
      <c r="H3241" s="44">
        <v>1562.5500489999999</v>
      </c>
      <c r="I3241" s="44">
        <v>1231.3000489999999</v>
      </c>
      <c r="J3241" s="44">
        <v>57.759998000000003</v>
      </c>
      <c r="K3241" s="44">
        <v>112.16999800000001</v>
      </c>
    </row>
    <row r="3242" spans="6:11" x14ac:dyDescent="0.3">
      <c r="F3242" s="43">
        <v>42590</v>
      </c>
      <c r="G3242" s="44">
        <v>2180.889893</v>
      </c>
      <c r="H3242" s="44">
        <v>1562.5699460000001</v>
      </c>
      <c r="I3242" s="44">
        <v>1230.420044</v>
      </c>
      <c r="J3242" s="44">
        <v>57.880001</v>
      </c>
      <c r="K3242" s="44">
        <v>112.239998</v>
      </c>
    </row>
    <row r="3243" spans="6:11" x14ac:dyDescent="0.3">
      <c r="F3243" s="43">
        <v>42591</v>
      </c>
      <c r="G3243" s="44">
        <v>2181.73999</v>
      </c>
      <c r="H3243" s="44">
        <v>1562.5</v>
      </c>
      <c r="I3243" s="44">
        <v>1231.73999</v>
      </c>
      <c r="J3243" s="44">
        <v>58.34</v>
      </c>
      <c r="K3243" s="44">
        <v>112.529999</v>
      </c>
    </row>
    <row r="3244" spans="6:11" x14ac:dyDescent="0.3">
      <c r="F3244" s="43">
        <v>42592</v>
      </c>
      <c r="G3244" s="44">
        <v>2175.48999</v>
      </c>
      <c r="H3244" s="44">
        <v>1556.9799800000001</v>
      </c>
      <c r="I3244" s="44">
        <v>1223.2700199999999</v>
      </c>
      <c r="J3244" s="44">
        <v>58.540000999999997</v>
      </c>
      <c r="K3244" s="44">
        <v>112.660004</v>
      </c>
    </row>
    <row r="3245" spans="6:11" x14ac:dyDescent="0.3">
      <c r="F3245" s="43">
        <v>42593</v>
      </c>
      <c r="G3245" s="44">
        <v>2185.790039</v>
      </c>
      <c r="H3245" s="44">
        <v>1560.089966</v>
      </c>
      <c r="I3245" s="44">
        <v>1229.119995</v>
      </c>
      <c r="J3245" s="44">
        <v>58.959999000000003</v>
      </c>
      <c r="K3245" s="44">
        <v>112.360001</v>
      </c>
    </row>
    <row r="3246" spans="6:11" x14ac:dyDescent="0.3">
      <c r="F3246" s="43">
        <v>42594</v>
      </c>
      <c r="G3246" s="44">
        <v>2184.0500489999999</v>
      </c>
      <c r="H3246" s="44">
        <v>1557.7700199999999</v>
      </c>
      <c r="I3246" s="44">
        <v>1229.8199460000001</v>
      </c>
      <c r="J3246" s="44">
        <v>58.810001</v>
      </c>
      <c r="K3246" s="44">
        <v>112.629997</v>
      </c>
    </row>
    <row r="3247" spans="6:11" x14ac:dyDescent="0.3">
      <c r="F3247" s="43">
        <v>42597</v>
      </c>
      <c r="G3247" s="44">
        <v>2190.1499020000001</v>
      </c>
      <c r="H3247" s="44">
        <v>1569.099976</v>
      </c>
      <c r="I3247" s="44">
        <v>1241.8599850000001</v>
      </c>
      <c r="J3247" s="44">
        <v>59.040000999999997</v>
      </c>
      <c r="K3247" s="44">
        <v>112.43</v>
      </c>
    </row>
    <row r="3248" spans="6:11" x14ac:dyDescent="0.3">
      <c r="F3248" s="43">
        <v>42598</v>
      </c>
      <c r="G3248" s="44">
        <v>2178.1499020000001</v>
      </c>
      <c r="H3248" s="44">
        <v>1553.790039</v>
      </c>
      <c r="I3248" s="44">
        <v>1231.130005</v>
      </c>
      <c r="J3248" s="44">
        <v>58.950001</v>
      </c>
      <c r="K3248" s="44">
        <v>112.360001</v>
      </c>
    </row>
    <row r="3249" spans="6:11" x14ac:dyDescent="0.3">
      <c r="F3249" s="43">
        <v>42599</v>
      </c>
      <c r="G3249" s="44">
        <v>2182.219971</v>
      </c>
      <c r="H3249" s="44">
        <v>1550.280029</v>
      </c>
      <c r="I3249" s="44">
        <v>1227.6800539999999</v>
      </c>
      <c r="J3249" s="44">
        <v>58.93</v>
      </c>
      <c r="K3249" s="44">
        <v>112.57</v>
      </c>
    </row>
    <row r="3250" spans="6:11" x14ac:dyDescent="0.3">
      <c r="F3250" s="43">
        <v>42600</v>
      </c>
      <c r="G3250" s="44">
        <v>2187.0200199999999</v>
      </c>
      <c r="H3250" s="44">
        <v>1561.5200199999999</v>
      </c>
      <c r="I3250" s="44">
        <v>1236.849976</v>
      </c>
      <c r="J3250" s="44">
        <v>59.23</v>
      </c>
      <c r="K3250" s="44">
        <v>112.730003</v>
      </c>
    </row>
    <row r="3251" spans="6:11" x14ac:dyDescent="0.3">
      <c r="F3251" s="43">
        <v>42601</v>
      </c>
      <c r="G3251" s="44">
        <v>2183.8701169999999</v>
      </c>
      <c r="H3251" s="44">
        <v>1562.8000489999999</v>
      </c>
      <c r="I3251" s="44">
        <v>1236.7700199999999</v>
      </c>
      <c r="J3251" s="44">
        <v>58.790000999999997</v>
      </c>
      <c r="K3251" s="44">
        <v>112.480003</v>
      </c>
    </row>
    <row r="3252" spans="6:11" x14ac:dyDescent="0.3">
      <c r="F3252" s="43">
        <v>42604</v>
      </c>
      <c r="G3252" s="44">
        <v>2182.639893</v>
      </c>
      <c r="H3252" s="44">
        <v>1563.6800539999999</v>
      </c>
      <c r="I3252" s="44">
        <v>1239.73999</v>
      </c>
      <c r="J3252" s="44">
        <v>58.849997999999999</v>
      </c>
      <c r="K3252" s="44">
        <v>112.650002</v>
      </c>
    </row>
    <row r="3253" spans="6:11" x14ac:dyDescent="0.3">
      <c r="F3253" s="43">
        <v>42605</v>
      </c>
      <c r="G3253" s="44">
        <v>2186.8999020000001</v>
      </c>
      <c r="H3253" s="44">
        <v>1571.26001</v>
      </c>
      <c r="I3253" s="44">
        <v>1248.579956</v>
      </c>
      <c r="J3253" s="44">
        <v>59.099997999999999</v>
      </c>
      <c r="K3253" s="44">
        <v>112.68</v>
      </c>
    </row>
    <row r="3254" spans="6:11" x14ac:dyDescent="0.3">
      <c r="F3254" s="43">
        <v>42606</v>
      </c>
      <c r="G3254" s="44">
        <v>2175.4399410000001</v>
      </c>
      <c r="H3254" s="44">
        <v>1560.900024</v>
      </c>
      <c r="I3254" s="44">
        <v>1237.25</v>
      </c>
      <c r="J3254" s="44">
        <v>58.959999000000003</v>
      </c>
      <c r="K3254" s="44">
        <v>112.639999</v>
      </c>
    </row>
    <row r="3255" spans="6:11" x14ac:dyDescent="0.3">
      <c r="F3255" s="43">
        <v>42607</v>
      </c>
      <c r="G3255" s="44">
        <v>2172.469971</v>
      </c>
      <c r="H3255" s="44">
        <v>1564.8000489999999</v>
      </c>
      <c r="I3255" s="44">
        <v>1240</v>
      </c>
      <c r="J3255" s="44">
        <v>58.720001000000003</v>
      </c>
      <c r="K3255" s="44">
        <v>112.519997</v>
      </c>
    </row>
    <row r="3256" spans="6:11" x14ac:dyDescent="0.3">
      <c r="F3256" s="43">
        <v>42608</v>
      </c>
      <c r="G3256" s="44">
        <v>2169.040039</v>
      </c>
      <c r="H3256" s="44">
        <v>1559.670044</v>
      </c>
      <c r="I3256" s="44">
        <v>1238.030029</v>
      </c>
      <c r="J3256" s="44">
        <v>58.369999</v>
      </c>
      <c r="K3256" s="44">
        <v>112.339996</v>
      </c>
    </row>
    <row r="3257" spans="6:11" x14ac:dyDescent="0.3">
      <c r="F3257" s="43">
        <v>42611</v>
      </c>
      <c r="G3257" s="44">
        <v>2180.3798830000001</v>
      </c>
      <c r="H3257" s="44">
        <v>1570.790039</v>
      </c>
      <c r="I3257" s="44">
        <v>1244.9399410000001</v>
      </c>
      <c r="J3257" s="44">
        <v>58.549999</v>
      </c>
      <c r="K3257" s="44">
        <v>112.650002</v>
      </c>
    </row>
    <row r="3258" spans="6:11" x14ac:dyDescent="0.3">
      <c r="F3258" s="43">
        <v>42612</v>
      </c>
      <c r="G3258" s="44">
        <v>2176.1201169999999</v>
      </c>
      <c r="H3258" s="44">
        <v>1570.0600589999999</v>
      </c>
      <c r="I3258" s="44">
        <v>1246.030029</v>
      </c>
      <c r="J3258" s="44">
        <v>58.470001000000003</v>
      </c>
      <c r="K3258" s="44">
        <v>112.589996</v>
      </c>
    </row>
    <row r="3259" spans="6:11" x14ac:dyDescent="0.3">
      <c r="F3259" s="43">
        <v>42613</v>
      </c>
      <c r="G3259" s="44">
        <v>2170.9499510000001</v>
      </c>
      <c r="H3259" s="44">
        <v>1564.76001</v>
      </c>
      <c r="I3259" s="44">
        <v>1239.910034</v>
      </c>
      <c r="J3259" s="44">
        <v>58.349997999999999</v>
      </c>
      <c r="K3259" s="44">
        <v>112.57</v>
      </c>
    </row>
    <row r="3260" spans="6:11" x14ac:dyDescent="0.3">
      <c r="F3260" s="43">
        <v>42614</v>
      </c>
      <c r="G3260" s="44">
        <v>2170.860107</v>
      </c>
      <c r="H3260" s="44">
        <v>1563.579956</v>
      </c>
      <c r="I3260" s="44">
        <v>1239.8000489999999</v>
      </c>
      <c r="J3260" s="44">
        <v>58.75</v>
      </c>
      <c r="K3260" s="44">
        <v>112.459999</v>
      </c>
    </row>
    <row r="3261" spans="6:11" x14ac:dyDescent="0.3">
      <c r="F3261" s="43">
        <v>42615</v>
      </c>
      <c r="G3261" s="44">
        <v>2179.9799800000001</v>
      </c>
      <c r="H3261" s="44">
        <v>1578.6800539999999</v>
      </c>
      <c r="I3261" s="44">
        <v>1251.829956</v>
      </c>
      <c r="J3261" s="44">
        <v>59.43</v>
      </c>
      <c r="K3261" s="44">
        <v>112.30999799999999</v>
      </c>
    </row>
    <row r="3262" spans="6:11" x14ac:dyDescent="0.3">
      <c r="F3262" s="43">
        <v>42619</v>
      </c>
      <c r="G3262" s="44">
        <v>2186.4799800000001</v>
      </c>
      <c r="H3262" s="44">
        <v>1576.040039</v>
      </c>
      <c r="I3262" s="44">
        <v>1253.369995</v>
      </c>
      <c r="J3262" s="44">
        <v>59.830002</v>
      </c>
      <c r="K3262" s="44">
        <v>112.550003</v>
      </c>
    </row>
    <row r="3263" spans="6:11" x14ac:dyDescent="0.3">
      <c r="F3263" s="43">
        <v>42620</v>
      </c>
      <c r="G3263" s="44">
        <v>2186.1599120000001</v>
      </c>
      <c r="H3263" s="44">
        <v>1581.51001</v>
      </c>
      <c r="I3263" s="44">
        <v>1261.01001</v>
      </c>
      <c r="J3263" s="44">
        <v>59.860000999999997</v>
      </c>
      <c r="K3263" s="44">
        <v>112.610001</v>
      </c>
    </row>
    <row r="3264" spans="6:11" x14ac:dyDescent="0.3">
      <c r="F3264" s="43">
        <v>42621</v>
      </c>
      <c r="G3264" s="44">
        <v>2181.3000489999999</v>
      </c>
      <c r="H3264" s="44">
        <v>1574.280029</v>
      </c>
      <c r="I3264" s="44">
        <v>1258.3599850000001</v>
      </c>
      <c r="J3264" s="44">
        <v>59.689999</v>
      </c>
      <c r="K3264" s="44">
        <v>112.220001</v>
      </c>
    </row>
    <row r="3265" spans="6:11" x14ac:dyDescent="0.3">
      <c r="F3265" s="43">
        <v>42622</v>
      </c>
      <c r="G3265" s="44">
        <v>2127.8100589999999</v>
      </c>
      <c r="H3265" s="44">
        <v>1528.3100589999999</v>
      </c>
      <c r="I3265" s="44">
        <v>1219.209961</v>
      </c>
      <c r="J3265" s="44">
        <v>58.529998999999997</v>
      </c>
      <c r="K3265" s="44">
        <v>111.730003</v>
      </c>
    </row>
    <row r="3266" spans="6:11" x14ac:dyDescent="0.3">
      <c r="F3266" s="43">
        <v>42625</v>
      </c>
      <c r="G3266" s="44">
        <v>2159.040039</v>
      </c>
      <c r="H3266" s="44">
        <v>1545.969971</v>
      </c>
      <c r="I3266" s="44">
        <v>1235.869995</v>
      </c>
      <c r="J3266" s="44">
        <v>59.009998000000003</v>
      </c>
      <c r="K3266" s="44">
        <v>111.82</v>
      </c>
    </row>
    <row r="3267" spans="6:11" x14ac:dyDescent="0.3">
      <c r="F3267" s="43">
        <v>42626</v>
      </c>
      <c r="G3267" s="44">
        <v>2127.0200199999999</v>
      </c>
      <c r="H3267" s="44">
        <v>1517.26001</v>
      </c>
      <c r="I3267" s="44">
        <v>1212.3199460000001</v>
      </c>
      <c r="J3267" s="44">
        <v>57.82</v>
      </c>
      <c r="K3267" s="44">
        <v>111.510002</v>
      </c>
    </row>
    <row r="3268" spans="6:11" x14ac:dyDescent="0.3">
      <c r="F3268" s="43">
        <v>42627</v>
      </c>
      <c r="G3268" s="44">
        <v>2125.7700199999999</v>
      </c>
      <c r="H3268" s="44">
        <v>1512.780029</v>
      </c>
      <c r="I3268" s="44">
        <v>1211.589966</v>
      </c>
      <c r="J3268" s="44">
        <v>57.740001999999997</v>
      </c>
      <c r="K3268" s="44">
        <v>111.650002</v>
      </c>
    </row>
    <row r="3269" spans="6:11" x14ac:dyDescent="0.3">
      <c r="F3269" s="43">
        <v>42628</v>
      </c>
      <c r="G3269" s="44">
        <v>2147.26001</v>
      </c>
      <c r="H3269" s="44">
        <v>1528.6899410000001</v>
      </c>
      <c r="I3269" s="44">
        <v>1227.0200199999999</v>
      </c>
      <c r="J3269" s="44">
        <v>58.240001999999997</v>
      </c>
      <c r="K3269" s="44">
        <v>111.720001</v>
      </c>
    </row>
    <row r="3270" spans="6:11" x14ac:dyDescent="0.3">
      <c r="F3270" s="43">
        <v>42629</v>
      </c>
      <c r="G3270" s="44">
        <v>2139.1599120000001</v>
      </c>
      <c r="H3270" s="44">
        <v>1520.959961</v>
      </c>
      <c r="I3270" s="44">
        <v>1224.780029</v>
      </c>
      <c r="J3270" s="44">
        <v>57.490001999999997</v>
      </c>
      <c r="K3270" s="44">
        <v>111.800003</v>
      </c>
    </row>
    <row r="3271" spans="6:11" x14ac:dyDescent="0.3">
      <c r="F3271" s="43">
        <v>42632</v>
      </c>
      <c r="G3271" s="44">
        <v>2139.1201169999999</v>
      </c>
      <c r="H3271" s="44">
        <v>1532.3900149999999</v>
      </c>
      <c r="I3271" s="44">
        <v>1232.530029</v>
      </c>
      <c r="J3271" s="44">
        <v>57.790000999999997</v>
      </c>
      <c r="K3271" s="44">
        <v>111.709999</v>
      </c>
    </row>
    <row r="3272" spans="6:11" x14ac:dyDescent="0.3">
      <c r="F3272" s="43">
        <v>42633</v>
      </c>
      <c r="G3272" s="44">
        <v>2139.76001</v>
      </c>
      <c r="H3272" s="44">
        <v>1525.349976</v>
      </c>
      <c r="I3272" s="44">
        <v>1228.329956</v>
      </c>
      <c r="J3272" s="44">
        <v>58.139999000000003</v>
      </c>
      <c r="K3272" s="44">
        <v>111.75</v>
      </c>
    </row>
    <row r="3273" spans="6:11" x14ac:dyDescent="0.3">
      <c r="F3273" s="43">
        <v>42634</v>
      </c>
      <c r="G3273" s="44">
        <v>2163.1201169999999</v>
      </c>
      <c r="H3273" s="44">
        <v>1544.670044</v>
      </c>
      <c r="I3273" s="44">
        <v>1245.040039</v>
      </c>
      <c r="J3273" s="44">
        <v>59.16</v>
      </c>
      <c r="K3273" s="44">
        <v>112.029999</v>
      </c>
    </row>
    <row r="3274" spans="6:11" x14ac:dyDescent="0.3">
      <c r="F3274" s="43">
        <v>42635</v>
      </c>
      <c r="G3274" s="44">
        <v>2177.179932</v>
      </c>
      <c r="H3274" s="44">
        <v>1562.9399410000001</v>
      </c>
      <c r="I3274" s="44">
        <v>1263.4399410000001</v>
      </c>
      <c r="J3274" s="44">
        <v>59.759998000000003</v>
      </c>
      <c r="K3274" s="44">
        <v>112.260002</v>
      </c>
    </row>
    <row r="3275" spans="6:11" x14ac:dyDescent="0.3">
      <c r="F3275" s="43">
        <v>42636</v>
      </c>
      <c r="G3275" s="44">
        <v>2164.6899410000001</v>
      </c>
      <c r="H3275" s="44">
        <v>1550.8199460000001</v>
      </c>
      <c r="I3275" s="44">
        <v>1254.619995</v>
      </c>
      <c r="J3275" s="44">
        <v>59.259998000000003</v>
      </c>
      <c r="K3275" s="44">
        <v>112.230003</v>
      </c>
    </row>
    <row r="3276" spans="6:11" x14ac:dyDescent="0.3">
      <c r="F3276" s="43">
        <v>42639</v>
      </c>
      <c r="G3276" s="44">
        <v>2146.1000979999999</v>
      </c>
      <c r="H3276" s="44">
        <v>1542.5200199999999</v>
      </c>
      <c r="I3276" s="44">
        <v>1240.9399410000001</v>
      </c>
      <c r="J3276" s="44">
        <v>58.709999000000003</v>
      </c>
      <c r="K3276" s="44">
        <v>112.370003</v>
      </c>
    </row>
    <row r="3277" spans="6:11" x14ac:dyDescent="0.3">
      <c r="F3277" s="43">
        <v>42640</v>
      </c>
      <c r="G3277" s="44">
        <v>2159.929932</v>
      </c>
      <c r="H3277" s="44">
        <v>1544.280029</v>
      </c>
      <c r="I3277" s="44">
        <v>1246.380005</v>
      </c>
      <c r="J3277" s="44">
        <v>58.990001999999997</v>
      </c>
      <c r="K3277" s="44">
        <v>112.510002</v>
      </c>
    </row>
    <row r="3278" spans="6:11" x14ac:dyDescent="0.3">
      <c r="F3278" s="43">
        <v>42641</v>
      </c>
      <c r="G3278" s="44">
        <v>2171.3701169999999</v>
      </c>
      <c r="H3278" s="44">
        <v>1556.9499510000001</v>
      </c>
      <c r="I3278" s="44">
        <v>1255.670044</v>
      </c>
      <c r="J3278" s="44">
        <v>59.41</v>
      </c>
      <c r="K3278" s="44">
        <v>112.540001</v>
      </c>
    </row>
    <row r="3279" spans="6:11" x14ac:dyDescent="0.3">
      <c r="F3279" s="43">
        <v>42642</v>
      </c>
      <c r="G3279" s="44">
        <v>2151.1298830000001</v>
      </c>
      <c r="H3279" s="44">
        <v>1539.5699460000001</v>
      </c>
      <c r="I3279" s="44">
        <v>1237.75</v>
      </c>
      <c r="J3279" s="44">
        <v>58.669998</v>
      </c>
      <c r="K3279" s="44">
        <v>112.540001</v>
      </c>
    </row>
    <row r="3280" spans="6:11" x14ac:dyDescent="0.3">
      <c r="F3280" s="43">
        <v>42643</v>
      </c>
      <c r="G3280" s="44">
        <v>2168.2700199999999</v>
      </c>
      <c r="H3280" s="44">
        <v>1552.26001</v>
      </c>
      <c r="I3280" s="44">
        <v>1251.650024</v>
      </c>
      <c r="J3280" s="44">
        <v>59.130001</v>
      </c>
      <c r="K3280" s="44">
        <v>112.41999800000001</v>
      </c>
    </row>
    <row r="3281" spans="6:11" x14ac:dyDescent="0.3">
      <c r="F3281" s="43">
        <v>42646</v>
      </c>
      <c r="G3281" s="44">
        <v>2161.1999510000001</v>
      </c>
      <c r="H3281" s="44">
        <v>1542.079956</v>
      </c>
      <c r="I3281" s="44">
        <v>1245.780029</v>
      </c>
      <c r="J3281" s="44">
        <v>58.970001000000003</v>
      </c>
      <c r="K3281" s="44">
        <v>112.089996</v>
      </c>
    </row>
    <row r="3282" spans="6:11" x14ac:dyDescent="0.3">
      <c r="F3282" s="43">
        <v>42647</v>
      </c>
      <c r="G3282" s="44">
        <v>2150.48999</v>
      </c>
      <c r="H3282" s="44">
        <v>1533.9499510000001</v>
      </c>
      <c r="I3282" s="44">
        <v>1239.780029</v>
      </c>
      <c r="J3282" s="44">
        <v>58.959999000000003</v>
      </c>
      <c r="K3282" s="44">
        <v>111.709999</v>
      </c>
    </row>
    <row r="3283" spans="6:11" x14ac:dyDescent="0.3">
      <c r="F3283" s="43">
        <v>42648</v>
      </c>
      <c r="G3283" s="44">
        <v>2159.7299800000001</v>
      </c>
      <c r="H3283" s="44">
        <v>1541.9300539999999</v>
      </c>
      <c r="I3283" s="44">
        <v>1248.369995</v>
      </c>
      <c r="J3283" s="44">
        <v>59.200001</v>
      </c>
      <c r="K3283" s="44">
        <v>111.55999799999999</v>
      </c>
    </row>
    <row r="3284" spans="6:11" x14ac:dyDescent="0.3">
      <c r="F3284" s="43">
        <v>42649</v>
      </c>
      <c r="G3284" s="44">
        <v>2160.7700199999999</v>
      </c>
      <c r="H3284" s="44">
        <v>1544.23999</v>
      </c>
      <c r="I3284" s="44">
        <v>1246.23999</v>
      </c>
      <c r="J3284" s="44">
        <v>58.880001</v>
      </c>
      <c r="K3284" s="44">
        <v>111.55999799999999</v>
      </c>
    </row>
    <row r="3285" spans="6:11" x14ac:dyDescent="0.3">
      <c r="F3285" s="43">
        <v>42650</v>
      </c>
      <c r="G3285" s="44">
        <v>2153.73999</v>
      </c>
      <c r="H3285" s="44">
        <v>1533.959961</v>
      </c>
      <c r="I3285" s="44">
        <v>1236.5600589999999</v>
      </c>
      <c r="J3285" s="44">
        <v>58.580002</v>
      </c>
      <c r="K3285" s="44">
        <v>111.58000199999999</v>
      </c>
    </row>
    <row r="3286" spans="6:11" x14ac:dyDescent="0.3">
      <c r="F3286" s="43">
        <v>42653</v>
      </c>
      <c r="G3286" s="44">
        <v>2163.6599120000001</v>
      </c>
      <c r="H3286" s="44">
        <v>1545.8599850000001</v>
      </c>
      <c r="I3286" s="44">
        <v>1250.76001</v>
      </c>
      <c r="J3286" s="44">
        <v>58.75</v>
      </c>
      <c r="K3286" s="44">
        <v>111.529999</v>
      </c>
    </row>
    <row r="3287" spans="6:11" x14ac:dyDescent="0.3">
      <c r="F3287" s="43">
        <v>42654</v>
      </c>
      <c r="G3287" s="44">
        <v>2136.7299800000001</v>
      </c>
      <c r="H3287" s="44">
        <v>1521</v>
      </c>
      <c r="I3287" s="44">
        <v>1227.619995</v>
      </c>
      <c r="J3287" s="44">
        <v>57.919998</v>
      </c>
      <c r="K3287" s="44">
        <v>111.360001</v>
      </c>
    </row>
    <row r="3288" spans="6:11" x14ac:dyDescent="0.3">
      <c r="F3288" s="43">
        <v>42655</v>
      </c>
      <c r="G3288" s="44">
        <v>2139.179932</v>
      </c>
      <c r="H3288" s="44">
        <v>1526.0500489999999</v>
      </c>
      <c r="I3288" s="44">
        <v>1227.2299800000001</v>
      </c>
      <c r="J3288" s="44">
        <v>57.790000999999997</v>
      </c>
      <c r="K3288" s="44">
        <v>111.400002</v>
      </c>
    </row>
    <row r="3289" spans="6:11" x14ac:dyDescent="0.3">
      <c r="F3289" s="43">
        <v>42656</v>
      </c>
      <c r="G3289" s="44">
        <v>2132.5500489999999</v>
      </c>
      <c r="H3289" s="44">
        <v>1519.599976</v>
      </c>
      <c r="I3289" s="44">
        <v>1215.75</v>
      </c>
      <c r="J3289" s="44">
        <v>57.57</v>
      </c>
      <c r="K3289" s="44">
        <v>111.55999799999999</v>
      </c>
    </row>
    <row r="3290" spans="6:11" x14ac:dyDescent="0.3">
      <c r="F3290" s="43">
        <v>42657</v>
      </c>
      <c r="G3290" s="44">
        <v>2132.9799800000001</v>
      </c>
      <c r="H3290" s="44">
        <v>1519.8199460000001</v>
      </c>
      <c r="I3290" s="44">
        <v>1212.410034</v>
      </c>
      <c r="J3290" s="44">
        <v>57.669998</v>
      </c>
      <c r="K3290" s="44">
        <v>111.370003</v>
      </c>
    </row>
    <row r="3291" spans="6:11" x14ac:dyDescent="0.3">
      <c r="F3291" s="43">
        <v>42660</v>
      </c>
      <c r="G3291" s="44">
        <v>2126.5</v>
      </c>
      <c r="H3291" s="44">
        <v>1518.1899410000001</v>
      </c>
      <c r="I3291" s="44">
        <v>1210.1400149999999</v>
      </c>
      <c r="J3291" s="44">
        <v>57.5</v>
      </c>
      <c r="K3291" s="44">
        <v>111.55999799999999</v>
      </c>
    </row>
    <row r="3292" spans="6:11" x14ac:dyDescent="0.3">
      <c r="F3292" s="43">
        <v>42661</v>
      </c>
      <c r="G3292" s="44">
        <v>2139.6000979999999</v>
      </c>
      <c r="H3292" s="44">
        <v>1527.170044</v>
      </c>
      <c r="I3292" s="44">
        <v>1217.3000489999999</v>
      </c>
      <c r="J3292" s="44">
        <v>58.07</v>
      </c>
      <c r="K3292" s="44">
        <v>111.739998</v>
      </c>
    </row>
    <row r="3293" spans="6:11" x14ac:dyDescent="0.3">
      <c r="F3293" s="43">
        <v>42662</v>
      </c>
      <c r="G3293" s="44">
        <v>2144.290039</v>
      </c>
      <c r="H3293" s="44">
        <v>1534.030029</v>
      </c>
      <c r="I3293" s="44">
        <v>1222.6400149999999</v>
      </c>
      <c r="J3293" s="44">
        <v>58.23</v>
      </c>
      <c r="K3293" s="44">
        <v>111.800003</v>
      </c>
    </row>
    <row r="3294" spans="6:11" x14ac:dyDescent="0.3">
      <c r="F3294" s="43">
        <v>42663</v>
      </c>
      <c r="G3294" s="44">
        <v>2141.3400879999999</v>
      </c>
      <c r="H3294" s="44">
        <v>1527.920044</v>
      </c>
      <c r="I3294" s="44">
        <v>1219.790039</v>
      </c>
      <c r="J3294" s="44">
        <v>58.32</v>
      </c>
      <c r="K3294" s="44">
        <v>111.760002</v>
      </c>
    </row>
    <row r="3295" spans="6:11" x14ac:dyDescent="0.3">
      <c r="F3295" s="43">
        <v>42664</v>
      </c>
      <c r="G3295" s="44">
        <v>2141.1599120000001</v>
      </c>
      <c r="H3295" s="44">
        <v>1526.76001</v>
      </c>
      <c r="I3295" s="44">
        <v>1218.099976</v>
      </c>
      <c r="J3295" s="44">
        <v>58.189999</v>
      </c>
      <c r="K3295" s="44">
        <v>111.83000199999999</v>
      </c>
    </row>
    <row r="3296" spans="6:11" x14ac:dyDescent="0.3">
      <c r="F3296" s="43">
        <v>42667</v>
      </c>
      <c r="G3296" s="44">
        <v>2151.330078</v>
      </c>
      <c r="H3296" s="44">
        <v>1534.73999</v>
      </c>
      <c r="I3296" s="44">
        <v>1226.4499510000001</v>
      </c>
      <c r="J3296" s="44">
        <v>58.18</v>
      </c>
      <c r="K3296" s="44">
        <v>111.660004</v>
      </c>
    </row>
    <row r="3297" spans="6:11" x14ac:dyDescent="0.3">
      <c r="F3297" s="43">
        <v>42668</v>
      </c>
      <c r="G3297" s="44">
        <v>2143.1599120000001</v>
      </c>
      <c r="H3297" s="44">
        <v>1522.660034</v>
      </c>
      <c r="I3297" s="44">
        <v>1216.099976</v>
      </c>
      <c r="J3297" s="44">
        <v>58.139999000000003</v>
      </c>
      <c r="K3297" s="44">
        <v>111.660004</v>
      </c>
    </row>
    <row r="3298" spans="6:11" x14ac:dyDescent="0.3">
      <c r="F3298" s="43">
        <v>42669</v>
      </c>
      <c r="G3298" s="44">
        <v>2139.429932</v>
      </c>
      <c r="H3298" s="44">
        <v>1514.8599850000001</v>
      </c>
      <c r="I3298" s="44">
        <v>1204.75</v>
      </c>
      <c r="J3298" s="44">
        <v>57.880001</v>
      </c>
      <c r="K3298" s="44">
        <v>111.44000200000001</v>
      </c>
    </row>
    <row r="3299" spans="6:11" x14ac:dyDescent="0.3">
      <c r="F3299" s="43">
        <v>42670</v>
      </c>
      <c r="G3299" s="44">
        <v>2133.040039</v>
      </c>
      <c r="H3299" s="44">
        <v>1501.0500489999999</v>
      </c>
      <c r="I3299" s="44">
        <v>1189.9499510000001</v>
      </c>
      <c r="J3299" s="44">
        <v>57.810001</v>
      </c>
      <c r="K3299" s="44">
        <v>111.160004</v>
      </c>
    </row>
    <row r="3300" spans="6:11" x14ac:dyDescent="0.3">
      <c r="F3300" s="43">
        <v>42671</v>
      </c>
      <c r="G3300" s="44">
        <v>2126.4099120000001</v>
      </c>
      <c r="H3300" s="44">
        <v>1499.709961</v>
      </c>
      <c r="I3300" s="44">
        <v>1187.6099850000001</v>
      </c>
      <c r="J3300" s="44">
        <v>57.790000999999997</v>
      </c>
      <c r="K3300" s="44">
        <v>111.160004</v>
      </c>
    </row>
    <row r="3301" spans="6:11" x14ac:dyDescent="0.3">
      <c r="F3301" s="43">
        <v>42674</v>
      </c>
      <c r="G3301" s="44">
        <v>2126.1499020000001</v>
      </c>
      <c r="H3301" s="44">
        <v>1509.459961</v>
      </c>
      <c r="I3301" s="44">
        <v>1191.3900149999999</v>
      </c>
      <c r="J3301" s="44">
        <v>57.82</v>
      </c>
      <c r="K3301" s="44">
        <v>111.300003</v>
      </c>
    </row>
    <row r="3302" spans="6:11" x14ac:dyDescent="0.3">
      <c r="F3302" s="43">
        <v>42675</v>
      </c>
      <c r="G3302" s="44">
        <v>2111.719971</v>
      </c>
      <c r="H3302" s="44">
        <v>1494.01001</v>
      </c>
      <c r="I3302" s="44">
        <v>1177.9399410000001</v>
      </c>
      <c r="J3302" s="44">
        <v>57.57</v>
      </c>
      <c r="K3302" s="44">
        <v>111.029999</v>
      </c>
    </row>
    <row r="3303" spans="6:11" x14ac:dyDescent="0.3">
      <c r="F3303" s="43">
        <v>42676</v>
      </c>
      <c r="G3303" s="44">
        <v>2097.9399410000001</v>
      </c>
      <c r="H3303" s="44">
        <v>1479.3000489999999</v>
      </c>
      <c r="I3303" s="44">
        <v>1162.5200199999999</v>
      </c>
      <c r="J3303" s="44">
        <v>57.18</v>
      </c>
      <c r="K3303" s="44">
        <v>111.160004</v>
      </c>
    </row>
    <row r="3304" spans="6:11" x14ac:dyDescent="0.3">
      <c r="F3304" s="43">
        <v>42677</v>
      </c>
      <c r="G3304" s="44">
        <v>2088.6599120000001</v>
      </c>
      <c r="H3304" s="44">
        <v>1476.6800539999999</v>
      </c>
      <c r="I3304" s="44">
        <v>1156.8900149999999</v>
      </c>
      <c r="J3304" s="44">
        <v>57.119999</v>
      </c>
      <c r="K3304" s="44">
        <v>111.010002</v>
      </c>
    </row>
    <row r="3305" spans="6:11" x14ac:dyDescent="0.3">
      <c r="F3305" s="43">
        <v>42678</v>
      </c>
      <c r="G3305" s="44">
        <v>2085.179932</v>
      </c>
      <c r="H3305" s="44">
        <v>1478.829956</v>
      </c>
      <c r="I3305" s="44">
        <v>1163.4399410000001</v>
      </c>
      <c r="J3305" s="44">
        <v>56.57</v>
      </c>
      <c r="K3305" s="44">
        <v>111.239998</v>
      </c>
    </row>
    <row r="3306" spans="6:11" x14ac:dyDescent="0.3">
      <c r="F3306" s="43">
        <v>42681</v>
      </c>
      <c r="G3306" s="44">
        <v>2131.5200199999999</v>
      </c>
      <c r="H3306" s="44">
        <v>1509.8000489999999</v>
      </c>
      <c r="I3306" s="44">
        <v>1192.25</v>
      </c>
      <c r="J3306" s="44">
        <v>57.349997999999999</v>
      </c>
      <c r="K3306" s="44">
        <v>111.110001</v>
      </c>
    </row>
    <row r="3307" spans="6:11" x14ac:dyDescent="0.3">
      <c r="F3307" s="43">
        <v>42682</v>
      </c>
      <c r="G3307" s="44">
        <v>2139.5600589999999</v>
      </c>
      <c r="H3307" s="44">
        <v>1513.339966</v>
      </c>
      <c r="I3307" s="44">
        <v>1195.1400149999999</v>
      </c>
      <c r="J3307" s="44">
        <v>57.509998000000003</v>
      </c>
      <c r="K3307" s="44">
        <v>110.93</v>
      </c>
    </row>
    <row r="3308" spans="6:11" x14ac:dyDescent="0.3">
      <c r="F3308" s="43">
        <v>42683</v>
      </c>
      <c r="G3308" s="44">
        <v>2163.26001</v>
      </c>
      <c r="H3308" s="44">
        <v>1540.630005</v>
      </c>
      <c r="I3308" s="44">
        <v>1232.160034</v>
      </c>
      <c r="J3308" s="44">
        <v>57.560001</v>
      </c>
      <c r="K3308" s="44">
        <v>109.900002</v>
      </c>
    </row>
    <row r="3309" spans="6:11" x14ac:dyDescent="0.3">
      <c r="F3309" s="43">
        <v>42684</v>
      </c>
      <c r="G3309" s="44">
        <v>2167.4799800000001</v>
      </c>
      <c r="H3309" s="44">
        <v>1547.630005</v>
      </c>
      <c r="I3309" s="44">
        <v>1251.6099850000001</v>
      </c>
      <c r="J3309" s="44">
        <v>57.400002000000001</v>
      </c>
      <c r="K3309" s="44">
        <v>109.449997</v>
      </c>
    </row>
    <row r="3310" spans="6:11" x14ac:dyDescent="0.3">
      <c r="F3310" s="43">
        <v>42685</v>
      </c>
      <c r="G3310" s="44">
        <v>2164.4499510000001</v>
      </c>
      <c r="H3310" s="44">
        <v>1562.98999</v>
      </c>
      <c r="I3310" s="44">
        <v>1282.380005</v>
      </c>
      <c r="J3310" s="44">
        <v>57.049999</v>
      </c>
      <c r="K3310" s="44">
        <v>109.25</v>
      </c>
    </row>
    <row r="3311" spans="6:11" x14ac:dyDescent="0.3">
      <c r="F3311" s="43">
        <v>42688</v>
      </c>
      <c r="G3311" s="44">
        <v>2164.1999510000001</v>
      </c>
      <c r="H3311" s="44">
        <v>1588.119995</v>
      </c>
      <c r="I3311" s="44">
        <v>1298.599976</v>
      </c>
      <c r="J3311" s="44">
        <v>56.740001999999997</v>
      </c>
      <c r="K3311" s="44">
        <v>108.80999799999999</v>
      </c>
    </row>
    <row r="3312" spans="6:11" x14ac:dyDescent="0.3">
      <c r="F3312" s="43">
        <v>42689</v>
      </c>
      <c r="G3312" s="44">
        <v>2180.389893</v>
      </c>
      <c r="H3312" s="44">
        <v>1595.630005</v>
      </c>
      <c r="I3312" s="44">
        <v>1302.1400149999999</v>
      </c>
      <c r="J3312" s="44">
        <v>56.990001999999997</v>
      </c>
      <c r="K3312" s="44">
        <v>108.889999</v>
      </c>
    </row>
    <row r="3313" spans="6:11" x14ac:dyDescent="0.3">
      <c r="F3313" s="43">
        <v>42690</v>
      </c>
      <c r="G3313" s="44">
        <v>2176.9399410000001</v>
      </c>
      <c r="H3313" s="44">
        <v>1595.530029</v>
      </c>
      <c r="I3313" s="44">
        <v>1302.1999510000001</v>
      </c>
      <c r="J3313" s="44">
        <v>56.389999000000003</v>
      </c>
      <c r="K3313" s="44">
        <v>109.129997</v>
      </c>
    </row>
    <row r="3314" spans="6:11" x14ac:dyDescent="0.3">
      <c r="F3314" s="43">
        <v>42691</v>
      </c>
      <c r="G3314" s="44">
        <v>2187.1201169999999</v>
      </c>
      <c r="H3314" s="44">
        <v>1605.23999</v>
      </c>
      <c r="I3314" s="44">
        <v>1309.4799800000001</v>
      </c>
      <c r="J3314" s="44">
        <v>56.82</v>
      </c>
      <c r="K3314" s="44">
        <v>108.720001</v>
      </c>
    </row>
    <row r="3315" spans="6:11" x14ac:dyDescent="0.3">
      <c r="F3315" s="43">
        <v>42692</v>
      </c>
      <c r="G3315" s="44">
        <v>2181.8999020000001</v>
      </c>
      <c r="H3315" s="44">
        <v>1605.9300539999999</v>
      </c>
      <c r="I3315" s="44">
        <v>1315.6400149999999</v>
      </c>
      <c r="J3315" s="44">
        <v>56.200001</v>
      </c>
      <c r="K3315" s="44">
        <v>108.370003</v>
      </c>
    </row>
    <row r="3316" spans="6:11" x14ac:dyDescent="0.3">
      <c r="F3316" s="43">
        <v>42695</v>
      </c>
      <c r="G3316" s="44">
        <v>2198.179932</v>
      </c>
      <c r="H3316" s="44">
        <v>1616.6800539999999</v>
      </c>
      <c r="I3316" s="44">
        <v>1322.2299800000001</v>
      </c>
      <c r="J3316" s="44">
        <v>56.68</v>
      </c>
      <c r="K3316" s="44">
        <v>108.459999</v>
      </c>
    </row>
    <row r="3317" spans="6:11" x14ac:dyDescent="0.3">
      <c r="F3317" s="43">
        <v>42696</v>
      </c>
      <c r="G3317" s="44">
        <v>2202.9399410000001</v>
      </c>
      <c r="H3317" s="44">
        <v>1628.530029</v>
      </c>
      <c r="I3317" s="44">
        <v>1334.339966</v>
      </c>
      <c r="J3317" s="44">
        <v>56.82</v>
      </c>
      <c r="K3317" s="44">
        <v>108.55999799999999</v>
      </c>
    </row>
    <row r="3318" spans="6:11" x14ac:dyDescent="0.3">
      <c r="F3318" s="43">
        <v>42697</v>
      </c>
      <c r="G3318" s="44">
        <v>2204.719971</v>
      </c>
      <c r="H3318" s="44">
        <v>1635.5699460000001</v>
      </c>
      <c r="I3318" s="44">
        <v>1342.089966</v>
      </c>
      <c r="J3318" s="44">
        <v>56.619999</v>
      </c>
      <c r="K3318" s="44">
        <v>108.18</v>
      </c>
    </row>
    <row r="3319" spans="6:11" x14ac:dyDescent="0.3">
      <c r="F3319" s="43">
        <v>42699</v>
      </c>
      <c r="G3319" s="44">
        <v>2213.3500979999999</v>
      </c>
      <c r="H3319" s="44">
        <v>1640.8100589999999</v>
      </c>
      <c r="I3319" s="44">
        <v>1347.1999510000001</v>
      </c>
      <c r="J3319" s="44">
        <v>56.790000999999997</v>
      </c>
      <c r="K3319" s="44">
        <v>108.16999800000001</v>
      </c>
    </row>
    <row r="3320" spans="6:11" x14ac:dyDescent="0.3">
      <c r="F3320" s="43">
        <v>42702</v>
      </c>
      <c r="G3320" s="44">
        <v>2201.719971</v>
      </c>
      <c r="H3320" s="44">
        <v>1628.6800539999999</v>
      </c>
      <c r="I3320" s="44">
        <v>1329.829956</v>
      </c>
      <c r="J3320" s="44">
        <v>56.490001999999997</v>
      </c>
      <c r="K3320" s="44">
        <v>108.550003</v>
      </c>
    </row>
    <row r="3321" spans="6:11" x14ac:dyDescent="0.3">
      <c r="F3321" s="43">
        <v>42703</v>
      </c>
      <c r="G3321" s="44">
        <v>2204.6599120000001</v>
      </c>
      <c r="H3321" s="44">
        <v>1631.1099850000001</v>
      </c>
      <c r="I3321" s="44">
        <v>1328.219971</v>
      </c>
      <c r="J3321" s="44">
        <v>56.849997999999999</v>
      </c>
      <c r="K3321" s="44">
        <v>108.66999800000001</v>
      </c>
    </row>
    <row r="3322" spans="6:11" x14ac:dyDescent="0.3">
      <c r="F3322" s="43">
        <v>42704</v>
      </c>
      <c r="G3322" s="44">
        <v>2198.8100589999999</v>
      </c>
      <c r="H3322" s="44">
        <v>1627.5200199999999</v>
      </c>
      <c r="I3322" s="44">
        <v>1322.339966</v>
      </c>
      <c r="J3322" s="44">
        <v>56.790000999999997</v>
      </c>
      <c r="K3322" s="44">
        <v>108.239998</v>
      </c>
    </row>
    <row r="3323" spans="6:11" x14ac:dyDescent="0.3">
      <c r="F3323" s="43">
        <v>42705</v>
      </c>
      <c r="G3323" s="44">
        <v>2191.080078</v>
      </c>
      <c r="H3323" s="44">
        <v>1623.280029</v>
      </c>
      <c r="I3323" s="44">
        <v>1313.8000489999999</v>
      </c>
      <c r="J3323" s="44">
        <v>56.57</v>
      </c>
      <c r="K3323" s="44">
        <v>107.68</v>
      </c>
    </row>
    <row r="3324" spans="6:11" x14ac:dyDescent="0.3">
      <c r="F3324" s="43">
        <v>42706</v>
      </c>
      <c r="G3324" s="44">
        <v>2191.9499510000001</v>
      </c>
      <c r="H3324" s="44">
        <v>1624.790039</v>
      </c>
      <c r="I3324" s="44">
        <v>1314.25</v>
      </c>
      <c r="J3324" s="44">
        <v>56.709999000000003</v>
      </c>
      <c r="K3324" s="44">
        <v>108.019997</v>
      </c>
    </row>
    <row r="3325" spans="6:11" x14ac:dyDescent="0.3">
      <c r="F3325" s="43">
        <v>42709</v>
      </c>
      <c r="G3325" s="44">
        <v>2204.709961</v>
      </c>
      <c r="H3325" s="44">
        <v>1642.790039</v>
      </c>
      <c r="I3325" s="44">
        <v>1337.790039</v>
      </c>
      <c r="J3325" s="44">
        <v>57.27</v>
      </c>
      <c r="K3325" s="44">
        <v>108.110001</v>
      </c>
    </row>
    <row r="3326" spans="6:11" x14ac:dyDescent="0.3">
      <c r="F3326" s="43">
        <v>42710</v>
      </c>
      <c r="G3326" s="44">
        <v>2212.2299800000001</v>
      </c>
      <c r="H3326" s="44">
        <v>1658.280029</v>
      </c>
      <c r="I3326" s="44">
        <v>1352.670044</v>
      </c>
      <c r="J3326" s="44">
        <v>57.66</v>
      </c>
      <c r="K3326" s="44">
        <v>108.089996</v>
      </c>
    </row>
    <row r="3327" spans="6:11" x14ac:dyDescent="0.3">
      <c r="F3327" s="43">
        <v>42711</v>
      </c>
      <c r="G3327" s="44">
        <v>2241.3500979999999</v>
      </c>
      <c r="H3327" s="44">
        <v>1677.790039</v>
      </c>
      <c r="I3327" s="44">
        <v>1364.51001</v>
      </c>
      <c r="J3327" s="44">
        <v>58.52</v>
      </c>
      <c r="K3327" s="44">
        <v>108.370003</v>
      </c>
    </row>
    <row r="3328" spans="6:11" x14ac:dyDescent="0.3">
      <c r="F3328" s="43">
        <v>42712</v>
      </c>
      <c r="G3328" s="44">
        <v>2246.1899410000001</v>
      </c>
      <c r="H3328" s="44">
        <v>1696.119995</v>
      </c>
      <c r="I3328" s="44">
        <v>1386.369995</v>
      </c>
      <c r="J3328" s="44">
        <v>58.470001000000003</v>
      </c>
      <c r="K3328" s="44">
        <v>108.16999800000001</v>
      </c>
    </row>
    <row r="3329" spans="6:11" x14ac:dyDescent="0.3">
      <c r="F3329" s="43">
        <v>42713</v>
      </c>
      <c r="G3329" s="44">
        <v>2259.530029</v>
      </c>
      <c r="H3329" s="44">
        <v>1692.9799800000001</v>
      </c>
      <c r="I3329" s="44">
        <v>1388.0699460000001</v>
      </c>
      <c r="J3329" s="44">
        <v>58.720001000000003</v>
      </c>
      <c r="K3329" s="44">
        <v>107.839996</v>
      </c>
    </row>
    <row r="3330" spans="6:11" x14ac:dyDescent="0.3">
      <c r="F3330" s="43">
        <v>42716</v>
      </c>
      <c r="G3330" s="44">
        <v>2256.959961</v>
      </c>
      <c r="H3330" s="44">
        <v>1682.51001</v>
      </c>
      <c r="I3330" s="44">
        <v>1373.1400149999999</v>
      </c>
      <c r="J3330" s="44">
        <v>58.459999000000003</v>
      </c>
      <c r="K3330" s="44">
        <v>107.739998</v>
      </c>
    </row>
    <row r="3331" spans="6:11" x14ac:dyDescent="0.3">
      <c r="F3331" s="43">
        <v>42717</v>
      </c>
      <c r="G3331" s="44">
        <v>2271.719971</v>
      </c>
      <c r="H3331" s="44">
        <v>1686.0500489999999</v>
      </c>
      <c r="I3331" s="44">
        <v>1373.530029</v>
      </c>
      <c r="J3331" s="44">
        <v>59.09</v>
      </c>
      <c r="K3331" s="44">
        <v>107.879997</v>
      </c>
    </row>
    <row r="3332" spans="6:11" x14ac:dyDescent="0.3">
      <c r="F3332" s="43">
        <v>42718</v>
      </c>
      <c r="G3332" s="44">
        <v>2253.280029</v>
      </c>
      <c r="H3332" s="44">
        <v>1664.329956</v>
      </c>
      <c r="I3332" s="44">
        <v>1356.0200199999999</v>
      </c>
      <c r="J3332" s="44">
        <v>58.220001000000003</v>
      </c>
      <c r="K3332" s="44">
        <v>107.290001</v>
      </c>
    </row>
    <row r="3333" spans="6:11" x14ac:dyDescent="0.3">
      <c r="F3333" s="43">
        <v>42719</v>
      </c>
      <c r="G3333" s="44">
        <v>2262.030029</v>
      </c>
      <c r="H3333" s="44">
        <v>1670.73999</v>
      </c>
      <c r="I3333" s="44">
        <v>1366.410034</v>
      </c>
      <c r="J3333" s="44">
        <v>58.09</v>
      </c>
      <c r="K3333" s="44">
        <v>107.160004</v>
      </c>
    </row>
    <row r="3334" spans="6:11" x14ac:dyDescent="0.3">
      <c r="F3334" s="43">
        <v>42720</v>
      </c>
      <c r="G3334" s="44">
        <v>2258.070068</v>
      </c>
      <c r="H3334" s="44">
        <v>1667.7299800000001</v>
      </c>
      <c r="I3334" s="44">
        <v>1364.1899410000001</v>
      </c>
      <c r="J3334" s="44">
        <v>58.130001</v>
      </c>
      <c r="K3334" s="44">
        <v>107.230003</v>
      </c>
    </row>
    <row r="3335" spans="6:11" x14ac:dyDescent="0.3">
      <c r="F3335" s="43">
        <v>42723</v>
      </c>
      <c r="G3335" s="44">
        <v>2262.530029</v>
      </c>
      <c r="H3335" s="44">
        <v>1677.920044</v>
      </c>
      <c r="I3335" s="44">
        <v>1371.6800539999999</v>
      </c>
      <c r="J3335" s="44">
        <v>58.040000999999997</v>
      </c>
      <c r="K3335" s="44">
        <v>107.510002</v>
      </c>
    </row>
    <row r="3336" spans="6:11" x14ac:dyDescent="0.3">
      <c r="F3336" s="43">
        <v>42724</v>
      </c>
      <c r="G3336" s="44">
        <v>2270.76001</v>
      </c>
      <c r="H3336" s="44">
        <v>1687.030029</v>
      </c>
      <c r="I3336" s="44">
        <v>1383.959961</v>
      </c>
      <c r="J3336" s="44">
        <v>58.240001999999997</v>
      </c>
      <c r="K3336" s="44">
        <v>107.410004</v>
      </c>
    </row>
    <row r="3337" spans="6:11" x14ac:dyDescent="0.3">
      <c r="F3337" s="43">
        <v>42725</v>
      </c>
      <c r="G3337" s="44">
        <v>2265.179932</v>
      </c>
      <c r="H3337" s="44">
        <v>1679.619995</v>
      </c>
      <c r="I3337" s="44">
        <v>1375.1899410000001</v>
      </c>
      <c r="J3337" s="44">
        <v>57.66</v>
      </c>
      <c r="K3337" s="44">
        <v>107.639999</v>
      </c>
    </row>
    <row r="3338" spans="6:11" x14ac:dyDescent="0.3">
      <c r="F3338" s="43">
        <v>42726</v>
      </c>
      <c r="G3338" s="44">
        <v>2260.959961</v>
      </c>
      <c r="H3338" s="44">
        <v>1669.5200199999999</v>
      </c>
      <c r="I3338" s="44">
        <v>1362.660034</v>
      </c>
      <c r="J3338" s="44">
        <v>57.529998999999997</v>
      </c>
      <c r="K3338" s="44">
        <v>107.389999</v>
      </c>
    </row>
    <row r="3339" spans="6:11" x14ac:dyDescent="0.3">
      <c r="F3339" s="43">
        <v>42727</v>
      </c>
      <c r="G3339" s="44">
        <v>2263.790039</v>
      </c>
      <c r="H3339" s="44">
        <v>1673.5500489999999</v>
      </c>
      <c r="I3339" s="44">
        <v>1371.51001</v>
      </c>
      <c r="J3339" s="44">
        <v>57.68</v>
      </c>
      <c r="K3339" s="44">
        <v>107.41999800000001</v>
      </c>
    </row>
    <row r="3340" spans="6:11" x14ac:dyDescent="0.3">
      <c r="F3340" s="43">
        <v>42731</v>
      </c>
      <c r="G3340" s="44">
        <v>2268.8798830000001</v>
      </c>
      <c r="H3340" s="44">
        <v>1680.2299800000001</v>
      </c>
      <c r="I3340" s="44">
        <v>1377.709961</v>
      </c>
      <c r="J3340" s="44">
        <v>57.610000999999997</v>
      </c>
      <c r="K3340" s="44">
        <v>107.339996</v>
      </c>
    </row>
    <row r="3341" spans="6:11" x14ac:dyDescent="0.3">
      <c r="F3341" s="43">
        <v>42732</v>
      </c>
      <c r="G3341" s="44">
        <v>2249.919922</v>
      </c>
      <c r="H3341" s="44">
        <v>1662.51001</v>
      </c>
      <c r="I3341" s="44">
        <v>1360.829956</v>
      </c>
      <c r="J3341" s="44">
        <v>57.389999000000003</v>
      </c>
      <c r="K3341" s="44">
        <v>107.510002</v>
      </c>
    </row>
    <row r="3342" spans="6:11" x14ac:dyDescent="0.3">
      <c r="F3342" s="43">
        <v>42733</v>
      </c>
      <c r="G3342" s="44">
        <v>2249.26001</v>
      </c>
      <c r="H3342" s="44">
        <v>1667.1800539999999</v>
      </c>
      <c r="I3342" s="44">
        <v>1363.1800539999999</v>
      </c>
      <c r="J3342" s="44">
        <v>57.529998999999997</v>
      </c>
      <c r="K3342" s="44">
        <v>107.839996</v>
      </c>
    </row>
    <row r="3343" spans="6:11" x14ac:dyDescent="0.3">
      <c r="F3343" s="43">
        <v>42734</v>
      </c>
      <c r="G3343" s="44">
        <v>2238.830078</v>
      </c>
      <c r="H3343" s="44">
        <v>1660.579956</v>
      </c>
      <c r="I3343" s="44">
        <v>1357.130005</v>
      </c>
      <c r="J3343" s="44">
        <v>57.73</v>
      </c>
      <c r="K3343" s="44">
        <v>108.05999799999999</v>
      </c>
    </row>
    <row r="3344" spans="6:11" x14ac:dyDescent="0.3">
      <c r="F3344" s="43">
        <v>42738</v>
      </c>
      <c r="G3344" s="44">
        <v>2257.830078</v>
      </c>
      <c r="H3344" s="44">
        <v>1669.900024</v>
      </c>
      <c r="I3344" s="44">
        <v>1365.48999</v>
      </c>
      <c r="J3344" s="44">
        <v>58.09</v>
      </c>
      <c r="K3344" s="44">
        <v>108.16999800000001</v>
      </c>
    </row>
    <row r="3345" spans="6:11" x14ac:dyDescent="0.3">
      <c r="F3345" s="43">
        <v>42739</v>
      </c>
      <c r="G3345" s="44">
        <v>2270.75</v>
      </c>
      <c r="H3345" s="44">
        <v>1695.829956</v>
      </c>
      <c r="I3345" s="44">
        <v>1387.9499510000001</v>
      </c>
      <c r="J3345" s="44">
        <v>58.75</v>
      </c>
      <c r="K3345" s="44">
        <v>108.199997</v>
      </c>
    </row>
    <row r="3346" spans="6:11" x14ac:dyDescent="0.3">
      <c r="F3346" s="43">
        <v>42740</v>
      </c>
      <c r="G3346" s="44">
        <v>2269</v>
      </c>
      <c r="H3346" s="44">
        <v>1683.380005</v>
      </c>
      <c r="I3346" s="44">
        <v>1371.9399410000001</v>
      </c>
      <c r="J3346" s="44">
        <v>59.25</v>
      </c>
      <c r="K3346" s="44">
        <v>108.650002</v>
      </c>
    </row>
    <row r="3347" spans="6:11" x14ac:dyDescent="0.3">
      <c r="F3347" s="43">
        <v>42741</v>
      </c>
      <c r="G3347" s="44">
        <v>2276.9799800000001</v>
      </c>
      <c r="H3347" s="44">
        <v>1682.0699460000001</v>
      </c>
      <c r="I3347" s="44">
        <v>1367.280029</v>
      </c>
      <c r="J3347" s="44">
        <v>59.049999</v>
      </c>
      <c r="K3347" s="44">
        <v>108.290001</v>
      </c>
    </row>
    <row r="3348" spans="6:11" x14ac:dyDescent="0.3">
      <c r="F3348" s="43">
        <v>42744</v>
      </c>
      <c r="G3348" s="44">
        <v>2268.8999020000001</v>
      </c>
      <c r="H3348" s="44">
        <v>1670.23999</v>
      </c>
      <c r="I3348" s="44">
        <v>1357.48999</v>
      </c>
      <c r="J3348" s="44">
        <v>58.959999000000003</v>
      </c>
      <c r="K3348" s="44">
        <v>108.470001</v>
      </c>
    </row>
    <row r="3349" spans="6:11" x14ac:dyDescent="0.3">
      <c r="F3349" s="43">
        <v>42745</v>
      </c>
      <c r="G3349" s="44">
        <v>2268.8999020000001</v>
      </c>
      <c r="H3349" s="44">
        <v>1681.099976</v>
      </c>
      <c r="I3349" s="44">
        <v>1370.900024</v>
      </c>
      <c r="J3349" s="44">
        <v>58.970001000000003</v>
      </c>
      <c r="K3349" s="44">
        <v>108.44000200000001</v>
      </c>
    </row>
    <row r="3350" spans="6:11" x14ac:dyDescent="0.3">
      <c r="F3350" s="43">
        <v>42746</v>
      </c>
      <c r="G3350" s="44">
        <v>2275.320068</v>
      </c>
      <c r="H3350" s="44">
        <v>1686.910034</v>
      </c>
      <c r="I3350" s="44">
        <v>1373.3000489999999</v>
      </c>
      <c r="J3350" s="44">
        <v>59.279998999999997</v>
      </c>
      <c r="K3350" s="44">
        <v>108.57</v>
      </c>
    </row>
    <row r="3351" spans="6:11" x14ac:dyDescent="0.3">
      <c r="F3351" s="43">
        <v>42747</v>
      </c>
      <c r="G3351" s="44">
        <v>2270.4399410000001</v>
      </c>
      <c r="H3351" s="44">
        <v>1678.290039</v>
      </c>
      <c r="I3351" s="44">
        <v>1361.0699460000001</v>
      </c>
      <c r="J3351" s="44">
        <v>59.369999</v>
      </c>
      <c r="K3351" s="44">
        <v>108.610001</v>
      </c>
    </row>
    <row r="3352" spans="6:11" x14ac:dyDescent="0.3">
      <c r="F3352" s="43">
        <v>42748</v>
      </c>
      <c r="G3352" s="44">
        <v>2274.639893</v>
      </c>
      <c r="H3352" s="44">
        <v>1687.400024</v>
      </c>
      <c r="I3352" s="44">
        <v>1372.0500489999999</v>
      </c>
      <c r="J3352" s="44">
        <v>59.59</v>
      </c>
      <c r="K3352" s="44">
        <v>108.41999800000001</v>
      </c>
    </row>
    <row r="3353" spans="6:11" x14ac:dyDescent="0.3">
      <c r="F3353" s="43">
        <v>42752</v>
      </c>
      <c r="G3353" s="44">
        <v>2267.889893</v>
      </c>
      <c r="H3353" s="44">
        <v>1672.7299800000001</v>
      </c>
      <c r="I3353" s="44">
        <v>1352.3199460000001</v>
      </c>
      <c r="J3353" s="44">
        <v>59.369999</v>
      </c>
      <c r="K3353" s="44">
        <v>108.790001</v>
      </c>
    </row>
    <row r="3354" spans="6:11" x14ac:dyDescent="0.3">
      <c r="F3354" s="43">
        <v>42753</v>
      </c>
      <c r="G3354" s="44">
        <v>2271.889893</v>
      </c>
      <c r="H3354" s="44">
        <v>1679.969971</v>
      </c>
      <c r="I3354" s="44">
        <v>1358.5600589999999</v>
      </c>
      <c r="J3354" s="44">
        <v>59.200001</v>
      </c>
      <c r="K3354" s="44">
        <v>108.32</v>
      </c>
    </row>
    <row r="3355" spans="6:11" x14ac:dyDescent="0.3">
      <c r="F3355" s="43">
        <v>42754</v>
      </c>
      <c r="G3355" s="44">
        <v>2263.6899410000001</v>
      </c>
      <c r="H3355" s="44">
        <v>1667.4399410000001</v>
      </c>
      <c r="I3355" s="44">
        <v>1345.73999</v>
      </c>
      <c r="J3355" s="44">
        <v>59.049999</v>
      </c>
      <c r="K3355" s="44">
        <v>108.040001</v>
      </c>
    </row>
    <row r="3356" spans="6:11" x14ac:dyDescent="0.3">
      <c r="F3356" s="43">
        <v>42755</v>
      </c>
      <c r="G3356" s="44">
        <v>2271.3100589999999</v>
      </c>
      <c r="H3356" s="44">
        <v>1675.6800539999999</v>
      </c>
      <c r="I3356" s="44">
        <v>1351.849976</v>
      </c>
      <c r="J3356" s="44">
        <v>59.389999000000003</v>
      </c>
      <c r="K3356" s="44">
        <v>108.08000199999999</v>
      </c>
    </row>
    <row r="3357" spans="6:11" x14ac:dyDescent="0.3">
      <c r="F3357" s="43">
        <v>42758</v>
      </c>
      <c r="G3357" s="44">
        <v>2265.1999510000001</v>
      </c>
      <c r="H3357" s="44">
        <v>1671.839966</v>
      </c>
      <c r="I3357" s="44">
        <v>1347.839966</v>
      </c>
      <c r="J3357" s="44">
        <v>59.540000999999997</v>
      </c>
      <c r="K3357" s="44">
        <v>108.379997</v>
      </c>
    </row>
    <row r="3358" spans="6:11" x14ac:dyDescent="0.3">
      <c r="F3358" s="43">
        <v>42759</v>
      </c>
      <c r="G3358" s="44">
        <v>2280.070068</v>
      </c>
      <c r="H3358" s="44">
        <v>1697.1800539999999</v>
      </c>
      <c r="I3358" s="44">
        <v>1369.209961</v>
      </c>
      <c r="J3358" s="44">
        <v>59.689999</v>
      </c>
      <c r="K3358" s="44">
        <v>108.209999</v>
      </c>
    </row>
    <row r="3359" spans="6:11" x14ac:dyDescent="0.3">
      <c r="F3359" s="43">
        <v>42760</v>
      </c>
      <c r="G3359" s="44">
        <v>2298.3701169999999</v>
      </c>
      <c r="H3359" s="44">
        <v>1710.290039</v>
      </c>
      <c r="I3359" s="44">
        <v>1382.4399410000001</v>
      </c>
      <c r="J3359" s="44">
        <v>60.310001</v>
      </c>
      <c r="K3359" s="44">
        <v>107.91999800000001</v>
      </c>
    </row>
    <row r="3360" spans="6:11" x14ac:dyDescent="0.3">
      <c r="F3360" s="43">
        <v>42761</v>
      </c>
      <c r="G3360" s="44">
        <v>2296.679932</v>
      </c>
      <c r="H3360" s="44">
        <v>1704.9799800000001</v>
      </c>
      <c r="I3360" s="44">
        <v>1375.599976</v>
      </c>
      <c r="J3360" s="44">
        <v>60.07</v>
      </c>
      <c r="K3360" s="44">
        <v>107.989998</v>
      </c>
    </row>
    <row r="3361" spans="6:11" x14ac:dyDescent="0.3">
      <c r="F3361" s="43">
        <v>42762</v>
      </c>
      <c r="G3361" s="44">
        <v>2294.6899410000001</v>
      </c>
      <c r="H3361" s="44">
        <v>1696.670044</v>
      </c>
      <c r="I3361" s="44">
        <v>1370.6999510000001</v>
      </c>
      <c r="J3361" s="44">
        <v>59.970001000000003</v>
      </c>
      <c r="K3361" s="44">
        <v>108.08000199999999</v>
      </c>
    </row>
    <row r="3362" spans="6:11" x14ac:dyDescent="0.3">
      <c r="F3362" s="43">
        <v>42765</v>
      </c>
      <c r="G3362" s="44">
        <v>2280.8999020000001</v>
      </c>
      <c r="H3362" s="44">
        <v>1682.5500489999999</v>
      </c>
      <c r="I3362" s="44">
        <v>1352.329956</v>
      </c>
      <c r="J3362" s="44">
        <v>59.540000999999997</v>
      </c>
      <c r="K3362" s="44">
        <v>108.029999</v>
      </c>
    </row>
    <row r="3363" spans="6:11" x14ac:dyDescent="0.3">
      <c r="F3363" s="43">
        <v>42766</v>
      </c>
      <c r="G3363" s="44">
        <v>2278.8701169999999</v>
      </c>
      <c r="H3363" s="44">
        <v>1687.1899410000001</v>
      </c>
      <c r="I3363" s="44">
        <v>1361.8199460000001</v>
      </c>
      <c r="J3363" s="44">
        <v>59.630001</v>
      </c>
      <c r="K3363" s="44">
        <v>108.290001</v>
      </c>
    </row>
    <row r="3364" spans="6:11" x14ac:dyDescent="0.3">
      <c r="F3364" s="43">
        <v>42767</v>
      </c>
      <c r="G3364" s="44">
        <v>2279.5500489999999</v>
      </c>
      <c r="H3364" s="44">
        <v>1683.5</v>
      </c>
      <c r="I3364" s="44">
        <v>1361.2299800000001</v>
      </c>
      <c r="J3364" s="44">
        <v>59.869999</v>
      </c>
      <c r="K3364" s="44">
        <v>107.91999800000001</v>
      </c>
    </row>
    <row r="3365" spans="6:11" x14ac:dyDescent="0.3">
      <c r="F3365" s="43">
        <v>42768</v>
      </c>
      <c r="G3365" s="44">
        <v>2280.8500979999999</v>
      </c>
      <c r="H3365" s="44">
        <v>1684.839966</v>
      </c>
      <c r="I3365" s="44">
        <v>1357.4300539999999</v>
      </c>
      <c r="J3365" s="44">
        <v>59.900002000000001</v>
      </c>
      <c r="K3365" s="44">
        <v>107.980003</v>
      </c>
    </row>
    <row r="3366" spans="6:11" x14ac:dyDescent="0.3">
      <c r="F3366" s="43">
        <v>42769</v>
      </c>
      <c r="G3366" s="44">
        <v>2297.419922</v>
      </c>
      <c r="H3366" s="44">
        <v>1706.6400149999999</v>
      </c>
      <c r="I3366" s="44">
        <v>1377.839966</v>
      </c>
      <c r="J3366" s="44">
        <v>60.139999000000003</v>
      </c>
      <c r="K3366" s="44">
        <v>108.010002</v>
      </c>
    </row>
    <row r="3367" spans="6:11" x14ac:dyDescent="0.3">
      <c r="F3367" s="43">
        <v>42772</v>
      </c>
      <c r="G3367" s="44">
        <v>2292.5600589999999</v>
      </c>
      <c r="H3367" s="44">
        <v>1699.0200199999999</v>
      </c>
      <c r="I3367" s="44">
        <v>1366.660034</v>
      </c>
      <c r="J3367" s="44">
        <v>59.709999000000003</v>
      </c>
      <c r="K3367" s="44">
        <v>108.32</v>
      </c>
    </row>
    <row r="3368" spans="6:11" x14ac:dyDescent="0.3">
      <c r="F3368" s="43">
        <v>42773</v>
      </c>
      <c r="G3368" s="44">
        <v>2293.080078</v>
      </c>
      <c r="H3368" s="44">
        <v>1694.219971</v>
      </c>
      <c r="I3368" s="44">
        <v>1361.0600589999999</v>
      </c>
      <c r="J3368" s="44">
        <v>59.650002000000001</v>
      </c>
      <c r="K3368" s="44">
        <v>108.43</v>
      </c>
    </row>
    <row r="3369" spans="6:11" x14ac:dyDescent="0.3">
      <c r="F3369" s="43">
        <v>42774</v>
      </c>
      <c r="G3369" s="44">
        <v>2294.669922</v>
      </c>
      <c r="H3369" s="44">
        <v>1695.25</v>
      </c>
      <c r="I3369" s="44">
        <v>1358.73999</v>
      </c>
      <c r="J3369" s="44">
        <v>59.75</v>
      </c>
      <c r="K3369" s="44">
        <v>108.739998</v>
      </c>
    </row>
    <row r="3370" spans="6:11" x14ac:dyDescent="0.3">
      <c r="F3370" s="43">
        <v>42775</v>
      </c>
      <c r="G3370" s="44">
        <v>2307.8701169999999</v>
      </c>
      <c r="H3370" s="44">
        <v>1711.420044</v>
      </c>
      <c r="I3370" s="44">
        <v>1378.530029</v>
      </c>
      <c r="J3370" s="44">
        <v>60</v>
      </c>
      <c r="K3370" s="44">
        <v>108.480003</v>
      </c>
    </row>
    <row r="3371" spans="6:11" x14ac:dyDescent="0.3">
      <c r="F3371" s="43">
        <v>42776</v>
      </c>
      <c r="G3371" s="44">
        <v>2316.1000979999999</v>
      </c>
      <c r="H3371" s="44">
        <v>1720.839966</v>
      </c>
      <c r="I3371" s="44">
        <v>1388.839966</v>
      </c>
      <c r="J3371" s="44">
        <v>60.139999000000003</v>
      </c>
      <c r="K3371" s="44">
        <v>108.459999</v>
      </c>
    </row>
    <row r="3372" spans="6:11" x14ac:dyDescent="0.3">
      <c r="F3372" s="43">
        <v>42779</v>
      </c>
      <c r="G3372" s="44">
        <v>2328.25</v>
      </c>
      <c r="H3372" s="44">
        <v>1725.670044</v>
      </c>
      <c r="I3372" s="44">
        <v>1392.380005</v>
      </c>
      <c r="J3372" s="44">
        <v>60.380001</v>
      </c>
      <c r="K3372" s="44">
        <v>108.300003</v>
      </c>
    </row>
    <row r="3373" spans="6:11" x14ac:dyDescent="0.3">
      <c r="F3373" s="43">
        <v>42780</v>
      </c>
      <c r="G3373" s="44">
        <v>2337.580078</v>
      </c>
      <c r="H3373" s="44">
        <v>1729.5600589999999</v>
      </c>
      <c r="I3373" s="44">
        <v>1396.650024</v>
      </c>
      <c r="J3373" s="44">
        <v>60.290000999999997</v>
      </c>
      <c r="K3373" s="44">
        <v>108.05999799999999</v>
      </c>
    </row>
    <row r="3374" spans="6:11" x14ac:dyDescent="0.3">
      <c r="F3374" s="43">
        <v>42781</v>
      </c>
      <c r="G3374" s="44">
        <v>2349.25</v>
      </c>
      <c r="H3374" s="44">
        <v>1734.51001</v>
      </c>
      <c r="I3374" s="44">
        <v>1404.209961</v>
      </c>
      <c r="J3374" s="44">
        <v>60.52</v>
      </c>
      <c r="K3374" s="44">
        <v>107.889999</v>
      </c>
    </row>
    <row r="3375" spans="6:11" x14ac:dyDescent="0.3">
      <c r="F3375" s="43">
        <v>42782</v>
      </c>
      <c r="G3375" s="44">
        <v>2347.219971</v>
      </c>
      <c r="H3375" s="44">
        <v>1733.150024</v>
      </c>
      <c r="I3375" s="44">
        <v>1399.130005</v>
      </c>
      <c r="J3375" s="44">
        <v>60.66</v>
      </c>
      <c r="K3375" s="44">
        <v>108.120003</v>
      </c>
    </row>
    <row r="3376" spans="6:11" x14ac:dyDescent="0.3">
      <c r="F3376" s="43">
        <v>42783</v>
      </c>
      <c r="G3376" s="44">
        <v>2351.1599120000001</v>
      </c>
      <c r="H3376" s="44">
        <v>1734.76001</v>
      </c>
      <c r="I3376" s="44">
        <v>1399.8599850000001</v>
      </c>
      <c r="J3376" s="44">
        <v>60.5</v>
      </c>
      <c r="K3376" s="44">
        <v>108.360001</v>
      </c>
    </row>
    <row r="3377" spans="6:11" x14ac:dyDescent="0.3">
      <c r="F3377" s="43">
        <v>42787</v>
      </c>
      <c r="G3377" s="44">
        <v>2365.3798830000001</v>
      </c>
      <c r="H3377" s="44">
        <v>1749.1999510000001</v>
      </c>
      <c r="I3377" s="44">
        <v>1410.339966</v>
      </c>
      <c r="J3377" s="44">
        <v>60.700001</v>
      </c>
      <c r="K3377" s="44">
        <v>108.349998</v>
      </c>
    </row>
    <row r="3378" spans="6:11" x14ac:dyDescent="0.3">
      <c r="F3378" s="43">
        <v>42788</v>
      </c>
      <c r="G3378" s="44">
        <v>2362.820068</v>
      </c>
      <c r="H3378" s="44">
        <v>1742.650024</v>
      </c>
      <c r="I3378" s="44">
        <v>1403.8599850000001</v>
      </c>
      <c r="J3378" s="44">
        <v>60.700001</v>
      </c>
      <c r="K3378" s="44">
        <v>108.41999800000001</v>
      </c>
    </row>
    <row r="3379" spans="6:11" x14ac:dyDescent="0.3">
      <c r="F3379" s="43">
        <v>42789</v>
      </c>
      <c r="G3379" s="44">
        <v>2363.8100589999999</v>
      </c>
      <c r="H3379" s="44">
        <v>1734.420044</v>
      </c>
      <c r="I3379" s="44">
        <v>1394.619995</v>
      </c>
      <c r="J3379" s="44">
        <v>60.830002</v>
      </c>
      <c r="K3379" s="44">
        <v>108.599998</v>
      </c>
    </row>
    <row r="3380" spans="6:11" x14ac:dyDescent="0.3">
      <c r="F3380" s="43">
        <v>42790</v>
      </c>
      <c r="G3380" s="44">
        <v>2367.3400879999999</v>
      </c>
      <c r="H3380" s="44">
        <v>1736.6800539999999</v>
      </c>
      <c r="I3380" s="44">
        <v>1394.5200199999999</v>
      </c>
      <c r="J3380" s="44">
        <v>60.389999000000003</v>
      </c>
      <c r="K3380" s="44">
        <v>109</v>
      </c>
    </row>
    <row r="3381" spans="6:11" x14ac:dyDescent="0.3">
      <c r="F3381" s="43">
        <v>42793</v>
      </c>
      <c r="G3381" s="44">
        <v>2369.75</v>
      </c>
      <c r="H3381" s="44">
        <v>1748.209961</v>
      </c>
      <c r="I3381" s="44">
        <v>1407.969971</v>
      </c>
      <c r="J3381" s="44">
        <v>60.43</v>
      </c>
      <c r="K3381" s="44">
        <v>108.800003</v>
      </c>
    </row>
    <row r="3382" spans="6:11" x14ac:dyDescent="0.3">
      <c r="F3382" s="43">
        <v>42794</v>
      </c>
      <c r="G3382" s="44">
        <v>2363.639893</v>
      </c>
      <c r="H3382" s="44">
        <v>1729.339966</v>
      </c>
      <c r="I3382" s="44">
        <v>1386.6800539999999</v>
      </c>
      <c r="J3382" s="44">
        <v>60.34</v>
      </c>
      <c r="K3382" s="44">
        <v>108.769997</v>
      </c>
    </row>
    <row r="3383" spans="6:11" x14ac:dyDescent="0.3">
      <c r="F3383" s="43">
        <v>42795</v>
      </c>
      <c r="G3383" s="44">
        <v>2395.959961</v>
      </c>
      <c r="H3383" s="44">
        <v>1758.2700199999999</v>
      </c>
      <c r="I3383" s="44">
        <v>1413.6400149999999</v>
      </c>
      <c r="J3383" s="44">
        <v>60.970001000000003</v>
      </c>
      <c r="K3383" s="44">
        <v>108.040001</v>
      </c>
    </row>
    <row r="3384" spans="6:11" x14ac:dyDescent="0.3">
      <c r="F3384" s="43">
        <v>42796</v>
      </c>
      <c r="G3384" s="44">
        <v>2381.919922</v>
      </c>
      <c r="H3384" s="44">
        <v>1738.4300539999999</v>
      </c>
      <c r="I3384" s="44">
        <v>1395.670044</v>
      </c>
      <c r="J3384" s="44">
        <v>60.57</v>
      </c>
      <c r="K3384" s="44">
        <v>107.839996</v>
      </c>
    </row>
    <row r="3385" spans="6:11" x14ac:dyDescent="0.3">
      <c r="F3385" s="43">
        <v>42797</v>
      </c>
      <c r="G3385" s="44">
        <v>2383.1201169999999</v>
      </c>
      <c r="H3385" s="44">
        <v>1739.5</v>
      </c>
      <c r="I3385" s="44">
        <v>1394.130005</v>
      </c>
      <c r="J3385" s="44">
        <v>60.93</v>
      </c>
      <c r="K3385" s="44">
        <v>107.91999800000001</v>
      </c>
    </row>
    <row r="3386" spans="6:11" x14ac:dyDescent="0.3">
      <c r="F3386" s="43">
        <v>42800</v>
      </c>
      <c r="G3386" s="44">
        <v>2375.3100589999999</v>
      </c>
      <c r="H3386" s="44">
        <v>1728.410034</v>
      </c>
      <c r="I3386" s="44">
        <v>1384.25</v>
      </c>
      <c r="J3386" s="44">
        <v>60.740001999999997</v>
      </c>
      <c r="K3386" s="44">
        <v>107.870003</v>
      </c>
    </row>
    <row r="3387" spans="6:11" x14ac:dyDescent="0.3">
      <c r="F3387" s="43">
        <v>42801</v>
      </c>
      <c r="G3387" s="44">
        <v>2368.389893</v>
      </c>
      <c r="H3387" s="44">
        <v>1718.530029</v>
      </c>
      <c r="I3387" s="44">
        <v>1374.880005</v>
      </c>
      <c r="J3387" s="44">
        <v>60.529998999999997</v>
      </c>
      <c r="K3387" s="44">
        <v>107.730003</v>
      </c>
    </row>
    <row r="3388" spans="6:11" x14ac:dyDescent="0.3">
      <c r="F3388" s="43">
        <v>42802</v>
      </c>
      <c r="G3388" s="44">
        <v>2362.9799800000001</v>
      </c>
      <c r="H3388" s="44">
        <v>1710.23999</v>
      </c>
      <c r="I3388" s="44">
        <v>1366.040039</v>
      </c>
      <c r="J3388" s="44">
        <v>60.310001</v>
      </c>
      <c r="K3388" s="44">
        <v>107.470001</v>
      </c>
    </row>
    <row r="3389" spans="6:11" x14ac:dyDescent="0.3">
      <c r="F3389" s="43">
        <v>42803</v>
      </c>
      <c r="G3389" s="44">
        <v>2364.8701169999999</v>
      </c>
      <c r="H3389" s="44">
        <v>1703.7299800000001</v>
      </c>
      <c r="I3389" s="44">
        <v>1360.119995</v>
      </c>
      <c r="J3389" s="44">
        <v>60.540000999999997</v>
      </c>
      <c r="K3389" s="44">
        <v>107.139999</v>
      </c>
    </row>
    <row r="3390" spans="6:11" x14ac:dyDescent="0.3">
      <c r="F3390" s="43">
        <v>42804</v>
      </c>
      <c r="G3390" s="44">
        <v>2372.6000979999999</v>
      </c>
      <c r="H3390" s="44">
        <v>1710.900024</v>
      </c>
      <c r="I3390" s="44">
        <v>1365.26001</v>
      </c>
      <c r="J3390" s="44">
        <v>61.049999</v>
      </c>
      <c r="K3390" s="44">
        <v>107.300003</v>
      </c>
    </row>
    <row r="3391" spans="6:11" x14ac:dyDescent="0.3">
      <c r="F3391" s="43">
        <v>42807</v>
      </c>
      <c r="G3391" s="44">
        <v>2373.469971</v>
      </c>
      <c r="H3391" s="44">
        <v>1713.8000489999999</v>
      </c>
      <c r="I3391" s="44">
        <v>1370.280029</v>
      </c>
      <c r="J3391" s="44">
        <v>61.369999</v>
      </c>
      <c r="K3391" s="44">
        <v>107.120003</v>
      </c>
    </row>
    <row r="3392" spans="6:11" x14ac:dyDescent="0.3">
      <c r="F3392" s="43">
        <v>42808</v>
      </c>
      <c r="G3392" s="44">
        <v>2365.4499510000001</v>
      </c>
      <c r="H3392" s="44">
        <v>1707.119995</v>
      </c>
      <c r="I3392" s="44">
        <v>1362.380005</v>
      </c>
      <c r="J3392" s="44">
        <v>60.900002000000001</v>
      </c>
      <c r="K3392" s="44">
        <v>107.160004</v>
      </c>
    </row>
    <row r="3393" spans="6:11" x14ac:dyDescent="0.3">
      <c r="F3393" s="43">
        <v>42809</v>
      </c>
      <c r="G3393" s="44">
        <v>2385.26001</v>
      </c>
      <c r="H3393" s="44">
        <v>1729.280029</v>
      </c>
      <c r="I3393" s="44">
        <v>1382.829956</v>
      </c>
      <c r="J3393" s="44">
        <v>61.77</v>
      </c>
      <c r="K3393" s="44">
        <v>107.779999</v>
      </c>
    </row>
    <row r="3394" spans="6:11" x14ac:dyDescent="0.3">
      <c r="F3394" s="43">
        <v>42810</v>
      </c>
      <c r="G3394" s="44">
        <v>2381.3798830000001</v>
      </c>
      <c r="H3394" s="44">
        <v>1728.219971</v>
      </c>
      <c r="I3394" s="44">
        <v>1386.030029</v>
      </c>
      <c r="J3394" s="44">
        <v>62.07</v>
      </c>
      <c r="K3394" s="44">
        <v>107.660004</v>
      </c>
    </row>
    <row r="3395" spans="6:11" x14ac:dyDescent="0.3">
      <c r="F3395" s="43">
        <v>42811</v>
      </c>
      <c r="G3395" s="44">
        <v>2378.25</v>
      </c>
      <c r="H3395" s="44">
        <v>1731.1400149999999</v>
      </c>
      <c r="I3395" s="44">
        <v>1391.5200199999999</v>
      </c>
      <c r="J3395" s="44">
        <v>62.23</v>
      </c>
      <c r="K3395" s="44">
        <v>107.889999</v>
      </c>
    </row>
    <row r="3396" spans="6:11" x14ac:dyDescent="0.3">
      <c r="F3396" s="43">
        <v>42814</v>
      </c>
      <c r="G3396" s="44">
        <v>2373.469971</v>
      </c>
      <c r="H3396" s="44">
        <v>1722.130005</v>
      </c>
      <c r="I3396" s="44">
        <v>1384.099976</v>
      </c>
      <c r="J3396" s="44">
        <v>62.099997999999999</v>
      </c>
      <c r="K3396" s="44">
        <v>108.050003</v>
      </c>
    </row>
    <row r="3397" spans="6:11" x14ac:dyDescent="0.3">
      <c r="F3397" s="43">
        <v>42815</v>
      </c>
      <c r="G3397" s="44">
        <v>2344.0200199999999</v>
      </c>
      <c r="H3397" s="44">
        <v>1688.9499510000001</v>
      </c>
      <c r="I3397" s="44">
        <v>1346.5500489999999</v>
      </c>
      <c r="J3397" s="44">
        <v>61.82</v>
      </c>
      <c r="K3397" s="44">
        <v>108.269997</v>
      </c>
    </row>
    <row r="3398" spans="6:11" x14ac:dyDescent="0.3">
      <c r="F3398" s="43">
        <v>42816</v>
      </c>
      <c r="G3398" s="44">
        <v>2348.4499510000001</v>
      </c>
      <c r="H3398" s="44">
        <v>1691.839966</v>
      </c>
      <c r="I3398" s="44">
        <v>1345.599976</v>
      </c>
      <c r="J3398" s="44">
        <v>61.830002</v>
      </c>
      <c r="K3398" s="44">
        <v>108.41999800000001</v>
      </c>
    </row>
    <row r="3399" spans="6:11" x14ac:dyDescent="0.3">
      <c r="F3399" s="43">
        <v>42817</v>
      </c>
      <c r="G3399" s="44">
        <v>2345.959961</v>
      </c>
      <c r="H3399" s="44">
        <v>1696.420044</v>
      </c>
      <c r="I3399" s="44">
        <v>1353.4300539999999</v>
      </c>
      <c r="J3399" s="44">
        <v>61.970001000000003</v>
      </c>
      <c r="K3399" s="44">
        <v>108.449997</v>
      </c>
    </row>
    <row r="3400" spans="6:11" x14ac:dyDescent="0.3">
      <c r="F3400" s="43">
        <v>42818</v>
      </c>
      <c r="G3400" s="44">
        <v>2343.9799800000001</v>
      </c>
      <c r="H3400" s="44">
        <v>1694.410034</v>
      </c>
      <c r="I3400" s="44">
        <v>1354.6400149999999</v>
      </c>
      <c r="J3400" s="44">
        <v>62.139999000000003</v>
      </c>
      <c r="K3400" s="44">
        <v>108.360001</v>
      </c>
    </row>
    <row r="3401" spans="6:11" x14ac:dyDescent="0.3">
      <c r="F3401" s="43">
        <v>42821</v>
      </c>
      <c r="G3401" s="44">
        <v>2341.5900879999999</v>
      </c>
      <c r="H3401" s="44">
        <v>1691.8100589999999</v>
      </c>
      <c r="I3401" s="44">
        <v>1357.3199460000001</v>
      </c>
      <c r="J3401" s="44">
        <v>62.299999</v>
      </c>
      <c r="K3401" s="44">
        <v>108.620003</v>
      </c>
    </row>
    <row r="3402" spans="6:11" x14ac:dyDescent="0.3">
      <c r="F3402" s="43">
        <v>42822</v>
      </c>
      <c r="G3402" s="44">
        <v>2358.570068</v>
      </c>
      <c r="H3402" s="44">
        <v>1705.089966</v>
      </c>
      <c r="I3402" s="44">
        <v>1367.26001</v>
      </c>
      <c r="J3402" s="44">
        <v>62.599997999999999</v>
      </c>
      <c r="K3402" s="44">
        <v>108.370003</v>
      </c>
    </row>
    <row r="3403" spans="6:11" x14ac:dyDescent="0.3">
      <c r="F3403" s="43">
        <v>42823</v>
      </c>
      <c r="G3403" s="44">
        <v>2361.1298830000001</v>
      </c>
      <c r="H3403" s="44">
        <v>1709.579956</v>
      </c>
      <c r="I3403" s="44">
        <v>1371.6400149999999</v>
      </c>
      <c r="J3403" s="44">
        <v>62.599997999999999</v>
      </c>
      <c r="K3403" s="44">
        <v>108.610001</v>
      </c>
    </row>
    <row r="3404" spans="6:11" x14ac:dyDescent="0.3">
      <c r="F3404" s="43">
        <v>42824</v>
      </c>
      <c r="G3404" s="44">
        <v>2368.0600589999999</v>
      </c>
      <c r="H3404" s="44">
        <v>1718.579956</v>
      </c>
      <c r="I3404" s="44">
        <v>1382.349976</v>
      </c>
      <c r="J3404" s="44">
        <v>62.380001</v>
      </c>
      <c r="K3404" s="44">
        <v>108.410004</v>
      </c>
    </row>
    <row r="3405" spans="6:11" x14ac:dyDescent="0.3">
      <c r="F3405" s="43">
        <v>42825</v>
      </c>
      <c r="G3405" s="44">
        <v>2362.719971</v>
      </c>
      <c r="H3405" s="44">
        <v>1719.650024</v>
      </c>
      <c r="I3405" s="44">
        <v>1385.920044</v>
      </c>
      <c r="J3405" s="44">
        <v>62.290000999999997</v>
      </c>
      <c r="K3405" s="44">
        <v>108.489998</v>
      </c>
    </row>
    <row r="3406" spans="6:11" x14ac:dyDescent="0.3">
      <c r="F3406" s="43">
        <v>42828</v>
      </c>
      <c r="G3406" s="44">
        <v>2358.8400879999999</v>
      </c>
      <c r="H3406" s="44">
        <v>1709.5500489999999</v>
      </c>
      <c r="I3406" s="44">
        <v>1369.670044</v>
      </c>
      <c r="J3406" s="44">
        <v>62.200001</v>
      </c>
      <c r="K3406" s="44">
        <v>108.66999800000001</v>
      </c>
    </row>
    <row r="3407" spans="6:11" x14ac:dyDescent="0.3">
      <c r="F3407" s="43">
        <v>42829</v>
      </c>
      <c r="G3407" s="44">
        <v>2360.1599120000001</v>
      </c>
      <c r="H3407" s="44">
        <v>1707.9300539999999</v>
      </c>
      <c r="I3407" s="44">
        <v>1368.1800539999999</v>
      </c>
      <c r="J3407" s="44">
        <v>62.18</v>
      </c>
      <c r="K3407" s="44">
        <v>108.57</v>
      </c>
    </row>
    <row r="3408" spans="6:11" x14ac:dyDescent="0.3">
      <c r="F3408" s="43">
        <v>42830</v>
      </c>
      <c r="G3408" s="44">
        <v>2352.9499510000001</v>
      </c>
      <c r="H3408" s="44">
        <v>1694.790039</v>
      </c>
      <c r="I3408" s="44">
        <v>1352.1400149999999</v>
      </c>
      <c r="J3408" s="44">
        <v>61.849997999999999</v>
      </c>
      <c r="K3408" s="44">
        <v>108.69000200000001</v>
      </c>
    </row>
    <row r="3409" spans="6:11" x14ac:dyDescent="0.3">
      <c r="F3409" s="43">
        <v>42831</v>
      </c>
      <c r="G3409" s="44">
        <v>2357.48999</v>
      </c>
      <c r="H3409" s="44">
        <v>1708.0500489999999</v>
      </c>
      <c r="I3409" s="44">
        <v>1364.4300539999999</v>
      </c>
      <c r="J3409" s="44">
        <v>61.860000999999997</v>
      </c>
      <c r="K3409" s="44">
        <v>108.68</v>
      </c>
    </row>
    <row r="3410" spans="6:11" x14ac:dyDescent="0.3">
      <c r="F3410" s="43">
        <v>42832</v>
      </c>
      <c r="G3410" s="44">
        <v>2355.540039</v>
      </c>
      <c r="H3410" s="44">
        <v>1706.380005</v>
      </c>
      <c r="I3410" s="44">
        <v>1364.5600589999999</v>
      </c>
      <c r="J3410" s="44">
        <v>61.82</v>
      </c>
      <c r="K3410" s="44">
        <v>108.44000200000001</v>
      </c>
    </row>
    <row r="3411" spans="6:11" x14ac:dyDescent="0.3">
      <c r="F3411" s="43">
        <v>42835</v>
      </c>
      <c r="G3411" s="44">
        <v>2357.1599120000001</v>
      </c>
      <c r="H3411" s="44">
        <v>1710.369995</v>
      </c>
      <c r="I3411" s="44">
        <v>1367.089966</v>
      </c>
      <c r="J3411" s="44">
        <v>61.75</v>
      </c>
      <c r="K3411" s="44">
        <v>108.58000199999999</v>
      </c>
    </row>
    <row r="3412" spans="6:11" x14ac:dyDescent="0.3">
      <c r="F3412" s="43">
        <v>42836</v>
      </c>
      <c r="G3412" s="44">
        <v>2353.780029</v>
      </c>
      <c r="H3412" s="44">
        <v>1719.849976</v>
      </c>
      <c r="I3412" s="44">
        <v>1376.9499510000001</v>
      </c>
      <c r="J3412" s="44">
        <v>62.040000999999997</v>
      </c>
      <c r="K3412" s="44">
        <v>108.889999</v>
      </c>
    </row>
    <row r="3413" spans="6:11" x14ac:dyDescent="0.3">
      <c r="F3413" s="43">
        <v>42837</v>
      </c>
      <c r="G3413" s="44">
        <v>2344.929932</v>
      </c>
      <c r="H3413" s="44">
        <v>1699.900024</v>
      </c>
      <c r="I3413" s="44">
        <v>1359.1999510000001</v>
      </c>
      <c r="J3413" s="44">
        <v>61.990001999999997</v>
      </c>
      <c r="K3413" s="44">
        <v>109.129997</v>
      </c>
    </row>
    <row r="3414" spans="6:11" x14ac:dyDescent="0.3">
      <c r="F3414" s="43">
        <v>42838</v>
      </c>
      <c r="G3414" s="44">
        <v>2328.9499510000001</v>
      </c>
      <c r="H3414" s="44">
        <v>1681.040039</v>
      </c>
      <c r="I3414" s="44">
        <v>1345.23999</v>
      </c>
      <c r="J3414" s="44">
        <v>61.59</v>
      </c>
      <c r="K3414" s="44">
        <v>109.269997</v>
      </c>
    </row>
    <row r="3415" spans="6:11" x14ac:dyDescent="0.3">
      <c r="F3415" s="43">
        <v>42842</v>
      </c>
      <c r="G3415" s="44">
        <v>2349.01001</v>
      </c>
      <c r="H3415" s="44">
        <v>1700.660034</v>
      </c>
      <c r="I3415" s="44">
        <v>1361.1800539999999</v>
      </c>
      <c r="J3415" s="44">
        <v>61.970001000000003</v>
      </c>
      <c r="K3415" s="44">
        <v>109.209999</v>
      </c>
    </row>
    <row r="3416" spans="6:11" x14ac:dyDescent="0.3">
      <c r="F3416" s="43">
        <v>42843</v>
      </c>
      <c r="G3416" s="44">
        <v>2342.1899410000001</v>
      </c>
      <c r="H3416" s="44">
        <v>1700.829956</v>
      </c>
      <c r="I3416" s="44">
        <v>1361.8900149999999</v>
      </c>
      <c r="J3416" s="44">
        <v>61.689999</v>
      </c>
      <c r="K3416" s="44">
        <v>109.650002</v>
      </c>
    </row>
    <row r="3417" spans="6:11" x14ac:dyDescent="0.3">
      <c r="F3417" s="43">
        <v>42844</v>
      </c>
      <c r="G3417" s="44">
        <v>2338.169922</v>
      </c>
      <c r="H3417" s="44">
        <v>1704.75</v>
      </c>
      <c r="I3417" s="44">
        <v>1367.130005</v>
      </c>
      <c r="J3417" s="44">
        <v>61.439999</v>
      </c>
      <c r="K3417" s="44">
        <v>109.480003</v>
      </c>
    </row>
    <row r="3418" spans="6:11" x14ac:dyDescent="0.3">
      <c r="F3418" s="43">
        <v>42845</v>
      </c>
      <c r="G3418" s="44">
        <v>2355.8400879999999</v>
      </c>
      <c r="H3418" s="44">
        <v>1720.969971</v>
      </c>
      <c r="I3418" s="44">
        <v>1384.150024</v>
      </c>
      <c r="J3418" s="44">
        <v>61.93</v>
      </c>
      <c r="K3418" s="44">
        <v>109.30999799999999</v>
      </c>
    </row>
    <row r="3419" spans="6:11" x14ac:dyDescent="0.3">
      <c r="F3419" s="43">
        <v>42846</v>
      </c>
      <c r="G3419" s="44">
        <v>2348.6899410000001</v>
      </c>
      <c r="H3419" s="44">
        <v>1717.660034</v>
      </c>
      <c r="I3419" s="44">
        <v>1379.849976</v>
      </c>
      <c r="J3419" s="44">
        <v>61.970001000000003</v>
      </c>
      <c r="K3419" s="44">
        <v>109.339996</v>
      </c>
    </row>
    <row r="3420" spans="6:11" x14ac:dyDescent="0.3">
      <c r="F3420" s="43">
        <v>42849</v>
      </c>
      <c r="G3420" s="44">
        <v>2374.1499020000001</v>
      </c>
      <c r="H3420" s="44">
        <v>1737.349976</v>
      </c>
      <c r="I3420" s="44">
        <v>1397.9399410000001</v>
      </c>
      <c r="J3420" s="44">
        <v>63.540000999999997</v>
      </c>
      <c r="K3420" s="44">
        <v>109.18</v>
      </c>
    </row>
    <row r="3421" spans="6:11" x14ac:dyDescent="0.3">
      <c r="F3421" s="43">
        <v>42850</v>
      </c>
      <c r="G3421" s="44">
        <v>2388.610107</v>
      </c>
      <c r="H3421" s="44">
        <v>1747.839966</v>
      </c>
      <c r="I3421" s="44">
        <v>1411.079956</v>
      </c>
      <c r="J3421" s="44">
        <v>63.990001999999997</v>
      </c>
      <c r="K3421" s="44">
        <v>108.82</v>
      </c>
    </row>
    <row r="3422" spans="6:11" x14ac:dyDescent="0.3">
      <c r="F3422" s="43">
        <v>42851</v>
      </c>
      <c r="G3422" s="44">
        <v>2387.4499510000001</v>
      </c>
      <c r="H3422" s="44">
        <v>1748.3599850000001</v>
      </c>
      <c r="I3422" s="44">
        <v>1419.4300539999999</v>
      </c>
      <c r="J3422" s="44">
        <v>63.810001</v>
      </c>
      <c r="K3422" s="44">
        <v>108.959999</v>
      </c>
    </row>
    <row r="3423" spans="6:11" x14ac:dyDescent="0.3">
      <c r="F3423" s="43">
        <v>42852</v>
      </c>
      <c r="G3423" s="44">
        <v>2388.7700199999999</v>
      </c>
      <c r="H3423" s="44">
        <v>1749.410034</v>
      </c>
      <c r="I3423" s="44">
        <v>1417.130005</v>
      </c>
      <c r="J3423" s="44">
        <v>63.869999</v>
      </c>
      <c r="K3423" s="44">
        <v>109.05999799999999</v>
      </c>
    </row>
    <row r="3424" spans="6:11" x14ac:dyDescent="0.3">
      <c r="F3424" s="43">
        <v>42853</v>
      </c>
      <c r="G3424" s="44">
        <v>2384.1999510000001</v>
      </c>
      <c r="H3424" s="44">
        <v>1732.76001</v>
      </c>
      <c r="I3424" s="44">
        <v>1400.4300539999999</v>
      </c>
      <c r="J3424" s="44">
        <v>63.799999</v>
      </c>
      <c r="K3424" s="44">
        <v>109.25</v>
      </c>
    </row>
    <row r="3425" spans="6:11" x14ac:dyDescent="0.3">
      <c r="F3425" s="43">
        <v>42856</v>
      </c>
      <c r="G3425" s="44">
        <v>2388.330078</v>
      </c>
      <c r="H3425" s="44">
        <v>1737.369995</v>
      </c>
      <c r="I3425" s="44">
        <v>1407.3599850000001</v>
      </c>
      <c r="J3425" s="44">
        <v>64.059997999999993</v>
      </c>
      <c r="K3425" s="44">
        <v>108.730003</v>
      </c>
    </row>
    <row r="3426" spans="6:11" x14ac:dyDescent="0.3">
      <c r="F3426" s="43">
        <v>42857</v>
      </c>
      <c r="G3426" s="44">
        <v>2391.169922</v>
      </c>
      <c r="H3426" s="44">
        <v>1734.719971</v>
      </c>
      <c r="I3426" s="44">
        <v>1399.3599850000001</v>
      </c>
      <c r="J3426" s="44">
        <v>64.389999000000003</v>
      </c>
      <c r="K3426" s="44">
        <v>108.879997</v>
      </c>
    </row>
    <row r="3427" spans="6:11" x14ac:dyDescent="0.3">
      <c r="F3427" s="43">
        <v>42858</v>
      </c>
      <c r="G3427" s="44">
        <v>2388.1298830000001</v>
      </c>
      <c r="H3427" s="44">
        <v>1727.410034</v>
      </c>
      <c r="I3427" s="44">
        <v>1390.920044</v>
      </c>
      <c r="J3427" s="44">
        <v>64.260002</v>
      </c>
      <c r="K3427" s="44">
        <v>108.769997</v>
      </c>
    </row>
    <row r="3428" spans="6:11" x14ac:dyDescent="0.3">
      <c r="F3428" s="43">
        <v>42859</v>
      </c>
      <c r="G3428" s="44">
        <v>2389.5200199999999</v>
      </c>
      <c r="H3428" s="44">
        <v>1724.1800539999999</v>
      </c>
      <c r="I3428" s="44">
        <v>1388.849976</v>
      </c>
      <c r="J3428" s="44">
        <v>64.870002999999997</v>
      </c>
      <c r="K3428" s="44">
        <v>108.68</v>
      </c>
    </row>
    <row r="3429" spans="6:11" x14ac:dyDescent="0.3">
      <c r="F3429" s="43">
        <v>42860</v>
      </c>
      <c r="G3429" s="44">
        <v>2399.290039</v>
      </c>
      <c r="H3429" s="44">
        <v>1738.5200199999999</v>
      </c>
      <c r="I3429" s="44">
        <v>1397</v>
      </c>
      <c r="J3429" s="44">
        <v>65.589995999999999</v>
      </c>
      <c r="K3429" s="44">
        <v>108.699997</v>
      </c>
    </row>
    <row r="3430" spans="6:11" x14ac:dyDescent="0.3">
      <c r="F3430" s="43">
        <v>42863</v>
      </c>
      <c r="G3430" s="44">
        <v>2399.3798830000001</v>
      </c>
      <c r="H3430" s="44">
        <v>1732</v>
      </c>
      <c r="I3430" s="44">
        <v>1391.6400149999999</v>
      </c>
      <c r="J3430" s="44">
        <v>65.099997999999999</v>
      </c>
      <c r="K3430" s="44">
        <v>108.489998</v>
      </c>
    </row>
    <row r="3431" spans="6:11" x14ac:dyDescent="0.3">
      <c r="F3431" s="43">
        <v>42864</v>
      </c>
      <c r="G3431" s="44">
        <v>2396.919922</v>
      </c>
      <c r="H3431" s="44">
        <v>1727.829956</v>
      </c>
      <c r="I3431" s="44">
        <v>1391.8599850000001</v>
      </c>
      <c r="J3431" s="44">
        <v>64.940002000000007</v>
      </c>
      <c r="K3431" s="44">
        <v>108.5</v>
      </c>
    </row>
    <row r="3432" spans="6:11" x14ac:dyDescent="0.3">
      <c r="F3432" s="43">
        <v>42865</v>
      </c>
      <c r="G3432" s="44">
        <v>2399.6298830000001</v>
      </c>
      <c r="H3432" s="44">
        <v>1738.5600589999999</v>
      </c>
      <c r="I3432" s="44">
        <v>1399.589966</v>
      </c>
      <c r="J3432" s="44">
        <v>65.040001000000004</v>
      </c>
      <c r="K3432" s="44">
        <v>108.529999</v>
      </c>
    </row>
    <row r="3433" spans="6:11" x14ac:dyDescent="0.3">
      <c r="F3433" s="43">
        <v>42866</v>
      </c>
      <c r="G3433" s="44">
        <v>2394.4399410000001</v>
      </c>
      <c r="H3433" s="44">
        <v>1727.540039</v>
      </c>
      <c r="I3433" s="44">
        <v>1390.1999510000001</v>
      </c>
      <c r="J3433" s="44">
        <v>64.879997000000003</v>
      </c>
      <c r="K3433" s="44">
        <v>108.519997</v>
      </c>
    </row>
    <row r="3434" spans="6:11" x14ac:dyDescent="0.3">
      <c r="F3434" s="43">
        <v>42867</v>
      </c>
      <c r="G3434" s="44">
        <v>2390.8999020000001</v>
      </c>
      <c r="H3434" s="44">
        <v>1719.329956</v>
      </c>
      <c r="I3434" s="44">
        <v>1382.7700199999999</v>
      </c>
      <c r="J3434" s="44">
        <v>65.239998</v>
      </c>
      <c r="K3434" s="44">
        <v>108.91999800000001</v>
      </c>
    </row>
    <row r="3435" spans="6:11" x14ac:dyDescent="0.3">
      <c r="F3435" s="43">
        <v>42870</v>
      </c>
      <c r="G3435" s="44">
        <v>2402.320068</v>
      </c>
      <c r="H3435" s="44">
        <v>1731.130005</v>
      </c>
      <c r="I3435" s="44">
        <v>1393.920044</v>
      </c>
      <c r="J3435" s="44">
        <v>65.569999999999993</v>
      </c>
      <c r="K3435" s="44">
        <v>108.879997</v>
      </c>
    </row>
    <row r="3436" spans="6:11" x14ac:dyDescent="0.3">
      <c r="F3436" s="43">
        <v>42871</v>
      </c>
      <c r="G3436" s="44">
        <v>2400.669922</v>
      </c>
      <c r="H3436" s="44">
        <v>1729.5200199999999</v>
      </c>
      <c r="I3436" s="44">
        <v>1394.6800539999999</v>
      </c>
      <c r="J3436" s="44">
        <v>65.989998</v>
      </c>
      <c r="K3436" s="44">
        <v>109.019997</v>
      </c>
    </row>
    <row r="3437" spans="6:11" x14ac:dyDescent="0.3">
      <c r="F3437" s="43">
        <v>42872</v>
      </c>
      <c r="G3437" s="44">
        <v>2357.030029</v>
      </c>
      <c r="H3437" s="44">
        <v>1693.6800539999999</v>
      </c>
      <c r="I3437" s="44">
        <v>1355.8900149999999</v>
      </c>
      <c r="J3437" s="44">
        <v>65.239998</v>
      </c>
      <c r="K3437" s="44">
        <v>109.58000199999999</v>
      </c>
    </row>
    <row r="3438" spans="6:11" x14ac:dyDescent="0.3">
      <c r="F3438" s="43">
        <v>42873</v>
      </c>
      <c r="G3438" s="44">
        <v>2365.719971</v>
      </c>
      <c r="H3438" s="44">
        <v>1695.040039</v>
      </c>
      <c r="I3438" s="44">
        <v>1361.079956</v>
      </c>
      <c r="J3438" s="44">
        <v>65.349997999999999</v>
      </c>
      <c r="K3438" s="44">
        <v>109.519997</v>
      </c>
    </row>
    <row r="3439" spans="6:11" x14ac:dyDescent="0.3">
      <c r="F3439" s="43">
        <v>42874</v>
      </c>
      <c r="G3439" s="44">
        <v>2381.7299800000001</v>
      </c>
      <c r="H3439" s="44">
        <v>1712.079956</v>
      </c>
      <c r="I3439" s="44">
        <v>1367.329956</v>
      </c>
      <c r="J3439" s="44">
        <v>66.110000999999997</v>
      </c>
      <c r="K3439" s="44">
        <v>109.519997</v>
      </c>
    </row>
    <row r="3440" spans="6:11" x14ac:dyDescent="0.3">
      <c r="F3440" s="43">
        <v>42877</v>
      </c>
      <c r="G3440" s="44">
        <v>2394.0200199999999</v>
      </c>
      <c r="H3440" s="44">
        <v>1720.6099850000001</v>
      </c>
      <c r="I3440" s="44">
        <v>1377.1400149999999</v>
      </c>
      <c r="J3440" s="44">
        <v>66.190002000000007</v>
      </c>
      <c r="K3440" s="44">
        <v>109.449997</v>
      </c>
    </row>
    <row r="3441" spans="6:11" x14ac:dyDescent="0.3">
      <c r="F3441" s="43">
        <v>42878</v>
      </c>
      <c r="G3441" s="44">
        <v>2398.419922</v>
      </c>
      <c r="H3441" s="44">
        <v>1723.780029</v>
      </c>
      <c r="I3441" s="44">
        <v>1380.9799800000001</v>
      </c>
      <c r="J3441" s="44">
        <v>66.199996999999996</v>
      </c>
      <c r="K3441" s="44">
        <v>109.239998</v>
      </c>
    </row>
    <row r="3442" spans="6:11" x14ac:dyDescent="0.3">
      <c r="F3442" s="43">
        <v>42879</v>
      </c>
      <c r="G3442" s="44">
        <v>2404.389893</v>
      </c>
      <c r="H3442" s="44">
        <v>1728.349976</v>
      </c>
      <c r="I3442" s="44">
        <v>1382.51001</v>
      </c>
      <c r="J3442" s="44">
        <v>66.239998</v>
      </c>
      <c r="K3442" s="44">
        <v>109.43</v>
      </c>
    </row>
    <row r="3443" spans="6:11" x14ac:dyDescent="0.3">
      <c r="F3443" s="43">
        <v>42880</v>
      </c>
      <c r="G3443" s="44">
        <v>2415.070068</v>
      </c>
      <c r="H3443" s="44">
        <v>1731.339966</v>
      </c>
      <c r="I3443" s="44">
        <v>1383.3900149999999</v>
      </c>
      <c r="J3443" s="44">
        <v>66.239998</v>
      </c>
      <c r="K3443" s="44">
        <v>109.480003</v>
      </c>
    </row>
    <row r="3444" spans="6:11" x14ac:dyDescent="0.3">
      <c r="F3444" s="43">
        <v>42881</v>
      </c>
      <c r="G3444" s="44">
        <v>2415.820068</v>
      </c>
      <c r="H3444" s="44">
        <v>1727.2700199999999</v>
      </c>
      <c r="I3444" s="44">
        <v>1382.23999</v>
      </c>
      <c r="J3444" s="44">
        <v>66.050003000000004</v>
      </c>
      <c r="K3444" s="44">
        <v>109.44000200000001</v>
      </c>
    </row>
    <row r="3445" spans="6:11" x14ac:dyDescent="0.3">
      <c r="F3445" s="43">
        <v>42885</v>
      </c>
      <c r="G3445" s="44">
        <v>2412.9099120000001</v>
      </c>
      <c r="H3445" s="44">
        <v>1721.089966</v>
      </c>
      <c r="I3445" s="44">
        <v>1371.1899410000001</v>
      </c>
      <c r="J3445" s="44">
        <v>65.980002999999996</v>
      </c>
      <c r="K3445" s="44">
        <v>109.650002</v>
      </c>
    </row>
    <row r="3446" spans="6:11" x14ac:dyDescent="0.3">
      <c r="F3446" s="43">
        <v>42886</v>
      </c>
      <c r="G3446" s="44">
        <v>2411.8000489999999</v>
      </c>
      <c r="H3446" s="44">
        <v>1721.6899410000001</v>
      </c>
      <c r="I3446" s="44">
        <v>1370.209961</v>
      </c>
      <c r="J3446" s="44">
        <v>66.059997999999993</v>
      </c>
      <c r="K3446" s="44">
        <v>109.760002</v>
      </c>
    </row>
    <row r="3447" spans="6:11" x14ac:dyDescent="0.3">
      <c r="F3447" s="43">
        <v>42887</v>
      </c>
      <c r="G3447" s="44">
        <v>2430.0600589999999</v>
      </c>
      <c r="H3447" s="44">
        <v>1747.869995</v>
      </c>
      <c r="I3447" s="44">
        <v>1396.0600589999999</v>
      </c>
      <c r="J3447" s="44">
        <v>66.489998</v>
      </c>
      <c r="K3447" s="44">
        <v>109.480003</v>
      </c>
    </row>
    <row r="3448" spans="6:11" x14ac:dyDescent="0.3">
      <c r="F3448" s="43">
        <v>42888</v>
      </c>
      <c r="G3448" s="44">
        <v>2439.070068</v>
      </c>
      <c r="H3448" s="44">
        <v>1751.1099850000001</v>
      </c>
      <c r="I3448" s="44">
        <v>1405.3900149999999</v>
      </c>
      <c r="J3448" s="44">
        <v>67.220000999999996</v>
      </c>
      <c r="K3448" s="44">
        <v>109.839996</v>
      </c>
    </row>
    <row r="3449" spans="6:11" x14ac:dyDescent="0.3">
      <c r="F3449" s="43">
        <v>42891</v>
      </c>
      <c r="G3449" s="44">
        <v>2436.1000979999999</v>
      </c>
      <c r="H3449" s="44">
        <v>1743.619995</v>
      </c>
      <c r="I3449" s="44">
        <v>1396.4499510000001</v>
      </c>
      <c r="J3449" s="44">
        <v>66.849997999999999</v>
      </c>
      <c r="K3449" s="44">
        <v>109.66999800000001</v>
      </c>
    </row>
    <row r="3450" spans="6:11" x14ac:dyDescent="0.3">
      <c r="F3450" s="43">
        <v>42892</v>
      </c>
      <c r="G3450" s="44">
        <v>2429.330078</v>
      </c>
      <c r="H3450" s="44">
        <v>1737.0500489999999</v>
      </c>
      <c r="I3450" s="44">
        <v>1394.900024</v>
      </c>
      <c r="J3450" s="44">
        <v>66.660004000000001</v>
      </c>
      <c r="K3450" s="44">
        <v>109.889999</v>
      </c>
    </row>
    <row r="3451" spans="6:11" x14ac:dyDescent="0.3">
      <c r="F3451" s="43">
        <v>42893</v>
      </c>
      <c r="G3451" s="44">
        <v>2433.139893</v>
      </c>
      <c r="H3451" s="44">
        <v>1736.839966</v>
      </c>
      <c r="I3451" s="44">
        <v>1396.670044</v>
      </c>
      <c r="J3451" s="44">
        <v>66.680000000000007</v>
      </c>
      <c r="K3451" s="44">
        <v>109.760002</v>
      </c>
    </row>
    <row r="3452" spans="6:11" x14ac:dyDescent="0.3">
      <c r="F3452" s="43">
        <v>42894</v>
      </c>
      <c r="G3452" s="44">
        <v>2433.790039</v>
      </c>
      <c r="H3452" s="44">
        <v>1750.76001</v>
      </c>
      <c r="I3452" s="44">
        <v>1415.6099850000001</v>
      </c>
      <c r="J3452" s="44">
        <v>66.559997999999993</v>
      </c>
      <c r="K3452" s="44">
        <v>109.650002</v>
      </c>
    </row>
    <row r="3453" spans="6:11" x14ac:dyDescent="0.3">
      <c r="F3453" s="43">
        <v>42895</v>
      </c>
      <c r="G3453" s="44">
        <v>2431.7700199999999</v>
      </c>
      <c r="H3453" s="44">
        <v>1757.540039</v>
      </c>
      <c r="I3453" s="44">
        <v>1421.709961</v>
      </c>
      <c r="J3453" s="44">
        <v>66.309997999999993</v>
      </c>
      <c r="K3453" s="44">
        <v>109.55999799999999</v>
      </c>
    </row>
    <row r="3454" spans="6:11" x14ac:dyDescent="0.3">
      <c r="F3454" s="43">
        <v>42898</v>
      </c>
      <c r="G3454" s="44">
        <v>2429.389893</v>
      </c>
      <c r="H3454" s="44">
        <v>1759</v>
      </c>
      <c r="I3454" s="44">
        <v>1419.209961</v>
      </c>
      <c r="J3454" s="44">
        <v>66.059997999999993</v>
      </c>
      <c r="K3454" s="44">
        <v>109.55999799999999</v>
      </c>
    </row>
    <row r="3455" spans="6:11" x14ac:dyDescent="0.3">
      <c r="F3455" s="43">
        <v>42899</v>
      </c>
      <c r="G3455" s="44">
        <v>2440.3500979999999</v>
      </c>
      <c r="H3455" s="44">
        <v>1769.339966</v>
      </c>
      <c r="I3455" s="44">
        <v>1425.98999</v>
      </c>
      <c r="J3455" s="44">
        <v>66.569999999999993</v>
      </c>
      <c r="K3455" s="44">
        <v>109.589996</v>
      </c>
    </row>
    <row r="3456" spans="6:11" x14ac:dyDescent="0.3">
      <c r="F3456" s="43">
        <v>42900</v>
      </c>
      <c r="G3456" s="44">
        <v>2437.919922</v>
      </c>
      <c r="H3456" s="44">
        <v>1761.660034</v>
      </c>
      <c r="I3456" s="44">
        <v>1417.5699460000001</v>
      </c>
      <c r="J3456" s="44">
        <v>66.519997000000004</v>
      </c>
      <c r="K3456" s="44">
        <v>109.94000200000001</v>
      </c>
    </row>
    <row r="3457" spans="6:11" x14ac:dyDescent="0.3">
      <c r="F3457" s="43">
        <v>42901</v>
      </c>
      <c r="G3457" s="44">
        <v>2432.459961</v>
      </c>
      <c r="H3457" s="44">
        <v>1753.3000489999999</v>
      </c>
      <c r="I3457" s="44">
        <v>1410.079956</v>
      </c>
      <c r="J3457" s="44">
        <v>65.830001999999993</v>
      </c>
      <c r="K3457" s="44">
        <v>109.870003</v>
      </c>
    </row>
    <row r="3458" spans="6:11" x14ac:dyDescent="0.3">
      <c r="F3458" s="43">
        <v>42902</v>
      </c>
      <c r="G3458" s="44">
        <v>2433.1499020000001</v>
      </c>
      <c r="H3458" s="44">
        <v>1753.459961</v>
      </c>
      <c r="I3458" s="44">
        <v>1406.7299800000001</v>
      </c>
      <c r="J3458" s="44">
        <v>66.389999000000003</v>
      </c>
      <c r="K3458" s="44">
        <v>109.94000200000001</v>
      </c>
    </row>
    <row r="3459" spans="6:11" x14ac:dyDescent="0.3">
      <c r="F3459" s="43">
        <v>42905</v>
      </c>
      <c r="G3459" s="44">
        <v>2453.459961</v>
      </c>
      <c r="H3459" s="44">
        <v>1764.1999510000001</v>
      </c>
      <c r="I3459" s="44">
        <v>1418.079956</v>
      </c>
      <c r="J3459" s="44">
        <v>66.660004000000001</v>
      </c>
      <c r="K3459" s="44">
        <v>109.790001</v>
      </c>
    </row>
    <row r="3460" spans="6:11" x14ac:dyDescent="0.3">
      <c r="F3460" s="43">
        <v>42906</v>
      </c>
      <c r="G3460" s="44">
        <v>2437.030029</v>
      </c>
      <c r="H3460" s="44">
        <v>1745.410034</v>
      </c>
      <c r="I3460" s="44">
        <v>1402.969971</v>
      </c>
      <c r="J3460" s="44">
        <v>65.069999999999993</v>
      </c>
      <c r="K3460" s="44">
        <v>109.959999</v>
      </c>
    </row>
    <row r="3461" spans="6:11" x14ac:dyDescent="0.3">
      <c r="F3461" s="43">
        <v>42907</v>
      </c>
      <c r="G3461" s="44">
        <v>2435.610107</v>
      </c>
      <c r="H3461" s="44">
        <v>1734.910034</v>
      </c>
      <c r="I3461" s="44">
        <v>1399.25</v>
      </c>
      <c r="J3461" s="44">
        <v>64.989998</v>
      </c>
      <c r="K3461" s="44">
        <v>109.980003</v>
      </c>
    </row>
    <row r="3462" spans="6:11" x14ac:dyDescent="0.3">
      <c r="F3462" s="43">
        <v>42908</v>
      </c>
      <c r="G3462" s="44">
        <v>2434.5</v>
      </c>
      <c r="H3462" s="44">
        <v>1736.420044</v>
      </c>
      <c r="I3462" s="44">
        <v>1404.540039</v>
      </c>
      <c r="J3462" s="44">
        <v>64.980002999999996</v>
      </c>
      <c r="K3462" s="44">
        <v>110.029999</v>
      </c>
    </row>
    <row r="3463" spans="6:11" x14ac:dyDescent="0.3">
      <c r="F3463" s="43">
        <v>42909</v>
      </c>
      <c r="G3463" s="44">
        <v>2438.3000489999999</v>
      </c>
      <c r="H3463" s="44">
        <v>1743.9499510000001</v>
      </c>
      <c r="I3463" s="44">
        <v>1414.780029</v>
      </c>
      <c r="J3463" s="44">
        <v>65.139999000000003</v>
      </c>
      <c r="K3463" s="44">
        <v>110.050003</v>
      </c>
    </row>
    <row r="3464" spans="6:11" x14ac:dyDescent="0.3">
      <c r="F3464" s="43">
        <v>42912</v>
      </c>
      <c r="G3464" s="44">
        <v>2439.070068</v>
      </c>
      <c r="H3464" s="44">
        <v>1750.75</v>
      </c>
      <c r="I3464" s="44">
        <v>1416.6400149999999</v>
      </c>
      <c r="J3464" s="44">
        <v>65.25</v>
      </c>
      <c r="K3464" s="44">
        <v>110.150002</v>
      </c>
    </row>
    <row r="3465" spans="6:11" x14ac:dyDescent="0.3">
      <c r="F3465" s="43">
        <v>42913</v>
      </c>
      <c r="G3465" s="44">
        <v>2419.3798830000001</v>
      </c>
      <c r="H3465" s="44">
        <v>1736.579956</v>
      </c>
      <c r="I3465" s="44">
        <v>1403.5200199999999</v>
      </c>
      <c r="J3465" s="44">
        <v>65.239998</v>
      </c>
      <c r="K3465" s="44">
        <v>109.82</v>
      </c>
    </row>
    <row r="3466" spans="6:11" x14ac:dyDescent="0.3">
      <c r="F3466" s="43">
        <v>42914</v>
      </c>
      <c r="G3466" s="44">
        <v>2440.6899410000001</v>
      </c>
      <c r="H3466" s="44">
        <v>1755.790039</v>
      </c>
      <c r="I3466" s="44">
        <v>1425.2700199999999</v>
      </c>
      <c r="J3466" s="44">
        <v>65.809997999999993</v>
      </c>
      <c r="K3466" s="44">
        <v>109.860001</v>
      </c>
    </row>
    <row r="3467" spans="6:11" x14ac:dyDescent="0.3">
      <c r="F3467" s="43">
        <v>42915</v>
      </c>
      <c r="G3467" s="44">
        <v>2419.6999510000001</v>
      </c>
      <c r="H3467" s="44">
        <v>1744.030029</v>
      </c>
      <c r="I3467" s="44">
        <v>1416.1999510000001</v>
      </c>
      <c r="J3467" s="44">
        <v>65.160004000000001</v>
      </c>
      <c r="K3467" s="44">
        <v>109.650002</v>
      </c>
    </row>
    <row r="3468" spans="6:11" x14ac:dyDescent="0.3">
      <c r="F3468" s="43">
        <v>42916</v>
      </c>
      <c r="G3468" s="44">
        <v>2423.4099120000001</v>
      </c>
      <c r="H3468" s="44">
        <v>1746.650024</v>
      </c>
      <c r="I3468" s="44">
        <v>1415.3599850000001</v>
      </c>
      <c r="J3468" s="44">
        <v>65.199996999999996</v>
      </c>
      <c r="K3468" s="44">
        <v>109.510002</v>
      </c>
    </row>
    <row r="3469" spans="6:11" x14ac:dyDescent="0.3">
      <c r="F3469" s="43">
        <v>42919</v>
      </c>
      <c r="G3469" s="44">
        <v>2429.01001</v>
      </c>
      <c r="H3469" s="44">
        <v>1758.040039</v>
      </c>
      <c r="I3469" s="44">
        <v>1426.6800539999999</v>
      </c>
      <c r="J3469" s="44">
        <v>65.120002999999997</v>
      </c>
      <c r="K3469" s="44">
        <v>109.089996</v>
      </c>
    </row>
    <row r="3470" spans="6:11" x14ac:dyDescent="0.3">
      <c r="F3470" s="43">
        <v>42921</v>
      </c>
      <c r="G3470" s="44">
        <v>2432.540039</v>
      </c>
      <c r="H3470" s="44">
        <v>1751.9399410000001</v>
      </c>
      <c r="I3470" s="44">
        <v>1420.150024</v>
      </c>
      <c r="J3470" s="44">
        <v>65.120002999999997</v>
      </c>
      <c r="K3470" s="44">
        <v>109.150002</v>
      </c>
    </row>
    <row r="3471" spans="6:11" x14ac:dyDescent="0.3">
      <c r="F3471" s="43">
        <v>42922</v>
      </c>
      <c r="G3471" s="44">
        <v>2409.75</v>
      </c>
      <c r="H3471" s="44">
        <v>1730.75</v>
      </c>
      <c r="I3471" s="44">
        <v>1400.8100589999999</v>
      </c>
      <c r="J3471" s="44">
        <v>64.830001999999993</v>
      </c>
      <c r="K3471" s="44">
        <v>108.94000200000001</v>
      </c>
    </row>
    <row r="3472" spans="6:11" x14ac:dyDescent="0.3">
      <c r="F3472" s="43">
        <v>42923</v>
      </c>
      <c r="G3472" s="44">
        <v>2425.179932</v>
      </c>
      <c r="H3472" s="44">
        <v>1747.3599850000001</v>
      </c>
      <c r="I3472" s="44">
        <v>1415.839966</v>
      </c>
      <c r="J3472" s="44">
        <v>64.839995999999999</v>
      </c>
      <c r="K3472" s="44">
        <v>108.900002</v>
      </c>
    </row>
    <row r="3473" spans="6:11" x14ac:dyDescent="0.3">
      <c r="F3473" s="43">
        <v>42926</v>
      </c>
      <c r="G3473" s="44">
        <v>2427.429932</v>
      </c>
      <c r="H3473" s="44">
        <v>1743.0699460000001</v>
      </c>
      <c r="I3473" s="44">
        <v>1408.469971</v>
      </c>
      <c r="J3473" s="44">
        <v>65</v>
      </c>
      <c r="K3473" s="44">
        <v>108.949997</v>
      </c>
    </row>
    <row r="3474" spans="6:11" x14ac:dyDescent="0.3">
      <c r="F3474" s="43">
        <v>42927</v>
      </c>
      <c r="G3474" s="44">
        <v>2425.530029</v>
      </c>
      <c r="H3474" s="44">
        <v>1745.349976</v>
      </c>
      <c r="I3474" s="44">
        <v>1413.0500489999999</v>
      </c>
      <c r="J3474" s="44">
        <v>65.150002000000001</v>
      </c>
      <c r="K3474" s="44">
        <v>109.050003</v>
      </c>
    </row>
    <row r="3475" spans="6:11" x14ac:dyDescent="0.3">
      <c r="F3475" s="43">
        <v>42928</v>
      </c>
      <c r="G3475" s="44">
        <v>2443.25</v>
      </c>
      <c r="H3475" s="44">
        <v>1757.339966</v>
      </c>
      <c r="I3475" s="44">
        <v>1424.3199460000001</v>
      </c>
      <c r="J3475" s="44">
        <v>65.669998000000007</v>
      </c>
      <c r="K3475" s="44">
        <v>109.379997</v>
      </c>
    </row>
    <row r="3476" spans="6:11" x14ac:dyDescent="0.3">
      <c r="F3476" s="43">
        <v>42929</v>
      </c>
      <c r="G3476" s="44">
        <v>2447.830078</v>
      </c>
      <c r="H3476" s="44">
        <v>1759.380005</v>
      </c>
      <c r="I3476" s="44">
        <v>1425.660034</v>
      </c>
      <c r="J3476" s="44">
        <v>65.860000999999997</v>
      </c>
      <c r="K3476" s="44">
        <v>109.260002</v>
      </c>
    </row>
    <row r="3477" spans="6:11" x14ac:dyDescent="0.3">
      <c r="F3477" s="43">
        <v>42930</v>
      </c>
      <c r="G3477" s="44">
        <v>2459.2700199999999</v>
      </c>
      <c r="H3477" s="44">
        <v>1765.3199460000001</v>
      </c>
      <c r="I3477" s="44">
        <v>1428.8199460000001</v>
      </c>
      <c r="J3477" s="44">
        <v>66.319999999999993</v>
      </c>
      <c r="K3477" s="44">
        <v>109.370003</v>
      </c>
    </row>
    <row r="3478" spans="6:11" x14ac:dyDescent="0.3">
      <c r="F3478" s="43">
        <v>42933</v>
      </c>
      <c r="G3478" s="44">
        <v>2459.139893</v>
      </c>
      <c r="H3478" s="44">
        <v>1768.150024</v>
      </c>
      <c r="I3478" s="44">
        <v>1431.599976</v>
      </c>
      <c r="J3478" s="44">
        <v>66.190002000000007</v>
      </c>
      <c r="K3478" s="44">
        <v>109.41999800000001</v>
      </c>
    </row>
    <row r="3479" spans="6:11" x14ac:dyDescent="0.3">
      <c r="F3479" s="43">
        <v>42934</v>
      </c>
      <c r="G3479" s="44">
        <v>2460.610107</v>
      </c>
      <c r="H3479" s="44">
        <v>1763.040039</v>
      </c>
      <c r="I3479" s="44">
        <v>1427.6099850000001</v>
      </c>
      <c r="J3479" s="44">
        <v>66.25</v>
      </c>
      <c r="K3479" s="44">
        <v>109.66999800000001</v>
      </c>
    </row>
    <row r="3480" spans="6:11" x14ac:dyDescent="0.3">
      <c r="F3480" s="43">
        <v>42935</v>
      </c>
      <c r="G3480" s="44">
        <v>2473.830078</v>
      </c>
      <c r="H3480" s="44">
        <v>1780.4499510000001</v>
      </c>
      <c r="I3480" s="44">
        <v>1441.7700199999999</v>
      </c>
      <c r="J3480" s="44">
        <v>66.540001000000004</v>
      </c>
      <c r="K3480" s="44">
        <v>109.699997</v>
      </c>
    </row>
    <row r="3481" spans="6:11" x14ac:dyDescent="0.3">
      <c r="F3481" s="43">
        <v>42936</v>
      </c>
      <c r="G3481" s="44">
        <v>2473.4499510000001</v>
      </c>
      <c r="H3481" s="44">
        <v>1778.6099850000001</v>
      </c>
      <c r="I3481" s="44">
        <v>1442.349976</v>
      </c>
      <c r="J3481" s="44">
        <v>66.809997999999993</v>
      </c>
      <c r="K3481" s="44">
        <v>109.730003</v>
      </c>
    </row>
    <row r="3482" spans="6:11" x14ac:dyDescent="0.3">
      <c r="F3482" s="43">
        <v>42937</v>
      </c>
      <c r="G3482" s="44">
        <v>2472.540039</v>
      </c>
      <c r="H3482" s="44">
        <v>1773.920044</v>
      </c>
      <c r="I3482" s="44">
        <v>1435.839966</v>
      </c>
      <c r="J3482" s="44">
        <v>66.550003000000004</v>
      </c>
      <c r="K3482" s="44">
        <v>109.91999800000001</v>
      </c>
    </row>
    <row r="3483" spans="6:11" x14ac:dyDescent="0.3">
      <c r="F3483" s="43">
        <v>42940</v>
      </c>
      <c r="G3483" s="44">
        <v>2469.9099120000001</v>
      </c>
      <c r="H3483" s="44">
        <v>1776.8000489999999</v>
      </c>
      <c r="I3483" s="44">
        <v>1438.0500489999999</v>
      </c>
      <c r="J3483" s="44">
        <v>66.370002999999997</v>
      </c>
      <c r="K3483" s="44">
        <v>109.82</v>
      </c>
    </row>
    <row r="3484" spans="6:11" x14ac:dyDescent="0.3">
      <c r="F3484" s="43">
        <v>42941</v>
      </c>
      <c r="G3484" s="44">
        <v>2477.1298830000001</v>
      </c>
      <c r="H3484" s="44">
        <v>1791.9300539999999</v>
      </c>
      <c r="I3484" s="44">
        <v>1450.3900149999999</v>
      </c>
      <c r="J3484" s="44">
        <v>66.459998999999996</v>
      </c>
      <c r="K3484" s="44">
        <v>109.43</v>
      </c>
    </row>
    <row r="3485" spans="6:11" x14ac:dyDescent="0.3">
      <c r="F3485" s="43">
        <v>42942</v>
      </c>
      <c r="G3485" s="44">
        <v>2477.830078</v>
      </c>
      <c r="H3485" s="44">
        <v>1776.6899410000001</v>
      </c>
      <c r="I3485" s="44">
        <v>1442.280029</v>
      </c>
      <c r="J3485" s="44">
        <v>66.870002999999997</v>
      </c>
      <c r="K3485" s="44">
        <v>109.639999</v>
      </c>
    </row>
    <row r="3486" spans="6:11" x14ac:dyDescent="0.3">
      <c r="F3486" s="43">
        <v>42943</v>
      </c>
      <c r="G3486" s="44">
        <v>2475.419922</v>
      </c>
      <c r="H3486" s="44">
        <v>1771.0200199999999</v>
      </c>
      <c r="I3486" s="44">
        <v>1433.619995</v>
      </c>
      <c r="J3486" s="44">
        <v>66.720000999999996</v>
      </c>
      <c r="K3486" s="44">
        <v>109.480003</v>
      </c>
    </row>
    <row r="3487" spans="6:11" x14ac:dyDescent="0.3">
      <c r="F3487" s="43">
        <v>42944</v>
      </c>
      <c r="G3487" s="44">
        <v>2472.1000979999999</v>
      </c>
      <c r="H3487" s="44">
        <v>1762.339966</v>
      </c>
      <c r="I3487" s="44">
        <v>1429.26001</v>
      </c>
      <c r="J3487" s="44">
        <v>66.790001000000004</v>
      </c>
      <c r="K3487" s="44">
        <v>109.699997</v>
      </c>
    </row>
    <row r="3488" spans="6:11" x14ac:dyDescent="0.3">
      <c r="F3488" s="43">
        <v>42947</v>
      </c>
      <c r="G3488" s="44">
        <v>2470.3000489999999</v>
      </c>
      <c r="H3488" s="44">
        <v>1760.6800539999999</v>
      </c>
      <c r="I3488" s="44">
        <v>1425.1400149999999</v>
      </c>
      <c r="J3488" s="44">
        <v>66.930000000000007</v>
      </c>
      <c r="K3488" s="44">
        <v>109.650002</v>
      </c>
    </row>
    <row r="3489" spans="6:11" x14ac:dyDescent="0.3">
      <c r="F3489" s="43">
        <v>42948</v>
      </c>
      <c r="G3489" s="44">
        <v>2476.3500979999999</v>
      </c>
      <c r="H3489" s="44">
        <v>1764.619995</v>
      </c>
      <c r="I3489" s="44">
        <v>1428.329956</v>
      </c>
      <c r="J3489" s="44">
        <v>67.300003000000004</v>
      </c>
      <c r="K3489" s="44">
        <v>109.720001</v>
      </c>
    </row>
    <row r="3490" spans="6:11" x14ac:dyDescent="0.3">
      <c r="F3490" s="43">
        <v>42949</v>
      </c>
      <c r="G3490" s="44">
        <v>2477.570068</v>
      </c>
      <c r="H3490" s="44">
        <v>1752.51001</v>
      </c>
      <c r="I3490" s="44">
        <v>1412.900024</v>
      </c>
      <c r="J3490" s="44">
        <v>67.330001999999993</v>
      </c>
      <c r="K3490" s="44">
        <v>109.639999</v>
      </c>
    </row>
    <row r="3491" spans="6:11" x14ac:dyDescent="0.3">
      <c r="F3491" s="43">
        <v>42950</v>
      </c>
      <c r="G3491" s="44">
        <v>2472.1599120000001</v>
      </c>
      <c r="H3491" s="44">
        <v>1747.1999510000001</v>
      </c>
      <c r="I3491" s="44">
        <v>1405.2299800000001</v>
      </c>
      <c r="J3491" s="44">
        <v>67.370002999999997</v>
      </c>
      <c r="K3491" s="44">
        <v>109.860001</v>
      </c>
    </row>
    <row r="3492" spans="6:11" x14ac:dyDescent="0.3">
      <c r="F3492" s="43">
        <v>42951</v>
      </c>
      <c r="G3492" s="44">
        <v>2476.830078</v>
      </c>
      <c r="H3492" s="44">
        <v>1751.4799800000001</v>
      </c>
      <c r="I3492" s="44">
        <v>1412.3199460000001</v>
      </c>
      <c r="J3492" s="44">
        <v>67.459998999999996</v>
      </c>
      <c r="K3492" s="44">
        <v>109.68</v>
      </c>
    </row>
    <row r="3493" spans="6:11" x14ac:dyDescent="0.3">
      <c r="F3493" s="43">
        <v>42954</v>
      </c>
      <c r="G3493" s="44">
        <v>2480.9099120000001</v>
      </c>
      <c r="H3493" s="44">
        <v>1752.900024</v>
      </c>
      <c r="I3493" s="44">
        <v>1414.170044</v>
      </c>
      <c r="J3493" s="44">
        <v>67.489998</v>
      </c>
      <c r="K3493" s="44">
        <v>109.66999800000001</v>
      </c>
    </row>
    <row r="3494" spans="6:11" x14ac:dyDescent="0.3">
      <c r="F3494" s="43">
        <v>42955</v>
      </c>
      <c r="G3494" s="44">
        <v>2474.919922</v>
      </c>
      <c r="H3494" s="44">
        <v>1748.01001</v>
      </c>
      <c r="I3494" s="44">
        <v>1410.150024</v>
      </c>
      <c r="J3494" s="44">
        <v>67.129997000000003</v>
      </c>
      <c r="K3494" s="44">
        <v>109.57</v>
      </c>
    </row>
    <row r="3495" spans="6:11" x14ac:dyDescent="0.3">
      <c r="F3495" s="43">
        <v>42956</v>
      </c>
      <c r="G3495" s="44">
        <v>2474.0200199999999</v>
      </c>
      <c r="H3495" s="44">
        <v>1735.9399410000001</v>
      </c>
      <c r="I3495" s="44">
        <v>1396.9499510000001</v>
      </c>
      <c r="J3495" s="44">
        <v>67.019997000000004</v>
      </c>
      <c r="K3495" s="44">
        <v>109.66999800000001</v>
      </c>
    </row>
    <row r="3496" spans="6:11" x14ac:dyDescent="0.3">
      <c r="F3496" s="43">
        <v>42957</v>
      </c>
      <c r="G3496" s="44">
        <v>2438.209961</v>
      </c>
      <c r="H3496" s="44">
        <v>1707.829956</v>
      </c>
      <c r="I3496" s="44">
        <v>1372.540039</v>
      </c>
      <c r="J3496" s="44">
        <v>66.069999999999993</v>
      </c>
      <c r="K3496" s="44">
        <v>109.779999</v>
      </c>
    </row>
    <row r="3497" spans="6:11" x14ac:dyDescent="0.3">
      <c r="F3497" s="43">
        <v>42958</v>
      </c>
      <c r="G3497" s="44">
        <v>2441.320068</v>
      </c>
      <c r="H3497" s="44">
        <v>1711.0500489999999</v>
      </c>
      <c r="I3497" s="44">
        <v>1374.2299800000001</v>
      </c>
      <c r="J3497" s="44">
        <v>65.949996999999996</v>
      </c>
      <c r="K3497" s="44">
        <v>109.870003</v>
      </c>
    </row>
    <row r="3498" spans="6:11" x14ac:dyDescent="0.3">
      <c r="F3498" s="43">
        <v>42961</v>
      </c>
      <c r="G3498" s="44">
        <v>2465.8400879999999</v>
      </c>
      <c r="H3498" s="44">
        <v>1730.910034</v>
      </c>
      <c r="I3498" s="44">
        <v>1394.3100589999999</v>
      </c>
      <c r="J3498" s="44">
        <v>66.430000000000007</v>
      </c>
      <c r="K3498" s="44">
        <v>109.82</v>
      </c>
    </row>
    <row r="3499" spans="6:11" x14ac:dyDescent="0.3">
      <c r="F3499" s="43">
        <v>42962</v>
      </c>
      <c r="G3499" s="44">
        <v>2464.610107</v>
      </c>
      <c r="H3499" s="44">
        <v>1721.8000489999999</v>
      </c>
      <c r="I3499" s="44">
        <v>1383.23999</v>
      </c>
      <c r="J3499" s="44">
        <v>66.379997000000003</v>
      </c>
      <c r="K3499" s="44">
        <v>109.660004</v>
      </c>
    </row>
    <row r="3500" spans="6:11" x14ac:dyDescent="0.3">
      <c r="F3500" s="43">
        <v>42963</v>
      </c>
      <c r="G3500" s="44">
        <v>2468.110107</v>
      </c>
      <c r="H3500" s="44">
        <v>1725.829956</v>
      </c>
      <c r="I3500" s="44">
        <v>1383.530029</v>
      </c>
      <c r="J3500" s="44">
        <v>66.760002</v>
      </c>
      <c r="K3500" s="44">
        <v>109.860001</v>
      </c>
    </row>
    <row r="3501" spans="6:11" x14ac:dyDescent="0.3">
      <c r="F3501" s="43">
        <v>42964</v>
      </c>
      <c r="G3501" s="44">
        <v>2430.01001</v>
      </c>
      <c r="H3501" s="44">
        <v>1696.1400149999999</v>
      </c>
      <c r="I3501" s="44">
        <v>1358.9399410000001</v>
      </c>
      <c r="J3501" s="44">
        <v>66.010002</v>
      </c>
      <c r="K3501" s="44">
        <v>110.019997</v>
      </c>
    </row>
    <row r="3502" spans="6:11" x14ac:dyDescent="0.3">
      <c r="F3502" s="43">
        <v>42965</v>
      </c>
      <c r="G3502" s="44">
        <v>2425.5500489999999</v>
      </c>
      <c r="H3502" s="44">
        <v>1692.3000489999999</v>
      </c>
      <c r="I3502" s="44">
        <v>1357.790039</v>
      </c>
      <c r="J3502" s="44">
        <v>66.190002000000007</v>
      </c>
      <c r="K3502" s="44">
        <v>109.949997</v>
      </c>
    </row>
    <row r="3503" spans="6:11" x14ac:dyDescent="0.3">
      <c r="F3503" s="43">
        <v>42968</v>
      </c>
      <c r="G3503" s="44">
        <v>2428.3701169999999</v>
      </c>
      <c r="H3503" s="44">
        <v>1691.670044</v>
      </c>
      <c r="I3503" s="44">
        <v>1356.900024</v>
      </c>
      <c r="J3503" s="44">
        <v>66.169998000000007</v>
      </c>
      <c r="K3503" s="44">
        <v>110.029999</v>
      </c>
    </row>
    <row r="3504" spans="6:11" x14ac:dyDescent="0.3">
      <c r="F3504" s="43">
        <v>42969</v>
      </c>
      <c r="G3504" s="44">
        <v>2452.51001</v>
      </c>
      <c r="H3504" s="44">
        <v>1707.040039</v>
      </c>
      <c r="I3504" s="44">
        <v>1371.540039</v>
      </c>
      <c r="J3504" s="44">
        <v>66.489998</v>
      </c>
      <c r="K3504" s="44">
        <v>109.93</v>
      </c>
    </row>
    <row r="3505" spans="6:11" x14ac:dyDescent="0.3">
      <c r="F3505" s="43">
        <v>42970</v>
      </c>
      <c r="G3505" s="44">
        <v>2444.040039</v>
      </c>
      <c r="H3505" s="44">
        <v>1703.079956</v>
      </c>
      <c r="I3505" s="44">
        <v>1369.73999</v>
      </c>
      <c r="J3505" s="44">
        <v>66.5</v>
      </c>
      <c r="K3505" s="44">
        <v>110.18</v>
      </c>
    </row>
    <row r="3506" spans="6:11" x14ac:dyDescent="0.3">
      <c r="F3506" s="43">
        <v>42971</v>
      </c>
      <c r="G3506" s="44">
        <v>2438.969971</v>
      </c>
      <c r="H3506" s="44">
        <v>1701.469971</v>
      </c>
      <c r="I3506" s="44">
        <v>1373.880005</v>
      </c>
      <c r="J3506" s="44">
        <v>66.349997999999999</v>
      </c>
      <c r="K3506" s="44">
        <v>110.040001</v>
      </c>
    </row>
    <row r="3507" spans="6:11" x14ac:dyDescent="0.3">
      <c r="F3507" s="43">
        <v>42972</v>
      </c>
      <c r="G3507" s="44">
        <v>2443.0500489999999</v>
      </c>
      <c r="H3507" s="44">
        <v>1708.969971</v>
      </c>
      <c r="I3507" s="44">
        <v>1377.4499510000001</v>
      </c>
      <c r="J3507" s="44">
        <v>66.75</v>
      </c>
      <c r="K3507" s="44">
        <v>110.120003</v>
      </c>
    </row>
    <row r="3508" spans="6:11" x14ac:dyDescent="0.3">
      <c r="F3508" s="43">
        <v>42975</v>
      </c>
      <c r="G3508" s="44">
        <v>2444.23999</v>
      </c>
      <c r="H3508" s="44">
        <v>1707.98999</v>
      </c>
      <c r="I3508" s="44">
        <v>1382.2299800000001</v>
      </c>
      <c r="J3508" s="44">
        <v>66.75</v>
      </c>
      <c r="K3508" s="44">
        <v>110.160004</v>
      </c>
    </row>
    <row r="3509" spans="6:11" x14ac:dyDescent="0.3">
      <c r="F3509" s="43">
        <v>42976</v>
      </c>
      <c r="G3509" s="44">
        <v>2446.3000489999999</v>
      </c>
      <c r="H3509" s="44">
        <v>1706.6800539999999</v>
      </c>
      <c r="I3509" s="44">
        <v>1383.6800539999999</v>
      </c>
      <c r="J3509" s="44">
        <v>66.480002999999996</v>
      </c>
      <c r="K3509" s="44">
        <v>110.32</v>
      </c>
    </row>
    <row r="3510" spans="6:11" x14ac:dyDescent="0.3">
      <c r="F3510" s="43">
        <v>42977</v>
      </c>
      <c r="G3510" s="44">
        <v>2457.5900879999999</v>
      </c>
      <c r="H3510" s="44">
        <v>1716.670044</v>
      </c>
      <c r="I3510" s="44">
        <v>1391.3199460000001</v>
      </c>
      <c r="J3510" s="44">
        <v>66.389999000000003</v>
      </c>
      <c r="K3510" s="44">
        <v>110.300003</v>
      </c>
    </row>
    <row r="3511" spans="6:11" x14ac:dyDescent="0.3">
      <c r="F3511" s="43">
        <v>42978</v>
      </c>
      <c r="G3511" s="44">
        <v>2471.6499020000001</v>
      </c>
      <c r="H3511" s="44">
        <v>1730.880005</v>
      </c>
      <c r="I3511" s="44">
        <v>1405.280029</v>
      </c>
      <c r="J3511" s="44">
        <v>66.900002000000001</v>
      </c>
      <c r="K3511" s="44">
        <v>110.449997</v>
      </c>
    </row>
    <row r="3512" spans="6:11" x14ac:dyDescent="0.3">
      <c r="F3512" s="43">
        <v>42979</v>
      </c>
      <c r="G3512" s="44">
        <v>2476.5500489999999</v>
      </c>
      <c r="H3512" s="44">
        <v>1737.790039</v>
      </c>
      <c r="I3512" s="44">
        <v>1413.5699460000001</v>
      </c>
      <c r="J3512" s="44">
        <v>66.989998</v>
      </c>
      <c r="K3512" s="44">
        <v>109.970001</v>
      </c>
    </row>
    <row r="3513" spans="6:11" x14ac:dyDescent="0.3">
      <c r="F3513" s="43">
        <v>42983</v>
      </c>
      <c r="G3513" s="44">
        <v>2457.8500979999999</v>
      </c>
      <c r="H3513" s="44">
        <v>1718.339966</v>
      </c>
      <c r="I3513" s="44">
        <v>1399.660034</v>
      </c>
      <c r="J3513" s="44">
        <v>66.540001000000004</v>
      </c>
      <c r="K3513" s="44">
        <v>110.41999800000001</v>
      </c>
    </row>
    <row r="3514" spans="6:11" x14ac:dyDescent="0.3">
      <c r="F3514" s="43">
        <v>42984</v>
      </c>
      <c r="G3514" s="44">
        <v>2465.540039</v>
      </c>
      <c r="H3514" s="44">
        <v>1719.670044</v>
      </c>
      <c r="I3514" s="44">
        <v>1402.1999510000001</v>
      </c>
      <c r="J3514" s="44">
        <v>66.949996999999996</v>
      </c>
      <c r="K3514" s="44">
        <v>110.300003</v>
      </c>
    </row>
    <row r="3515" spans="6:11" x14ac:dyDescent="0.3">
      <c r="F3515" s="43">
        <v>42985</v>
      </c>
      <c r="G3515" s="44">
        <v>2465.1000979999999</v>
      </c>
      <c r="H3515" s="44">
        <v>1713.579956</v>
      </c>
      <c r="I3515" s="44">
        <v>1398.670044</v>
      </c>
      <c r="J3515" s="44">
        <v>67.5</v>
      </c>
      <c r="K3515" s="44">
        <v>110.57</v>
      </c>
    </row>
    <row r="3516" spans="6:11" x14ac:dyDescent="0.3">
      <c r="F3516" s="43">
        <v>42986</v>
      </c>
      <c r="G3516" s="44">
        <v>2461.429932</v>
      </c>
      <c r="H3516" s="44">
        <v>1719.089966</v>
      </c>
      <c r="I3516" s="44">
        <v>1399.4300539999999</v>
      </c>
      <c r="J3516" s="44">
        <v>67.510002</v>
      </c>
      <c r="K3516" s="44">
        <v>110.44000200000001</v>
      </c>
    </row>
    <row r="3517" spans="6:11" x14ac:dyDescent="0.3">
      <c r="F3517" s="43">
        <v>42989</v>
      </c>
      <c r="G3517" s="44">
        <v>2488.110107</v>
      </c>
      <c r="H3517" s="44">
        <v>1739.0200199999999</v>
      </c>
      <c r="I3517" s="44">
        <v>1414.829956</v>
      </c>
      <c r="J3517" s="44">
        <v>68.040001000000004</v>
      </c>
      <c r="K3517" s="44">
        <v>110.139999</v>
      </c>
    </row>
    <row r="3518" spans="6:11" x14ac:dyDescent="0.3">
      <c r="F3518" s="43">
        <v>42990</v>
      </c>
      <c r="G3518" s="44">
        <v>2496.4799800000001</v>
      </c>
      <c r="H3518" s="44">
        <v>1751.25</v>
      </c>
      <c r="I3518" s="44">
        <v>1423.459961</v>
      </c>
      <c r="J3518" s="44">
        <v>68.25</v>
      </c>
      <c r="K3518" s="44">
        <v>109.980003</v>
      </c>
    </row>
    <row r="3519" spans="6:11" x14ac:dyDescent="0.3">
      <c r="F3519" s="43">
        <v>42991</v>
      </c>
      <c r="G3519" s="44">
        <v>2498.3701169999999</v>
      </c>
      <c r="H3519" s="44">
        <v>1748.4799800000001</v>
      </c>
      <c r="I3519" s="44">
        <v>1426.8900149999999</v>
      </c>
      <c r="J3519" s="44">
        <v>67.879997000000003</v>
      </c>
      <c r="K3519" s="44">
        <v>109.870003</v>
      </c>
    </row>
    <row r="3520" spans="6:11" x14ac:dyDescent="0.3">
      <c r="F3520" s="43">
        <v>42992</v>
      </c>
      <c r="G3520" s="44">
        <v>2495.6201169999999</v>
      </c>
      <c r="H3520" s="44">
        <v>1746.670044</v>
      </c>
      <c r="I3520" s="44">
        <v>1425.0200199999999</v>
      </c>
      <c r="J3520" s="44">
        <v>68</v>
      </c>
      <c r="K3520" s="44">
        <v>109.93</v>
      </c>
    </row>
    <row r="3521" spans="6:11" x14ac:dyDescent="0.3">
      <c r="F3521" s="43">
        <v>42993</v>
      </c>
      <c r="G3521" s="44">
        <v>2500.2299800000001</v>
      </c>
      <c r="H3521" s="44">
        <v>1753.910034</v>
      </c>
      <c r="I3521" s="44">
        <v>1431.709961</v>
      </c>
      <c r="J3521" s="44">
        <v>68.059997999999993</v>
      </c>
      <c r="K3521" s="44">
        <v>109.910004</v>
      </c>
    </row>
    <row r="3522" spans="6:11" x14ac:dyDescent="0.3">
      <c r="F3522" s="43">
        <v>42996</v>
      </c>
      <c r="G3522" s="44">
        <v>2503.8701169999999</v>
      </c>
      <c r="H3522" s="44">
        <v>1762.219971</v>
      </c>
      <c r="I3522" s="44">
        <v>1441.079956</v>
      </c>
      <c r="J3522" s="44">
        <v>68.150002000000001</v>
      </c>
      <c r="K3522" s="44">
        <v>109.860001</v>
      </c>
    </row>
    <row r="3523" spans="6:11" x14ac:dyDescent="0.3">
      <c r="F3523" s="43">
        <v>42997</v>
      </c>
      <c r="G3523" s="44">
        <v>2506.6499020000001</v>
      </c>
      <c r="H3523" s="44">
        <v>1761.5200199999999</v>
      </c>
      <c r="I3523" s="44">
        <v>1440.400024</v>
      </c>
      <c r="J3523" s="44">
        <v>68.470000999999996</v>
      </c>
      <c r="K3523" s="44">
        <v>109.800003</v>
      </c>
    </row>
    <row r="3524" spans="6:11" x14ac:dyDescent="0.3">
      <c r="F3524" s="43">
        <v>42998</v>
      </c>
      <c r="G3524" s="44">
        <v>2508.23999</v>
      </c>
      <c r="H3524" s="44">
        <v>1766.969971</v>
      </c>
      <c r="I3524" s="44">
        <v>1445.420044</v>
      </c>
      <c r="J3524" s="44">
        <v>68.319999999999993</v>
      </c>
      <c r="K3524" s="44">
        <v>109.709999</v>
      </c>
    </row>
    <row r="3525" spans="6:11" x14ac:dyDescent="0.3">
      <c r="F3525" s="43">
        <v>42999</v>
      </c>
      <c r="G3525" s="44">
        <v>2500.6000979999999</v>
      </c>
      <c r="H3525" s="44">
        <v>1762.829956</v>
      </c>
      <c r="I3525" s="44">
        <v>1444.1800539999999</v>
      </c>
      <c r="J3525" s="44">
        <v>68.180000000000007</v>
      </c>
      <c r="K3525" s="44">
        <v>109.69000200000001</v>
      </c>
    </row>
    <row r="3526" spans="6:11" x14ac:dyDescent="0.3">
      <c r="F3526" s="43">
        <v>43000</v>
      </c>
      <c r="G3526" s="44">
        <v>2502.219971</v>
      </c>
      <c r="H3526" s="44">
        <v>1768.650024</v>
      </c>
      <c r="I3526" s="44">
        <v>1450.780029</v>
      </c>
      <c r="J3526" s="44">
        <v>68.389999000000003</v>
      </c>
      <c r="K3526" s="44">
        <v>109.769997</v>
      </c>
    </row>
    <row r="3527" spans="6:11" x14ac:dyDescent="0.3">
      <c r="F3527" s="43">
        <v>43003</v>
      </c>
      <c r="G3527" s="44">
        <v>2496.6599120000001</v>
      </c>
      <c r="H3527" s="44">
        <v>1771.849976</v>
      </c>
      <c r="I3527" s="44">
        <v>1451.959961</v>
      </c>
      <c r="J3527" s="44">
        <v>68</v>
      </c>
      <c r="K3527" s="44">
        <v>110.029999</v>
      </c>
    </row>
    <row r="3528" spans="6:11" x14ac:dyDescent="0.3">
      <c r="F3528" s="43">
        <v>43004</v>
      </c>
      <c r="G3528" s="44">
        <v>2496.8400879999999</v>
      </c>
      <c r="H3528" s="44">
        <v>1773.709961</v>
      </c>
      <c r="I3528" s="44">
        <v>1456.8599850000001</v>
      </c>
      <c r="J3528" s="44">
        <v>67.849997999999999</v>
      </c>
      <c r="K3528" s="44">
        <v>109.989998</v>
      </c>
    </row>
    <row r="3529" spans="6:11" x14ac:dyDescent="0.3">
      <c r="F3529" s="43">
        <v>43005</v>
      </c>
      <c r="G3529" s="44">
        <v>2507.040039</v>
      </c>
      <c r="H3529" s="44">
        <v>1790.160034</v>
      </c>
      <c r="I3529" s="44">
        <v>1484.8100589999999</v>
      </c>
      <c r="J3529" s="44">
        <v>67.900002000000001</v>
      </c>
      <c r="K3529" s="44">
        <v>109.66999800000001</v>
      </c>
    </row>
    <row r="3530" spans="6:11" x14ac:dyDescent="0.3">
      <c r="F3530" s="43">
        <v>43006</v>
      </c>
      <c r="G3530" s="44">
        <v>2510.0600589999999</v>
      </c>
      <c r="H3530" s="44">
        <v>1793.630005</v>
      </c>
      <c r="I3530" s="44">
        <v>1488.790039</v>
      </c>
      <c r="J3530" s="44">
        <v>68.080001999999993</v>
      </c>
      <c r="K3530" s="44">
        <v>109.68</v>
      </c>
    </row>
    <row r="3531" spans="6:11" x14ac:dyDescent="0.3">
      <c r="F3531" s="43">
        <v>43007</v>
      </c>
      <c r="G3531" s="44">
        <v>2519.360107</v>
      </c>
      <c r="H3531" s="44">
        <v>1795.9399410000001</v>
      </c>
      <c r="I3531" s="44">
        <v>1490.8599850000001</v>
      </c>
      <c r="J3531" s="44">
        <v>68.480002999999996</v>
      </c>
      <c r="K3531" s="44">
        <v>109.589996</v>
      </c>
    </row>
    <row r="3532" spans="6:11" x14ac:dyDescent="0.3">
      <c r="F3532" s="43">
        <v>43010</v>
      </c>
      <c r="G3532" s="44">
        <v>2529.1201169999999</v>
      </c>
      <c r="H3532" s="44">
        <v>1811.01001</v>
      </c>
      <c r="I3532" s="44">
        <v>1509.469971</v>
      </c>
      <c r="J3532" s="44">
        <v>68.419998000000007</v>
      </c>
      <c r="K3532" s="44">
        <v>109.43</v>
      </c>
    </row>
    <row r="3533" spans="6:11" x14ac:dyDescent="0.3">
      <c r="F3533" s="43">
        <v>43011</v>
      </c>
      <c r="G3533" s="44">
        <v>2534.580078</v>
      </c>
      <c r="H3533" s="44">
        <v>1815.469971</v>
      </c>
      <c r="I3533" s="44">
        <v>1511.969971</v>
      </c>
      <c r="J3533" s="44">
        <v>68.650002000000001</v>
      </c>
      <c r="K3533" s="44">
        <v>109.519997</v>
      </c>
    </row>
    <row r="3534" spans="6:11" x14ac:dyDescent="0.3">
      <c r="F3534" s="43">
        <v>43012</v>
      </c>
      <c r="G3534" s="44">
        <v>2537.73999</v>
      </c>
      <c r="H3534" s="44">
        <v>1814.209961</v>
      </c>
      <c r="I3534" s="44">
        <v>1507.76001</v>
      </c>
      <c r="J3534" s="44">
        <v>68.519997000000004</v>
      </c>
      <c r="K3534" s="44">
        <v>109.489998</v>
      </c>
    </row>
    <row r="3535" spans="6:11" x14ac:dyDescent="0.3">
      <c r="F3535" s="43">
        <v>43013</v>
      </c>
      <c r="G3535" s="44">
        <v>2552.070068</v>
      </c>
      <c r="H3535" s="44">
        <v>1819.959961</v>
      </c>
      <c r="I3535" s="44">
        <v>1512.089966</v>
      </c>
      <c r="J3535" s="44">
        <v>68.480002999999996</v>
      </c>
      <c r="K3535" s="44">
        <v>109.44000200000001</v>
      </c>
    </row>
    <row r="3536" spans="6:11" x14ac:dyDescent="0.3">
      <c r="F3536" s="43">
        <v>43014</v>
      </c>
      <c r="G3536" s="44">
        <v>2549.330078</v>
      </c>
      <c r="H3536" s="44">
        <v>1818.4300539999999</v>
      </c>
      <c r="I3536" s="44">
        <v>1510.219971</v>
      </c>
      <c r="J3536" s="44">
        <v>68.430000000000007</v>
      </c>
      <c r="K3536" s="44">
        <v>109.279999</v>
      </c>
    </row>
    <row r="3537" spans="6:11" x14ac:dyDescent="0.3">
      <c r="F3537" s="43">
        <v>43017</v>
      </c>
      <c r="G3537" s="44">
        <v>2544.7299800000001</v>
      </c>
      <c r="H3537" s="44">
        <v>1813.170044</v>
      </c>
      <c r="I3537" s="44">
        <v>1503.5600589999999</v>
      </c>
      <c r="J3537" s="44">
        <v>68.449996999999996</v>
      </c>
      <c r="K3537" s="44">
        <v>109.43</v>
      </c>
    </row>
    <row r="3538" spans="6:11" x14ac:dyDescent="0.3">
      <c r="F3538" s="43">
        <v>43018</v>
      </c>
      <c r="G3538" s="44">
        <v>2550.639893</v>
      </c>
      <c r="H3538" s="44">
        <v>1818.579956</v>
      </c>
      <c r="I3538" s="44">
        <v>1508.01001</v>
      </c>
      <c r="J3538" s="44">
        <v>69.099997999999999</v>
      </c>
      <c r="K3538" s="44">
        <v>109.44000200000001</v>
      </c>
    </row>
    <row r="3539" spans="6:11" x14ac:dyDescent="0.3">
      <c r="F3539" s="43">
        <v>43019</v>
      </c>
      <c r="G3539" s="44">
        <v>2555.23999</v>
      </c>
      <c r="H3539" s="44">
        <v>1819.73999</v>
      </c>
      <c r="I3539" s="44">
        <v>1506.920044</v>
      </c>
      <c r="J3539" s="44">
        <v>69.269997000000004</v>
      </c>
      <c r="K3539" s="44">
        <v>109.459999</v>
      </c>
    </row>
    <row r="3540" spans="6:11" x14ac:dyDescent="0.3">
      <c r="F3540" s="43">
        <v>43020</v>
      </c>
      <c r="G3540" s="44">
        <v>2550.929932</v>
      </c>
      <c r="H3540" s="44">
        <v>1819.7299800000001</v>
      </c>
      <c r="I3540" s="44">
        <v>1505.160034</v>
      </c>
      <c r="J3540" s="44">
        <v>69.209998999999996</v>
      </c>
      <c r="K3540" s="44">
        <v>109.589996</v>
      </c>
    </row>
    <row r="3541" spans="6:11" x14ac:dyDescent="0.3">
      <c r="F3541" s="43">
        <v>43021</v>
      </c>
      <c r="G3541" s="44">
        <v>2553.169922</v>
      </c>
      <c r="H3541" s="44">
        <v>1818.8199460000001</v>
      </c>
      <c r="I3541" s="44">
        <v>1502.660034</v>
      </c>
      <c r="J3541" s="44">
        <v>69.569999999999993</v>
      </c>
      <c r="K3541" s="44">
        <v>109.860001</v>
      </c>
    </row>
    <row r="3542" spans="6:11" x14ac:dyDescent="0.3">
      <c r="F3542" s="43">
        <v>43024</v>
      </c>
      <c r="G3542" s="44">
        <v>2557.639893</v>
      </c>
      <c r="H3542" s="44">
        <v>1819.459961</v>
      </c>
      <c r="I3542" s="44">
        <v>1502.6800539999999</v>
      </c>
      <c r="J3542" s="44">
        <v>69.519997000000004</v>
      </c>
      <c r="K3542" s="44">
        <v>109.75</v>
      </c>
    </row>
    <row r="3543" spans="6:11" x14ac:dyDescent="0.3">
      <c r="F3543" s="43">
        <v>43025</v>
      </c>
      <c r="G3543" s="44">
        <v>2559.360107</v>
      </c>
      <c r="H3543" s="44">
        <v>1816.339966</v>
      </c>
      <c r="I3543" s="44">
        <v>1497.5</v>
      </c>
      <c r="J3543" s="44">
        <v>69.339995999999999</v>
      </c>
      <c r="K3543" s="44">
        <v>109.709999</v>
      </c>
    </row>
    <row r="3544" spans="6:11" x14ac:dyDescent="0.3">
      <c r="F3544" s="43">
        <v>43026</v>
      </c>
      <c r="G3544" s="44">
        <v>2561.26001</v>
      </c>
      <c r="H3544" s="44">
        <v>1821.8900149999999</v>
      </c>
      <c r="I3544" s="44">
        <v>1505.1400149999999</v>
      </c>
      <c r="J3544" s="44">
        <v>69.540001000000004</v>
      </c>
      <c r="K3544" s="44">
        <v>109.540001</v>
      </c>
    </row>
    <row r="3545" spans="6:11" x14ac:dyDescent="0.3">
      <c r="F3545" s="43">
        <v>43027</v>
      </c>
      <c r="G3545" s="44">
        <v>2562.1000979999999</v>
      </c>
      <c r="H3545" s="44">
        <v>1823.849976</v>
      </c>
      <c r="I3545" s="44">
        <v>1502.040039</v>
      </c>
      <c r="J3545" s="44">
        <v>69.430000000000007</v>
      </c>
      <c r="K3545" s="44">
        <v>109.620003</v>
      </c>
    </row>
    <row r="3546" spans="6:11" x14ac:dyDescent="0.3">
      <c r="F3546" s="43">
        <v>43028</v>
      </c>
      <c r="G3546" s="44">
        <v>2575.209961</v>
      </c>
      <c r="H3546" s="44">
        <v>1834.290039</v>
      </c>
      <c r="I3546" s="44">
        <v>1509.25</v>
      </c>
      <c r="J3546" s="44">
        <v>69.339995999999999</v>
      </c>
      <c r="K3546" s="44">
        <v>109.300003</v>
      </c>
    </row>
    <row r="3547" spans="6:11" x14ac:dyDescent="0.3">
      <c r="F3547" s="43">
        <v>43031</v>
      </c>
      <c r="G3547" s="44">
        <v>2564.9799800000001</v>
      </c>
      <c r="H3547" s="44">
        <v>1824.910034</v>
      </c>
      <c r="I3547" s="44">
        <v>1497.48999</v>
      </c>
      <c r="J3547" s="44">
        <v>69.190002000000007</v>
      </c>
      <c r="K3547" s="44">
        <v>109.41999800000001</v>
      </c>
    </row>
    <row r="3548" spans="6:11" x14ac:dyDescent="0.3">
      <c r="F3548" s="43">
        <v>43032</v>
      </c>
      <c r="G3548" s="44">
        <v>2569.1298830000001</v>
      </c>
      <c r="H3548" s="44">
        <v>1831.1899410000001</v>
      </c>
      <c r="I3548" s="44">
        <v>1500.420044</v>
      </c>
      <c r="J3548" s="44">
        <v>69.300003000000004</v>
      </c>
      <c r="K3548" s="44">
        <v>109.19000200000001</v>
      </c>
    </row>
    <row r="3549" spans="6:11" x14ac:dyDescent="0.3">
      <c r="F3549" s="43">
        <v>43033</v>
      </c>
      <c r="G3549" s="44">
        <v>2557.1499020000001</v>
      </c>
      <c r="H3549" s="44">
        <v>1820.540039</v>
      </c>
      <c r="I3549" s="44">
        <v>1493.4799800000001</v>
      </c>
      <c r="J3549" s="44">
        <v>69.029999000000004</v>
      </c>
      <c r="K3549" s="44">
        <v>109.120003</v>
      </c>
    </row>
    <row r="3550" spans="6:11" x14ac:dyDescent="0.3">
      <c r="F3550" s="43">
        <v>43034</v>
      </c>
      <c r="G3550" s="44">
        <v>2560.3999020000001</v>
      </c>
      <c r="H3550" s="44">
        <v>1829.2700199999999</v>
      </c>
      <c r="I3550" s="44">
        <v>1497.459961</v>
      </c>
      <c r="J3550" s="44">
        <v>69.019997000000004</v>
      </c>
      <c r="K3550" s="44">
        <v>109</v>
      </c>
    </row>
    <row r="3551" spans="6:11" x14ac:dyDescent="0.3">
      <c r="F3551" s="43">
        <v>43035</v>
      </c>
      <c r="G3551" s="44">
        <v>2581.070068</v>
      </c>
      <c r="H3551" s="44">
        <v>1839.119995</v>
      </c>
      <c r="I3551" s="44">
        <v>1508.3199460000001</v>
      </c>
      <c r="J3551" s="44">
        <v>69.180000000000007</v>
      </c>
      <c r="K3551" s="44">
        <v>109.239998</v>
      </c>
    </row>
    <row r="3552" spans="6:11" x14ac:dyDescent="0.3">
      <c r="F3552" s="43">
        <v>43038</v>
      </c>
      <c r="G3552" s="44">
        <v>2572.830078</v>
      </c>
      <c r="H3552" s="44">
        <v>1825.4300539999999</v>
      </c>
      <c r="I3552" s="44">
        <v>1490.900024</v>
      </c>
      <c r="J3552" s="44">
        <v>69.339995999999999</v>
      </c>
      <c r="K3552" s="44">
        <v>109.540001</v>
      </c>
    </row>
    <row r="3553" spans="6:11" x14ac:dyDescent="0.3">
      <c r="F3553" s="43">
        <v>43039</v>
      </c>
      <c r="G3553" s="44">
        <v>2575.26001</v>
      </c>
      <c r="H3553" s="44">
        <v>1835.099976</v>
      </c>
      <c r="I3553" s="44">
        <v>1502.530029</v>
      </c>
      <c r="J3553" s="44">
        <v>69.629997000000003</v>
      </c>
      <c r="K3553" s="44">
        <v>109.470001</v>
      </c>
    </row>
    <row r="3554" spans="6:11" x14ac:dyDescent="0.3">
      <c r="F3554" s="43">
        <v>43040</v>
      </c>
      <c r="G3554" s="44">
        <v>2579.360107</v>
      </c>
      <c r="H3554" s="44">
        <v>1830.099976</v>
      </c>
      <c r="I3554" s="44">
        <v>1492.780029</v>
      </c>
      <c r="J3554" s="44">
        <v>69.699996999999996</v>
      </c>
      <c r="K3554" s="44">
        <v>109.290001</v>
      </c>
    </row>
    <row r="3555" spans="6:11" x14ac:dyDescent="0.3">
      <c r="F3555" s="43">
        <v>43041</v>
      </c>
      <c r="G3555" s="44">
        <v>2579.8500979999999</v>
      </c>
      <c r="H3555" s="44">
        <v>1831.339966</v>
      </c>
      <c r="I3555" s="44">
        <v>1496.5500489999999</v>
      </c>
      <c r="J3555" s="44">
        <v>69.910004000000001</v>
      </c>
      <c r="K3555" s="44">
        <v>109.349998</v>
      </c>
    </row>
    <row r="3556" spans="6:11" x14ac:dyDescent="0.3">
      <c r="F3556" s="43">
        <v>43042</v>
      </c>
      <c r="G3556" s="44">
        <v>2587.8400879999999</v>
      </c>
      <c r="H3556" s="44">
        <v>1835.9799800000001</v>
      </c>
      <c r="I3556" s="44">
        <v>1494.910034</v>
      </c>
      <c r="J3556" s="44">
        <v>69.800003000000004</v>
      </c>
      <c r="K3556" s="44">
        <v>109.449997</v>
      </c>
    </row>
    <row r="3557" spans="6:11" x14ac:dyDescent="0.3">
      <c r="F3557" s="43">
        <v>43045</v>
      </c>
      <c r="G3557" s="44">
        <v>2591.1298830000001</v>
      </c>
      <c r="H3557" s="44">
        <v>1843.3599850000001</v>
      </c>
      <c r="I3557" s="44">
        <v>1497.959961</v>
      </c>
      <c r="J3557" s="44">
        <v>69.900002000000001</v>
      </c>
      <c r="K3557" s="44">
        <v>109.550003</v>
      </c>
    </row>
    <row r="3558" spans="6:11" x14ac:dyDescent="0.3">
      <c r="F3558" s="43">
        <v>43046</v>
      </c>
      <c r="G3558" s="44">
        <v>2590.639893</v>
      </c>
      <c r="H3558" s="44">
        <v>1830.619995</v>
      </c>
      <c r="I3558" s="44">
        <v>1479.089966</v>
      </c>
      <c r="J3558" s="44">
        <v>69.639999000000003</v>
      </c>
      <c r="K3558" s="44">
        <v>109.58000199999999</v>
      </c>
    </row>
    <row r="3559" spans="6:11" x14ac:dyDescent="0.3">
      <c r="F3559" s="43">
        <v>43047</v>
      </c>
      <c r="G3559" s="44">
        <v>2594.3798830000001</v>
      </c>
      <c r="H3559" s="44">
        <v>1836.089966</v>
      </c>
      <c r="I3559" s="44">
        <v>1481.7299800000001</v>
      </c>
      <c r="J3559" s="44">
        <v>69.870002999999997</v>
      </c>
      <c r="K3559" s="44">
        <v>109.510002</v>
      </c>
    </row>
    <row r="3560" spans="6:11" x14ac:dyDescent="0.3">
      <c r="F3560" s="43">
        <v>43048</v>
      </c>
      <c r="G3560" s="44">
        <v>2584.6201169999999</v>
      </c>
      <c r="H3560" s="44">
        <v>1826.1999510000001</v>
      </c>
      <c r="I3560" s="44">
        <v>1475.0200199999999</v>
      </c>
      <c r="J3560" s="44">
        <v>69.470000999999996</v>
      </c>
      <c r="K3560" s="44">
        <v>109.43</v>
      </c>
    </row>
    <row r="3561" spans="6:11" x14ac:dyDescent="0.3">
      <c r="F3561" s="43">
        <v>43049</v>
      </c>
      <c r="G3561" s="44">
        <v>2582.3000489999999</v>
      </c>
      <c r="H3561" s="44">
        <v>1825.75</v>
      </c>
      <c r="I3561" s="44">
        <v>1475.2700199999999</v>
      </c>
      <c r="J3561" s="44">
        <v>69.279999000000004</v>
      </c>
      <c r="K3561" s="44">
        <v>108.989998</v>
      </c>
    </row>
    <row r="3562" spans="6:11" x14ac:dyDescent="0.3">
      <c r="F3562" s="43">
        <v>43052</v>
      </c>
      <c r="G3562" s="44">
        <v>2584.8400879999999</v>
      </c>
      <c r="H3562" s="44">
        <v>1828.9300539999999</v>
      </c>
      <c r="I3562" s="44">
        <v>1475.0699460000001</v>
      </c>
      <c r="J3562" s="44">
        <v>68.989998</v>
      </c>
      <c r="K3562" s="44">
        <v>108.989998</v>
      </c>
    </row>
    <row r="3563" spans="6:11" x14ac:dyDescent="0.3">
      <c r="F3563" s="43">
        <v>43053</v>
      </c>
      <c r="G3563" s="44">
        <v>2578.8701169999999</v>
      </c>
      <c r="H3563" s="44">
        <v>1826.8000489999999</v>
      </c>
      <c r="I3563" s="44">
        <v>1471.26001</v>
      </c>
      <c r="J3563" s="44">
        <v>68.940002000000007</v>
      </c>
      <c r="K3563" s="44">
        <v>109.099998</v>
      </c>
    </row>
    <row r="3564" spans="6:11" x14ac:dyDescent="0.3">
      <c r="F3564" s="43">
        <v>43054</v>
      </c>
      <c r="G3564" s="44">
        <v>2564.6201169999999</v>
      </c>
      <c r="H3564" s="44">
        <v>1818.0500489999999</v>
      </c>
      <c r="I3564" s="44">
        <v>1464.089966</v>
      </c>
      <c r="J3564" s="44">
        <v>68.610000999999997</v>
      </c>
      <c r="K3564" s="44">
        <v>109.30999799999999</v>
      </c>
    </row>
    <row r="3565" spans="6:11" x14ac:dyDescent="0.3">
      <c r="F3565" s="43">
        <v>43055</v>
      </c>
      <c r="G3565" s="44">
        <v>2585.639893</v>
      </c>
      <c r="H3565" s="44">
        <v>1836.3900149999999</v>
      </c>
      <c r="I3565" s="44">
        <v>1486.880005</v>
      </c>
      <c r="J3565" s="44">
        <v>69.160004000000001</v>
      </c>
      <c r="K3565" s="44">
        <v>109.19000200000001</v>
      </c>
    </row>
    <row r="3566" spans="6:11" x14ac:dyDescent="0.3">
      <c r="F3566" s="43">
        <v>43056</v>
      </c>
      <c r="G3566" s="44">
        <v>2578.8500979999999</v>
      </c>
      <c r="H3566" s="44">
        <v>1840.73999</v>
      </c>
      <c r="I3566" s="44">
        <v>1492.8199460000001</v>
      </c>
      <c r="J3566" s="44">
        <v>68.910004000000001</v>
      </c>
      <c r="K3566" s="44">
        <v>109.30999799999999</v>
      </c>
    </row>
    <row r="3567" spans="6:11" x14ac:dyDescent="0.3">
      <c r="F3567" s="43">
        <v>43059</v>
      </c>
      <c r="G3567" s="44">
        <v>2582.139893</v>
      </c>
      <c r="H3567" s="44">
        <v>1847.209961</v>
      </c>
      <c r="I3567" s="44">
        <v>1503.400024</v>
      </c>
      <c r="J3567" s="44">
        <v>69.059997999999993</v>
      </c>
      <c r="K3567" s="44">
        <v>109.25</v>
      </c>
    </row>
    <row r="3568" spans="6:11" x14ac:dyDescent="0.3">
      <c r="F3568" s="43">
        <v>43060</v>
      </c>
      <c r="G3568" s="44">
        <v>2599.030029</v>
      </c>
      <c r="H3568" s="44">
        <v>1858.959961</v>
      </c>
      <c r="I3568" s="44">
        <v>1518.8900149999999</v>
      </c>
      <c r="J3568" s="44">
        <v>69.580001999999993</v>
      </c>
      <c r="K3568" s="44">
        <v>109.360001</v>
      </c>
    </row>
    <row r="3569" spans="6:11" x14ac:dyDescent="0.3">
      <c r="F3569" s="43">
        <v>43061</v>
      </c>
      <c r="G3569" s="44">
        <v>2597.080078</v>
      </c>
      <c r="H3569" s="44">
        <v>1857.910034</v>
      </c>
      <c r="I3569" s="44">
        <v>1516.76001</v>
      </c>
      <c r="J3569" s="44">
        <v>69.769997000000004</v>
      </c>
      <c r="K3569" s="44">
        <v>109.550003</v>
      </c>
    </row>
    <row r="3570" spans="6:11" x14ac:dyDescent="0.3">
      <c r="F3570" s="43">
        <v>43063</v>
      </c>
      <c r="G3570" s="44">
        <v>2602.419922</v>
      </c>
      <c r="H3570" s="44">
        <v>1859.1899410000001</v>
      </c>
      <c r="I3570" s="44">
        <v>1519.160034</v>
      </c>
      <c r="J3570" s="44">
        <v>70.339995999999999</v>
      </c>
      <c r="K3570" s="44">
        <v>109.529999</v>
      </c>
    </row>
    <row r="3571" spans="6:11" x14ac:dyDescent="0.3">
      <c r="F3571" s="43">
        <v>43066</v>
      </c>
      <c r="G3571" s="44">
        <v>2601.419922</v>
      </c>
      <c r="H3571" s="44">
        <v>1856.1099850000001</v>
      </c>
      <c r="I3571" s="44">
        <v>1513.3100589999999</v>
      </c>
      <c r="J3571" s="44">
        <v>69.919998000000007</v>
      </c>
      <c r="K3571" s="44">
        <v>109.529999</v>
      </c>
    </row>
    <row r="3572" spans="6:11" x14ac:dyDescent="0.3">
      <c r="F3572" s="43">
        <v>43067</v>
      </c>
      <c r="G3572" s="44">
        <v>2627.040039</v>
      </c>
      <c r="H3572" s="44">
        <v>1880.26001</v>
      </c>
      <c r="I3572" s="44">
        <v>1536.4300539999999</v>
      </c>
      <c r="J3572" s="44">
        <v>70.319999999999993</v>
      </c>
      <c r="K3572" s="44">
        <v>109.529999</v>
      </c>
    </row>
    <row r="3573" spans="6:11" x14ac:dyDescent="0.3">
      <c r="F3573" s="43">
        <v>43068</v>
      </c>
      <c r="G3573" s="44">
        <v>2626.070068</v>
      </c>
      <c r="H3573" s="44">
        <v>1888.900024</v>
      </c>
      <c r="I3573" s="44">
        <v>1542.3000489999999</v>
      </c>
      <c r="J3573" s="44">
        <v>70.040001000000004</v>
      </c>
      <c r="K3573" s="44">
        <v>109.260002</v>
      </c>
    </row>
    <row r="3574" spans="6:11" x14ac:dyDescent="0.3">
      <c r="F3574" s="43">
        <v>43069</v>
      </c>
      <c r="G3574" s="44">
        <v>2647.580078</v>
      </c>
      <c r="H3574" s="44">
        <v>1899.1800539999999</v>
      </c>
      <c r="I3574" s="44">
        <v>1544.1400149999999</v>
      </c>
      <c r="J3574" s="44">
        <v>70.110000999999997</v>
      </c>
      <c r="K3574" s="44">
        <v>109.08000199999999</v>
      </c>
    </row>
    <row r="3575" spans="6:11" x14ac:dyDescent="0.3">
      <c r="F3575" s="43">
        <v>43070</v>
      </c>
      <c r="G3575" s="44">
        <v>2642.219971</v>
      </c>
      <c r="H3575" s="44">
        <v>1894.579956</v>
      </c>
      <c r="I3575" s="44">
        <v>1537.0200199999999</v>
      </c>
      <c r="J3575" s="44">
        <v>69.830001999999993</v>
      </c>
      <c r="K3575" s="44">
        <v>109.160004</v>
      </c>
    </row>
    <row r="3576" spans="6:11" x14ac:dyDescent="0.3">
      <c r="F3576" s="43">
        <v>43073</v>
      </c>
      <c r="G3576" s="44">
        <v>2639.4399410000001</v>
      </c>
      <c r="H3576" s="44">
        <v>1894.0699460000001</v>
      </c>
      <c r="I3576" s="44">
        <v>1532.410034</v>
      </c>
      <c r="J3576" s="44">
        <v>69.580001999999993</v>
      </c>
      <c r="K3576" s="44">
        <v>109.150002</v>
      </c>
    </row>
    <row r="3577" spans="6:11" x14ac:dyDescent="0.3">
      <c r="F3577" s="43">
        <v>43074</v>
      </c>
      <c r="G3577" s="44">
        <v>2629.570068</v>
      </c>
      <c r="H3577" s="44">
        <v>1879.130005</v>
      </c>
      <c r="I3577" s="44">
        <v>1516.76001</v>
      </c>
      <c r="J3577" s="44">
        <v>69.430000000000007</v>
      </c>
      <c r="K3577" s="44">
        <v>109.260002</v>
      </c>
    </row>
    <row r="3578" spans="6:11" x14ac:dyDescent="0.3">
      <c r="F3578" s="43">
        <v>43075</v>
      </c>
      <c r="G3578" s="44">
        <v>2629.2700199999999</v>
      </c>
      <c r="H3578" s="44">
        <v>1871.099976</v>
      </c>
      <c r="I3578" s="44">
        <v>1508.880005</v>
      </c>
      <c r="J3578" s="44">
        <v>69.290001000000004</v>
      </c>
      <c r="K3578" s="44">
        <v>109.370003</v>
      </c>
    </row>
    <row r="3579" spans="6:11" x14ac:dyDescent="0.3">
      <c r="F3579" s="43">
        <v>43076</v>
      </c>
      <c r="G3579" s="44">
        <v>2636.9799800000001</v>
      </c>
      <c r="H3579" s="44">
        <v>1883.5</v>
      </c>
      <c r="I3579" s="44">
        <v>1520.469971</v>
      </c>
      <c r="J3579" s="44">
        <v>69.470000999999996</v>
      </c>
      <c r="K3579" s="44">
        <v>109.230003</v>
      </c>
    </row>
    <row r="3580" spans="6:11" x14ac:dyDescent="0.3">
      <c r="F3580" s="43">
        <v>43077</v>
      </c>
      <c r="G3580" s="44">
        <v>2651.5</v>
      </c>
      <c r="H3580" s="44">
        <v>1890.8599850000001</v>
      </c>
      <c r="I3580" s="44">
        <v>1521.719971</v>
      </c>
      <c r="J3580" s="44">
        <v>69.839995999999999</v>
      </c>
      <c r="K3580" s="44">
        <v>109.19000200000001</v>
      </c>
    </row>
    <row r="3581" spans="6:11" x14ac:dyDescent="0.3">
      <c r="F3581" s="43">
        <v>43080</v>
      </c>
      <c r="G3581" s="44">
        <v>2659.98999</v>
      </c>
      <c r="H3581" s="44">
        <v>1888.1999510000001</v>
      </c>
      <c r="I3581" s="44">
        <v>1519.839966</v>
      </c>
      <c r="J3581" s="44">
        <v>70.019997000000004</v>
      </c>
      <c r="K3581" s="44">
        <v>109.150002</v>
      </c>
    </row>
    <row r="3582" spans="6:11" x14ac:dyDescent="0.3">
      <c r="F3582" s="43">
        <v>43081</v>
      </c>
      <c r="G3582" s="44">
        <v>2664.110107</v>
      </c>
      <c r="H3582" s="44">
        <v>1883.9399410000001</v>
      </c>
      <c r="I3582" s="44">
        <v>1516.119995</v>
      </c>
      <c r="J3582" s="44">
        <v>70.110000999999997</v>
      </c>
      <c r="K3582" s="44">
        <v>109.099998</v>
      </c>
    </row>
    <row r="3583" spans="6:11" x14ac:dyDescent="0.3">
      <c r="F3583" s="43">
        <v>43082</v>
      </c>
      <c r="G3583" s="44">
        <v>2662.8500979999999</v>
      </c>
      <c r="H3583" s="44">
        <v>1883.7700199999999</v>
      </c>
      <c r="I3583" s="44">
        <v>1524.4499510000001</v>
      </c>
      <c r="J3583" s="44">
        <v>70.379997000000003</v>
      </c>
      <c r="K3583" s="44">
        <v>109.410004</v>
      </c>
    </row>
    <row r="3584" spans="6:11" x14ac:dyDescent="0.3">
      <c r="F3584" s="43">
        <v>43083</v>
      </c>
      <c r="G3584" s="44">
        <v>2652.01001</v>
      </c>
      <c r="H3584" s="44">
        <v>1867.1400149999999</v>
      </c>
      <c r="I3584" s="44">
        <v>1506.9499510000001</v>
      </c>
      <c r="J3584" s="44">
        <v>69.989998</v>
      </c>
      <c r="K3584" s="44">
        <v>109.44000200000001</v>
      </c>
    </row>
    <row r="3585" spans="6:11" x14ac:dyDescent="0.3">
      <c r="F3585" s="43">
        <v>43084</v>
      </c>
      <c r="G3585" s="44">
        <v>2675.8100589999999</v>
      </c>
      <c r="H3585" s="44">
        <v>1886.670044</v>
      </c>
      <c r="I3585" s="44">
        <v>1530.420044</v>
      </c>
      <c r="J3585" s="44">
        <v>69.970000999999996</v>
      </c>
      <c r="K3585" s="44">
        <v>109.470001</v>
      </c>
    </row>
    <row r="3586" spans="6:11" x14ac:dyDescent="0.3">
      <c r="F3586" s="43">
        <v>43087</v>
      </c>
      <c r="G3586" s="44">
        <v>2690.1599120000001</v>
      </c>
      <c r="H3586" s="44">
        <v>1905.3000489999999</v>
      </c>
      <c r="I3586" s="44">
        <v>1548.920044</v>
      </c>
      <c r="J3586" s="44">
        <v>70.800003000000004</v>
      </c>
      <c r="K3586" s="44">
        <v>109.33000199999999</v>
      </c>
    </row>
    <row r="3587" spans="6:11" x14ac:dyDescent="0.3">
      <c r="F3587" s="43">
        <v>43088</v>
      </c>
      <c r="G3587" s="44">
        <v>2681.469971</v>
      </c>
      <c r="H3587" s="44">
        <v>1897.030029</v>
      </c>
      <c r="I3587" s="44">
        <v>1536.75</v>
      </c>
      <c r="J3587" s="44">
        <v>69.800003000000004</v>
      </c>
      <c r="K3587" s="44">
        <v>109.010002</v>
      </c>
    </row>
    <row r="3588" spans="6:11" x14ac:dyDescent="0.3">
      <c r="F3588" s="43">
        <v>43089</v>
      </c>
      <c r="G3588" s="44">
        <v>2679.25</v>
      </c>
      <c r="H3588" s="44">
        <v>1899.959961</v>
      </c>
      <c r="I3588" s="44">
        <v>1540.079956</v>
      </c>
      <c r="J3588" s="44">
        <v>69.680000000000007</v>
      </c>
      <c r="K3588" s="44">
        <v>108.760002</v>
      </c>
    </row>
    <row r="3589" spans="6:11" x14ac:dyDescent="0.3">
      <c r="F3589" s="43">
        <v>43090</v>
      </c>
      <c r="G3589" s="44">
        <v>2684.570068</v>
      </c>
      <c r="H3589" s="44">
        <v>1905.1800539999999</v>
      </c>
      <c r="I3589" s="44">
        <v>1547.1099850000001</v>
      </c>
      <c r="J3589" s="44">
        <v>69.930000000000007</v>
      </c>
      <c r="K3589" s="44">
        <v>108.82</v>
      </c>
    </row>
    <row r="3590" spans="6:11" x14ac:dyDescent="0.3">
      <c r="F3590" s="43">
        <v>43091</v>
      </c>
      <c r="G3590" s="44">
        <v>2683.3400879999999</v>
      </c>
      <c r="H3590" s="44">
        <v>1904.579956</v>
      </c>
      <c r="I3590" s="44">
        <v>1542.9300539999999</v>
      </c>
      <c r="J3590" s="44">
        <v>70.110000999999997</v>
      </c>
      <c r="K3590" s="44">
        <v>108.870003</v>
      </c>
    </row>
    <row r="3591" spans="6:11" x14ac:dyDescent="0.3">
      <c r="F3591" s="43">
        <v>43095</v>
      </c>
      <c r="G3591" s="44">
        <v>2680.5</v>
      </c>
      <c r="H3591" s="44">
        <v>1905.7299800000001</v>
      </c>
      <c r="I3591" s="44">
        <v>1544.2299800000001</v>
      </c>
      <c r="J3591" s="44">
        <v>70.089995999999999</v>
      </c>
      <c r="K3591" s="44">
        <v>108.959999</v>
      </c>
    </row>
    <row r="3592" spans="6:11" x14ac:dyDescent="0.3">
      <c r="F3592" s="43">
        <v>43096</v>
      </c>
      <c r="G3592" s="44">
        <v>2682.6201169999999</v>
      </c>
      <c r="H3592" s="44">
        <v>1905.5200199999999</v>
      </c>
      <c r="I3592" s="44">
        <v>1543.9399410000001</v>
      </c>
      <c r="J3592" s="44">
        <v>70.220000999999996</v>
      </c>
      <c r="K3592" s="44">
        <v>109.300003</v>
      </c>
    </row>
    <row r="3593" spans="6:11" x14ac:dyDescent="0.3">
      <c r="F3593" s="43">
        <v>43097</v>
      </c>
      <c r="G3593" s="44">
        <v>2687.540039</v>
      </c>
      <c r="H3593" s="44">
        <v>1911.280029</v>
      </c>
      <c r="I3593" s="44">
        <v>1548.9300539999999</v>
      </c>
      <c r="J3593" s="44">
        <v>70.260002</v>
      </c>
      <c r="K3593" s="44">
        <v>109.220001</v>
      </c>
    </row>
    <row r="3594" spans="6:11" x14ac:dyDescent="0.3">
      <c r="F3594" s="43">
        <v>43098</v>
      </c>
      <c r="G3594" s="44">
        <v>2673.610107</v>
      </c>
      <c r="H3594" s="44">
        <v>1900.5699460000001</v>
      </c>
      <c r="I3594" s="44">
        <v>1535.51001</v>
      </c>
      <c r="J3594" s="44">
        <v>70.309997999999993</v>
      </c>
      <c r="K3594" s="44">
        <v>109.33000199999999</v>
      </c>
    </row>
    <row r="3595" spans="6:11" x14ac:dyDescent="0.3">
      <c r="F3595" s="43">
        <v>43102</v>
      </c>
      <c r="G3595" s="44">
        <v>2695.8100589999999</v>
      </c>
      <c r="H3595" s="44">
        <v>1917.3599850000001</v>
      </c>
      <c r="I3595" s="44">
        <v>1550.01001</v>
      </c>
      <c r="J3595" s="44">
        <v>70.830001999999993</v>
      </c>
      <c r="K3595" s="44">
        <v>109.16999800000001</v>
      </c>
    </row>
    <row r="3596" spans="6:11" x14ac:dyDescent="0.3">
      <c r="F3596" s="43">
        <v>43103</v>
      </c>
      <c r="G3596" s="44">
        <v>2713.0600589999999</v>
      </c>
      <c r="H3596" s="44">
        <v>1923.3599850000001</v>
      </c>
      <c r="I3596" s="44">
        <v>1552.579956</v>
      </c>
      <c r="J3596" s="44">
        <v>71.169998000000007</v>
      </c>
      <c r="K3596" s="44">
        <v>109.18</v>
      </c>
    </row>
    <row r="3597" spans="6:11" x14ac:dyDescent="0.3">
      <c r="F3597" s="43">
        <v>43104</v>
      </c>
      <c r="G3597" s="44">
        <v>2723.98999</v>
      </c>
      <c r="H3597" s="44">
        <v>1928.4499510000001</v>
      </c>
      <c r="I3597" s="44">
        <v>1555.719971</v>
      </c>
      <c r="J3597" s="44">
        <v>71.949996999999996</v>
      </c>
      <c r="K3597" s="44">
        <v>109.110001</v>
      </c>
    </row>
    <row r="3598" spans="6:11" x14ac:dyDescent="0.3">
      <c r="F3598" s="43">
        <v>43105</v>
      </c>
      <c r="G3598" s="44">
        <v>2743.1499020000001</v>
      </c>
      <c r="H3598" s="44">
        <v>1936.2700199999999</v>
      </c>
      <c r="I3598" s="44">
        <v>1560.01001</v>
      </c>
      <c r="J3598" s="44">
        <v>72.349997999999999</v>
      </c>
      <c r="K3598" s="44">
        <v>109.040001</v>
      </c>
    </row>
    <row r="3599" spans="6:11" x14ac:dyDescent="0.3">
      <c r="F3599" s="43">
        <v>43108</v>
      </c>
      <c r="G3599" s="44">
        <v>2747.709961</v>
      </c>
      <c r="H3599" s="44">
        <v>1946.1099850000001</v>
      </c>
      <c r="I3599" s="44">
        <v>1561.8100589999999</v>
      </c>
      <c r="J3599" s="44">
        <v>72.330001999999993</v>
      </c>
      <c r="K3599" s="44">
        <v>109.010002</v>
      </c>
    </row>
    <row r="3600" spans="6:11" x14ac:dyDescent="0.3">
      <c r="F3600" s="43">
        <v>43109</v>
      </c>
      <c r="G3600" s="44">
        <v>2751.290039</v>
      </c>
      <c r="H3600" s="44">
        <v>1942.5</v>
      </c>
      <c r="I3600" s="44">
        <v>1560.099976</v>
      </c>
      <c r="J3600" s="44">
        <v>72.410004000000001</v>
      </c>
      <c r="K3600" s="44">
        <v>108.709999</v>
      </c>
    </row>
    <row r="3601" spans="6:11" x14ac:dyDescent="0.3">
      <c r="F3601" s="43">
        <v>43110</v>
      </c>
      <c r="G3601" s="44">
        <v>2748.2299800000001</v>
      </c>
      <c r="H3601" s="44">
        <v>1933.26001</v>
      </c>
      <c r="I3601" s="44">
        <v>1559.8000489999999</v>
      </c>
      <c r="J3601" s="44">
        <v>72.269997000000004</v>
      </c>
      <c r="K3601" s="44">
        <v>108.709999</v>
      </c>
    </row>
    <row r="3602" spans="6:11" x14ac:dyDescent="0.3">
      <c r="F3602" s="43">
        <v>43111</v>
      </c>
      <c r="G3602" s="44">
        <v>2767.5600589999999</v>
      </c>
      <c r="H3602" s="44">
        <v>1960.6800539999999</v>
      </c>
      <c r="I3602" s="44">
        <v>1586.790039</v>
      </c>
      <c r="J3602" s="44">
        <v>72.769997000000004</v>
      </c>
      <c r="K3602" s="44">
        <v>108.760002</v>
      </c>
    </row>
    <row r="3603" spans="6:11" x14ac:dyDescent="0.3">
      <c r="F3603" s="43">
        <v>43112</v>
      </c>
      <c r="G3603" s="44">
        <v>2786.23999</v>
      </c>
      <c r="H3603" s="44">
        <v>1965.969971</v>
      </c>
      <c r="I3603" s="44">
        <v>1591.969971</v>
      </c>
      <c r="J3603" s="44">
        <v>73.5</v>
      </c>
      <c r="K3603" s="44">
        <v>108.739998</v>
      </c>
    </row>
    <row r="3604" spans="6:11" x14ac:dyDescent="0.3">
      <c r="F3604" s="43">
        <v>43116</v>
      </c>
      <c r="G3604" s="44">
        <v>2776.419922</v>
      </c>
      <c r="H3604" s="44">
        <v>1952.0699460000001</v>
      </c>
      <c r="I3604" s="44">
        <v>1572.969971</v>
      </c>
      <c r="J3604" s="44">
        <v>73.430000000000007</v>
      </c>
      <c r="K3604" s="44">
        <v>108.769997</v>
      </c>
    </row>
    <row r="3605" spans="6:11" x14ac:dyDescent="0.3">
      <c r="F3605" s="43">
        <v>43117</v>
      </c>
      <c r="G3605" s="44">
        <v>2802.5600589999999</v>
      </c>
      <c r="H3605" s="44">
        <v>1965.9300539999999</v>
      </c>
      <c r="I3605" s="44">
        <v>1586.660034</v>
      </c>
      <c r="J3605" s="44">
        <v>73.809997999999993</v>
      </c>
      <c r="K3605" s="44">
        <v>108.650002</v>
      </c>
    </row>
    <row r="3606" spans="6:11" x14ac:dyDescent="0.3">
      <c r="F3606" s="43">
        <v>43118</v>
      </c>
      <c r="G3606" s="44">
        <v>2798.030029</v>
      </c>
      <c r="H3606" s="44">
        <v>1958.3000489999999</v>
      </c>
      <c r="I3606" s="44">
        <v>1576.7299800000001</v>
      </c>
      <c r="J3606" s="44">
        <v>73.720000999999996</v>
      </c>
      <c r="K3606" s="44">
        <v>108.410004</v>
      </c>
    </row>
    <row r="3607" spans="6:11" x14ac:dyDescent="0.3">
      <c r="F3607" s="43">
        <v>43119</v>
      </c>
      <c r="G3607" s="44">
        <v>2810.3000489999999</v>
      </c>
      <c r="H3607" s="44">
        <v>1979.1999510000001</v>
      </c>
      <c r="I3607" s="44">
        <v>1597.630005</v>
      </c>
      <c r="J3607" s="44">
        <v>74.129997000000003</v>
      </c>
      <c r="K3607" s="44">
        <v>108.18</v>
      </c>
    </row>
    <row r="3608" spans="6:11" x14ac:dyDescent="0.3">
      <c r="F3608" s="43">
        <v>43122</v>
      </c>
      <c r="G3608" s="44">
        <v>2832.969971</v>
      </c>
      <c r="H3608" s="44">
        <v>1989.6099850000001</v>
      </c>
      <c r="I3608" s="44">
        <v>1605.170044</v>
      </c>
      <c r="J3608" s="44">
        <v>74.510002</v>
      </c>
      <c r="K3608" s="44">
        <v>108.139999</v>
      </c>
    </row>
    <row r="3609" spans="6:11" x14ac:dyDescent="0.3">
      <c r="F3609" s="43">
        <v>43123</v>
      </c>
      <c r="G3609" s="44">
        <v>2839.1298830000001</v>
      </c>
      <c r="H3609" s="44">
        <v>1993.880005</v>
      </c>
      <c r="I3609" s="44">
        <v>1610.709961</v>
      </c>
      <c r="J3609" s="44">
        <v>74.75</v>
      </c>
      <c r="K3609" s="44">
        <v>108.400002</v>
      </c>
    </row>
    <row r="3610" spans="6:11" x14ac:dyDescent="0.3">
      <c r="F3610" s="43">
        <v>43124</v>
      </c>
      <c r="G3610" s="44">
        <v>2837.540039</v>
      </c>
      <c r="H3610" s="44">
        <v>1987.73999</v>
      </c>
      <c r="I3610" s="44">
        <v>1601.7700199999999</v>
      </c>
      <c r="J3610" s="44">
        <v>74.879997000000003</v>
      </c>
      <c r="K3610" s="44">
        <v>108.290001</v>
      </c>
    </row>
    <row r="3611" spans="6:11" x14ac:dyDescent="0.3">
      <c r="F3611" s="43">
        <v>43125</v>
      </c>
      <c r="G3611" s="44">
        <v>2839.25</v>
      </c>
      <c r="H3611" s="44">
        <v>1987.349976</v>
      </c>
      <c r="I3611" s="44">
        <v>1601.670044</v>
      </c>
      <c r="J3611" s="44">
        <v>74.589995999999999</v>
      </c>
      <c r="K3611" s="44">
        <v>108.57</v>
      </c>
    </row>
    <row r="3612" spans="6:11" x14ac:dyDescent="0.3">
      <c r="F3612" s="43">
        <v>43126</v>
      </c>
      <c r="G3612" s="44">
        <v>2872.8701169999999</v>
      </c>
      <c r="H3612" s="44">
        <v>1995.2299800000001</v>
      </c>
      <c r="I3612" s="44">
        <v>1608.0600589999999</v>
      </c>
      <c r="J3612" s="44">
        <v>75.25</v>
      </c>
      <c r="K3612" s="44">
        <v>108.370003</v>
      </c>
    </row>
    <row r="3613" spans="6:11" x14ac:dyDescent="0.3">
      <c r="F3613" s="43">
        <v>43129</v>
      </c>
      <c r="G3613" s="44">
        <v>2853.530029</v>
      </c>
      <c r="H3613" s="44">
        <v>1978.599976</v>
      </c>
      <c r="I3613" s="44">
        <v>1598.1099850000001</v>
      </c>
      <c r="J3613" s="44">
        <v>74.559997999999993</v>
      </c>
      <c r="K3613" s="44">
        <v>108.18</v>
      </c>
    </row>
    <row r="3614" spans="6:11" x14ac:dyDescent="0.3">
      <c r="F3614" s="43">
        <v>43130</v>
      </c>
      <c r="G3614" s="44">
        <v>2822.429932</v>
      </c>
      <c r="H3614" s="44">
        <v>1957.459961</v>
      </c>
      <c r="I3614" s="44">
        <v>1582.8199460000001</v>
      </c>
      <c r="J3614" s="44">
        <v>73.940002000000007</v>
      </c>
      <c r="K3614" s="44">
        <v>108.010002</v>
      </c>
    </row>
    <row r="3615" spans="6:11" x14ac:dyDescent="0.3">
      <c r="F3615" s="43">
        <v>43131</v>
      </c>
      <c r="G3615" s="44">
        <v>2823.8100589999999</v>
      </c>
      <c r="H3615" s="44">
        <v>1953.969971</v>
      </c>
      <c r="I3615" s="44">
        <v>1574.9799800000001</v>
      </c>
      <c r="J3615" s="44">
        <v>73.839995999999999</v>
      </c>
      <c r="K3615" s="44">
        <v>108.099998</v>
      </c>
    </row>
    <row r="3616" spans="6:11" x14ac:dyDescent="0.3">
      <c r="F3616" s="43">
        <v>43132</v>
      </c>
      <c r="G3616" s="44">
        <v>2821.9799800000001</v>
      </c>
      <c r="H3616" s="44">
        <v>1957.25</v>
      </c>
      <c r="I3616" s="44">
        <v>1579.869995</v>
      </c>
      <c r="J3616" s="44">
        <v>74.050003000000004</v>
      </c>
      <c r="K3616" s="44">
        <v>107.519997</v>
      </c>
    </row>
    <row r="3617" spans="6:11" x14ac:dyDescent="0.3">
      <c r="F3617" s="43">
        <v>43133</v>
      </c>
      <c r="G3617" s="44">
        <v>2762.1298830000001</v>
      </c>
      <c r="H3617" s="44">
        <v>1917.73999</v>
      </c>
      <c r="I3617" s="44">
        <v>1547.2700199999999</v>
      </c>
      <c r="J3617" s="44">
        <v>72.550003000000004</v>
      </c>
      <c r="K3617" s="44">
        <v>107.199997</v>
      </c>
    </row>
    <row r="3618" spans="6:11" x14ac:dyDescent="0.3">
      <c r="F3618" s="43">
        <v>43136</v>
      </c>
      <c r="G3618" s="44">
        <v>2648.9399410000001</v>
      </c>
      <c r="H3618" s="44">
        <v>1849.530029</v>
      </c>
      <c r="I3618" s="44">
        <v>1491.089966</v>
      </c>
      <c r="J3618" s="44">
        <v>69.510002</v>
      </c>
      <c r="K3618" s="44">
        <v>107.629997</v>
      </c>
    </row>
    <row r="3619" spans="6:11" x14ac:dyDescent="0.3">
      <c r="F3619" s="43">
        <v>43137</v>
      </c>
      <c r="G3619" s="44">
        <v>2695.139893</v>
      </c>
      <c r="H3619" s="44">
        <v>1864.030029</v>
      </c>
      <c r="I3619" s="44">
        <v>1507.170044</v>
      </c>
      <c r="J3619" s="44">
        <v>70.879997000000003</v>
      </c>
      <c r="K3619" s="44">
        <v>107.32</v>
      </c>
    </row>
    <row r="3620" spans="6:11" x14ac:dyDescent="0.3">
      <c r="F3620" s="43">
        <v>43138</v>
      </c>
      <c r="G3620" s="44">
        <v>2681.6599120000001</v>
      </c>
      <c r="H3620" s="44">
        <v>1862.540039</v>
      </c>
      <c r="I3620" s="44">
        <v>1507.969971</v>
      </c>
      <c r="J3620" s="44">
        <v>70.129997000000003</v>
      </c>
      <c r="K3620" s="44">
        <v>107.08000199999999</v>
      </c>
    </row>
    <row r="3621" spans="6:11" x14ac:dyDescent="0.3">
      <c r="F3621" s="43">
        <v>43139</v>
      </c>
      <c r="G3621" s="44">
        <v>2581</v>
      </c>
      <c r="H3621" s="44">
        <v>1801.290039</v>
      </c>
      <c r="I3621" s="44">
        <v>1463.790039</v>
      </c>
      <c r="J3621" s="44">
        <v>68.300003000000004</v>
      </c>
      <c r="K3621" s="44">
        <v>106.900002</v>
      </c>
    </row>
    <row r="3622" spans="6:11" x14ac:dyDescent="0.3">
      <c r="F3622" s="43">
        <v>43140</v>
      </c>
      <c r="G3622" s="44">
        <v>2619.5500489999999</v>
      </c>
      <c r="H3622" s="44">
        <v>1820.9300539999999</v>
      </c>
      <c r="I3622" s="44">
        <v>1477.839966</v>
      </c>
      <c r="J3622" s="44">
        <v>68.589995999999999</v>
      </c>
      <c r="K3622" s="44">
        <v>106.760002</v>
      </c>
    </row>
    <row r="3623" spans="6:11" x14ac:dyDescent="0.3">
      <c r="F3623" s="43">
        <v>43143</v>
      </c>
      <c r="G3623" s="44">
        <v>2656</v>
      </c>
      <c r="H3623" s="44">
        <v>1839.150024</v>
      </c>
      <c r="I3623" s="44">
        <v>1490.9799800000001</v>
      </c>
      <c r="J3623" s="44">
        <v>69.639999000000003</v>
      </c>
      <c r="K3623" s="44">
        <v>106.790001</v>
      </c>
    </row>
    <row r="3624" spans="6:11" x14ac:dyDescent="0.3">
      <c r="F3624" s="43">
        <v>43144</v>
      </c>
      <c r="G3624" s="44">
        <v>2662.9399410000001</v>
      </c>
      <c r="H3624" s="44">
        <v>1843.7299800000001</v>
      </c>
      <c r="I3624" s="44">
        <v>1494.9499510000001</v>
      </c>
      <c r="J3624" s="44">
        <v>69.430000000000007</v>
      </c>
      <c r="K3624" s="44">
        <v>106.82</v>
      </c>
    </row>
    <row r="3625" spans="6:11" x14ac:dyDescent="0.3">
      <c r="F3625" s="43">
        <v>43145</v>
      </c>
      <c r="G3625" s="44">
        <v>2698.6298830000001</v>
      </c>
      <c r="H3625" s="44">
        <v>1878.2700199999999</v>
      </c>
      <c r="I3625" s="44">
        <v>1522.099976</v>
      </c>
      <c r="J3625" s="44">
        <v>70.660004000000001</v>
      </c>
      <c r="K3625" s="44">
        <v>106.459999</v>
      </c>
    </row>
    <row r="3626" spans="6:11" x14ac:dyDescent="0.3">
      <c r="F3626" s="43">
        <v>43146</v>
      </c>
      <c r="G3626" s="44">
        <v>2731.1999510000001</v>
      </c>
      <c r="H3626" s="44">
        <v>1897.089966</v>
      </c>
      <c r="I3626" s="44">
        <v>1537.1999510000001</v>
      </c>
      <c r="J3626" s="44">
        <v>71.099997999999999</v>
      </c>
      <c r="K3626" s="44">
        <v>106.589996</v>
      </c>
    </row>
    <row r="3627" spans="6:11" x14ac:dyDescent="0.3">
      <c r="F3627" s="43">
        <v>43147</v>
      </c>
      <c r="G3627" s="44">
        <v>2732.219971</v>
      </c>
      <c r="H3627" s="44">
        <v>1901.1899410000001</v>
      </c>
      <c r="I3627" s="44">
        <v>1543.5500489999999</v>
      </c>
      <c r="J3627" s="44">
        <v>71.419998000000007</v>
      </c>
      <c r="K3627" s="44">
        <v>106.800003</v>
      </c>
    </row>
    <row r="3628" spans="6:11" x14ac:dyDescent="0.3">
      <c r="F3628" s="43">
        <v>43151</v>
      </c>
      <c r="G3628" s="44">
        <v>2716.26001</v>
      </c>
      <c r="H3628" s="44">
        <v>1888.2700199999999</v>
      </c>
      <c r="I3628" s="44">
        <v>1529.98999</v>
      </c>
      <c r="J3628" s="44">
        <v>70.75</v>
      </c>
      <c r="K3628" s="44">
        <v>106.69000200000001</v>
      </c>
    </row>
    <row r="3629" spans="6:11" x14ac:dyDescent="0.3">
      <c r="F3629" s="43">
        <v>43152</v>
      </c>
      <c r="G3629" s="44">
        <v>2701.330078</v>
      </c>
      <c r="H3629" s="44">
        <v>1884.040039</v>
      </c>
      <c r="I3629" s="44">
        <v>1531.839966</v>
      </c>
      <c r="J3629" s="44">
        <v>70.410004000000001</v>
      </c>
      <c r="K3629" s="44">
        <v>106.349998</v>
      </c>
    </row>
    <row r="3630" spans="6:11" x14ac:dyDescent="0.3">
      <c r="F3630" s="43">
        <v>43153</v>
      </c>
      <c r="G3630" s="44">
        <v>2703.959961</v>
      </c>
      <c r="H3630" s="44">
        <v>1881.280029</v>
      </c>
      <c r="I3630" s="44">
        <v>1529.98999</v>
      </c>
      <c r="J3630" s="44">
        <v>70.779999000000004</v>
      </c>
      <c r="K3630" s="44">
        <v>106.360001</v>
      </c>
    </row>
    <row r="3631" spans="6:11" x14ac:dyDescent="0.3">
      <c r="F3631" s="43">
        <v>43154</v>
      </c>
      <c r="G3631" s="44">
        <v>2747.3000489999999</v>
      </c>
      <c r="H3631" s="44">
        <v>1904.2299800000001</v>
      </c>
      <c r="I3631" s="44">
        <v>1549.1899410000001</v>
      </c>
      <c r="J3631" s="44">
        <v>71.339995999999999</v>
      </c>
      <c r="K3631" s="44">
        <v>106.629997</v>
      </c>
    </row>
    <row r="3632" spans="6:11" x14ac:dyDescent="0.3">
      <c r="F3632" s="43">
        <v>43157</v>
      </c>
      <c r="G3632" s="44">
        <v>2779.6000979999999</v>
      </c>
      <c r="H3632" s="44">
        <v>1914.9300539999999</v>
      </c>
      <c r="I3632" s="44">
        <v>1559.329956</v>
      </c>
      <c r="J3632" s="44">
        <v>72.010002</v>
      </c>
      <c r="K3632" s="44">
        <v>106.709999</v>
      </c>
    </row>
    <row r="3633" spans="6:11" x14ac:dyDescent="0.3">
      <c r="F3633" s="43">
        <v>43158</v>
      </c>
      <c r="G3633" s="44">
        <v>2744.280029</v>
      </c>
      <c r="H3633" s="44">
        <v>1887.209961</v>
      </c>
      <c r="I3633" s="44">
        <v>1536.469971</v>
      </c>
      <c r="J3633" s="44">
        <v>70.940002000000007</v>
      </c>
      <c r="K3633" s="44">
        <v>106.480003</v>
      </c>
    </row>
    <row r="3634" spans="6:11" x14ac:dyDescent="0.3">
      <c r="F3634" s="43">
        <v>43159</v>
      </c>
      <c r="G3634" s="44">
        <v>2713.830078</v>
      </c>
      <c r="H3634" s="44">
        <v>1864.6099850000001</v>
      </c>
      <c r="I3634" s="44">
        <v>1512.4499510000001</v>
      </c>
      <c r="J3634" s="44">
        <v>70.269997000000004</v>
      </c>
      <c r="K3634" s="44">
        <v>106.769997</v>
      </c>
    </row>
    <row r="3635" spans="6:11" x14ac:dyDescent="0.3">
      <c r="F3635" s="43">
        <v>43160</v>
      </c>
      <c r="G3635" s="44">
        <v>2677.669922</v>
      </c>
      <c r="H3635" s="44">
        <v>1858.089966</v>
      </c>
      <c r="I3635" s="44">
        <v>1507.3900149999999</v>
      </c>
      <c r="J3635" s="44">
        <v>69.089995999999999</v>
      </c>
      <c r="K3635" s="44">
        <v>106.629997</v>
      </c>
    </row>
    <row r="3636" spans="6:11" x14ac:dyDescent="0.3">
      <c r="F3636" s="43">
        <v>43161</v>
      </c>
      <c r="G3636" s="44">
        <v>2691.25</v>
      </c>
      <c r="H3636" s="44">
        <v>1878.6099850000001</v>
      </c>
      <c r="I3636" s="44">
        <v>1533.170044</v>
      </c>
      <c r="J3636" s="44">
        <v>69.419998000000007</v>
      </c>
      <c r="K3636" s="44">
        <v>106.459999</v>
      </c>
    </row>
    <row r="3637" spans="6:11" x14ac:dyDescent="0.3">
      <c r="F3637" s="43">
        <v>43164</v>
      </c>
      <c r="G3637" s="44">
        <v>2720.9399410000001</v>
      </c>
      <c r="H3637" s="44">
        <v>1897.670044</v>
      </c>
      <c r="I3637" s="44">
        <v>1546.0500489999999</v>
      </c>
      <c r="J3637" s="44">
        <v>69.790001000000004</v>
      </c>
      <c r="K3637" s="44">
        <v>106.400002</v>
      </c>
    </row>
    <row r="3638" spans="6:11" x14ac:dyDescent="0.3">
      <c r="F3638" s="43">
        <v>43165</v>
      </c>
      <c r="G3638" s="44">
        <v>2728.1201169999999</v>
      </c>
      <c r="H3638" s="44">
        <v>1916.98999</v>
      </c>
      <c r="I3638" s="44">
        <v>1562.1999510000001</v>
      </c>
      <c r="J3638" s="44">
        <v>70.199996999999996</v>
      </c>
      <c r="K3638" s="44">
        <v>106.41999800000001</v>
      </c>
    </row>
    <row r="3639" spans="6:11" x14ac:dyDescent="0.3">
      <c r="F3639" s="43">
        <v>43166</v>
      </c>
      <c r="G3639" s="44">
        <v>2726.8000489999999</v>
      </c>
      <c r="H3639" s="44">
        <v>1920.420044</v>
      </c>
      <c r="I3639" s="44">
        <v>1574.530029</v>
      </c>
      <c r="J3639" s="44">
        <v>70.180000000000007</v>
      </c>
      <c r="K3639" s="44">
        <v>106.400002</v>
      </c>
    </row>
    <row r="3640" spans="6:11" x14ac:dyDescent="0.3">
      <c r="F3640" s="43">
        <v>43167</v>
      </c>
      <c r="G3640" s="44">
        <v>2738.969971</v>
      </c>
      <c r="H3640" s="44">
        <v>1917.630005</v>
      </c>
      <c r="I3640" s="44">
        <v>1571.969971</v>
      </c>
      <c r="J3640" s="44">
        <v>70.330001999999993</v>
      </c>
      <c r="K3640" s="44">
        <v>106.57</v>
      </c>
    </row>
    <row r="3641" spans="6:11" x14ac:dyDescent="0.3">
      <c r="F3641" s="43">
        <v>43168</v>
      </c>
      <c r="G3641" s="44">
        <v>2786.570068</v>
      </c>
      <c r="H3641" s="44">
        <v>1949.0600589999999</v>
      </c>
      <c r="I3641" s="44">
        <v>1597.1400149999999</v>
      </c>
      <c r="J3641" s="44">
        <v>70.779999000000004</v>
      </c>
      <c r="K3641" s="44">
        <v>106.370003</v>
      </c>
    </row>
    <row r="3642" spans="6:11" x14ac:dyDescent="0.3">
      <c r="F3642" s="43">
        <v>43171</v>
      </c>
      <c r="G3642" s="44">
        <v>2783.0200199999999</v>
      </c>
      <c r="H3642" s="44">
        <v>1951.23999</v>
      </c>
      <c r="I3642" s="44">
        <v>1601.0600589999999</v>
      </c>
      <c r="J3642" s="44">
        <v>70.860000999999997</v>
      </c>
      <c r="K3642" s="44">
        <v>106.43</v>
      </c>
    </row>
    <row r="3643" spans="6:11" x14ac:dyDescent="0.3">
      <c r="F3643" s="43">
        <v>43172</v>
      </c>
      <c r="G3643" s="44">
        <v>2765.3100589999999</v>
      </c>
      <c r="H3643" s="44">
        <v>1940.469971</v>
      </c>
      <c r="I3643" s="44">
        <v>1592.0500489999999</v>
      </c>
      <c r="J3643" s="44">
        <v>70.389999000000003</v>
      </c>
      <c r="K3643" s="44">
        <v>106.57</v>
      </c>
    </row>
    <row r="3644" spans="6:11" x14ac:dyDescent="0.3">
      <c r="F3644" s="43">
        <v>43173</v>
      </c>
      <c r="G3644" s="44">
        <v>2749.4799800000001</v>
      </c>
      <c r="H3644" s="44">
        <v>1929.280029</v>
      </c>
      <c r="I3644" s="44">
        <v>1584.3100589999999</v>
      </c>
      <c r="J3644" s="44">
        <v>70.559997999999993</v>
      </c>
      <c r="K3644" s="44">
        <v>106.75</v>
      </c>
    </row>
    <row r="3645" spans="6:11" x14ac:dyDescent="0.3">
      <c r="F3645" s="43">
        <v>43174</v>
      </c>
      <c r="G3645" s="44">
        <v>2747.330078</v>
      </c>
      <c r="H3645" s="44">
        <v>1922.23999</v>
      </c>
      <c r="I3645" s="44">
        <v>1576.619995</v>
      </c>
      <c r="J3645" s="44">
        <v>70.519997000000004</v>
      </c>
      <c r="K3645" s="44">
        <v>106.760002</v>
      </c>
    </row>
    <row r="3646" spans="6:11" x14ac:dyDescent="0.3">
      <c r="F3646" s="43">
        <v>43175</v>
      </c>
      <c r="G3646" s="44">
        <v>2752.01001</v>
      </c>
      <c r="H3646" s="44">
        <v>1935.650024</v>
      </c>
      <c r="I3646" s="44">
        <v>1586.0500489999999</v>
      </c>
      <c r="J3646" s="44">
        <v>70.470000999999996</v>
      </c>
      <c r="K3646" s="44">
        <v>106.699997</v>
      </c>
    </row>
    <row r="3647" spans="6:11" x14ac:dyDescent="0.3">
      <c r="F3647" s="43">
        <v>43178</v>
      </c>
      <c r="G3647" s="44">
        <v>2712.919922</v>
      </c>
      <c r="H3647" s="44">
        <v>1917.5699460000001</v>
      </c>
      <c r="I3647" s="44">
        <v>1570.5600589999999</v>
      </c>
      <c r="J3647" s="44">
        <v>69.900002000000001</v>
      </c>
      <c r="K3647" s="44">
        <v>106.589996</v>
      </c>
    </row>
    <row r="3648" spans="6:11" x14ac:dyDescent="0.3">
      <c r="F3648" s="43">
        <v>43179</v>
      </c>
      <c r="G3648" s="44">
        <v>2716.9399410000001</v>
      </c>
      <c r="H3648" s="44">
        <v>1918.73999</v>
      </c>
      <c r="I3648" s="44">
        <v>1570.410034</v>
      </c>
      <c r="J3648" s="44">
        <v>69.889999000000003</v>
      </c>
      <c r="K3648" s="44">
        <v>106.41999800000001</v>
      </c>
    </row>
    <row r="3649" spans="6:11" x14ac:dyDescent="0.3">
      <c r="F3649" s="43">
        <v>43180</v>
      </c>
      <c r="G3649" s="44">
        <v>2711.929932</v>
      </c>
      <c r="H3649" s="44">
        <v>1924.6899410000001</v>
      </c>
      <c r="I3649" s="44">
        <v>1579.3000489999999</v>
      </c>
      <c r="J3649" s="44">
        <v>70</v>
      </c>
      <c r="K3649" s="44">
        <v>106.410004</v>
      </c>
    </row>
    <row r="3650" spans="6:11" x14ac:dyDescent="0.3">
      <c r="F3650" s="43">
        <v>43181</v>
      </c>
      <c r="G3650" s="44">
        <v>2643.6899410000001</v>
      </c>
      <c r="H3650" s="44">
        <v>1875.8599850000001</v>
      </c>
      <c r="I3650" s="44">
        <v>1543.869995</v>
      </c>
      <c r="J3650" s="44">
        <v>68.699996999999996</v>
      </c>
      <c r="K3650" s="44">
        <v>106.610001</v>
      </c>
    </row>
    <row r="3651" spans="6:11" x14ac:dyDescent="0.3">
      <c r="F3651" s="43">
        <v>43182</v>
      </c>
      <c r="G3651" s="44">
        <v>2588.26001</v>
      </c>
      <c r="H3651" s="44">
        <v>1839.469971</v>
      </c>
      <c r="I3651" s="44">
        <v>1510.079956</v>
      </c>
      <c r="J3651" s="44">
        <v>67.940002000000007</v>
      </c>
      <c r="K3651" s="44">
        <v>106.610001</v>
      </c>
    </row>
    <row r="3652" spans="6:11" x14ac:dyDescent="0.3">
      <c r="F3652" s="43">
        <v>43185</v>
      </c>
      <c r="G3652" s="44">
        <v>2658.5500489999999</v>
      </c>
      <c r="H3652" s="44">
        <v>1879.459961</v>
      </c>
      <c r="I3652" s="44">
        <v>1543.719971</v>
      </c>
      <c r="J3652" s="44">
        <v>69.160004000000001</v>
      </c>
      <c r="K3652" s="44">
        <v>106.57</v>
      </c>
    </row>
    <row r="3653" spans="6:11" x14ac:dyDescent="0.3">
      <c r="F3653" s="43">
        <v>43186</v>
      </c>
      <c r="G3653" s="44">
        <v>2612.6201169999999</v>
      </c>
      <c r="H3653" s="44">
        <v>1851.75</v>
      </c>
      <c r="I3653" s="44">
        <v>1513.5699460000001</v>
      </c>
      <c r="J3653" s="44">
        <v>68.650002000000001</v>
      </c>
      <c r="K3653" s="44">
        <v>106.879997</v>
      </c>
    </row>
    <row r="3654" spans="6:11" x14ac:dyDescent="0.3">
      <c r="F3654" s="43">
        <v>43187</v>
      </c>
      <c r="G3654" s="44">
        <v>2605</v>
      </c>
      <c r="H3654" s="44">
        <v>1853.780029</v>
      </c>
      <c r="I3654" s="44">
        <v>1513.030029</v>
      </c>
      <c r="J3654" s="44">
        <v>69.050003000000004</v>
      </c>
      <c r="K3654" s="44">
        <v>106.94000200000001</v>
      </c>
    </row>
    <row r="3655" spans="6:11" x14ac:dyDescent="0.3">
      <c r="F3655" s="43">
        <v>43188</v>
      </c>
      <c r="G3655" s="44">
        <v>2640.8701169999999</v>
      </c>
      <c r="H3655" s="44">
        <v>1878.7700199999999</v>
      </c>
      <c r="I3655" s="44">
        <v>1529.4300539999999</v>
      </c>
      <c r="J3655" s="44">
        <v>69.680000000000007</v>
      </c>
      <c r="K3655" s="44">
        <v>107.25</v>
      </c>
    </row>
    <row r="3656" spans="6:11" x14ac:dyDescent="0.3">
      <c r="F3656" s="43">
        <v>43192</v>
      </c>
      <c r="G3656" s="44">
        <v>2581.8798830000001</v>
      </c>
      <c r="H3656" s="44">
        <v>1835.3100589999999</v>
      </c>
      <c r="I3656" s="44">
        <v>1492.530029</v>
      </c>
      <c r="J3656" s="44">
        <v>68.720000999999996</v>
      </c>
      <c r="K3656" s="44">
        <v>106.900002</v>
      </c>
    </row>
    <row r="3657" spans="6:11" x14ac:dyDescent="0.3">
      <c r="F3657" s="43">
        <v>43193</v>
      </c>
      <c r="G3657" s="44">
        <v>2614.4499510000001</v>
      </c>
      <c r="H3657" s="44">
        <v>1860.369995</v>
      </c>
      <c r="I3657" s="44">
        <v>1512.150024</v>
      </c>
      <c r="J3657" s="44">
        <v>69.160004000000001</v>
      </c>
      <c r="K3657" s="44">
        <v>106.779999</v>
      </c>
    </row>
    <row r="3658" spans="6:11" x14ac:dyDescent="0.3">
      <c r="F3658" s="43">
        <v>43194</v>
      </c>
      <c r="G3658" s="44">
        <v>2644.6899410000001</v>
      </c>
      <c r="H3658" s="44">
        <v>1876.780029</v>
      </c>
      <c r="I3658" s="44">
        <v>1531.660034</v>
      </c>
      <c r="J3658" s="44">
        <v>69.400002000000001</v>
      </c>
      <c r="K3658" s="44">
        <v>106.82</v>
      </c>
    </row>
    <row r="3659" spans="6:11" x14ac:dyDescent="0.3">
      <c r="F3659" s="43">
        <v>43195</v>
      </c>
      <c r="G3659" s="44">
        <v>2662.8400879999999</v>
      </c>
      <c r="H3659" s="44">
        <v>1891.3199460000001</v>
      </c>
      <c r="I3659" s="44">
        <v>1542.9300539999999</v>
      </c>
      <c r="J3659" s="44">
        <v>69.860000999999997</v>
      </c>
      <c r="K3659" s="44">
        <v>106.66999800000001</v>
      </c>
    </row>
    <row r="3660" spans="6:11" x14ac:dyDescent="0.3">
      <c r="F3660" s="43">
        <v>43196</v>
      </c>
      <c r="G3660" s="44">
        <v>2604.469971</v>
      </c>
      <c r="H3660" s="44">
        <v>1854.079956</v>
      </c>
      <c r="I3660" s="44">
        <v>1513.3000489999999</v>
      </c>
      <c r="J3660" s="44">
        <v>69.400002000000001</v>
      </c>
      <c r="K3660" s="44">
        <v>106.910004</v>
      </c>
    </row>
    <row r="3661" spans="6:11" x14ac:dyDescent="0.3">
      <c r="F3661" s="43">
        <v>43199</v>
      </c>
      <c r="G3661" s="44">
        <v>2613.1599120000001</v>
      </c>
      <c r="H3661" s="44">
        <v>1854.530029</v>
      </c>
      <c r="I3661" s="44">
        <v>1514.459961</v>
      </c>
      <c r="J3661" s="44">
        <v>69.970000999999996</v>
      </c>
      <c r="K3661" s="44">
        <v>107</v>
      </c>
    </row>
    <row r="3662" spans="6:11" x14ac:dyDescent="0.3">
      <c r="F3662" s="43">
        <v>43200</v>
      </c>
      <c r="G3662" s="44">
        <v>2656.8701169999999</v>
      </c>
      <c r="H3662" s="44">
        <v>1884.5699460000001</v>
      </c>
      <c r="I3662" s="44">
        <v>1543.4300539999999</v>
      </c>
      <c r="J3662" s="44">
        <v>70.720000999999996</v>
      </c>
      <c r="K3662" s="44">
        <v>106.91999800000001</v>
      </c>
    </row>
    <row r="3663" spans="6:11" x14ac:dyDescent="0.3">
      <c r="F3663" s="43">
        <v>43201</v>
      </c>
      <c r="G3663" s="44">
        <v>2642.1899410000001</v>
      </c>
      <c r="H3663" s="44">
        <v>1882.089966</v>
      </c>
      <c r="I3663" s="44">
        <v>1546.8000489999999</v>
      </c>
      <c r="J3663" s="44">
        <v>70.449996999999996</v>
      </c>
      <c r="K3663" s="44">
        <v>107.010002</v>
      </c>
    </row>
    <row r="3664" spans="6:11" x14ac:dyDescent="0.3">
      <c r="F3664" s="43">
        <v>43202</v>
      </c>
      <c r="G3664" s="44">
        <v>2663.98999</v>
      </c>
      <c r="H3664" s="44">
        <v>1890</v>
      </c>
      <c r="I3664" s="44">
        <v>1557.329956</v>
      </c>
      <c r="J3664" s="44">
        <v>70.720000999999996</v>
      </c>
      <c r="K3664" s="44">
        <v>106.769997</v>
      </c>
    </row>
    <row r="3665" spans="6:11" x14ac:dyDescent="0.3">
      <c r="F3665" s="43">
        <v>43203</v>
      </c>
      <c r="G3665" s="44">
        <v>2656.3000489999999</v>
      </c>
      <c r="H3665" s="44">
        <v>1883.8599850000001</v>
      </c>
      <c r="I3665" s="44">
        <v>1549.51001</v>
      </c>
      <c r="J3665" s="44">
        <v>70.790001000000004</v>
      </c>
      <c r="K3665" s="44">
        <v>106.800003</v>
      </c>
    </row>
    <row r="3666" spans="6:11" x14ac:dyDescent="0.3">
      <c r="F3666" s="43">
        <v>43206</v>
      </c>
      <c r="G3666" s="44">
        <v>2677.8400879999999</v>
      </c>
      <c r="H3666" s="44">
        <v>1902.849976</v>
      </c>
      <c r="I3666" s="44">
        <v>1563.030029</v>
      </c>
      <c r="J3666" s="44">
        <v>70.900002000000001</v>
      </c>
      <c r="K3666" s="44">
        <v>106.82</v>
      </c>
    </row>
    <row r="3667" spans="6:11" x14ac:dyDescent="0.3">
      <c r="F3667" s="43">
        <v>43207</v>
      </c>
      <c r="G3667" s="44">
        <v>2706.389893</v>
      </c>
      <c r="H3667" s="44">
        <v>1917.3599850000001</v>
      </c>
      <c r="I3667" s="44">
        <v>1579.8000489999999</v>
      </c>
      <c r="J3667" s="44">
        <v>71.220000999999996</v>
      </c>
      <c r="K3667" s="44">
        <v>106.849998</v>
      </c>
    </row>
    <row r="3668" spans="6:11" x14ac:dyDescent="0.3">
      <c r="F3668" s="43">
        <v>43208</v>
      </c>
      <c r="G3668" s="44">
        <v>2708.639893</v>
      </c>
      <c r="H3668" s="44">
        <v>1922.8000489999999</v>
      </c>
      <c r="I3668" s="44">
        <v>1583.5600589999999</v>
      </c>
      <c r="J3668" s="44">
        <v>71.589995999999999</v>
      </c>
      <c r="K3668" s="44">
        <v>106.550003</v>
      </c>
    </row>
    <row r="3669" spans="6:11" x14ac:dyDescent="0.3">
      <c r="F3669" s="43">
        <v>43209</v>
      </c>
      <c r="G3669" s="44">
        <v>2693.1298830000001</v>
      </c>
      <c r="H3669" s="44">
        <v>1913.619995</v>
      </c>
      <c r="I3669" s="44">
        <v>1573.8199460000001</v>
      </c>
      <c r="J3669" s="44">
        <v>71.319999999999993</v>
      </c>
      <c r="K3669" s="44">
        <v>106.290001</v>
      </c>
    </row>
    <row r="3670" spans="6:11" x14ac:dyDescent="0.3">
      <c r="F3670" s="43">
        <v>43210</v>
      </c>
      <c r="G3670" s="44">
        <v>2670.139893</v>
      </c>
      <c r="H3670" s="44">
        <v>1900.5</v>
      </c>
      <c r="I3670" s="44">
        <v>1564.119995</v>
      </c>
      <c r="J3670" s="44">
        <v>71.050003000000004</v>
      </c>
      <c r="K3670" s="44">
        <v>106</v>
      </c>
    </row>
    <row r="3671" spans="6:11" x14ac:dyDescent="0.3">
      <c r="F3671" s="43">
        <v>43213</v>
      </c>
      <c r="G3671" s="44">
        <v>2670.290039</v>
      </c>
      <c r="H3671" s="44">
        <v>1900.959961</v>
      </c>
      <c r="I3671" s="44">
        <v>1562.119995</v>
      </c>
      <c r="J3671" s="44">
        <v>70.959998999999996</v>
      </c>
      <c r="K3671" s="44">
        <v>105.949997</v>
      </c>
    </row>
    <row r="3672" spans="6:11" x14ac:dyDescent="0.3">
      <c r="F3672" s="43">
        <v>43214</v>
      </c>
      <c r="G3672" s="44">
        <v>2634.5600589999999</v>
      </c>
      <c r="H3672" s="44">
        <v>1886.8199460000001</v>
      </c>
      <c r="I3672" s="44">
        <v>1553.280029</v>
      </c>
      <c r="J3672" s="44">
        <v>70.669998000000007</v>
      </c>
      <c r="K3672" s="44">
        <v>105.80999799999999</v>
      </c>
    </row>
    <row r="3673" spans="6:11" x14ac:dyDescent="0.3">
      <c r="F3673" s="43">
        <v>43215</v>
      </c>
      <c r="G3673" s="44">
        <v>2639.3999020000001</v>
      </c>
      <c r="H3673" s="44">
        <v>1888.01001</v>
      </c>
      <c r="I3673" s="44">
        <v>1550.469971</v>
      </c>
      <c r="J3673" s="44">
        <v>70.550003000000004</v>
      </c>
      <c r="K3673" s="44">
        <v>105.66999800000001</v>
      </c>
    </row>
    <row r="3674" spans="6:11" x14ac:dyDescent="0.3">
      <c r="F3674" s="43">
        <v>43216</v>
      </c>
      <c r="G3674" s="44">
        <v>2666.9399410000001</v>
      </c>
      <c r="H3674" s="44">
        <v>1895.209961</v>
      </c>
      <c r="I3674" s="44">
        <v>1557.8900149999999</v>
      </c>
      <c r="J3674" s="44">
        <v>70.900002000000001</v>
      </c>
      <c r="K3674" s="44">
        <v>105.849998</v>
      </c>
    </row>
    <row r="3675" spans="6:11" x14ac:dyDescent="0.3">
      <c r="F3675" s="43">
        <v>43217</v>
      </c>
      <c r="G3675" s="44">
        <v>2669.9099120000001</v>
      </c>
      <c r="H3675" s="44">
        <v>1892.2299800000001</v>
      </c>
      <c r="I3675" s="44">
        <v>1556.23999</v>
      </c>
      <c r="J3675" s="44">
        <v>70.970000999999996</v>
      </c>
      <c r="K3675" s="44">
        <v>105.980003</v>
      </c>
    </row>
    <row r="3676" spans="6:11" x14ac:dyDescent="0.3">
      <c r="F3676" s="43">
        <v>43220</v>
      </c>
      <c r="G3676" s="44">
        <v>2648.0500489999999</v>
      </c>
      <c r="H3676" s="44">
        <v>1872.4499510000001</v>
      </c>
      <c r="I3676" s="44">
        <v>1541.880005</v>
      </c>
      <c r="J3676" s="44">
        <v>70.739998</v>
      </c>
      <c r="K3676" s="44">
        <v>106</v>
      </c>
    </row>
    <row r="3677" spans="6:11" x14ac:dyDescent="0.3">
      <c r="F3677" s="43">
        <v>43221</v>
      </c>
      <c r="G3677" s="44">
        <v>2654.8000489999999</v>
      </c>
      <c r="H3677" s="44">
        <v>1879.5699460000001</v>
      </c>
      <c r="I3677" s="44">
        <v>1550.329956</v>
      </c>
      <c r="J3677" s="44">
        <v>70.489998</v>
      </c>
      <c r="K3677" s="44">
        <v>105.66999800000001</v>
      </c>
    </row>
    <row r="3678" spans="6:11" x14ac:dyDescent="0.3">
      <c r="F3678" s="43">
        <v>43222</v>
      </c>
      <c r="G3678" s="44">
        <v>2635.669922</v>
      </c>
      <c r="H3678" s="44">
        <v>1875.829956</v>
      </c>
      <c r="I3678" s="44">
        <v>1554.910034</v>
      </c>
      <c r="J3678" s="44">
        <v>70.459998999999996</v>
      </c>
      <c r="K3678" s="44">
        <v>105.66999800000001</v>
      </c>
    </row>
    <row r="3679" spans="6:11" x14ac:dyDescent="0.3">
      <c r="F3679" s="43">
        <v>43223</v>
      </c>
      <c r="G3679" s="44">
        <v>2629.7299800000001</v>
      </c>
      <c r="H3679" s="44">
        <v>1872.5600589999999</v>
      </c>
      <c r="I3679" s="44">
        <v>1546.5600589999999</v>
      </c>
      <c r="J3679" s="44">
        <v>70.680000000000007</v>
      </c>
      <c r="K3679" s="44">
        <v>105.790001</v>
      </c>
    </row>
    <row r="3680" spans="6:11" x14ac:dyDescent="0.3">
      <c r="F3680" s="43">
        <v>43224</v>
      </c>
      <c r="G3680" s="44">
        <v>2663.419922</v>
      </c>
      <c r="H3680" s="44">
        <v>1897.4499510000001</v>
      </c>
      <c r="I3680" s="44">
        <v>1565.599976</v>
      </c>
      <c r="J3680" s="44">
        <v>70.930000000000007</v>
      </c>
      <c r="K3680" s="44">
        <v>105.860001</v>
      </c>
    </row>
    <row r="3681" spans="6:11" x14ac:dyDescent="0.3">
      <c r="F3681" s="43">
        <v>43227</v>
      </c>
      <c r="G3681" s="44">
        <v>2672.6298830000001</v>
      </c>
      <c r="H3681" s="44">
        <v>1907.920044</v>
      </c>
      <c r="I3681" s="44">
        <v>1578.9499510000001</v>
      </c>
      <c r="J3681" s="44">
        <v>70.940002000000007</v>
      </c>
      <c r="K3681" s="44">
        <v>105.80999799999999</v>
      </c>
    </row>
    <row r="3682" spans="6:11" x14ac:dyDescent="0.3">
      <c r="F3682" s="43">
        <v>43228</v>
      </c>
      <c r="G3682" s="44">
        <v>2671.919922</v>
      </c>
      <c r="H3682" s="44">
        <v>1913.910034</v>
      </c>
      <c r="I3682" s="44">
        <v>1586.3900149999999</v>
      </c>
      <c r="J3682" s="44">
        <v>70.949996999999996</v>
      </c>
      <c r="K3682" s="44">
        <v>105.69000200000001</v>
      </c>
    </row>
    <row r="3683" spans="6:11" x14ac:dyDescent="0.3">
      <c r="F3683" s="43">
        <v>43229</v>
      </c>
      <c r="G3683" s="44">
        <v>2697.790039</v>
      </c>
      <c r="H3683" s="44">
        <v>1923.8900149999999</v>
      </c>
      <c r="I3683" s="44">
        <v>1596.0500489999999</v>
      </c>
      <c r="J3683" s="44">
        <v>71.120002999999997</v>
      </c>
      <c r="K3683" s="44">
        <v>105.57</v>
      </c>
    </row>
    <row r="3684" spans="6:11" x14ac:dyDescent="0.3">
      <c r="F3684" s="43">
        <v>43230</v>
      </c>
      <c r="G3684" s="44">
        <v>2723.070068</v>
      </c>
      <c r="H3684" s="44">
        <v>1937.910034</v>
      </c>
      <c r="I3684" s="44">
        <v>1603.709961</v>
      </c>
      <c r="J3684" s="44">
        <v>71.580001999999993</v>
      </c>
      <c r="K3684" s="44">
        <v>105.80999799999999</v>
      </c>
    </row>
    <row r="3685" spans="6:11" x14ac:dyDescent="0.3">
      <c r="F3685" s="43">
        <v>43231</v>
      </c>
      <c r="G3685" s="44">
        <v>2727.719971</v>
      </c>
      <c r="H3685" s="44">
        <v>1939.089966</v>
      </c>
      <c r="I3685" s="44">
        <v>1606.790039</v>
      </c>
      <c r="J3685" s="44">
        <v>71.769997000000004</v>
      </c>
      <c r="K3685" s="44">
        <v>105.860001</v>
      </c>
    </row>
    <row r="3686" spans="6:11" x14ac:dyDescent="0.3">
      <c r="F3686" s="43">
        <v>43234</v>
      </c>
      <c r="G3686" s="44">
        <v>2730.1298830000001</v>
      </c>
      <c r="H3686" s="44">
        <v>1935.2299800000001</v>
      </c>
      <c r="I3686" s="44">
        <v>1600.339966</v>
      </c>
      <c r="J3686" s="44">
        <v>71.900002000000001</v>
      </c>
      <c r="K3686" s="44">
        <v>105.760002</v>
      </c>
    </row>
    <row r="3687" spans="6:11" x14ac:dyDescent="0.3">
      <c r="F3687" s="43">
        <v>43235</v>
      </c>
      <c r="G3687" s="44">
        <v>2711.4499510000001</v>
      </c>
      <c r="H3687" s="44">
        <v>1930.670044</v>
      </c>
      <c r="I3687" s="44">
        <v>1600.339966</v>
      </c>
      <c r="J3687" s="44">
        <v>71.379997000000003</v>
      </c>
      <c r="K3687" s="44">
        <v>105.290001</v>
      </c>
    </row>
    <row r="3688" spans="6:11" x14ac:dyDescent="0.3">
      <c r="F3688" s="43">
        <v>43236</v>
      </c>
      <c r="G3688" s="44">
        <v>2722.459961</v>
      </c>
      <c r="H3688" s="44">
        <v>1943.8100589999999</v>
      </c>
      <c r="I3688" s="44">
        <v>1616.369995</v>
      </c>
      <c r="J3688" s="44">
        <v>71.480002999999996</v>
      </c>
      <c r="K3688" s="44">
        <v>105.16999800000001</v>
      </c>
    </row>
    <row r="3689" spans="6:11" x14ac:dyDescent="0.3">
      <c r="F3689" s="43">
        <v>43237</v>
      </c>
      <c r="G3689" s="44">
        <v>2720.1298830000001</v>
      </c>
      <c r="H3689" s="44">
        <v>1948.280029</v>
      </c>
      <c r="I3689" s="44">
        <v>1625.290039</v>
      </c>
      <c r="J3689" s="44">
        <v>71.589995999999999</v>
      </c>
      <c r="K3689" s="44">
        <v>105.029999</v>
      </c>
    </row>
    <row r="3690" spans="6:11" x14ac:dyDescent="0.3">
      <c r="F3690" s="43">
        <v>43238</v>
      </c>
      <c r="G3690" s="44">
        <v>2712.969971</v>
      </c>
      <c r="H3690" s="44">
        <v>1943.369995</v>
      </c>
      <c r="I3690" s="44">
        <v>1626.630005</v>
      </c>
      <c r="J3690" s="44">
        <v>71.330001999999993</v>
      </c>
      <c r="K3690" s="44">
        <v>105.300003</v>
      </c>
    </row>
    <row r="3691" spans="6:11" x14ac:dyDescent="0.3">
      <c r="F3691" s="43">
        <v>43241</v>
      </c>
      <c r="G3691" s="44">
        <v>2733.01001</v>
      </c>
      <c r="H3691" s="44">
        <v>1962.4799800000001</v>
      </c>
      <c r="I3691" s="44">
        <v>1637.4399410000001</v>
      </c>
      <c r="J3691" s="44">
        <v>71.779999000000004</v>
      </c>
      <c r="K3691" s="44">
        <v>105.30999799999999</v>
      </c>
    </row>
    <row r="3692" spans="6:11" x14ac:dyDescent="0.3">
      <c r="F3692" s="43">
        <v>43242</v>
      </c>
      <c r="G3692" s="44">
        <v>2724.4399410000001</v>
      </c>
      <c r="H3692" s="44">
        <v>1948.8100589999999</v>
      </c>
      <c r="I3692" s="44">
        <v>1625.23999</v>
      </c>
      <c r="J3692" s="44">
        <v>71.690002000000007</v>
      </c>
      <c r="K3692" s="44">
        <v>105.30999799999999</v>
      </c>
    </row>
    <row r="3693" spans="6:11" x14ac:dyDescent="0.3">
      <c r="F3693" s="43">
        <v>43243</v>
      </c>
      <c r="G3693" s="44">
        <v>2733.290039</v>
      </c>
      <c r="H3693" s="44">
        <v>1950.530029</v>
      </c>
      <c r="I3693" s="44">
        <v>1627.6099850000001</v>
      </c>
      <c r="J3693" s="44">
        <v>70.900002000000001</v>
      </c>
      <c r="K3693" s="44">
        <v>105.599998</v>
      </c>
    </row>
    <row r="3694" spans="6:11" x14ac:dyDescent="0.3">
      <c r="F3694" s="43">
        <v>43244</v>
      </c>
      <c r="G3694" s="44">
        <v>2727.76001</v>
      </c>
      <c r="H3694" s="44">
        <v>1951.5500489999999</v>
      </c>
      <c r="I3694" s="44">
        <v>1628.219971</v>
      </c>
      <c r="J3694" s="44">
        <v>70.680000000000007</v>
      </c>
      <c r="K3694" s="44">
        <v>105.889999</v>
      </c>
    </row>
    <row r="3695" spans="6:11" x14ac:dyDescent="0.3">
      <c r="F3695" s="43">
        <v>43245</v>
      </c>
      <c r="G3695" s="44">
        <v>2721.330078</v>
      </c>
      <c r="H3695" s="44">
        <v>1946.869995</v>
      </c>
      <c r="I3695" s="44">
        <v>1626.9300539999999</v>
      </c>
      <c r="J3695" s="44">
        <v>70.220000999999996</v>
      </c>
      <c r="K3695" s="44">
        <v>106.120003</v>
      </c>
    </row>
    <row r="3696" spans="6:11" x14ac:dyDescent="0.3">
      <c r="F3696" s="43">
        <v>43249</v>
      </c>
      <c r="G3696" s="44">
        <v>2689.860107</v>
      </c>
      <c r="H3696" s="44">
        <v>1939.23999</v>
      </c>
      <c r="I3696" s="44">
        <v>1623.650024</v>
      </c>
      <c r="J3696" s="44">
        <v>68.790001000000004</v>
      </c>
      <c r="K3696" s="44">
        <v>106.82</v>
      </c>
    </row>
    <row r="3697" spans="6:11" x14ac:dyDescent="0.3">
      <c r="F3697" s="43">
        <v>43250</v>
      </c>
      <c r="G3697" s="44">
        <v>2724.01001</v>
      </c>
      <c r="H3697" s="44">
        <v>1967.959961</v>
      </c>
      <c r="I3697" s="44">
        <v>1647.98999</v>
      </c>
      <c r="J3697" s="44">
        <v>69.839995999999999</v>
      </c>
      <c r="K3697" s="44">
        <v>106.550003</v>
      </c>
    </row>
    <row r="3698" spans="6:11" x14ac:dyDescent="0.3">
      <c r="F3698" s="43">
        <v>43251</v>
      </c>
      <c r="G3698" s="44">
        <v>2705.2700199999999</v>
      </c>
      <c r="H3698" s="44">
        <v>1946.4300539999999</v>
      </c>
      <c r="I3698" s="44">
        <v>1633.6099850000001</v>
      </c>
      <c r="J3698" s="44">
        <v>69.400002000000001</v>
      </c>
      <c r="K3698" s="44">
        <v>106.459999</v>
      </c>
    </row>
    <row r="3699" spans="6:11" x14ac:dyDescent="0.3">
      <c r="F3699" s="43">
        <v>43252</v>
      </c>
      <c r="G3699" s="44">
        <v>2734.6201169999999</v>
      </c>
      <c r="H3699" s="44">
        <v>1958.329956</v>
      </c>
      <c r="I3699" s="44">
        <v>1647.9799800000001</v>
      </c>
      <c r="J3699" s="44">
        <v>70</v>
      </c>
      <c r="K3699" s="44">
        <v>106.08000199999999</v>
      </c>
    </row>
    <row r="3700" spans="6:11" x14ac:dyDescent="0.3">
      <c r="F3700" s="43">
        <v>43255</v>
      </c>
      <c r="G3700" s="44">
        <v>2746.8701169999999</v>
      </c>
      <c r="H3700" s="44">
        <v>1968.1999510000001</v>
      </c>
      <c r="I3700" s="44">
        <v>1653.369995</v>
      </c>
      <c r="J3700" s="44">
        <v>70.209998999999996</v>
      </c>
      <c r="K3700" s="44">
        <v>105.83000199999999</v>
      </c>
    </row>
    <row r="3701" spans="6:11" x14ac:dyDescent="0.3">
      <c r="F3701" s="43">
        <v>43256</v>
      </c>
      <c r="G3701" s="44">
        <v>2748.8000489999999</v>
      </c>
      <c r="H3701" s="44">
        <v>1974.339966</v>
      </c>
      <c r="I3701" s="44">
        <v>1664.630005</v>
      </c>
      <c r="J3701" s="44">
        <v>70.099997999999999</v>
      </c>
      <c r="K3701" s="44">
        <v>105.910004</v>
      </c>
    </row>
    <row r="3702" spans="6:11" x14ac:dyDescent="0.3">
      <c r="F3702" s="43">
        <v>43257</v>
      </c>
      <c r="G3702" s="44">
        <v>2772.3500979999999</v>
      </c>
      <c r="H3702" s="44">
        <v>1989.5600589999999</v>
      </c>
      <c r="I3702" s="44">
        <v>1675.9499510000001</v>
      </c>
      <c r="J3702" s="44">
        <v>70.730002999999996</v>
      </c>
      <c r="K3702" s="44">
        <v>105.66999800000001</v>
      </c>
    </row>
    <row r="3703" spans="6:11" x14ac:dyDescent="0.3">
      <c r="F3703" s="43">
        <v>43258</v>
      </c>
      <c r="G3703" s="44">
        <v>2770.3701169999999</v>
      </c>
      <c r="H3703" s="44">
        <v>1990.780029</v>
      </c>
      <c r="I3703" s="44">
        <v>1667.7700199999999</v>
      </c>
      <c r="J3703" s="44">
        <v>70.330001999999993</v>
      </c>
      <c r="K3703" s="44">
        <v>105.900002</v>
      </c>
    </row>
    <row r="3704" spans="6:11" x14ac:dyDescent="0.3">
      <c r="F3704" s="43">
        <v>43259</v>
      </c>
      <c r="G3704" s="44">
        <v>2779.030029</v>
      </c>
      <c r="H3704" s="44">
        <v>2000.670044</v>
      </c>
      <c r="I3704" s="44">
        <v>1672.48999</v>
      </c>
      <c r="J3704" s="44">
        <v>70.410004000000001</v>
      </c>
      <c r="K3704" s="44">
        <v>105.75</v>
      </c>
    </row>
    <row r="3705" spans="6:11" x14ac:dyDescent="0.3">
      <c r="F3705" s="43">
        <v>43262</v>
      </c>
      <c r="G3705" s="44">
        <v>2782</v>
      </c>
      <c r="H3705" s="44">
        <v>2000.900024</v>
      </c>
      <c r="I3705" s="44">
        <v>1674.6800539999999</v>
      </c>
      <c r="J3705" s="44">
        <v>70.860000999999997</v>
      </c>
      <c r="K3705" s="44">
        <v>105.639999</v>
      </c>
    </row>
    <row r="3706" spans="6:11" x14ac:dyDescent="0.3">
      <c r="F3706" s="43">
        <v>43263</v>
      </c>
      <c r="G3706" s="44">
        <v>2786.8500979999999</v>
      </c>
      <c r="H3706" s="44">
        <v>2003.969971</v>
      </c>
      <c r="I3706" s="44">
        <v>1682.3000489999999</v>
      </c>
      <c r="J3706" s="44">
        <v>70.410004000000001</v>
      </c>
      <c r="K3706" s="44">
        <v>105.66999800000001</v>
      </c>
    </row>
    <row r="3707" spans="6:11" x14ac:dyDescent="0.3">
      <c r="F3707" s="43">
        <v>43264</v>
      </c>
      <c r="G3707" s="44">
        <v>2775.6298830000001</v>
      </c>
      <c r="H3707" s="44">
        <v>1991.400024</v>
      </c>
      <c r="I3707" s="44">
        <v>1676.540039</v>
      </c>
      <c r="J3707" s="44">
        <v>70.510002</v>
      </c>
      <c r="K3707" s="44">
        <v>105.57</v>
      </c>
    </row>
    <row r="3708" spans="6:11" x14ac:dyDescent="0.3">
      <c r="F3708" s="43">
        <v>43265</v>
      </c>
      <c r="G3708" s="44">
        <v>2782.48999</v>
      </c>
      <c r="H3708" s="44">
        <v>1995.6999510000001</v>
      </c>
      <c r="I3708" s="44">
        <v>1684.719971</v>
      </c>
      <c r="J3708" s="44">
        <v>70.360000999999997</v>
      </c>
      <c r="K3708" s="44">
        <v>105.839996</v>
      </c>
    </row>
    <row r="3709" spans="6:11" x14ac:dyDescent="0.3">
      <c r="F3709" s="43">
        <v>43266</v>
      </c>
      <c r="G3709" s="44">
        <v>2779.6599120000001</v>
      </c>
      <c r="H3709" s="44">
        <v>1992.369995</v>
      </c>
      <c r="I3709" s="44">
        <v>1683.910034</v>
      </c>
      <c r="J3709" s="44">
        <v>70</v>
      </c>
      <c r="K3709" s="44">
        <v>105.879997</v>
      </c>
    </row>
    <row r="3710" spans="6:11" x14ac:dyDescent="0.3">
      <c r="F3710" s="43">
        <v>43269</v>
      </c>
      <c r="G3710" s="44">
        <v>2773.75</v>
      </c>
      <c r="H3710" s="44">
        <v>1995.1800539999999</v>
      </c>
      <c r="I3710" s="44">
        <v>1692.459961</v>
      </c>
      <c r="J3710" s="44">
        <v>69.5</v>
      </c>
      <c r="K3710" s="44">
        <v>105.900002</v>
      </c>
    </row>
    <row r="3711" spans="6:11" x14ac:dyDescent="0.3">
      <c r="F3711" s="43">
        <v>43270</v>
      </c>
      <c r="G3711" s="44">
        <v>2762.5900879999999</v>
      </c>
      <c r="H3711" s="44">
        <v>1991.3900149999999</v>
      </c>
      <c r="I3711" s="44">
        <v>1693.4499510000001</v>
      </c>
      <c r="J3711" s="44">
        <v>67.519997000000004</v>
      </c>
      <c r="K3711" s="44">
        <v>106.010002</v>
      </c>
    </row>
    <row r="3712" spans="6:11" x14ac:dyDescent="0.3">
      <c r="F3712" s="43">
        <v>43271</v>
      </c>
      <c r="G3712" s="44">
        <v>2767.320068</v>
      </c>
      <c r="H3712" s="44">
        <v>2001.790039</v>
      </c>
      <c r="I3712" s="44">
        <v>1706.98999</v>
      </c>
      <c r="J3712" s="44">
        <v>67.569999999999993</v>
      </c>
      <c r="K3712" s="44">
        <v>105.80999799999999</v>
      </c>
    </row>
    <row r="3713" spans="6:11" x14ac:dyDescent="0.3">
      <c r="F3713" s="43">
        <v>43272</v>
      </c>
      <c r="G3713" s="44">
        <v>2749.76001</v>
      </c>
      <c r="H3713" s="44">
        <v>1987.339966</v>
      </c>
      <c r="I3713" s="44">
        <v>1688.9499510000001</v>
      </c>
      <c r="J3713" s="44">
        <v>67.089995999999999</v>
      </c>
      <c r="K3713" s="44">
        <v>105.839996</v>
      </c>
    </row>
    <row r="3714" spans="6:11" x14ac:dyDescent="0.3">
      <c r="F3714" s="43">
        <v>43273</v>
      </c>
      <c r="G3714" s="44">
        <v>2754.8798830000001</v>
      </c>
      <c r="H3714" s="44">
        <v>1989.6099850000001</v>
      </c>
      <c r="I3714" s="44">
        <v>1685.579956</v>
      </c>
      <c r="J3714" s="44">
        <v>67.800003000000004</v>
      </c>
      <c r="K3714" s="44">
        <v>105.94000200000001</v>
      </c>
    </row>
    <row r="3715" spans="6:11" x14ac:dyDescent="0.3">
      <c r="F3715" s="43">
        <v>43276</v>
      </c>
      <c r="G3715" s="44">
        <v>2717.070068</v>
      </c>
      <c r="H3715" s="44">
        <v>1960.900024</v>
      </c>
      <c r="I3715" s="44">
        <v>1657.51001</v>
      </c>
      <c r="J3715" s="44">
        <v>66.860000999999997</v>
      </c>
      <c r="K3715" s="44">
        <v>105.879997</v>
      </c>
    </row>
    <row r="3716" spans="6:11" x14ac:dyDescent="0.3">
      <c r="F3716" s="43">
        <v>43277</v>
      </c>
      <c r="G3716" s="44">
        <v>2723.0600589999999</v>
      </c>
      <c r="H3716" s="44">
        <v>1965.1099850000001</v>
      </c>
      <c r="I3716" s="44">
        <v>1668.530029</v>
      </c>
      <c r="J3716" s="44">
        <v>66.980002999999996</v>
      </c>
      <c r="K3716" s="44">
        <v>106.050003</v>
      </c>
    </row>
    <row r="3717" spans="6:11" x14ac:dyDescent="0.3">
      <c r="F3717" s="43">
        <v>43278</v>
      </c>
      <c r="G3717" s="44">
        <v>2699.6298830000001</v>
      </c>
      <c r="H3717" s="44">
        <v>1942.8100589999999</v>
      </c>
      <c r="I3717" s="44">
        <v>1640.4499510000001</v>
      </c>
      <c r="J3717" s="44">
        <v>66.349997999999999</v>
      </c>
      <c r="K3717" s="44">
        <v>106.239998</v>
      </c>
    </row>
    <row r="3718" spans="6:11" x14ac:dyDescent="0.3">
      <c r="F3718" s="43">
        <v>43279</v>
      </c>
      <c r="G3718" s="44">
        <v>2716.3100589999999</v>
      </c>
      <c r="H3718" s="44">
        <v>1950.369995</v>
      </c>
      <c r="I3718" s="44">
        <v>1645.0200199999999</v>
      </c>
      <c r="J3718" s="44">
        <v>66.599997999999999</v>
      </c>
      <c r="K3718" s="44">
        <v>106.230003</v>
      </c>
    </row>
    <row r="3719" spans="6:11" x14ac:dyDescent="0.3">
      <c r="F3719" s="43">
        <v>43280</v>
      </c>
      <c r="G3719" s="44">
        <v>2718.3701169999999</v>
      </c>
      <c r="H3719" s="44">
        <v>1951.670044</v>
      </c>
      <c r="I3719" s="44">
        <v>1643.0699460000001</v>
      </c>
      <c r="J3719" s="44">
        <v>66.970000999999996</v>
      </c>
      <c r="K3719" s="44">
        <v>106.32</v>
      </c>
    </row>
    <row r="3720" spans="6:11" x14ac:dyDescent="0.3">
      <c r="F3720" s="43">
        <v>43283</v>
      </c>
      <c r="G3720" s="44">
        <v>2726.709961</v>
      </c>
      <c r="H3720" s="44">
        <v>1953.650024</v>
      </c>
      <c r="I3720" s="44">
        <v>1655.089966</v>
      </c>
      <c r="J3720" s="44">
        <v>66.360000999999997</v>
      </c>
      <c r="K3720" s="44">
        <v>105.989998</v>
      </c>
    </row>
    <row r="3721" spans="6:11" x14ac:dyDescent="0.3">
      <c r="F3721" s="43">
        <v>43284</v>
      </c>
      <c r="G3721" s="44">
        <v>2713.219971</v>
      </c>
      <c r="H3721" s="44">
        <v>1957.349976</v>
      </c>
      <c r="I3721" s="44">
        <v>1660.420044</v>
      </c>
      <c r="J3721" s="44">
        <v>66.559997999999993</v>
      </c>
      <c r="K3721" s="44">
        <v>106.209999</v>
      </c>
    </row>
    <row r="3722" spans="6:11" x14ac:dyDescent="0.3">
      <c r="F3722" s="43">
        <v>43286</v>
      </c>
      <c r="G3722" s="44">
        <v>2736.610107</v>
      </c>
      <c r="H3722" s="44">
        <v>1974.400024</v>
      </c>
      <c r="I3722" s="44">
        <v>1679.4799800000001</v>
      </c>
      <c r="J3722" s="44">
        <v>67.220000999999996</v>
      </c>
      <c r="K3722" s="44">
        <v>106.30999799999999</v>
      </c>
    </row>
    <row r="3723" spans="6:11" x14ac:dyDescent="0.3">
      <c r="F3723" s="43">
        <v>43287</v>
      </c>
      <c r="G3723" s="44">
        <v>2759.820068</v>
      </c>
      <c r="H3723" s="44">
        <v>1989.48999</v>
      </c>
      <c r="I3723" s="44">
        <v>1694.0500489999999</v>
      </c>
      <c r="J3723" s="44">
        <v>67.580001999999993</v>
      </c>
      <c r="K3723" s="44">
        <v>106.41999800000001</v>
      </c>
    </row>
    <row r="3724" spans="6:11" x14ac:dyDescent="0.3">
      <c r="F3724" s="43">
        <v>43290</v>
      </c>
      <c r="G3724" s="44">
        <v>2784.169922</v>
      </c>
      <c r="H3724" s="44">
        <v>2009.150024</v>
      </c>
      <c r="I3724" s="44">
        <v>1704.599976</v>
      </c>
      <c r="J3724" s="44">
        <v>68.230002999999996</v>
      </c>
      <c r="K3724" s="44">
        <v>106.32</v>
      </c>
    </row>
    <row r="3725" spans="6:11" x14ac:dyDescent="0.3">
      <c r="F3725" s="43">
        <v>43291</v>
      </c>
      <c r="G3725" s="44">
        <v>2793.8400879999999</v>
      </c>
      <c r="H3725" s="44">
        <v>2008.119995</v>
      </c>
      <c r="I3725" s="44">
        <v>1695.619995</v>
      </c>
      <c r="J3725" s="44">
        <v>68.199996999999996</v>
      </c>
      <c r="K3725" s="44">
        <v>106.239998</v>
      </c>
    </row>
    <row r="3726" spans="6:11" x14ac:dyDescent="0.3">
      <c r="F3726" s="43">
        <v>43292</v>
      </c>
      <c r="G3726" s="44">
        <v>2774.0200199999999</v>
      </c>
      <c r="H3726" s="44">
        <v>1991.4799800000001</v>
      </c>
      <c r="I3726" s="44">
        <v>1683.660034</v>
      </c>
      <c r="J3726" s="44">
        <v>67.059997999999993</v>
      </c>
      <c r="K3726" s="44">
        <v>106.279999</v>
      </c>
    </row>
    <row r="3727" spans="6:11" x14ac:dyDescent="0.3">
      <c r="F3727" s="43">
        <v>43293</v>
      </c>
      <c r="G3727" s="44">
        <v>2798.290039</v>
      </c>
      <c r="H3727" s="44">
        <v>1996.7299800000001</v>
      </c>
      <c r="I3727" s="44">
        <v>1690.280029</v>
      </c>
      <c r="J3727" s="44">
        <v>67.580001999999993</v>
      </c>
      <c r="K3727" s="44">
        <v>106.410004</v>
      </c>
    </row>
    <row r="3728" spans="6:11" x14ac:dyDescent="0.3">
      <c r="F3728" s="43">
        <v>43294</v>
      </c>
      <c r="G3728" s="44">
        <v>2801.3100589999999</v>
      </c>
      <c r="H3728" s="44">
        <v>1996.349976</v>
      </c>
      <c r="I3728" s="44">
        <v>1687.079956</v>
      </c>
      <c r="J3728" s="44">
        <v>67.790001000000004</v>
      </c>
      <c r="K3728" s="44">
        <v>106.510002</v>
      </c>
    </row>
    <row r="3729" spans="6:11" x14ac:dyDescent="0.3">
      <c r="F3729" s="43">
        <v>43297</v>
      </c>
      <c r="G3729" s="44">
        <v>2798.429932</v>
      </c>
      <c r="H3729" s="44">
        <v>1985.369995</v>
      </c>
      <c r="I3729" s="44">
        <v>1678.540039</v>
      </c>
      <c r="J3729" s="44">
        <v>67.760002</v>
      </c>
      <c r="K3729" s="44">
        <v>106.389999</v>
      </c>
    </row>
    <row r="3730" spans="6:11" x14ac:dyDescent="0.3">
      <c r="F3730" s="43">
        <v>43298</v>
      </c>
      <c r="G3730" s="44">
        <v>2809.5500489999999</v>
      </c>
      <c r="H3730" s="44">
        <v>1994.73999</v>
      </c>
      <c r="I3730" s="44">
        <v>1687.26001</v>
      </c>
      <c r="J3730" s="44">
        <v>67.879997000000003</v>
      </c>
      <c r="K3730" s="44">
        <v>106.349998</v>
      </c>
    </row>
    <row r="3731" spans="6:11" x14ac:dyDescent="0.3">
      <c r="F3731" s="43">
        <v>43299</v>
      </c>
      <c r="G3731" s="44">
        <v>2815.6201169999999</v>
      </c>
      <c r="H3731" s="44">
        <v>2001.25</v>
      </c>
      <c r="I3731" s="44">
        <v>1691.869995</v>
      </c>
      <c r="J3731" s="44">
        <v>67.889999000000003</v>
      </c>
      <c r="K3731" s="44">
        <v>106.32</v>
      </c>
    </row>
    <row r="3732" spans="6:11" x14ac:dyDescent="0.3">
      <c r="F3732" s="43">
        <v>43300</v>
      </c>
      <c r="G3732" s="44">
        <v>2804.48999</v>
      </c>
      <c r="H3732" s="44">
        <v>2009.0500489999999</v>
      </c>
      <c r="I3732" s="44">
        <v>1701.3100589999999</v>
      </c>
      <c r="J3732" s="44">
        <v>67.75</v>
      </c>
      <c r="K3732" s="44">
        <v>106.480003</v>
      </c>
    </row>
    <row r="3733" spans="6:11" x14ac:dyDescent="0.3">
      <c r="F3733" s="43">
        <v>43301</v>
      </c>
      <c r="G3733" s="44">
        <v>2801.830078</v>
      </c>
      <c r="H3733" s="44">
        <v>1998.3599850000001</v>
      </c>
      <c r="I3733" s="44">
        <v>1696.8100589999999</v>
      </c>
      <c r="J3733" s="44">
        <v>68.069999999999993</v>
      </c>
      <c r="K3733" s="44">
        <v>106.269997</v>
      </c>
    </row>
    <row r="3734" spans="6:11" x14ac:dyDescent="0.3">
      <c r="F3734" s="43">
        <v>43304</v>
      </c>
      <c r="G3734" s="44">
        <v>2806.9799800000001</v>
      </c>
      <c r="H3734" s="44">
        <v>1998.01001</v>
      </c>
      <c r="I3734" s="44">
        <v>1698.410034</v>
      </c>
      <c r="J3734" s="44">
        <v>68.069999999999993</v>
      </c>
      <c r="K3734" s="44">
        <v>105.900002</v>
      </c>
    </row>
    <row r="3735" spans="6:11" x14ac:dyDescent="0.3">
      <c r="F3735" s="43">
        <v>43305</v>
      </c>
      <c r="G3735" s="44">
        <v>2820.3999020000001</v>
      </c>
      <c r="H3735" s="44">
        <v>1983.01001</v>
      </c>
      <c r="I3735" s="44">
        <v>1680.1999510000001</v>
      </c>
      <c r="J3735" s="44">
        <v>68.470000999999996</v>
      </c>
      <c r="K3735" s="44">
        <v>106.050003</v>
      </c>
    </row>
    <row r="3736" spans="6:11" x14ac:dyDescent="0.3">
      <c r="F3736" s="43">
        <v>43306</v>
      </c>
      <c r="G3736" s="44">
        <v>2846.070068</v>
      </c>
      <c r="H3736" s="44">
        <v>1988.5600589999999</v>
      </c>
      <c r="I3736" s="44">
        <v>1685.1999510000001</v>
      </c>
      <c r="J3736" s="44">
        <v>68.980002999999996</v>
      </c>
      <c r="K3736" s="44">
        <v>106.05999799999999</v>
      </c>
    </row>
    <row r="3737" spans="6:11" x14ac:dyDescent="0.3">
      <c r="F3737" s="43">
        <v>43307</v>
      </c>
      <c r="G3737" s="44">
        <v>2837.4399410000001</v>
      </c>
      <c r="H3737" s="44">
        <v>1997.4399410000001</v>
      </c>
      <c r="I3737" s="44">
        <v>1695.3599850000001</v>
      </c>
      <c r="J3737" s="44">
        <v>68.669998000000007</v>
      </c>
      <c r="K3737" s="44">
        <v>106</v>
      </c>
    </row>
    <row r="3738" spans="6:11" x14ac:dyDescent="0.3">
      <c r="F3738" s="43">
        <v>43308</v>
      </c>
      <c r="G3738" s="44">
        <v>2818.820068</v>
      </c>
      <c r="H3738" s="44">
        <v>1975.219971</v>
      </c>
      <c r="I3738" s="44">
        <v>1663.339966</v>
      </c>
      <c r="J3738" s="44">
        <v>68.800003000000004</v>
      </c>
      <c r="K3738" s="44">
        <v>106.08000199999999</v>
      </c>
    </row>
    <row r="3739" spans="6:11" x14ac:dyDescent="0.3">
      <c r="F3739" s="43">
        <v>43311</v>
      </c>
      <c r="G3739" s="44">
        <v>2802.6000979999999</v>
      </c>
      <c r="H3739" s="44">
        <v>1966.410034</v>
      </c>
      <c r="I3739" s="44">
        <v>1653.130005</v>
      </c>
      <c r="J3739" s="44">
        <v>68.790001000000004</v>
      </c>
      <c r="K3739" s="44">
        <v>105.970001</v>
      </c>
    </row>
    <row r="3740" spans="6:11" x14ac:dyDescent="0.3">
      <c r="F3740" s="43">
        <v>43312</v>
      </c>
      <c r="G3740" s="44">
        <v>2816.290039</v>
      </c>
      <c r="H3740" s="44">
        <v>1984.48999</v>
      </c>
      <c r="I3740" s="44">
        <v>1670.8000489999999</v>
      </c>
      <c r="J3740" s="44">
        <v>68.879997000000003</v>
      </c>
      <c r="K3740" s="44">
        <v>106.05999799999999</v>
      </c>
    </row>
    <row r="3741" spans="6:11" x14ac:dyDescent="0.3">
      <c r="F3741" s="43">
        <v>43313</v>
      </c>
      <c r="G3741" s="44">
        <v>2813.360107</v>
      </c>
      <c r="H3741" s="44">
        <v>1978.25</v>
      </c>
      <c r="I3741" s="44">
        <v>1669.26001</v>
      </c>
      <c r="J3741" s="44">
        <v>68.529999000000004</v>
      </c>
      <c r="K3741" s="44">
        <v>105.699997</v>
      </c>
    </row>
    <row r="3742" spans="6:11" x14ac:dyDescent="0.3">
      <c r="F3742" s="43">
        <v>43314</v>
      </c>
      <c r="G3742" s="44">
        <v>2827.219971</v>
      </c>
      <c r="H3742" s="44">
        <v>1994.9300539999999</v>
      </c>
      <c r="I3742" s="44">
        <v>1682.099976</v>
      </c>
      <c r="J3742" s="44">
        <v>68.080001999999993</v>
      </c>
      <c r="K3742" s="44">
        <v>105.739998</v>
      </c>
    </row>
    <row r="3743" spans="6:11" x14ac:dyDescent="0.3">
      <c r="F3743" s="43">
        <v>43315</v>
      </c>
      <c r="G3743" s="44">
        <v>2840.3500979999999</v>
      </c>
      <c r="H3743" s="44">
        <v>2000.040039</v>
      </c>
      <c r="I3743" s="44">
        <v>1673.369995</v>
      </c>
      <c r="J3743" s="44">
        <v>68.120002999999997</v>
      </c>
      <c r="K3743" s="44">
        <v>105.970001</v>
      </c>
    </row>
    <row r="3744" spans="6:11" x14ac:dyDescent="0.3">
      <c r="F3744" s="43">
        <v>43318</v>
      </c>
      <c r="G3744" s="44">
        <v>2850.3999020000001</v>
      </c>
      <c r="H3744" s="44">
        <v>2009.5</v>
      </c>
      <c r="I3744" s="44">
        <v>1684.3100589999999</v>
      </c>
      <c r="J3744" s="44">
        <v>67.830001999999993</v>
      </c>
      <c r="K3744" s="44">
        <v>106.040001</v>
      </c>
    </row>
    <row r="3745" spans="6:11" x14ac:dyDescent="0.3">
      <c r="F3745" s="43">
        <v>43319</v>
      </c>
      <c r="G3745" s="44">
        <v>2858.4499510000001</v>
      </c>
      <c r="H3745" s="44">
        <v>2015.150024</v>
      </c>
      <c r="I3745" s="44">
        <v>1688.3000489999999</v>
      </c>
      <c r="J3745" s="44">
        <v>68.360000999999997</v>
      </c>
      <c r="K3745" s="44">
        <v>105.849998</v>
      </c>
    </row>
    <row r="3746" spans="6:11" x14ac:dyDescent="0.3">
      <c r="F3746" s="43">
        <v>43320</v>
      </c>
      <c r="G3746" s="44">
        <v>2857.6999510000001</v>
      </c>
      <c r="H3746" s="44">
        <v>2009.969971</v>
      </c>
      <c r="I3746" s="44">
        <v>1686.880005</v>
      </c>
      <c r="J3746" s="44">
        <v>68.300003000000004</v>
      </c>
      <c r="K3746" s="44">
        <v>105.849998</v>
      </c>
    </row>
    <row r="3747" spans="6:11" x14ac:dyDescent="0.3">
      <c r="F3747" s="43">
        <v>43321</v>
      </c>
      <c r="G3747" s="44">
        <v>2853.580078</v>
      </c>
      <c r="H3747" s="44">
        <v>2007.829956</v>
      </c>
      <c r="I3747" s="44">
        <v>1690.8900149999999</v>
      </c>
      <c r="J3747" s="44">
        <v>68.099997999999999</v>
      </c>
      <c r="K3747" s="44">
        <v>106</v>
      </c>
    </row>
    <row r="3748" spans="6:11" x14ac:dyDescent="0.3">
      <c r="F3748" s="43">
        <v>43322</v>
      </c>
      <c r="G3748" s="44">
        <v>2833.280029</v>
      </c>
      <c r="H3748" s="44">
        <v>1996.0200199999999</v>
      </c>
      <c r="I3748" s="44">
        <v>1686.8000489999999</v>
      </c>
      <c r="J3748" s="44">
        <v>66.739998</v>
      </c>
      <c r="K3748" s="44">
        <v>106.230003</v>
      </c>
    </row>
    <row r="3749" spans="6:11" x14ac:dyDescent="0.3">
      <c r="F3749" s="43">
        <v>43325</v>
      </c>
      <c r="G3749" s="44">
        <v>2821.929932</v>
      </c>
      <c r="H3749" s="44">
        <v>1984.9399410000001</v>
      </c>
      <c r="I3749" s="44">
        <v>1675.3199460000001</v>
      </c>
      <c r="J3749" s="44">
        <v>66.5</v>
      </c>
      <c r="K3749" s="44">
        <v>106.290001</v>
      </c>
    </row>
    <row r="3750" spans="6:11" x14ac:dyDescent="0.3">
      <c r="F3750" s="43">
        <v>43326</v>
      </c>
      <c r="G3750" s="44">
        <v>2839.959961</v>
      </c>
      <c r="H3750" s="44">
        <v>2003.1999510000001</v>
      </c>
      <c r="I3750" s="44">
        <v>1692.579956</v>
      </c>
      <c r="J3750" s="44">
        <v>66.489998</v>
      </c>
      <c r="K3750" s="44">
        <v>106.19000200000001</v>
      </c>
    </row>
    <row r="3751" spans="6:11" x14ac:dyDescent="0.3">
      <c r="F3751" s="43">
        <v>43327</v>
      </c>
      <c r="G3751" s="44">
        <v>2818.3701169999999</v>
      </c>
      <c r="H3751" s="44">
        <v>1984.3599850000001</v>
      </c>
      <c r="I3751" s="44">
        <v>1670.670044</v>
      </c>
      <c r="J3751" s="44">
        <v>65.529999000000004</v>
      </c>
      <c r="K3751" s="44">
        <v>106.339996</v>
      </c>
    </row>
    <row r="3752" spans="6:11" x14ac:dyDescent="0.3">
      <c r="F3752" s="43">
        <v>43328</v>
      </c>
      <c r="G3752" s="44">
        <v>2840.6899410000001</v>
      </c>
      <c r="H3752" s="44">
        <v>2000.339966</v>
      </c>
      <c r="I3752" s="44">
        <v>1685.75</v>
      </c>
      <c r="J3752" s="44">
        <v>65.989998</v>
      </c>
      <c r="K3752" s="44">
        <v>106.400002</v>
      </c>
    </row>
    <row r="3753" spans="6:11" x14ac:dyDescent="0.3">
      <c r="F3753" s="43">
        <v>43329</v>
      </c>
      <c r="G3753" s="44">
        <v>2850.1298830000001</v>
      </c>
      <c r="H3753" s="44">
        <v>2010.1899410000001</v>
      </c>
      <c r="I3753" s="44">
        <v>1692.9499510000001</v>
      </c>
      <c r="J3753" s="44">
        <v>66.379997000000003</v>
      </c>
      <c r="K3753" s="44">
        <v>106.459999</v>
      </c>
    </row>
    <row r="3754" spans="6:11" x14ac:dyDescent="0.3">
      <c r="F3754" s="43">
        <v>43332</v>
      </c>
      <c r="G3754" s="44">
        <v>2857.0500489999999</v>
      </c>
      <c r="H3754" s="44">
        <v>2018.4399410000001</v>
      </c>
      <c r="I3754" s="44">
        <v>1698.6899410000001</v>
      </c>
      <c r="J3754" s="44">
        <v>66.739998</v>
      </c>
      <c r="K3754" s="44">
        <v>106.66999800000001</v>
      </c>
    </row>
    <row r="3755" spans="6:11" x14ac:dyDescent="0.3">
      <c r="F3755" s="43">
        <v>43333</v>
      </c>
      <c r="G3755" s="44">
        <v>2862.959961</v>
      </c>
      <c r="H3755" s="44">
        <v>2034.670044</v>
      </c>
      <c r="I3755" s="44">
        <v>1718.0500489999999</v>
      </c>
      <c r="J3755" s="44">
        <v>67.150002000000001</v>
      </c>
      <c r="K3755" s="44">
        <v>106.58000199999999</v>
      </c>
    </row>
    <row r="3756" spans="6:11" x14ac:dyDescent="0.3">
      <c r="F3756" s="43">
        <v>43334</v>
      </c>
      <c r="G3756" s="44">
        <v>2861.820068</v>
      </c>
      <c r="H3756" s="44">
        <v>2034.48999</v>
      </c>
      <c r="I3756" s="44">
        <v>1722.540039</v>
      </c>
      <c r="J3756" s="44">
        <v>67.410004000000001</v>
      </c>
      <c r="K3756" s="44">
        <v>106.66999800000001</v>
      </c>
    </row>
    <row r="3757" spans="6:11" x14ac:dyDescent="0.3">
      <c r="F3757" s="43">
        <v>43335</v>
      </c>
      <c r="G3757" s="44">
        <v>2856.9799800000001</v>
      </c>
      <c r="H3757" s="44">
        <v>2026.910034</v>
      </c>
      <c r="I3757" s="44">
        <v>1717.0500489999999</v>
      </c>
      <c r="J3757" s="44">
        <v>66.930000000000007</v>
      </c>
      <c r="K3757" s="44">
        <v>106.610001</v>
      </c>
    </row>
    <row r="3758" spans="6:11" x14ac:dyDescent="0.3">
      <c r="F3758" s="43">
        <v>43336</v>
      </c>
      <c r="G3758" s="44">
        <v>2874.6899410000001</v>
      </c>
      <c r="H3758" s="44">
        <v>2035.099976</v>
      </c>
      <c r="I3758" s="44">
        <v>1725.670044</v>
      </c>
      <c r="J3758" s="44">
        <v>67.319999999999993</v>
      </c>
      <c r="K3758" s="44">
        <v>106.730003</v>
      </c>
    </row>
    <row r="3759" spans="6:11" x14ac:dyDescent="0.3">
      <c r="F3759" s="43">
        <v>43339</v>
      </c>
      <c r="G3759" s="44">
        <v>2896.73999</v>
      </c>
      <c r="H3759" s="44">
        <v>2044.0600589999999</v>
      </c>
      <c r="I3759" s="44">
        <v>1728.410034</v>
      </c>
      <c r="J3759" s="44">
        <v>68.220000999999996</v>
      </c>
      <c r="K3759" s="44">
        <v>106.589996</v>
      </c>
    </row>
    <row r="3760" spans="6:11" x14ac:dyDescent="0.3">
      <c r="F3760" s="43">
        <v>43340</v>
      </c>
      <c r="G3760" s="44">
        <v>2897.5200199999999</v>
      </c>
      <c r="H3760" s="44">
        <v>2043.9399410000001</v>
      </c>
      <c r="I3760" s="44">
        <v>1728.420044</v>
      </c>
      <c r="J3760" s="44">
        <v>68.160004000000001</v>
      </c>
      <c r="K3760" s="44">
        <v>106.389999</v>
      </c>
    </row>
    <row r="3761" spans="6:11" x14ac:dyDescent="0.3">
      <c r="F3761" s="43">
        <v>43341</v>
      </c>
      <c r="G3761" s="44">
        <v>2914.040039</v>
      </c>
      <c r="H3761" s="44">
        <v>2050.2299800000001</v>
      </c>
      <c r="I3761" s="44">
        <v>1734.75</v>
      </c>
      <c r="J3761" s="44">
        <v>68.529999000000004</v>
      </c>
      <c r="K3761" s="44">
        <v>106.370003</v>
      </c>
    </row>
    <row r="3762" spans="6:11" x14ac:dyDescent="0.3">
      <c r="F3762" s="43">
        <v>43342</v>
      </c>
      <c r="G3762" s="44">
        <v>2901.1298830000001</v>
      </c>
      <c r="H3762" s="44">
        <v>2039.48999</v>
      </c>
      <c r="I3762" s="44">
        <v>1732.349976</v>
      </c>
      <c r="J3762" s="44">
        <v>67.879997000000003</v>
      </c>
      <c r="K3762" s="44">
        <v>106.41999800000001</v>
      </c>
    </row>
    <row r="3763" spans="6:11" x14ac:dyDescent="0.3">
      <c r="F3763" s="43">
        <v>43343</v>
      </c>
      <c r="G3763" s="44">
        <v>2901.5200199999999</v>
      </c>
      <c r="H3763" s="44">
        <v>2044.6999510000001</v>
      </c>
      <c r="I3763" s="44">
        <v>1740.75</v>
      </c>
      <c r="J3763" s="44">
        <v>67.339995999999999</v>
      </c>
      <c r="K3763" s="44">
        <v>106.410004</v>
      </c>
    </row>
    <row r="3764" spans="6:11" x14ac:dyDescent="0.3">
      <c r="F3764" s="43">
        <v>43347</v>
      </c>
      <c r="G3764" s="44">
        <v>2896.719971</v>
      </c>
      <c r="H3764" s="44">
        <v>2040.459961</v>
      </c>
      <c r="I3764" s="44">
        <v>1733.380005</v>
      </c>
      <c r="J3764" s="44">
        <v>66.769997000000004</v>
      </c>
      <c r="K3764" s="44">
        <v>106.05999799999999</v>
      </c>
    </row>
    <row r="3765" spans="6:11" x14ac:dyDescent="0.3">
      <c r="F3765" s="43">
        <v>43348</v>
      </c>
      <c r="G3765" s="44">
        <v>2888.6000979999999</v>
      </c>
      <c r="H3765" s="44">
        <v>2038.5500489999999</v>
      </c>
      <c r="I3765" s="44">
        <v>1727.650024</v>
      </c>
      <c r="J3765" s="44">
        <v>66.160004000000001</v>
      </c>
      <c r="K3765" s="44">
        <v>106.010002</v>
      </c>
    </row>
    <row r="3766" spans="6:11" x14ac:dyDescent="0.3">
      <c r="F3766" s="43">
        <v>43349</v>
      </c>
      <c r="G3766" s="44">
        <v>2878.0500489999999</v>
      </c>
      <c r="H3766" s="44">
        <v>2031.540039</v>
      </c>
      <c r="I3766" s="44">
        <v>1714.469971</v>
      </c>
      <c r="J3766" s="44">
        <v>65.959998999999996</v>
      </c>
      <c r="K3766" s="44">
        <v>106.19000200000001</v>
      </c>
    </row>
    <row r="3767" spans="6:11" x14ac:dyDescent="0.3">
      <c r="F3767" s="43">
        <v>43350</v>
      </c>
      <c r="G3767" s="44">
        <v>2871.679932</v>
      </c>
      <c r="H3767" s="44">
        <v>2027.25</v>
      </c>
      <c r="I3767" s="44">
        <v>1713.1800539999999</v>
      </c>
      <c r="J3767" s="44">
        <v>65.430000000000007</v>
      </c>
      <c r="K3767" s="44">
        <v>105.80999799999999</v>
      </c>
    </row>
    <row r="3768" spans="6:11" x14ac:dyDescent="0.3">
      <c r="F3768" s="43">
        <v>43353</v>
      </c>
      <c r="G3768" s="44">
        <v>2877.1298830000001</v>
      </c>
      <c r="H3768" s="44">
        <v>2031.780029</v>
      </c>
      <c r="I3768" s="44">
        <v>1717.469971</v>
      </c>
      <c r="J3768" s="44">
        <v>65.830001999999993</v>
      </c>
      <c r="K3768" s="44">
        <v>105.910004</v>
      </c>
    </row>
    <row r="3769" spans="6:11" x14ac:dyDescent="0.3">
      <c r="F3769" s="43">
        <v>43354</v>
      </c>
      <c r="G3769" s="44">
        <v>2887.889893</v>
      </c>
      <c r="H3769" s="44">
        <v>2034.849976</v>
      </c>
      <c r="I3769" s="44">
        <v>1718.400024</v>
      </c>
      <c r="J3769" s="44">
        <v>65.889999000000003</v>
      </c>
      <c r="K3769" s="44">
        <v>105.730003</v>
      </c>
    </row>
    <row r="3770" spans="6:11" x14ac:dyDescent="0.3">
      <c r="F3770" s="43">
        <v>43355</v>
      </c>
      <c r="G3770" s="44">
        <v>2888.919922</v>
      </c>
      <c r="H3770" s="44">
        <v>2036.1899410000001</v>
      </c>
      <c r="I3770" s="44">
        <v>1715.6999510000001</v>
      </c>
      <c r="J3770" s="44">
        <v>66.169998000000007</v>
      </c>
      <c r="K3770" s="44">
        <v>105.800003</v>
      </c>
    </row>
    <row r="3771" spans="6:11" x14ac:dyDescent="0.3">
      <c r="F3771" s="43">
        <v>43356</v>
      </c>
      <c r="G3771" s="44">
        <v>2904.179932</v>
      </c>
      <c r="H3771" s="44">
        <v>2039.2299800000001</v>
      </c>
      <c r="I3771" s="44">
        <v>1714.3199460000001</v>
      </c>
      <c r="J3771" s="44">
        <v>66.660004000000001</v>
      </c>
      <c r="K3771" s="44">
        <v>105.870003</v>
      </c>
    </row>
    <row r="3772" spans="6:11" x14ac:dyDescent="0.3">
      <c r="F3772" s="43">
        <v>43357</v>
      </c>
      <c r="G3772" s="44">
        <v>2904.9799800000001</v>
      </c>
      <c r="H3772" s="44">
        <v>2046.5600589999999</v>
      </c>
      <c r="I3772" s="44">
        <v>1721.719971</v>
      </c>
      <c r="J3772" s="44">
        <v>66.760002</v>
      </c>
      <c r="K3772" s="44">
        <v>105.66999800000001</v>
      </c>
    </row>
    <row r="3773" spans="6:11" x14ac:dyDescent="0.3">
      <c r="F3773" s="43">
        <v>43360</v>
      </c>
      <c r="G3773" s="44">
        <v>2888.8000489999999</v>
      </c>
      <c r="H3773" s="44">
        <v>2028.48999</v>
      </c>
      <c r="I3773" s="44">
        <v>1703.5500489999999</v>
      </c>
      <c r="J3773" s="44">
        <v>66.819999999999993</v>
      </c>
      <c r="K3773" s="44">
        <v>105.66999800000001</v>
      </c>
    </row>
    <row r="3774" spans="6:11" x14ac:dyDescent="0.3">
      <c r="F3774" s="43">
        <v>43361</v>
      </c>
      <c r="G3774" s="44">
        <v>2904.3100589999999</v>
      </c>
      <c r="H3774" s="44">
        <v>2036.7299800000001</v>
      </c>
      <c r="I3774" s="44">
        <v>1710.969971</v>
      </c>
      <c r="J3774" s="44">
        <v>67.519997000000004</v>
      </c>
      <c r="K3774" s="44">
        <v>105.44000200000001</v>
      </c>
    </row>
    <row r="3775" spans="6:11" x14ac:dyDescent="0.3">
      <c r="F3775" s="43">
        <v>43362</v>
      </c>
      <c r="G3775" s="44">
        <v>2907.9499510000001</v>
      </c>
      <c r="H3775" s="44">
        <v>2030.26001</v>
      </c>
      <c r="I3775" s="44">
        <v>1702.9300539999999</v>
      </c>
      <c r="J3775" s="44">
        <v>67.760002</v>
      </c>
      <c r="K3775" s="44">
        <v>105.239998</v>
      </c>
    </row>
    <row r="3776" spans="6:11" x14ac:dyDescent="0.3">
      <c r="F3776" s="43">
        <v>43363</v>
      </c>
      <c r="G3776" s="44">
        <v>2930.75</v>
      </c>
      <c r="H3776" s="44">
        <v>2045.1999510000001</v>
      </c>
      <c r="I3776" s="44">
        <v>1720.1800539999999</v>
      </c>
      <c r="J3776" s="44">
        <v>68.599997999999999</v>
      </c>
      <c r="K3776" s="44">
        <v>105.379997</v>
      </c>
    </row>
    <row r="3777" spans="6:11" x14ac:dyDescent="0.3">
      <c r="F3777" s="43">
        <v>43364</v>
      </c>
      <c r="G3777" s="44">
        <v>2929.669922</v>
      </c>
      <c r="H3777" s="44">
        <v>2041.3599850000001</v>
      </c>
      <c r="I3777" s="44">
        <v>1712.3199460000001</v>
      </c>
      <c r="J3777" s="44">
        <v>68.629997000000003</v>
      </c>
      <c r="K3777" s="44">
        <v>105.459999</v>
      </c>
    </row>
    <row r="3778" spans="6:11" x14ac:dyDescent="0.3">
      <c r="F3778" s="43">
        <v>43367</v>
      </c>
      <c r="G3778" s="44">
        <v>2919.3701169999999</v>
      </c>
      <c r="H3778" s="44">
        <v>2032.170044</v>
      </c>
      <c r="I3778" s="44">
        <v>1705.3199460000001</v>
      </c>
      <c r="J3778" s="44">
        <v>68.319999999999993</v>
      </c>
      <c r="K3778" s="44">
        <v>105.360001</v>
      </c>
    </row>
    <row r="3779" spans="6:11" x14ac:dyDescent="0.3">
      <c r="F3779" s="43">
        <v>43368</v>
      </c>
      <c r="G3779" s="44">
        <v>2915.5600589999999</v>
      </c>
      <c r="H3779" s="44">
        <v>2030.619995</v>
      </c>
      <c r="I3779" s="44">
        <v>1708.8100589999999</v>
      </c>
      <c r="J3779" s="44">
        <v>68.660004000000001</v>
      </c>
      <c r="K3779" s="44">
        <v>105.30999799999999</v>
      </c>
    </row>
    <row r="3780" spans="6:11" x14ac:dyDescent="0.3">
      <c r="F3780" s="43">
        <v>43369</v>
      </c>
      <c r="G3780" s="44">
        <v>2905.969971</v>
      </c>
      <c r="H3780" s="44">
        <v>2012.1400149999999</v>
      </c>
      <c r="I3780" s="44">
        <v>1691.6099850000001</v>
      </c>
      <c r="J3780" s="44">
        <v>68.690002000000007</v>
      </c>
      <c r="K3780" s="44">
        <v>105.55999799999999</v>
      </c>
    </row>
    <row r="3781" spans="6:11" x14ac:dyDescent="0.3">
      <c r="F3781" s="43">
        <v>43370</v>
      </c>
      <c r="G3781" s="44">
        <v>2914</v>
      </c>
      <c r="H3781" s="44">
        <v>2012.6899410000001</v>
      </c>
      <c r="I3781" s="44">
        <v>1690.530029</v>
      </c>
      <c r="J3781" s="44">
        <v>68.550003000000004</v>
      </c>
      <c r="K3781" s="44">
        <v>105.629997</v>
      </c>
    </row>
    <row r="3782" spans="6:11" x14ac:dyDescent="0.3">
      <c r="F3782" s="43">
        <v>43371</v>
      </c>
      <c r="G3782" s="44">
        <v>2913.9799800000001</v>
      </c>
      <c r="H3782" s="44">
        <v>2019.5500489999999</v>
      </c>
      <c r="I3782" s="44">
        <v>1696.5699460000001</v>
      </c>
      <c r="J3782" s="44">
        <v>67.989998</v>
      </c>
      <c r="K3782" s="44">
        <v>105.519997</v>
      </c>
    </row>
    <row r="3783" spans="6:11" x14ac:dyDescent="0.3">
      <c r="F3783" s="43">
        <v>43374</v>
      </c>
      <c r="G3783" s="44">
        <v>2924.5900879999999</v>
      </c>
      <c r="H3783" s="44">
        <v>2004.1899410000001</v>
      </c>
      <c r="I3783" s="44">
        <v>1672.98999</v>
      </c>
      <c r="J3783" s="44">
        <v>68.069999999999993</v>
      </c>
      <c r="K3783" s="44">
        <v>105.239998</v>
      </c>
    </row>
    <row r="3784" spans="6:11" x14ac:dyDescent="0.3">
      <c r="F3784" s="43">
        <v>43375</v>
      </c>
      <c r="G3784" s="44">
        <v>2923.429932</v>
      </c>
      <c r="H3784" s="44">
        <v>1996.5500489999999</v>
      </c>
      <c r="I3784" s="44">
        <v>1656.040039</v>
      </c>
      <c r="J3784" s="44">
        <v>67.720000999999996</v>
      </c>
      <c r="K3784" s="44">
        <v>105.360001</v>
      </c>
    </row>
    <row r="3785" spans="6:11" x14ac:dyDescent="0.3">
      <c r="F3785" s="43">
        <v>43376</v>
      </c>
      <c r="G3785" s="44">
        <v>2925.51001</v>
      </c>
      <c r="H3785" s="44">
        <v>2004.0600589999999</v>
      </c>
      <c r="I3785" s="44">
        <v>1671.290039</v>
      </c>
      <c r="J3785" s="44">
        <v>67.599997999999999</v>
      </c>
      <c r="K3785" s="44">
        <v>104.860001</v>
      </c>
    </row>
    <row r="3786" spans="6:11" x14ac:dyDescent="0.3">
      <c r="F3786" s="43">
        <v>43377</v>
      </c>
      <c r="G3786" s="44">
        <v>2901.610107</v>
      </c>
      <c r="H3786" s="44">
        <v>1982.089966</v>
      </c>
      <c r="I3786" s="44">
        <v>1646.910034</v>
      </c>
      <c r="J3786" s="44">
        <v>66.809997999999993</v>
      </c>
      <c r="K3786" s="44">
        <v>104.55999799999999</v>
      </c>
    </row>
    <row r="3787" spans="6:11" x14ac:dyDescent="0.3">
      <c r="F3787" s="43">
        <v>43378</v>
      </c>
      <c r="G3787" s="44">
        <v>2885.570068</v>
      </c>
      <c r="H3787" s="44">
        <v>1967.98999</v>
      </c>
      <c r="I3787" s="44">
        <v>1632.1099850000001</v>
      </c>
      <c r="J3787" s="44">
        <v>66.410004000000001</v>
      </c>
      <c r="K3787" s="44">
        <v>104.33000199999999</v>
      </c>
    </row>
    <row r="3788" spans="6:11" x14ac:dyDescent="0.3">
      <c r="F3788" s="43">
        <v>43381</v>
      </c>
      <c r="G3788" s="44">
        <v>2884.429932</v>
      </c>
      <c r="H3788" s="44">
        <v>1967.9300539999999</v>
      </c>
      <c r="I3788" s="44">
        <v>1629.5200199999999</v>
      </c>
      <c r="J3788" s="44">
        <v>66.089995999999999</v>
      </c>
      <c r="K3788" s="44">
        <v>104.290001</v>
      </c>
    </row>
    <row r="3789" spans="6:11" x14ac:dyDescent="0.3">
      <c r="F3789" s="43">
        <v>43382</v>
      </c>
      <c r="G3789" s="44">
        <v>2880.3400879999999</v>
      </c>
      <c r="H3789" s="44">
        <v>1956.849976</v>
      </c>
      <c r="I3789" s="44">
        <v>1621.869995</v>
      </c>
      <c r="J3789" s="44">
        <v>65.919998000000007</v>
      </c>
      <c r="K3789" s="44">
        <v>104.44000200000001</v>
      </c>
    </row>
    <row r="3790" spans="6:11" x14ac:dyDescent="0.3">
      <c r="F3790" s="43">
        <v>43383</v>
      </c>
      <c r="G3790" s="44">
        <v>2785.679932</v>
      </c>
      <c r="H3790" s="44">
        <v>1905.4300539999999</v>
      </c>
      <c r="I3790" s="44">
        <v>1575.410034</v>
      </c>
      <c r="J3790" s="44">
        <v>64.519997000000004</v>
      </c>
      <c r="K3790" s="44">
        <v>104.410004</v>
      </c>
    </row>
    <row r="3791" spans="6:11" x14ac:dyDescent="0.3">
      <c r="F3791" s="43">
        <v>43384</v>
      </c>
      <c r="G3791" s="44">
        <v>2728.3701169999999</v>
      </c>
      <c r="H3791" s="44">
        <v>1866.7299800000001</v>
      </c>
      <c r="I3791" s="44">
        <v>1545.380005</v>
      </c>
      <c r="J3791" s="44">
        <v>63.619999</v>
      </c>
      <c r="K3791" s="44">
        <v>104.720001</v>
      </c>
    </row>
    <row r="3792" spans="6:11" x14ac:dyDescent="0.3">
      <c r="F3792" s="43">
        <v>43385</v>
      </c>
      <c r="G3792" s="44">
        <v>2767.1298830000001</v>
      </c>
      <c r="H3792" s="44">
        <v>1871.25</v>
      </c>
      <c r="I3792" s="44">
        <v>1546.6800539999999</v>
      </c>
      <c r="J3792" s="44">
        <v>63.849997999999999</v>
      </c>
      <c r="K3792" s="44">
        <v>104.75</v>
      </c>
    </row>
    <row r="3793" spans="6:11" x14ac:dyDescent="0.3">
      <c r="F3793" s="43">
        <v>43388</v>
      </c>
      <c r="G3793" s="44">
        <v>2750.790039</v>
      </c>
      <c r="H3793" s="44">
        <v>1879.1400149999999</v>
      </c>
      <c r="I3793" s="44">
        <v>1553.089966</v>
      </c>
      <c r="J3793" s="44">
        <v>63.700001</v>
      </c>
      <c r="K3793" s="44">
        <v>104.68</v>
      </c>
    </row>
    <row r="3794" spans="6:11" x14ac:dyDescent="0.3">
      <c r="F3794" s="43">
        <v>43389</v>
      </c>
      <c r="G3794" s="44">
        <v>2809.919922</v>
      </c>
      <c r="H3794" s="44">
        <v>1918.3900149999999</v>
      </c>
      <c r="I3794" s="44">
        <v>1596.839966</v>
      </c>
      <c r="J3794" s="44">
        <v>64.790001000000004</v>
      </c>
      <c r="K3794" s="44">
        <v>104.739998</v>
      </c>
    </row>
    <row r="3795" spans="6:11" x14ac:dyDescent="0.3">
      <c r="F3795" s="43">
        <v>43390</v>
      </c>
      <c r="G3795" s="44">
        <v>2809.209961</v>
      </c>
      <c r="H3795" s="44">
        <v>1913.420044</v>
      </c>
      <c r="I3795" s="44">
        <v>1589.599976</v>
      </c>
      <c r="J3795" s="44">
        <v>64.419998000000007</v>
      </c>
      <c r="K3795" s="44">
        <v>104.529999</v>
      </c>
    </row>
    <row r="3796" spans="6:11" x14ac:dyDescent="0.3">
      <c r="F3796" s="43">
        <v>43391</v>
      </c>
      <c r="G3796" s="44">
        <v>2768.780029</v>
      </c>
      <c r="H3796" s="44">
        <v>1884.589966</v>
      </c>
      <c r="I3796" s="44">
        <v>1560.75</v>
      </c>
      <c r="J3796" s="44">
        <v>63.380001</v>
      </c>
      <c r="K3796" s="44">
        <v>104.459999</v>
      </c>
    </row>
    <row r="3797" spans="6:11" x14ac:dyDescent="0.3">
      <c r="F3797" s="43">
        <v>43392</v>
      </c>
      <c r="G3797" s="44">
        <v>2767.780029</v>
      </c>
      <c r="H3797" s="44">
        <v>1872.170044</v>
      </c>
      <c r="I3797" s="44">
        <v>1542.040039</v>
      </c>
      <c r="J3797" s="44">
        <v>63.740001999999997</v>
      </c>
      <c r="K3797" s="44">
        <v>104.370003</v>
      </c>
    </row>
    <row r="3798" spans="6:11" x14ac:dyDescent="0.3">
      <c r="F3798" s="43">
        <v>43395</v>
      </c>
      <c r="G3798" s="44">
        <v>2755.8798830000001</v>
      </c>
      <c r="H3798" s="44">
        <v>1863.150024</v>
      </c>
      <c r="I3798" s="44">
        <v>1539.5</v>
      </c>
      <c r="J3798" s="44">
        <v>63.459999000000003</v>
      </c>
      <c r="K3798" s="44">
        <v>104.349998</v>
      </c>
    </row>
    <row r="3799" spans="6:11" x14ac:dyDescent="0.3">
      <c r="F3799" s="43">
        <v>43396</v>
      </c>
      <c r="G3799" s="44">
        <v>2740.6899410000001</v>
      </c>
      <c r="H3799" s="44">
        <v>1844.7299800000001</v>
      </c>
      <c r="I3799" s="44">
        <v>1526.589966</v>
      </c>
      <c r="J3799" s="44">
        <v>62.860000999999997</v>
      </c>
      <c r="K3799" s="44">
        <v>104.480003</v>
      </c>
    </row>
    <row r="3800" spans="6:11" x14ac:dyDescent="0.3">
      <c r="F3800" s="43">
        <v>43397</v>
      </c>
      <c r="G3800" s="44">
        <v>2656.1000979999999</v>
      </c>
      <c r="H3800" s="44">
        <v>1789.0200199999999</v>
      </c>
      <c r="I3800" s="44">
        <v>1468.6999510000001</v>
      </c>
      <c r="J3800" s="44">
        <v>61.080002</v>
      </c>
      <c r="K3800" s="44">
        <v>104.75</v>
      </c>
    </row>
    <row r="3801" spans="6:11" x14ac:dyDescent="0.3">
      <c r="F3801" s="43">
        <v>43398</v>
      </c>
      <c r="G3801" s="44">
        <v>2705.570068</v>
      </c>
      <c r="H3801" s="44">
        <v>1814.400024</v>
      </c>
      <c r="I3801" s="44">
        <v>1500.400024</v>
      </c>
      <c r="J3801" s="44">
        <v>61.849997999999999</v>
      </c>
      <c r="K3801" s="44">
        <v>104.660004</v>
      </c>
    </row>
    <row r="3802" spans="6:11" x14ac:dyDescent="0.3">
      <c r="F3802" s="43">
        <v>43399</v>
      </c>
      <c r="G3802" s="44">
        <v>2658.6899410000001</v>
      </c>
      <c r="H3802" s="44">
        <v>1795.099976</v>
      </c>
      <c r="I3802" s="44">
        <v>1483.8199460000001</v>
      </c>
      <c r="J3802" s="44">
        <v>61.43</v>
      </c>
      <c r="K3802" s="44">
        <v>104.900002</v>
      </c>
    </row>
    <row r="3803" spans="6:11" x14ac:dyDescent="0.3">
      <c r="F3803" s="43">
        <v>43402</v>
      </c>
      <c r="G3803" s="44">
        <v>2641.25</v>
      </c>
      <c r="H3803" s="44">
        <v>1788.589966</v>
      </c>
      <c r="I3803" s="44">
        <v>1477.3100589999999</v>
      </c>
      <c r="J3803" s="44">
        <v>61.259998000000003</v>
      </c>
      <c r="K3803" s="44">
        <v>104.790001</v>
      </c>
    </row>
    <row r="3804" spans="6:11" x14ac:dyDescent="0.3">
      <c r="F3804" s="43">
        <v>43403</v>
      </c>
      <c r="G3804" s="44">
        <v>2682.6298830000001</v>
      </c>
      <c r="H3804" s="44">
        <v>1819.530029</v>
      </c>
      <c r="I3804" s="44">
        <v>1506.6400149999999</v>
      </c>
      <c r="J3804" s="44">
        <v>62</v>
      </c>
      <c r="K3804" s="44">
        <v>104.639999</v>
      </c>
    </row>
    <row r="3805" spans="6:11" x14ac:dyDescent="0.3">
      <c r="F3805" s="43">
        <v>43404</v>
      </c>
      <c r="G3805" s="44">
        <v>2711.73999</v>
      </c>
      <c r="H3805" s="44">
        <v>1825.099976</v>
      </c>
      <c r="I3805" s="44">
        <v>1511.410034</v>
      </c>
      <c r="J3805" s="44">
        <v>62.459999000000003</v>
      </c>
      <c r="K3805" s="44">
        <v>104.589996</v>
      </c>
    </row>
    <row r="3806" spans="6:11" x14ac:dyDescent="0.3">
      <c r="F3806" s="43">
        <v>43405</v>
      </c>
      <c r="G3806" s="44">
        <v>2740.3701169999999</v>
      </c>
      <c r="H3806" s="44">
        <v>1861.660034</v>
      </c>
      <c r="I3806" s="44">
        <v>1544.9799800000001</v>
      </c>
      <c r="J3806" s="44">
        <v>63.259998000000003</v>
      </c>
      <c r="K3806" s="44">
        <v>104.339996</v>
      </c>
    </row>
    <row r="3807" spans="6:11" x14ac:dyDescent="0.3">
      <c r="F3807" s="43">
        <v>43406</v>
      </c>
      <c r="G3807" s="44">
        <v>2723.0600589999999</v>
      </c>
      <c r="H3807" s="44">
        <v>1862.400024</v>
      </c>
      <c r="I3807" s="44">
        <v>1547.9799800000001</v>
      </c>
      <c r="J3807" s="44">
        <v>63.349997999999999</v>
      </c>
      <c r="K3807" s="44">
        <v>104.029999</v>
      </c>
    </row>
    <row r="3808" spans="6:11" x14ac:dyDescent="0.3">
      <c r="F3808" s="43">
        <v>43409</v>
      </c>
      <c r="G3808" s="44">
        <v>2738.3100589999999</v>
      </c>
      <c r="H3808" s="44">
        <v>1870.3900149999999</v>
      </c>
      <c r="I3808" s="44">
        <v>1547.51001</v>
      </c>
      <c r="J3808" s="44">
        <v>63.349997999999999</v>
      </c>
      <c r="K3808" s="44">
        <v>104.099998</v>
      </c>
    </row>
    <row r="3809" spans="6:11" x14ac:dyDescent="0.3">
      <c r="F3809" s="43">
        <v>43410</v>
      </c>
      <c r="G3809" s="44">
        <v>2755.4499510000001</v>
      </c>
      <c r="H3809" s="44">
        <v>1881.9499510000001</v>
      </c>
      <c r="I3809" s="44">
        <v>1556.099976</v>
      </c>
      <c r="J3809" s="44">
        <v>63.610000999999997</v>
      </c>
      <c r="K3809" s="44">
        <v>104.110001</v>
      </c>
    </row>
    <row r="3810" spans="6:11" x14ac:dyDescent="0.3">
      <c r="F3810" s="43">
        <v>43411</v>
      </c>
      <c r="G3810" s="44">
        <v>2813.889893</v>
      </c>
      <c r="H3810" s="44">
        <v>1910.119995</v>
      </c>
      <c r="I3810" s="44">
        <v>1582.160034</v>
      </c>
      <c r="J3810" s="44">
        <v>64.459998999999996</v>
      </c>
      <c r="K3810" s="44">
        <v>104.199997</v>
      </c>
    </row>
    <row r="3811" spans="6:11" x14ac:dyDescent="0.3">
      <c r="F3811" s="43">
        <v>43412</v>
      </c>
      <c r="G3811" s="44">
        <v>2806.830078</v>
      </c>
      <c r="H3811" s="44">
        <v>1902.150024</v>
      </c>
      <c r="I3811" s="44">
        <v>1578.209961</v>
      </c>
      <c r="J3811" s="44">
        <v>63.830002</v>
      </c>
      <c r="K3811" s="44">
        <v>104.010002</v>
      </c>
    </row>
    <row r="3812" spans="6:11" x14ac:dyDescent="0.3">
      <c r="F3812" s="43">
        <v>43413</v>
      </c>
      <c r="G3812" s="44">
        <v>2781.01001</v>
      </c>
      <c r="H3812" s="44">
        <v>1882.540039</v>
      </c>
      <c r="I3812" s="44">
        <v>1549.48999</v>
      </c>
      <c r="J3812" s="44">
        <v>63.41</v>
      </c>
      <c r="K3812" s="44">
        <v>104.139999</v>
      </c>
    </row>
    <row r="3813" spans="6:11" x14ac:dyDescent="0.3">
      <c r="F3813" s="43">
        <v>43416</v>
      </c>
      <c r="G3813" s="44">
        <v>2726.219971</v>
      </c>
      <c r="H3813" s="44">
        <v>1852.25</v>
      </c>
      <c r="I3813" s="44">
        <v>1518.790039</v>
      </c>
      <c r="J3813" s="44">
        <v>62.369999</v>
      </c>
      <c r="K3813" s="44">
        <v>104.30999799999999</v>
      </c>
    </row>
    <row r="3814" spans="6:11" x14ac:dyDescent="0.3">
      <c r="F3814" s="43">
        <v>43417</v>
      </c>
      <c r="G3814" s="44">
        <v>2722.179932</v>
      </c>
      <c r="H3814" s="44">
        <v>1852.4499510000001</v>
      </c>
      <c r="I3814" s="44">
        <v>1514.8000489999999</v>
      </c>
      <c r="J3814" s="44">
        <v>62.639999000000003</v>
      </c>
      <c r="K3814" s="44">
        <v>104.349998</v>
      </c>
    </row>
    <row r="3815" spans="6:11" x14ac:dyDescent="0.3">
      <c r="F3815" s="43">
        <v>43418</v>
      </c>
      <c r="G3815" s="44">
        <v>2701.580078</v>
      </c>
      <c r="H3815" s="44">
        <v>1841.619995</v>
      </c>
      <c r="I3815" s="44">
        <v>1502.51001</v>
      </c>
      <c r="J3815" s="44">
        <v>62.689999</v>
      </c>
      <c r="K3815" s="44">
        <v>104.360001</v>
      </c>
    </row>
    <row r="3816" spans="6:11" x14ac:dyDescent="0.3">
      <c r="F3816" s="43">
        <v>43419</v>
      </c>
      <c r="G3816" s="44">
        <v>2730.1999510000001</v>
      </c>
      <c r="H3816" s="44">
        <v>1863.030029</v>
      </c>
      <c r="I3816" s="44">
        <v>1524.119995</v>
      </c>
      <c r="J3816" s="44">
        <v>62.889999000000003</v>
      </c>
      <c r="K3816" s="44">
        <v>104.489998</v>
      </c>
    </row>
    <row r="3817" spans="6:11" x14ac:dyDescent="0.3">
      <c r="F3817" s="43">
        <v>43420</v>
      </c>
      <c r="G3817" s="44">
        <v>2736.2700199999999</v>
      </c>
      <c r="H3817" s="44">
        <v>1865.400024</v>
      </c>
      <c r="I3817" s="44">
        <v>1527.530029</v>
      </c>
      <c r="J3817" s="44">
        <v>62.959999000000003</v>
      </c>
      <c r="K3817" s="44">
        <v>104.660004</v>
      </c>
    </row>
    <row r="3818" spans="6:11" x14ac:dyDescent="0.3">
      <c r="F3818" s="43">
        <v>43423</v>
      </c>
      <c r="G3818" s="44">
        <v>2690.7299800000001</v>
      </c>
      <c r="H3818" s="44">
        <v>1839</v>
      </c>
      <c r="I3818" s="44">
        <v>1496.540039</v>
      </c>
      <c r="J3818" s="44">
        <v>62.41</v>
      </c>
      <c r="K3818" s="44">
        <v>104.650002</v>
      </c>
    </row>
    <row r="3819" spans="6:11" x14ac:dyDescent="0.3">
      <c r="F3819" s="43">
        <v>43424</v>
      </c>
      <c r="G3819" s="44">
        <v>2641.889893</v>
      </c>
      <c r="H3819" s="44">
        <v>1807.920044</v>
      </c>
      <c r="I3819" s="44">
        <v>1469.01001</v>
      </c>
      <c r="J3819" s="44">
        <v>61.330002</v>
      </c>
      <c r="K3819" s="44">
        <v>104.610001</v>
      </c>
    </row>
    <row r="3820" spans="6:11" x14ac:dyDescent="0.3">
      <c r="F3820" s="43">
        <v>43425</v>
      </c>
      <c r="G3820" s="44">
        <v>2649.929932</v>
      </c>
      <c r="H3820" s="44">
        <v>1827.869995</v>
      </c>
      <c r="I3820" s="44">
        <v>1488.280029</v>
      </c>
      <c r="J3820" s="44">
        <v>62.189999</v>
      </c>
      <c r="K3820" s="44">
        <v>104.68</v>
      </c>
    </row>
    <row r="3821" spans="6:11" x14ac:dyDescent="0.3">
      <c r="F3821" s="43">
        <v>43427</v>
      </c>
      <c r="G3821" s="44">
        <v>2632.5600589999999</v>
      </c>
      <c r="H3821" s="44">
        <v>1824.880005</v>
      </c>
      <c r="I3821" s="44">
        <v>1488.6800539999999</v>
      </c>
      <c r="J3821" s="44">
        <v>61.779998999999997</v>
      </c>
      <c r="K3821" s="44">
        <v>104.650002</v>
      </c>
    </row>
    <row r="3822" spans="6:11" x14ac:dyDescent="0.3">
      <c r="F3822" s="43">
        <v>43430</v>
      </c>
      <c r="G3822" s="44">
        <v>2673.4499510000001</v>
      </c>
      <c r="H3822" s="44">
        <v>1847.7700199999999</v>
      </c>
      <c r="I3822" s="44">
        <v>1505.959961</v>
      </c>
      <c r="J3822" s="44">
        <v>62.709999000000003</v>
      </c>
      <c r="K3822" s="44">
        <v>104.629997</v>
      </c>
    </row>
    <row r="3823" spans="6:11" x14ac:dyDescent="0.3">
      <c r="F3823" s="43">
        <v>43431</v>
      </c>
      <c r="G3823" s="44">
        <v>2682.169922</v>
      </c>
      <c r="H3823" s="44">
        <v>1833.079956</v>
      </c>
      <c r="I3823" s="44">
        <v>1492.8599850000001</v>
      </c>
      <c r="J3823" s="44">
        <v>62.470001000000003</v>
      </c>
      <c r="K3823" s="44">
        <v>104.660004</v>
      </c>
    </row>
    <row r="3824" spans="6:11" x14ac:dyDescent="0.3">
      <c r="F3824" s="43">
        <v>43432</v>
      </c>
      <c r="G3824" s="44">
        <v>2743.790039</v>
      </c>
      <c r="H3824" s="44">
        <v>1868.959961</v>
      </c>
      <c r="I3824" s="44">
        <v>1530.380005</v>
      </c>
      <c r="J3824" s="44">
        <v>63.360000999999997</v>
      </c>
      <c r="K3824" s="44">
        <v>104.860001</v>
      </c>
    </row>
    <row r="3825" spans="6:11" x14ac:dyDescent="0.3">
      <c r="F3825" s="43">
        <v>43433</v>
      </c>
      <c r="G3825" s="44">
        <v>2737.8000489999999</v>
      </c>
      <c r="H3825" s="44">
        <v>1866.73999</v>
      </c>
      <c r="I3825" s="44">
        <v>1525.3900149999999</v>
      </c>
      <c r="J3825" s="44">
        <v>63.040000999999997</v>
      </c>
      <c r="K3825" s="44">
        <v>104.910004</v>
      </c>
    </row>
    <row r="3826" spans="6:11" x14ac:dyDescent="0.3">
      <c r="F3826" s="43">
        <v>43434</v>
      </c>
      <c r="G3826" s="44">
        <v>2760.169922</v>
      </c>
      <c r="H3826" s="44">
        <v>1878.650024</v>
      </c>
      <c r="I3826" s="44">
        <v>1533.2700199999999</v>
      </c>
      <c r="J3826" s="44">
        <v>62.77</v>
      </c>
      <c r="K3826" s="44">
        <v>104.879997</v>
      </c>
    </row>
    <row r="3827" spans="6:11" x14ac:dyDescent="0.3">
      <c r="F3827" s="43">
        <v>43437</v>
      </c>
      <c r="G3827" s="44">
        <v>2790.3701169999999</v>
      </c>
      <c r="H3827" s="44">
        <v>1895.3199460000001</v>
      </c>
      <c r="I3827" s="44">
        <v>1548.959961</v>
      </c>
      <c r="J3827" s="44">
        <v>63.599997999999999</v>
      </c>
      <c r="K3827" s="44">
        <v>104.800003</v>
      </c>
    </row>
    <row r="3828" spans="6:11" x14ac:dyDescent="0.3">
      <c r="F3828" s="43">
        <v>43438</v>
      </c>
      <c r="G3828" s="44">
        <v>2700.0600589999999</v>
      </c>
      <c r="H3828" s="44">
        <v>1826.619995</v>
      </c>
      <c r="I3828" s="44">
        <v>1480.75</v>
      </c>
      <c r="J3828" s="44">
        <v>61.950001</v>
      </c>
      <c r="K3828" s="44">
        <v>105.08000199999999</v>
      </c>
    </row>
    <row r="3829" spans="6:11" x14ac:dyDescent="0.3">
      <c r="F3829" s="43">
        <v>43440</v>
      </c>
      <c r="G3829" s="44">
        <v>2695.9499510000001</v>
      </c>
      <c r="H3829" s="44">
        <v>1817.4799800000001</v>
      </c>
      <c r="I3829" s="44">
        <v>1477.410034</v>
      </c>
      <c r="J3829" s="44">
        <v>61.369999</v>
      </c>
      <c r="K3829" s="44">
        <v>105.339996</v>
      </c>
    </row>
    <row r="3830" spans="6:11" x14ac:dyDescent="0.3">
      <c r="F3830" s="43">
        <v>43441</v>
      </c>
      <c r="G3830" s="44">
        <v>2633.080078</v>
      </c>
      <c r="H3830" s="44">
        <v>1780.9399410000001</v>
      </c>
      <c r="I3830" s="44">
        <v>1448.089966</v>
      </c>
      <c r="J3830" s="44">
        <v>60.75</v>
      </c>
      <c r="K3830" s="44">
        <v>105.480003</v>
      </c>
    </row>
    <row r="3831" spans="6:11" x14ac:dyDescent="0.3">
      <c r="F3831" s="43">
        <v>43444</v>
      </c>
      <c r="G3831" s="44">
        <v>2637.719971</v>
      </c>
      <c r="H3831" s="44">
        <v>1769.530029</v>
      </c>
      <c r="I3831" s="44">
        <v>1443.099976</v>
      </c>
      <c r="J3831" s="44">
        <v>60.279998999999997</v>
      </c>
      <c r="K3831" s="44">
        <v>105.550003</v>
      </c>
    </row>
    <row r="3832" spans="6:11" x14ac:dyDescent="0.3">
      <c r="F3832" s="43">
        <v>43445</v>
      </c>
      <c r="G3832" s="44">
        <v>2636.780029</v>
      </c>
      <c r="H3832" s="44">
        <v>1763.4499510000001</v>
      </c>
      <c r="I3832" s="44">
        <v>1440.130005</v>
      </c>
      <c r="J3832" s="44">
        <v>60.470001000000003</v>
      </c>
      <c r="K3832" s="44">
        <v>105.58000199999999</v>
      </c>
    </row>
    <row r="3833" spans="6:11" x14ac:dyDescent="0.3">
      <c r="F3833" s="43">
        <v>43446</v>
      </c>
      <c r="G3833" s="44">
        <v>2651.070068</v>
      </c>
      <c r="H3833" s="44">
        <v>1777.25</v>
      </c>
      <c r="I3833" s="44">
        <v>1455.3199460000001</v>
      </c>
      <c r="J3833" s="44">
        <v>61.360000999999997</v>
      </c>
      <c r="K3833" s="44">
        <v>105.5</v>
      </c>
    </row>
    <row r="3834" spans="6:11" x14ac:dyDescent="0.3">
      <c r="F3834" s="43">
        <v>43447</v>
      </c>
      <c r="G3834" s="44">
        <v>2650.540039</v>
      </c>
      <c r="H3834" s="44">
        <v>1758.619995</v>
      </c>
      <c r="I3834" s="44">
        <v>1432.6999510000001</v>
      </c>
      <c r="J3834" s="44">
        <v>61.25</v>
      </c>
      <c r="K3834" s="44">
        <v>105.529999</v>
      </c>
    </row>
    <row r="3835" spans="6:11" x14ac:dyDescent="0.3">
      <c r="F3835" s="43">
        <v>43448</v>
      </c>
      <c r="G3835" s="44">
        <v>2599.9499510000001</v>
      </c>
      <c r="H3835" s="44">
        <v>1732.8100589999999</v>
      </c>
      <c r="I3835" s="44">
        <v>1410.8100589999999</v>
      </c>
      <c r="J3835" s="44">
        <v>60.459999000000003</v>
      </c>
      <c r="K3835" s="44">
        <v>105.55999799999999</v>
      </c>
    </row>
    <row r="3836" spans="6:11" x14ac:dyDescent="0.3">
      <c r="F3836" s="43">
        <v>43451</v>
      </c>
      <c r="G3836" s="44">
        <v>2545.9399410000001</v>
      </c>
      <c r="H3836" s="44">
        <v>1694.3100589999999</v>
      </c>
      <c r="I3836" s="44">
        <v>1378.1400149999999</v>
      </c>
      <c r="J3836" s="44">
        <v>59.98</v>
      </c>
      <c r="K3836" s="44">
        <v>105.739998</v>
      </c>
    </row>
    <row r="3837" spans="6:11" x14ac:dyDescent="0.3">
      <c r="F3837" s="43">
        <v>43452</v>
      </c>
      <c r="G3837" s="44">
        <v>2546.1599120000001</v>
      </c>
      <c r="H3837" s="44">
        <v>1694.7700199999999</v>
      </c>
      <c r="I3837" s="44">
        <v>1377.1800539999999</v>
      </c>
      <c r="J3837" s="44">
        <v>59.389999000000003</v>
      </c>
      <c r="K3837" s="44">
        <v>105.839996</v>
      </c>
    </row>
    <row r="3838" spans="6:11" x14ac:dyDescent="0.3">
      <c r="F3838" s="43">
        <v>43453</v>
      </c>
      <c r="G3838" s="44">
        <v>2506.959961</v>
      </c>
      <c r="H3838" s="44">
        <v>1665.719971</v>
      </c>
      <c r="I3838" s="44">
        <v>1349.2299800000001</v>
      </c>
      <c r="J3838" s="44">
        <v>58.82</v>
      </c>
      <c r="K3838" s="44">
        <v>105.94000200000001</v>
      </c>
    </row>
    <row r="3839" spans="6:11" x14ac:dyDescent="0.3">
      <c r="F3839" s="43">
        <v>43454</v>
      </c>
      <c r="G3839" s="44">
        <v>2467.419922</v>
      </c>
      <c r="H3839" s="44">
        <v>1644.329956</v>
      </c>
      <c r="I3839" s="44">
        <v>1326</v>
      </c>
      <c r="J3839" s="44">
        <v>58.580002</v>
      </c>
      <c r="K3839" s="44">
        <v>105.839996</v>
      </c>
    </row>
    <row r="3840" spans="6:11" x14ac:dyDescent="0.3">
      <c r="F3840" s="43">
        <v>43455</v>
      </c>
      <c r="G3840" s="44">
        <v>2416.6201169999999</v>
      </c>
      <c r="H3840" s="44">
        <v>1611.349976</v>
      </c>
      <c r="I3840" s="44">
        <v>1292.089966</v>
      </c>
      <c r="J3840" s="44">
        <v>57.560001</v>
      </c>
      <c r="K3840" s="44">
        <v>105.790001</v>
      </c>
    </row>
    <row r="3841" spans="6:11" x14ac:dyDescent="0.3">
      <c r="F3841" s="43">
        <v>43458</v>
      </c>
      <c r="G3841" s="44">
        <v>2351.1000979999999</v>
      </c>
      <c r="H3841" s="44">
        <v>1567.400024</v>
      </c>
      <c r="I3841" s="44">
        <v>1266.920044</v>
      </c>
      <c r="J3841" s="44">
        <v>56.889999000000003</v>
      </c>
      <c r="K3841" s="44">
        <v>105.860001</v>
      </c>
    </row>
    <row r="3842" spans="6:11" x14ac:dyDescent="0.3">
      <c r="F3842" s="43">
        <v>43460</v>
      </c>
      <c r="G3842" s="44">
        <v>2467.6999510000001</v>
      </c>
      <c r="H3842" s="44">
        <v>1639.780029</v>
      </c>
      <c r="I3842" s="44">
        <v>1329.8100589999999</v>
      </c>
      <c r="J3842" s="44">
        <v>58.209999000000003</v>
      </c>
      <c r="K3842" s="44">
        <v>105.660004</v>
      </c>
    </row>
    <row r="3843" spans="6:11" x14ac:dyDescent="0.3">
      <c r="F3843" s="43">
        <v>43461</v>
      </c>
      <c r="G3843" s="44">
        <v>2488.830078</v>
      </c>
      <c r="H3843" s="44">
        <v>1647.23999</v>
      </c>
      <c r="I3843" s="44">
        <v>1331.8199460000001</v>
      </c>
      <c r="J3843" s="44">
        <v>58.380001</v>
      </c>
      <c r="K3843" s="44">
        <v>105.83000199999999</v>
      </c>
    </row>
    <row r="3844" spans="6:11" x14ac:dyDescent="0.3">
      <c r="F3844" s="43">
        <v>43462</v>
      </c>
      <c r="G3844" s="44">
        <v>2485.73999</v>
      </c>
      <c r="H3844" s="44">
        <v>1646.48999</v>
      </c>
      <c r="I3844" s="44">
        <v>1337.920044</v>
      </c>
      <c r="J3844" s="44">
        <v>58.689999</v>
      </c>
      <c r="K3844" s="44">
        <v>106.220001</v>
      </c>
    </row>
    <row r="3845" spans="6:11" x14ac:dyDescent="0.3">
      <c r="F3845" s="43">
        <v>43465</v>
      </c>
      <c r="G3845" s="44">
        <v>2506.8500979999999</v>
      </c>
      <c r="H3845" s="44">
        <v>1663.040039</v>
      </c>
      <c r="I3845" s="44">
        <v>1348.5600589999999</v>
      </c>
      <c r="J3845" s="44">
        <v>58.779998999999997</v>
      </c>
      <c r="K3845" s="44">
        <v>106.489998</v>
      </c>
    </row>
    <row r="3846" spans="6:11" x14ac:dyDescent="0.3">
      <c r="F3846" s="43">
        <v>43467</v>
      </c>
      <c r="G3846" s="44">
        <v>2510.030029</v>
      </c>
      <c r="H3846" s="44">
        <v>1657.9300539999999</v>
      </c>
      <c r="I3846" s="44">
        <v>1355.910034</v>
      </c>
      <c r="J3846" s="44">
        <v>58.66</v>
      </c>
      <c r="K3846" s="44">
        <v>106.57</v>
      </c>
    </row>
    <row r="3847" spans="6:11" x14ac:dyDescent="0.3">
      <c r="F3847" s="43">
        <v>43468</v>
      </c>
      <c r="G3847" s="44">
        <v>2447.889893</v>
      </c>
      <c r="H3847" s="44">
        <v>1631.5600589999999</v>
      </c>
      <c r="I3847" s="44">
        <v>1330.829956</v>
      </c>
      <c r="J3847" s="44">
        <v>58.130001</v>
      </c>
      <c r="K3847" s="44">
        <v>107.010002</v>
      </c>
    </row>
    <row r="3848" spans="6:11" x14ac:dyDescent="0.3">
      <c r="F3848" s="43">
        <v>43469</v>
      </c>
      <c r="G3848" s="44">
        <v>2531.9399410000001</v>
      </c>
      <c r="H3848" s="44">
        <v>1684.339966</v>
      </c>
      <c r="I3848" s="44">
        <v>1380.75</v>
      </c>
      <c r="J3848" s="44">
        <v>59.91</v>
      </c>
      <c r="K3848" s="44">
        <v>106.69000200000001</v>
      </c>
    </row>
    <row r="3849" spans="6:11" x14ac:dyDescent="0.3">
      <c r="F3849" s="43">
        <v>43472</v>
      </c>
      <c r="G3849" s="44">
        <v>2549.6899410000001</v>
      </c>
      <c r="H3849" s="44">
        <v>1702.8199460000001</v>
      </c>
      <c r="I3849" s="44">
        <v>1405.369995</v>
      </c>
      <c r="J3849" s="44">
        <v>60.139999000000003</v>
      </c>
      <c r="K3849" s="44">
        <v>106.510002</v>
      </c>
    </row>
    <row r="3850" spans="6:11" x14ac:dyDescent="0.3">
      <c r="F3850" s="43">
        <v>43473</v>
      </c>
      <c r="G3850" s="44">
        <v>2574.4099120000001</v>
      </c>
      <c r="H3850" s="44">
        <v>1731.630005</v>
      </c>
      <c r="I3850" s="44">
        <v>1426.5500489999999</v>
      </c>
      <c r="J3850" s="44">
        <v>60.529998999999997</v>
      </c>
      <c r="K3850" s="44">
        <v>106.43</v>
      </c>
    </row>
    <row r="3851" spans="6:11" x14ac:dyDescent="0.3">
      <c r="F3851" s="43">
        <v>43474</v>
      </c>
      <c r="G3851" s="44">
        <v>2584.959961</v>
      </c>
      <c r="H3851" s="44">
        <v>1747.4300539999999</v>
      </c>
      <c r="I3851" s="44">
        <v>1438.8100589999999</v>
      </c>
      <c r="J3851" s="44">
        <v>61.209999000000003</v>
      </c>
      <c r="K3851" s="44">
        <v>106.519997</v>
      </c>
    </row>
    <row r="3852" spans="6:11" x14ac:dyDescent="0.3">
      <c r="F3852" s="43">
        <v>43475</v>
      </c>
      <c r="G3852" s="44">
        <v>2596.639893</v>
      </c>
      <c r="H3852" s="44">
        <v>1761.400024</v>
      </c>
      <c r="I3852" s="44">
        <v>1445.4300539999999</v>
      </c>
      <c r="J3852" s="44">
        <v>61.450001</v>
      </c>
      <c r="K3852" s="44">
        <v>106.400002</v>
      </c>
    </row>
    <row r="3853" spans="6:11" x14ac:dyDescent="0.3">
      <c r="F3853" s="43">
        <v>43476</v>
      </c>
      <c r="G3853" s="44">
        <v>2596.26001</v>
      </c>
      <c r="H3853" s="44">
        <v>1763.619995</v>
      </c>
      <c r="I3853" s="44">
        <v>1447.380005</v>
      </c>
      <c r="J3853" s="44">
        <v>61.029998999999997</v>
      </c>
      <c r="K3853" s="44">
        <v>106.550003</v>
      </c>
    </row>
    <row r="3854" spans="6:11" x14ac:dyDescent="0.3">
      <c r="F3854" s="43">
        <v>43479</v>
      </c>
      <c r="G3854" s="44">
        <v>2582.610107</v>
      </c>
      <c r="H3854" s="44">
        <v>1753.170044</v>
      </c>
      <c r="I3854" s="44">
        <v>1432.8100589999999</v>
      </c>
      <c r="J3854" s="44">
        <v>60.75</v>
      </c>
      <c r="K3854" s="44">
        <v>106.400002</v>
      </c>
    </row>
    <row r="3855" spans="6:11" x14ac:dyDescent="0.3">
      <c r="F3855" s="43">
        <v>43480</v>
      </c>
      <c r="G3855" s="44">
        <v>2610.3000489999999</v>
      </c>
      <c r="H3855" s="44">
        <v>1763.900024</v>
      </c>
      <c r="I3855" s="44">
        <v>1445.219971</v>
      </c>
      <c r="J3855" s="44">
        <v>61.07</v>
      </c>
      <c r="K3855" s="44">
        <v>106.41999800000001</v>
      </c>
    </row>
    <row r="3856" spans="6:11" x14ac:dyDescent="0.3">
      <c r="F3856" s="43">
        <v>43481</v>
      </c>
      <c r="G3856" s="44">
        <v>2616.1000979999999</v>
      </c>
      <c r="H3856" s="44">
        <v>1775.900024</v>
      </c>
      <c r="I3856" s="44">
        <v>1454.6999510000001</v>
      </c>
      <c r="J3856" s="44">
        <v>61.240001999999997</v>
      </c>
      <c r="K3856" s="44">
        <v>106.510002</v>
      </c>
    </row>
    <row r="3857" spans="6:11" x14ac:dyDescent="0.3">
      <c r="F3857" s="43">
        <v>43482</v>
      </c>
      <c r="G3857" s="44">
        <v>2635.959961</v>
      </c>
      <c r="H3857" s="44">
        <v>1792.1999510000001</v>
      </c>
      <c r="I3857" s="44">
        <v>1467.25</v>
      </c>
      <c r="J3857" s="44">
        <v>61.459999000000003</v>
      </c>
      <c r="K3857" s="44">
        <v>106.43</v>
      </c>
    </row>
    <row r="3858" spans="6:11" x14ac:dyDescent="0.3">
      <c r="F3858" s="43">
        <v>43483</v>
      </c>
      <c r="G3858" s="44">
        <v>2670.709961</v>
      </c>
      <c r="H3858" s="44">
        <v>1817.25</v>
      </c>
      <c r="I3858" s="44">
        <v>1482.5</v>
      </c>
      <c r="J3858" s="44">
        <v>62.080002</v>
      </c>
      <c r="K3858" s="44">
        <v>106.349998</v>
      </c>
    </row>
    <row r="3859" spans="6:11" x14ac:dyDescent="0.3">
      <c r="F3859" s="43">
        <v>43487</v>
      </c>
      <c r="G3859" s="44">
        <v>2632.8999020000001</v>
      </c>
      <c r="H3859" s="44">
        <v>1789.420044</v>
      </c>
      <c r="I3859" s="44">
        <v>1457.4499510000001</v>
      </c>
      <c r="J3859" s="44">
        <v>61.119999</v>
      </c>
      <c r="K3859" s="44">
        <v>106.44000200000001</v>
      </c>
    </row>
    <row r="3860" spans="6:11" x14ac:dyDescent="0.3">
      <c r="F3860" s="43">
        <v>43488</v>
      </c>
      <c r="G3860" s="44">
        <v>2638.6999510000001</v>
      </c>
      <c r="H3860" s="44">
        <v>1786.6400149999999</v>
      </c>
      <c r="I3860" s="44">
        <v>1454.26001</v>
      </c>
      <c r="J3860" s="44">
        <v>61.400002000000001</v>
      </c>
      <c r="K3860" s="44">
        <v>106.550003</v>
      </c>
    </row>
    <row r="3861" spans="6:11" x14ac:dyDescent="0.3">
      <c r="F3861" s="43">
        <v>43489</v>
      </c>
      <c r="G3861" s="44">
        <v>2642.330078</v>
      </c>
      <c r="H3861" s="44">
        <v>1799.2299800000001</v>
      </c>
      <c r="I3861" s="44">
        <v>1464.410034</v>
      </c>
      <c r="J3861" s="44">
        <v>61.470001000000003</v>
      </c>
      <c r="K3861" s="44">
        <v>106.730003</v>
      </c>
    </row>
    <row r="3862" spans="6:11" x14ac:dyDescent="0.3">
      <c r="F3862" s="43">
        <v>43490</v>
      </c>
      <c r="G3862" s="44">
        <v>2664.76001</v>
      </c>
      <c r="H3862" s="44">
        <v>1818.5699460000001</v>
      </c>
      <c r="I3862" s="44">
        <v>1482.849976</v>
      </c>
      <c r="J3862" s="44">
        <v>62.169998</v>
      </c>
      <c r="K3862" s="44">
        <v>106.68</v>
      </c>
    </row>
    <row r="3863" spans="6:11" x14ac:dyDescent="0.3">
      <c r="F3863" s="43">
        <v>43493</v>
      </c>
      <c r="G3863" s="44">
        <v>2643.8500979999999</v>
      </c>
      <c r="H3863" s="44">
        <v>1816.0600589999999</v>
      </c>
      <c r="I3863" s="44">
        <v>1473.540039</v>
      </c>
      <c r="J3863" s="44">
        <v>61.830002</v>
      </c>
      <c r="K3863" s="44">
        <v>106.620003</v>
      </c>
    </row>
    <row r="3864" spans="6:11" x14ac:dyDescent="0.3">
      <c r="F3864" s="43">
        <v>43494</v>
      </c>
      <c r="G3864" s="44">
        <v>2640</v>
      </c>
      <c r="H3864" s="44">
        <v>1816.01001</v>
      </c>
      <c r="I3864" s="44">
        <v>1471.4499510000001</v>
      </c>
      <c r="J3864" s="44">
        <v>61.970001000000003</v>
      </c>
      <c r="K3864" s="44">
        <v>106.900002</v>
      </c>
    </row>
    <row r="3865" spans="6:11" x14ac:dyDescent="0.3">
      <c r="F3865" s="43">
        <v>43495</v>
      </c>
      <c r="G3865" s="44">
        <v>2681.0500489999999</v>
      </c>
      <c r="H3865" s="44">
        <v>1827.209961</v>
      </c>
      <c r="I3865" s="44">
        <v>1486.9399410000001</v>
      </c>
      <c r="J3865" s="44">
        <v>62.650002000000001</v>
      </c>
      <c r="K3865" s="44">
        <v>107.139999</v>
      </c>
    </row>
    <row r="3866" spans="6:11" x14ac:dyDescent="0.3">
      <c r="F3866" s="43">
        <v>43496</v>
      </c>
      <c r="G3866" s="44">
        <v>2704.1000979999999</v>
      </c>
      <c r="H3866" s="44">
        <v>1835.3900149999999</v>
      </c>
      <c r="I3866" s="44">
        <v>1499.420044</v>
      </c>
      <c r="J3866" s="44">
        <v>62.68</v>
      </c>
      <c r="K3866" s="44">
        <v>107.459999</v>
      </c>
    </row>
    <row r="3867" spans="6:11" x14ac:dyDescent="0.3">
      <c r="F3867" s="43">
        <v>43497</v>
      </c>
      <c r="G3867" s="44">
        <v>2706.530029</v>
      </c>
      <c r="H3867" s="44">
        <v>1841.5200199999999</v>
      </c>
      <c r="I3867" s="44">
        <v>1502.0500489999999</v>
      </c>
      <c r="J3867" s="44">
        <v>62.66</v>
      </c>
      <c r="K3867" s="44">
        <v>106.970001</v>
      </c>
    </row>
    <row r="3868" spans="6:11" x14ac:dyDescent="0.3">
      <c r="F3868" s="43">
        <v>43500</v>
      </c>
      <c r="G3868" s="44">
        <v>2724.8701169999999</v>
      </c>
      <c r="H3868" s="44">
        <v>1857.3199460000001</v>
      </c>
      <c r="I3868" s="44">
        <v>1517.540039</v>
      </c>
      <c r="J3868" s="44">
        <v>62.889999000000003</v>
      </c>
      <c r="K3868" s="44">
        <v>106.879997</v>
      </c>
    </row>
    <row r="3869" spans="6:11" x14ac:dyDescent="0.3">
      <c r="F3869" s="43">
        <v>43501</v>
      </c>
      <c r="G3869" s="44">
        <v>2737.6999510000001</v>
      </c>
      <c r="H3869" s="44">
        <v>1865.599976</v>
      </c>
      <c r="I3869" s="44">
        <v>1520.2299800000001</v>
      </c>
      <c r="J3869" s="44">
        <v>63.380001</v>
      </c>
      <c r="K3869" s="44">
        <v>107.110001</v>
      </c>
    </row>
    <row r="3870" spans="6:11" x14ac:dyDescent="0.3">
      <c r="F3870" s="43">
        <v>43502</v>
      </c>
      <c r="G3870" s="44">
        <v>2731.610107</v>
      </c>
      <c r="H3870" s="44">
        <v>1862.75</v>
      </c>
      <c r="I3870" s="44">
        <v>1518.0200199999999</v>
      </c>
      <c r="J3870" s="44">
        <v>63.060001</v>
      </c>
      <c r="K3870" s="44">
        <v>107.050003</v>
      </c>
    </row>
    <row r="3871" spans="6:11" x14ac:dyDescent="0.3">
      <c r="F3871" s="43">
        <v>43503</v>
      </c>
      <c r="G3871" s="44">
        <v>2706.0500489999999</v>
      </c>
      <c r="H3871" s="44">
        <v>1854.400024</v>
      </c>
      <c r="I3871" s="44">
        <v>1505.630005</v>
      </c>
      <c r="J3871" s="44">
        <v>62.220001000000003</v>
      </c>
      <c r="K3871" s="44">
        <v>107.099998</v>
      </c>
    </row>
    <row r="3872" spans="6:11" x14ac:dyDescent="0.3">
      <c r="F3872" s="43">
        <v>43504</v>
      </c>
      <c r="G3872" s="44">
        <v>2707.8798830000001</v>
      </c>
      <c r="H3872" s="44">
        <v>1852.4499510000001</v>
      </c>
      <c r="I3872" s="44">
        <v>1506.3900149999999</v>
      </c>
      <c r="J3872" s="44">
        <v>62.02</v>
      </c>
      <c r="K3872" s="44">
        <v>107.339996</v>
      </c>
    </row>
    <row r="3873" spans="6:11" x14ac:dyDescent="0.3">
      <c r="F3873" s="43">
        <v>43507</v>
      </c>
      <c r="G3873" s="44">
        <v>2709.8000489999999</v>
      </c>
      <c r="H3873" s="44">
        <v>1864.6400149999999</v>
      </c>
      <c r="I3873" s="44">
        <v>1518.9799800000001</v>
      </c>
      <c r="J3873" s="44">
        <v>61.959999000000003</v>
      </c>
      <c r="K3873" s="44">
        <v>107.230003</v>
      </c>
    </row>
    <row r="3874" spans="6:11" x14ac:dyDescent="0.3">
      <c r="F3874" s="43">
        <v>43508</v>
      </c>
      <c r="G3874" s="44">
        <v>2744.7299800000001</v>
      </c>
      <c r="H3874" s="44">
        <v>1884.290039</v>
      </c>
      <c r="I3874" s="44">
        <v>1538.2299800000001</v>
      </c>
      <c r="J3874" s="44">
        <v>62.68</v>
      </c>
      <c r="K3874" s="44">
        <v>107.25</v>
      </c>
    </row>
    <row r="3875" spans="6:11" x14ac:dyDescent="0.3">
      <c r="F3875" s="43">
        <v>43509</v>
      </c>
      <c r="G3875" s="44">
        <v>2753.030029</v>
      </c>
      <c r="H3875" s="44">
        <v>1893.280029</v>
      </c>
      <c r="I3875" s="44">
        <v>1542.9399410000001</v>
      </c>
      <c r="J3875" s="44">
        <v>62.689999</v>
      </c>
      <c r="K3875" s="44">
        <v>107.05999799999999</v>
      </c>
    </row>
    <row r="3876" spans="6:11" x14ac:dyDescent="0.3">
      <c r="F3876" s="43">
        <v>43510</v>
      </c>
      <c r="G3876" s="44">
        <v>2745.7299800000001</v>
      </c>
      <c r="H3876" s="44">
        <v>1891.660034</v>
      </c>
      <c r="I3876" s="44">
        <v>1545.1099850000001</v>
      </c>
      <c r="J3876" s="44">
        <v>62.709999000000003</v>
      </c>
      <c r="K3876" s="44">
        <v>107.220001</v>
      </c>
    </row>
    <row r="3877" spans="6:11" x14ac:dyDescent="0.3">
      <c r="F3877" s="43">
        <v>43511</v>
      </c>
      <c r="G3877" s="44">
        <v>2775.6000979999999</v>
      </c>
      <c r="H3877" s="44">
        <v>1914.01001</v>
      </c>
      <c r="I3877" s="44">
        <v>1569.25</v>
      </c>
      <c r="J3877" s="44">
        <v>63.619999</v>
      </c>
      <c r="K3877" s="44">
        <v>107.300003</v>
      </c>
    </row>
    <row r="3878" spans="6:11" x14ac:dyDescent="0.3">
      <c r="F3878" s="43">
        <v>43515</v>
      </c>
      <c r="G3878" s="44">
        <v>2779.76001</v>
      </c>
      <c r="H3878" s="44">
        <v>1916.2700199999999</v>
      </c>
      <c r="I3878" s="44">
        <v>1574.469971</v>
      </c>
      <c r="J3878" s="44">
        <v>63.860000999999997</v>
      </c>
      <c r="K3878" s="44">
        <v>107.360001</v>
      </c>
    </row>
    <row r="3879" spans="6:11" x14ac:dyDescent="0.3">
      <c r="F3879" s="43">
        <v>43516</v>
      </c>
      <c r="G3879" s="44">
        <v>2784.6999510000001</v>
      </c>
      <c r="H3879" s="44">
        <v>1925.119995</v>
      </c>
      <c r="I3879" s="44">
        <v>1581.660034</v>
      </c>
      <c r="J3879" s="44">
        <v>64.040001000000004</v>
      </c>
      <c r="K3879" s="44">
        <v>107.370003</v>
      </c>
    </row>
    <row r="3880" spans="6:11" x14ac:dyDescent="0.3">
      <c r="F3880" s="43">
        <v>43517</v>
      </c>
      <c r="G3880" s="44">
        <v>2774.8798830000001</v>
      </c>
      <c r="H3880" s="44">
        <v>1918.3599850000001</v>
      </c>
      <c r="I3880" s="44">
        <v>1575.5500489999999</v>
      </c>
      <c r="J3880" s="44">
        <v>63.91</v>
      </c>
      <c r="K3880" s="44">
        <v>107.129997</v>
      </c>
    </row>
    <row r="3881" spans="6:11" x14ac:dyDescent="0.3">
      <c r="F3881" s="43">
        <v>43518</v>
      </c>
      <c r="G3881" s="44">
        <v>2792.669922</v>
      </c>
      <c r="H3881" s="44">
        <v>1933.719971</v>
      </c>
      <c r="I3881" s="44">
        <v>1590.0600589999999</v>
      </c>
      <c r="J3881" s="44">
        <v>64.120002999999997</v>
      </c>
      <c r="K3881" s="44">
        <v>107.400002</v>
      </c>
    </row>
    <row r="3882" spans="6:11" x14ac:dyDescent="0.3">
      <c r="F3882" s="43">
        <v>43521</v>
      </c>
      <c r="G3882" s="44">
        <v>2796.110107</v>
      </c>
      <c r="H3882" s="44">
        <v>1933.119995</v>
      </c>
      <c r="I3882" s="44">
        <v>1588.8100589999999</v>
      </c>
      <c r="J3882" s="44">
        <v>64.309997999999993</v>
      </c>
      <c r="K3882" s="44">
        <v>107.370003</v>
      </c>
    </row>
    <row r="3883" spans="6:11" x14ac:dyDescent="0.3">
      <c r="F3883" s="43">
        <v>43522</v>
      </c>
      <c r="G3883" s="44">
        <v>2793.8999020000001</v>
      </c>
      <c r="H3883" s="44">
        <v>1916.1800539999999</v>
      </c>
      <c r="I3883" s="44">
        <v>1577.4799800000001</v>
      </c>
      <c r="J3883" s="44">
        <v>64.620002999999997</v>
      </c>
      <c r="K3883" s="44">
        <v>107.489998</v>
      </c>
    </row>
    <row r="3884" spans="6:11" x14ac:dyDescent="0.3">
      <c r="F3884" s="43">
        <v>43523</v>
      </c>
      <c r="G3884" s="44">
        <v>2792.3798830000001</v>
      </c>
      <c r="H3884" s="44">
        <v>1918.410034</v>
      </c>
      <c r="I3884" s="44">
        <v>1581.0500489999999</v>
      </c>
      <c r="J3884" s="44">
        <v>64.360000999999997</v>
      </c>
      <c r="K3884" s="44">
        <v>107.260002</v>
      </c>
    </row>
    <row r="3885" spans="6:11" x14ac:dyDescent="0.3">
      <c r="F3885" s="43">
        <v>43524</v>
      </c>
      <c r="G3885" s="44">
        <v>2784.48999</v>
      </c>
      <c r="H3885" s="44">
        <v>1910.339966</v>
      </c>
      <c r="I3885" s="44">
        <v>1575.5500489999999</v>
      </c>
      <c r="J3885" s="44">
        <v>64.269997000000004</v>
      </c>
      <c r="K3885" s="44">
        <v>107.07</v>
      </c>
    </row>
    <row r="3886" spans="6:11" x14ac:dyDescent="0.3">
      <c r="F3886" s="43">
        <v>43525</v>
      </c>
      <c r="G3886" s="44">
        <v>2803.6899410000001</v>
      </c>
      <c r="H3886" s="44">
        <v>1925.349976</v>
      </c>
      <c r="I3886" s="44">
        <v>1589.6400149999999</v>
      </c>
      <c r="J3886" s="44">
        <v>64.620002999999997</v>
      </c>
      <c r="K3886" s="44">
        <v>106.629997</v>
      </c>
    </row>
    <row r="3887" spans="6:11" x14ac:dyDescent="0.3">
      <c r="F3887" s="43">
        <v>43528</v>
      </c>
      <c r="G3887" s="44">
        <v>2792.8100589999999</v>
      </c>
      <c r="H3887" s="44">
        <v>1915.9300539999999</v>
      </c>
      <c r="I3887" s="44">
        <v>1575.4399410000001</v>
      </c>
      <c r="J3887" s="44">
        <v>64.379997000000003</v>
      </c>
      <c r="K3887" s="44">
        <v>106.760002</v>
      </c>
    </row>
    <row r="3888" spans="6:11" x14ac:dyDescent="0.3">
      <c r="F3888" s="43">
        <v>43529</v>
      </c>
      <c r="G3888" s="44">
        <v>2789.6499020000001</v>
      </c>
      <c r="H3888" s="44">
        <v>1907.7700199999999</v>
      </c>
      <c r="I3888" s="44">
        <v>1568.280029</v>
      </c>
      <c r="J3888" s="44">
        <v>64.440002000000007</v>
      </c>
      <c r="K3888" s="44">
        <v>106.83000199999999</v>
      </c>
    </row>
    <row r="3889" spans="6:11" x14ac:dyDescent="0.3">
      <c r="F3889" s="43">
        <v>43530</v>
      </c>
      <c r="G3889" s="44">
        <v>2771.4499510000001</v>
      </c>
      <c r="H3889" s="44">
        <v>1881.469971</v>
      </c>
      <c r="I3889" s="44">
        <v>1536.8199460000001</v>
      </c>
      <c r="J3889" s="44">
        <v>64.279999000000004</v>
      </c>
      <c r="K3889" s="44">
        <v>106.989998</v>
      </c>
    </row>
    <row r="3890" spans="6:11" x14ac:dyDescent="0.3">
      <c r="F3890" s="43">
        <v>43531</v>
      </c>
      <c r="G3890" s="44">
        <v>2748.929932</v>
      </c>
      <c r="H3890" s="44">
        <v>1865.540039</v>
      </c>
      <c r="I3890" s="44">
        <v>1523.630005</v>
      </c>
      <c r="J3890" s="44">
        <v>63.459999000000003</v>
      </c>
      <c r="K3890" s="44">
        <v>107.290001</v>
      </c>
    </row>
    <row r="3891" spans="6:11" x14ac:dyDescent="0.3">
      <c r="F3891" s="43">
        <v>43532</v>
      </c>
      <c r="G3891" s="44">
        <v>2743.070068</v>
      </c>
      <c r="H3891" s="44">
        <v>1860.280029</v>
      </c>
      <c r="I3891" s="44">
        <v>1521.880005</v>
      </c>
      <c r="J3891" s="44">
        <v>63.470001000000003</v>
      </c>
      <c r="K3891" s="44">
        <v>107.43</v>
      </c>
    </row>
    <row r="3892" spans="6:11" x14ac:dyDescent="0.3">
      <c r="F3892" s="43">
        <v>43535</v>
      </c>
      <c r="G3892" s="44">
        <v>2783.3000489999999</v>
      </c>
      <c r="H3892" s="44">
        <v>1885.290039</v>
      </c>
      <c r="I3892" s="44">
        <v>1548.880005</v>
      </c>
      <c r="J3892" s="44">
        <v>64.019997000000004</v>
      </c>
      <c r="K3892" s="44">
        <v>107.44000200000001</v>
      </c>
    </row>
    <row r="3893" spans="6:11" x14ac:dyDescent="0.3">
      <c r="F3893" s="43">
        <v>43536</v>
      </c>
      <c r="G3893" s="44">
        <v>2791.5200199999999</v>
      </c>
      <c r="H3893" s="44">
        <v>1888.2700199999999</v>
      </c>
      <c r="I3893" s="44">
        <v>1549.829956</v>
      </c>
      <c r="J3893" s="44">
        <v>63.98</v>
      </c>
      <c r="K3893" s="44">
        <v>107.639999</v>
      </c>
    </row>
    <row r="3894" spans="6:11" x14ac:dyDescent="0.3">
      <c r="F3894" s="43">
        <v>43537</v>
      </c>
      <c r="G3894" s="44">
        <v>2810.919922</v>
      </c>
      <c r="H3894" s="44">
        <v>1895.540039</v>
      </c>
      <c r="I3894" s="44">
        <v>1555.880005</v>
      </c>
      <c r="J3894" s="44">
        <v>64.529999000000004</v>
      </c>
      <c r="K3894" s="44">
        <v>107.589996</v>
      </c>
    </row>
    <row r="3895" spans="6:11" x14ac:dyDescent="0.3">
      <c r="F3895" s="43">
        <v>43538</v>
      </c>
      <c r="G3895" s="44">
        <v>2808.4799800000001</v>
      </c>
      <c r="H3895" s="44">
        <v>1892.4399410000001</v>
      </c>
      <c r="I3895" s="44">
        <v>1549.6400149999999</v>
      </c>
      <c r="J3895" s="44">
        <v>64.519997000000004</v>
      </c>
      <c r="K3895" s="44">
        <v>107.43</v>
      </c>
    </row>
    <row r="3896" spans="6:11" x14ac:dyDescent="0.3">
      <c r="F3896" s="43">
        <v>43539</v>
      </c>
      <c r="G3896" s="44">
        <v>2822.4799800000001</v>
      </c>
      <c r="H3896" s="44">
        <v>1895.8599850000001</v>
      </c>
      <c r="I3896" s="44">
        <v>1553.540039</v>
      </c>
      <c r="J3896" s="44">
        <v>65.220000999999996</v>
      </c>
      <c r="K3896" s="44">
        <v>107.699997</v>
      </c>
    </row>
    <row r="3897" spans="6:11" x14ac:dyDescent="0.3">
      <c r="F3897" s="43">
        <v>43542</v>
      </c>
      <c r="G3897" s="44">
        <v>2832.9399410000001</v>
      </c>
      <c r="H3897" s="44">
        <v>1909.01001</v>
      </c>
      <c r="I3897" s="44">
        <v>1563.9300539999999</v>
      </c>
      <c r="J3897" s="44">
        <v>65.449996999999996</v>
      </c>
      <c r="K3897" s="44">
        <v>107.68</v>
      </c>
    </row>
    <row r="3898" spans="6:11" x14ac:dyDescent="0.3">
      <c r="F3898" s="43">
        <v>43543</v>
      </c>
      <c r="G3898" s="44">
        <v>2832.570068</v>
      </c>
      <c r="H3898" s="44">
        <v>1899.150024</v>
      </c>
      <c r="I3898" s="44">
        <v>1554.98999</v>
      </c>
      <c r="J3898" s="44">
        <v>65.580001999999993</v>
      </c>
      <c r="K3898" s="44">
        <v>107.620003</v>
      </c>
    </row>
    <row r="3899" spans="6:11" x14ac:dyDescent="0.3">
      <c r="F3899" s="43">
        <v>43544</v>
      </c>
      <c r="G3899" s="44">
        <v>2824.2299800000001</v>
      </c>
      <c r="H3899" s="44">
        <v>1883.3199460000001</v>
      </c>
      <c r="I3899" s="44">
        <v>1543.160034</v>
      </c>
      <c r="J3899" s="44">
        <v>65.610000999999997</v>
      </c>
      <c r="K3899" s="44">
        <v>108.05999799999999</v>
      </c>
    </row>
    <row r="3900" spans="6:11" x14ac:dyDescent="0.3">
      <c r="F3900" s="43">
        <v>43545</v>
      </c>
      <c r="G3900" s="44">
        <v>2854.8798830000001</v>
      </c>
      <c r="H3900" s="44">
        <v>1908.530029</v>
      </c>
      <c r="I3900" s="44">
        <v>1562.410034</v>
      </c>
      <c r="J3900" s="44">
        <v>65.569999999999993</v>
      </c>
      <c r="K3900" s="44">
        <v>108.08000199999999</v>
      </c>
    </row>
    <row r="3901" spans="6:11" x14ac:dyDescent="0.3">
      <c r="F3901" s="43">
        <v>43546</v>
      </c>
      <c r="G3901" s="44">
        <v>2800.709961</v>
      </c>
      <c r="H3901" s="44">
        <v>1854.98999</v>
      </c>
      <c r="I3901" s="44">
        <v>1505.920044</v>
      </c>
      <c r="J3901" s="44">
        <v>64.309997999999993</v>
      </c>
      <c r="K3901" s="44">
        <v>108.620003</v>
      </c>
    </row>
    <row r="3902" spans="6:11" x14ac:dyDescent="0.3">
      <c r="F3902" s="43">
        <v>43549</v>
      </c>
      <c r="G3902" s="44">
        <v>2798.360107</v>
      </c>
      <c r="H3902" s="44">
        <v>1858.219971</v>
      </c>
      <c r="I3902" s="44">
        <v>1512.8599850000001</v>
      </c>
      <c r="J3902" s="44">
        <v>64.400002000000001</v>
      </c>
      <c r="K3902" s="44">
        <v>108.82</v>
      </c>
    </row>
    <row r="3903" spans="6:11" x14ac:dyDescent="0.3">
      <c r="F3903" s="43">
        <v>43550</v>
      </c>
      <c r="G3903" s="44">
        <v>2818.459961</v>
      </c>
      <c r="H3903" s="44">
        <v>1876.530029</v>
      </c>
      <c r="I3903" s="44">
        <v>1528.170044</v>
      </c>
      <c r="J3903" s="44">
        <v>64.720000999999996</v>
      </c>
      <c r="K3903" s="44">
        <v>108.839996</v>
      </c>
    </row>
    <row r="3904" spans="6:11" x14ac:dyDescent="0.3">
      <c r="F3904" s="43">
        <v>43551</v>
      </c>
      <c r="G3904" s="44">
        <v>2805.3701169999999</v>
      </c>
      <c r="H3904" s="44">
        <v>1874.76001</v>
      </c>
      <c r="I3904" s="44">
        <v>1522.2299800000001</v>
      </c>
      <c r="J3904" s="44">
        <v>64.75</v>
      </c>
      <c r="K3904" s="44">
        <v>109.07</v>
      </c>
    </row>
    <row r="3905" spans="6:11" x14ac:dyDescent="0.3">
      <c r="F3905" s="43">
        <v>43552</v>
      </c>
      <c r="G3905" s="44">
        <v>2815.4399410000001</v>
      </c>
      <c r="H3905" s="44">
        <v>1890.130005</v>
      </c>
      <c r="I3905" s="44">
        <v>1535.099976</v>
      </c>
      <c r="J3905" s="44">
        <v>64.589995999999999</v>
      </c>
      <c r="K3905" s="44">
        <v>109.08000199999999</v>
      </c>
    </row>
    <row r="3906" spans="6:11" x14ac:dyDescent="0.3">
      <c r="F3906" s="43">
        <v>43553</v>
      </c>
      <c r="G3906" s="44">
        <v>2834.3999020000001</v>
      </c>
      <c r="H3906" s="44">
        <v>1896.2700199999999</v>
      </c>
      <c r="I3906" s="44">
        <v>1539.73999</v>
      </c>
      <c r="J3906" s="44">
        <v>64.860000999999997</v>
      </c>
      <c r="K3906" s="44">
        <v>109.07</v>
      </c>
    </row>
    <row r="3907" spans="6:11" x14ac:dyDescent="0.3">
      <c r="F3907" s="43">
        <v>43556</v>
      </c>
      <c r="G3907" s="44">
        <v>2867.1899410000001</v>
      </c>
      <c r="H3907" s="44">
        <v>1922.51001</v>
      </c>
      <c r="I3907" s="44">
        <v>1556.0600589999999</v>
      </c>
      <c r="J3907" s="44">
        <v>65.690002000000007</v>
      </c>
      <c r="K3907" s="44">
        <v>108.30999799999999</v>
      </c>
    </row>
    <row r="3908" spans="6:11" x14ac:dyDescent="0.3">
      <c r="F3908" s="43">
        <v>43557</v>
      </c>
      <c r="G3908" s="44">
        <v>2867.23999</v>
      </c>
      <c r="H3908" s="44">
        <v>1915.25</v>
      </c>
      <c r="I3908" s="44">
        <v>1553.3199460000001</v>
      </c>
      <c r="J3908" s="44">
        <v>65.709998999999996</v>
      </c>
      <c r="K3908" s="44">
        <v>108.43</v>
      </c>
    </row>
    <row r="3909" spans="6:11" x14ac:dyDescent="0.3">
      <c r="F3909" s="43">
        <v>43558</v>
      </c>
      <c r="G3909" s="44">
        <v>2873.3999020000001</v>
      </c>
      <c r="H3909" s="44">
        <v>1924.650024</v>
      </c>
      <c r="I3909" s="44">
        <v>1560.910034</v>
      </c>
      <c r="J3909" s="44">
        <v>66.220000999999996</v>
      </c>
      <c r="K3909" s="44">
        <v>108.230003</v>
      </c>
    </row>
    <row r="3910" spans="6:11" x14ac:dyDescent="0.3">
      <c r="F3910" s="43">
        <v>43559</v>
      </c>
      <c r="G3910" s="44">
        <v>2879.389893</v>
      </c>
      <c r="H3910" s="44">
        <v>1934.790039</v>
      </c>
      <c r="I3910" s="44">
        <v>1567.48999</v>
      </c>
      <c r="J3910" s="44">
        <v>66.080001999999993</v>
      </c>
      <c r="K3910" s="44">
        <v>108.30999799999999</v>
      </c>
    </row>
    <row r="3911" spans="6:11" x14ac:dyDescent="0.3">
      <c r="F3911" s="43">
        <v>43560</v>
      </c>
      <c r="G3911" s="44">
        <v>2892.73999</v>
      </c>
      <c r="H3911" s="44">
        <v>1948.910034</v>
      </c>
      <c r="I3911" s="44">
        <v>1582.5600589999999</v>
      </c>
      <c r="J3911" s="44">
        <v>66.25</v>
      </c>
      <c r="K3911" s="44">
        <v>108.389999</v>
      </c>
    </row>
    <row r="3912" spans="6:11" x14ac:dyDescent="0.3">
      <c r="F3912" s="43">
        <v>43563</v>
      </c>
      <c r="G3912" s="44">
        <v>2895.7700199999999</v>
      </c>
      <c r="H3912" s="44">
        <v>1949.3599850000001</v>
      </c>
      <c r="I3912" s="44">
        <v>1579</v>
      </c>
      <c r="J3912" s="44">
        <v>66.290001000000004</v>
      </c>
      <c r="K3912" s="44">
        <v>108.339996</v>
      </c>
    </row>
    <row r="3913" spans="6:11" x14ac:dyDescent="0.3">
      <c r="F3913" s="43">
        <v>43564</v>
      </c>
      <c r="G3913" s="44">
        <v>2878.1999510000001</v>
      </c>
      <c r="H3913" s="44">
        <v>1927.040039</v>
      </c>
      <c r="I3913" s="44">
        <v>1559.6800539999999</v>
      </c>
      <c r="J3913" s="44">
        <v>65.870002999999997</v>
      </c>
      <c r="K3913" s="44">
        <v>108.400002</v>
      </c>
    </row>
    <row r="3914" spans="6:11" x14ac:dyDescent="0.3">
      <c r="F3914" s="43">
        <v>43565</v>
      </c>
      <c r="G3914" s="44">
        <v>2888.209961</v>
      </c>
      <c r="H3914" s="44">
        <v>1945.4399410000001</v>
      </c>
      <c r="I3914" s="44">
        <v>1581.5500489999999</v>
      </c>
      <c r="J3914" s="44">
        <v>66.120002999999997</v>
      </c>
      <c r="K3914" s="44">
        <v>108.610001</v>
      </c>
    </row>
    <row r="3915" spans="6:11" x14ac:dyDescent="0.3">
      <c r="F3915" s="43">
        <v>43566</v>
      </c>
      <c r="G3915" s="44">
        <v>2888.320068</v>
      </c>
      <c r="H3915" s="44">
        <v>1950.6800539999999</v>
      </c>
      <c r="I3915" s="44">
        <v>1579.1400149999999</v>
      </c>
      <c r="J3915" s="44">
        <v>65.980002999999996</v>
      </c>
      <c r="K3915" s="44">
        <v>108.480003</v>
      </c>
    </row>
    <row r="3916" spans="6:11" x14ac:dyDescent="0.3">
      <c r="F3916" s="43">
        <v>43567</v>
      </c>
      <c r="G3916" s="44">
        <v>2907.4099120000001</v>
      </c>
      <c r="H3916" s="44">
        <v>1965.420044</v>
      </c>
      <c r="I3916" s="44">
        <v>1584.8000489999999</v>
      </c>
      <c r="J3916" s="44">
        <v>66.440002000000007</v>
      </c>
      <c r="K3916" s="44">
        <v>108.269997</v>
      </c>
    </row>
    <row r="3917" spans="6:11" x14ac:dyDescent="0.3">
      <c r="F3917" s="43">
        <v>43570</v>
      </c>
      <c r="G3917" s="44">
        <v>2905.580078</v>
      </c>
      <c r="H3917" s="44">
        <v>1962.01001</v>
      </c>
      <c r="I3917" s="44">
        <v>1579.170044</v>
      </c>
      <c r="J3917" s="44">
        <v>66.470000999999996</v>
      </c>
      <c r="K3917" s="44">
        <v>108.25</v>
      </c>
    </row>
    <row r="3918" spans="6:11" x14ac:dyDescent="0.3">
      <c r="F3918" s="43">
        <v>43571</v>
      </c>
      <c r="G3918" s="44">
        <v>2907.0600589999999</v>
      </c>
      <c r="H3918" s="44">
        <v>1963.5200199999999</v>
      </c>
      <c r="I3918" s="44">
        <v>1582.790039</v>
      </c>
      <c r="J3918" s="44">
        <v>66.519997000000004</v>
      </c>
      <c r="K3918" s="44">
        <v>108.05999799999999</v>
      </c>
    </row>
    <row r="3919" spans="6:11" x14ac:dyDescent="0.3">
      <c r="F3919" s="43">
        <v>43572</v>
      </c>
      <c r="G3919" s="44">
        <v>2900.4499510000001</v>
      </c>
      <c r="H3919" s="44">
        <v>1948.589966</v>
      </c>
      <c r="I3919" s="44">
        <v>1567.599976</v>
      </c>
      <c r="J3919" s="44">
        <v>66.709998999999996</v>
      </c>
      <c r="K3919" s="44">
        <v>108.050003</v>
      </c>
    </row>
    <row r="3920" spans="6:11" x14ac:dyDescent="0.3">
      <c r="F3920" s="43">
        <v>43573</v>
      </c>
      <c r="G3920" s="44">
        <v>2905.030029</v>
      </c>
      <c r="H3920" s="44">
        <v>1953.4300539999999</v>
      </c>
      <c r="I3920" s="44">
        <v>1565.75</v>
      </c>
      <c r="J3920" s="44">
        <v>66.669998000000007</v>
      </c>
      <c r="K3920" s="44">
        <v>108.19000200000001</v>
      </c>
    </row>
    <row r="3921" spans="6:11" x14ac:dyDescent="0.3">
      <c r="F3921" s="43">
        <v>43577</v>
      </c>
      <c r="G3921" s="44">
        <v>2907.969971</v>
      </c>
      <c r="H3921" s="44">
        <v>1946.209961</v>
      </c>
      <c r="I3921" s="44">
        <v>1560.040039</v>
      </c>
      <c r="J3921" s="44">
        <v>66.559997999999993</v>
      </c>
      <c r="K3921" s="44">
        <v>108.05999799999999</v>
      </c>
    </row>
    <row r="3922" spans="6:11" x14ac:dyDescent="0.3">
      <c r="F3922" s="43">
        <v>43578</v>
      </c>
      <c r="G3922" s="44">
        <v>2933.679932</v>
      </c>
      <c r="H3922" s="44">
        <v>1970.839966</v>
      </c>
      <c r="I3922" s="44">
        <v>1585.089966</v>
      </c>
      <c r="J3922" s="44">
        <v>66.690002000000007</v>
      </c>
      <c r="K3922" s="44">
        <v>108.25</v>
      </c>
    </row>
    <row r="3923" spans="6:11" x14ac:dyDescent="0.3">
      <c r="F3923" s="43">
        <v>43579</v>
      </c>
      <c r="G3923" s="44">
        <v>2927.25</v>
      </c>
      <c r="H3923" s="44">
        <v>1977.670044</v>
      </c>
      <c r="I3923" s="44">
        <v>1588.130005</v>
      </c>
      <c r="J3923" s="44">
        <v>66.230002999999996</v>
      </c>
      <c r="K3923" s="44">
        <v>108.5</v>
      </c>
    </row>
    <row r="3924" spans="6:11" x14ac:dyDescent="0.3">
      <c r="F3924" s="43">
        <v>43580</v>
      </c>
      <c r="G3924" s="44">
        <v>2926.169922</v>
      </c>
      <c r="H3924" s="44">
        <v>1955.1400149999999</v>
      </c>
      <c r="I3924" s="44">
        <v>1575.6099850000001</v>
      </c>
      <c r="J3924" s="44">
        <v>66.180000000000007</v>
      </c>
      <c r="K3924" s="44">
        <v>108.489998</v>
      </c>
    </row>
    <row r="3925" spans="6:11" x14ac:dyDescent="0.3">
      <c r="F3925" s="43">
        <v>43581</v>
      </c>
      <c r="G3925" s="44">
        <v>2939.8798830000001</v>
      </c>
      <c r="H3925" s="44">
        <v>1973.920044</v>
      </c>
      <c r="I3925" s="44">
        <v>1589.900024</v>
      </c>
      <c r="J3925" s="44">
        <v>66.449996999999996</v>
      </c>
      <c r="K3925" s="44">
        <v>108.709999</v>
      </c>
    </row>
    <row r="3926" spans="6:11" x14ac:dyDescent="0.3">
      <c r="F3926" s="43">
        <v>43584</v>
      </c>
      <c r="G3926" s="44">
        <v>2943.030029</v>
      </c>
      <c r="H3926" s="44">
        <v>1973.9399410000001</v>
      </c>
      <c r="I3926" s="44">
        <v>1598.3599850000001</v>
      </c>
      <c r="J3926" s="44">
        <v>66.720000999999996</v>
      </c>
      <c r="K3926" s="44">
        <v>108.519997</v>
      </c>
    </row>
    <row r="3927" spans="6:11" x14ac:dyDescent="0.3">
      <c r="F3927" s="43">
        <v>43585</v>
      </c>
      <c r="G3927" s="44">
        <v>2945.830078</v>
      </c>
      <c r="H3927" s="44">
        <v>1970.73999</v>
      </c>
      <c r="I3927" s="44">
        <v>1591.209961</v>
      </c>
      <c r="J3927" s="44">
        <v>66.760002</v>
      </c>
      <c r="K3927" s="44">
        <v>108.589996</v>
      </c>
    </row>
    <row r="3928" spans="6:11" x14ac:dyDescent="0.3">
      <c r="F3928" s="43">
        <v>43586</v>
      </c>
      <c r="G3928" s="44">
        <v>2923.7299800000001</v>
      </c>
      <c r="H3928" s="44">
        <v>1948.869995</v>
      </c>
      <c r="I3928" s="44">
        <v>1576.380005</v>
      </c>
      <c r="J3928" s="44">
        <v>66.379997000000003</v>
      </c>
      <c r="K3928" s="44">
        <v>108.400002</v>
      </c>
    </row>
    <row r="3929" spans="6:11" x14ac:dyDescent="0.3">
      <c r="F3929" s="43">
        <v>43587</v>
      </c>
      <c r="G3929" s="44">
        <v>2917.5200199999999</v>
      </c>
      <c r="H3929" s="44">
        <v>1952.869995</v>
      </c>
      <c r="I3929" s="44">
        <v>1582.650024</v>
      </c>
      <c r="J3929" s="44">
        <v>66.279999000000004</v>
      </c>
      <c r="K3929" s="44">
        <v>108.160004</v>
      </c>
    </row>
    <row r="3930" spans="6:11" x14ac:dyDescent="0.3">
      <c r="F3930" s="43">
        <v>43588</v>
      </c>
      <c r="G3930" s="44">
        <v>2945.639893</v>
      </c>
      <c r="H3930" s="44">
        <v>1980.829956</v>
      </c>
      <c r="I3930" s="44">
        <v>1614.0200199999999</v>
      </c>
      <c r="J3930" s="44">
        <v>66.989998</v>
      </c>
      <c r="K3930" s="44">
        <v>108.339996</v>
      </c>
    </row>
    <row r="3931" spans="6:11" x14ac:dyDescent="0.3">
      <c r="F3931" s="43">
        <v>43591</v>
      </c>
      <c r="G3931" s="44">
        <v>2932.469971</v>
      </c>
      <c r="H3931" s="44">
        <v>1976.8199460000001</v>
      </c>
      <c r="I3931" s="44">
        <v>1614.9799800000001</v>
      </c>
      <c r="J3931" s="44">
        <v>66.230002999999996</v>
      </c>
      <c r="K3931" s="44">
        <v>108.480003</v>
      </c>
    </row>
    <row r="3932" spans="6:11" x14ac:dyDescent="0.3">
      <c r="F3932" s="43">
        <v>43592</v>
      </c>
      <c r="G3932" s="44">
        <v>2884.0500489999999</v>
      </c>
      <c r="H3932" s="44">
        <v>1938.619995</v>
      </c>
      <c r="I3932" s="44">
        <v>1582.3100589999999</v>
      </c>
      <c r="J3932" s="44">
        <v>65.069999999999993</v>
      </c>
      <c r="K3932" s="44">
        <v>108.610001</v>
      </c>
    </row>
    <row r="3933" spans="6:11" x14ac:dyDescent="0.3">
      <c r="F3933" s="43">
        <v>43593</v>
      </c>
      <c r="G3933" s="44">
        <v>2879.419922</v>
      </c>
      <c r="H3933" s="44">
        <v>1932.1400149999999</v>
      </c>
      <c r="I3933" s="44">
        <v>1574.969971</v>
      </c>
      <c r="J3933" s="44">
        <v>65.150002000000001</v>
      </c>
      <c r="K3933" s="44">
        <v>108.589996</v>
      </c>
    </row>
    <row r="3934" spans="6:11" x14ac:dyDescent="0.3">
      <c r="F3934" s="43">
        <v>43594</v>
      </c>
      <c r="G3934" s="44">
        <v>2870.719971</v>
      </c>
      <c r="H3934" s="44">
        <v>1927.73999</v>
      </c>
      <c r="I3934" s="44">
        <v>1570.0600589999999</v>
      </c>
      <c r="J3934" s="44">
        <v>64.849997999999999</v>
      </c>
      <c r="K3934" s="44">
        <v>108.650002</v>
      </c>
    </row>
    <row r="3935" spans="6:11" x14ac:dyDescent="0.3">
      <c r="F3935" s="43">
        <v>43595</v>
      </c>
      <c r="G3935" s="44">
        <v>2881.3999020000001</v>
      </c>
      <c r="H3935" s="44">
        <v>1933.4300539999999</v>
      </c>
      <c r="I3935" s="44">
        <v>1572.98999</v>
      </c>
      <c r="J3935" s="44">
        <v>65.330001999999993</v>
      </c>
      <c r="K3935" s="44">
        <v>108.66999800000001</v>
      </c>
    </row>
    <row r="3936" spans="6:11" x14ac:dyDescent="0.3">
      <c r="F3936" s="43">
        <v>43598</v>
      </c>
      <c r="G3936" s="44">
        <v>2811.8701169999999</v>
      </c>
      <c r="H3936" s="44">
        <v>1876.5699460000001</v>
      </c>
      <c r="I3936" s="44">
        <v>1523</v>
      </c>
      <c r="J3936" s="44">
        <v>63.810001</v>
      </c>
      <c r="K3936" s="44">
        <v>108.849998</v>
      </c>
    </row>
    <row r="3937" spans="6:11" x14ac:dyDescent="0.3">
      <c r="F3937" s="43">
        <v>43599</v>
      </c>
      <c r="G3937" s="44">
        <v>2834.4099120000001</v>
      </c>
      <c r="H3937" s="44">
        <v>1894.920044</v>
      </c>
      <c r="I3937" s="44">
        <v>1543.0600589999999</v>
      </c>
      <c r="J3937" s="44">
        <v>64.449996999999996</v>
      </c>
      <c r="K3937" s="44">
        <v>108.94000200000001</v>
      </c>
    </row>
    <row r="3938" spans="6:11" x14ac:dyDescent="0.3">
      <c r="F3938" s="43">
        <v>43600</v>
      </c>
      <c r="G3938" s="44">
        <v>2850.959961</v>
      </c>
      <c r="H3938" s="44">
        <v>1899.9799800000001</v>
      </c>
      <c r="I3938" s="44">
        <v>1548.2700199999999</v>
      </c>
      <c r="J3938" s="44">
        <v>64.680000000000007</v>
      </c>
      <c r="K3938" s="44">
        <v>109.129997</v>
      </c>
    </row>
    <row r="3939" spans="6:11" x14ac:dyDescent="0.3">
      <c r="F3939" s="43">
        <v>43601</v>
      </c>
      <c r="G3939" s="44">
        <v>2876.320068</v>
      </c>
      <c r="H3939" s="44">
        <v>1911.410034</v>
      </c>
      <c r="I3939" s="44">
        <v>1557.23999</v>
      </c>
      <c r="J3939" s="44">
        <v>65.199996999999996</v>
      </c>
      <c r="K3939" s="44">
        <v>109</v>
      </c>
    </row>
    <row r="3940" spans="6:11" x14ac:dyDescent="0.3">
      <c r="F3940" s="43">
        <v>43602</v>
      </c>
      <c r="G3940" s="44">
        <v>2859.530029</v>
      </c>
      <c r="H3940" s="44">
        <v>1889.400024</v>
      </c>
      <c r="I3940" s="44">
        <v>1535.76001</v>
      </c>
      <c r="J3940" s="44">
        <v>64.769997000000004</v>
      </c>
      <c r="K3940" s="44">
        <v>109.029999</v>
      </c>
    </row>
    <row r="3941" spans="6:11" x14ac:dyDescent="0.3">
      <c r="F3941" s="43">
        <v>43605</v>
      </c>
      <c r="G3941" s="44">
        <v>2840.2299800000001</v>
      </c>
      <c r="H3941" s="44">
        <v>1875.6899410000001</v>
      </c>
      <c r="I3941" s="44">
        <v>1524.959961</v>
      </c>
      <c r="J3941" s="44">
        <v>64.510002</v>
      </c>
      <c r="K3941" s="44">
        <v>108.879997</v>
      </c>
    </row>
    <row r="3942" spans="6:11" x14ac:dyDescent="0.3">
      <c r="F3942" s="43">
        <v>43606</v>
      </c>
      <c r="G3942" s="44">
        <v>2864.360107</v>
      </c>
      <c r="H3942" s="44">
        <v>1899.73999</v>
      </c>
      <c r="I3942" s="44">
        <v>1545.25</v>
      </c>
      <c r="J3942" s="44">
        <v>64.940002000000007</v>
      </c>
      <c r="K3942" s="44">
        <v>108.870003</v>
      </c>
    </row>
    <row r="3943" spans="6:11" x14ac:dyDescent="0.3">
      <c r="F3943" s="43">
        <v>43607</v>
      </c>
      <c r="G3943" s="44">
        <v>2856.2700199999999</v>
      </c>
      <c r="H3943" s="44">
        <v>1885.160034</v>
      </c>
      <c r="I3943" s="44">
        <v>1531.630005</v>
      </c>
      <c r="J3943" s="44">
        <v>64.680000000000007</v>
      </c>
      <c r="K3943" s="44">
        <v>109.050003</v>
      </c>
    </row>
    <row r="3944" spans="6:11" x14ac:dyDescent="0.3">
      <c r="F3944" s="43">
        <v>43608</v>
      </c>
      <c r="G3944" s="44">
        <v>2822.23999</v>
      </c>
      <c r="H3944" s="44">
        <v>1853.5699460000001</v>
      </c>
      <c r="I3944" s="44">
        <v>1501.380005</v>
      </c>
      <c r="J3944" s="44">
        <v>64.089995999999999</v>
      </c>
      <c r="K3944" s="44">
        <v>109.370003</v>
      </c>
    </row>
    <row r="3945" spans="6:11" x14ac:dyDescent="0.3">
      <c r="F3945" s="43">
        <v>43609</v>
      </c>
      <c r="G3945" s="44">
        <v>2826.0600589999999</v>
      </c>
      <c r="H3945" s="44">
        <v>1862.829956</v>
      </c>
      <c r="I3945" s="44">
        <v>1514.1099850000001</v>
      </c>
      <c r="J3945" s="44">
        <v>64.779999000000004</v>
      </c>
      <c r="K3945" s="44">
        <v>109.410004</v>
      </c>
    </row>
    <row r="3946" spans="6:11" x14ac:dyDescent="0.3">
      <c r="F3946" s="43">
        <v>43613</v>
      </c>
      <c r="G3946" s="44">
        <v>2802.389893</v>
      </c>
      <c r="H3946" s="44">
        <v>1844.170044</v>
      </c>
      <c r="I3946" s="44">
        <v>1504.0200199999999</v>
      </c>
      <c r="J3946" s="44">
        <v>64.150002000000001</v>
      </c>
      <c r="K3946" s="44">
        <v>109.57</v>
      </c>
    </row>
    <row r="3947" spans="6:11" x14ac:dyDescent="0.3">
      <c r="F3947" s="43">
        <v>43614</v>
      </c>
      <c r="G3947" s="44">
        <v>2783.0200199999999</v>
      </c>
      <c r="H3947" s="44">
        <v>1832.7700199999999</v>
      </c>
      <c r="I3947" s="44">
        <v>1489.9499510000001</v>
      </c>
      <c r="J3947" s="44">
        <v>63.740001999999997</v>
      </c>
      <c r="K3947" s="44">
        <v>109.599998</v>
      </c>
    </row>
    <row r="3948" spans="6:11" x14ac:dyDescent="0.3">
      <c r="F3948" s="43">
        <v>43615</v>
      </c>
      <c r="G3948" s="44">
        <v>2788.860107</v>
      </c>
      <c r="H3948" s="44">
        <v>1828.670044</v>
      </c>
      <c r="I3948" s="44">
        <v>1485.530029</v>
      </c>
      <c r="J3948" s="44">
        <v>63.98</v>
      </c>
      <c r="K3948" s="44">
        <v>109.889999</v>
      </c>
    </row>
    <row r="3949" spans="6:11" x14ac:dyDescent="0.3">
      <c r="F3949" s="43">
        <v>43616</v>
      </c>
      <c r="G3949" s="44">
        <v>2752.0600589999999</v>
      </c>
      <c r="H3949" s="44">
        <v>1810.5</v>
      </c>
      <c r="I3949" s="44">
        <v>1465.48999</v>
      </c>
      <c r="J3949" s="44">
        <v>63.400002000000001</v>
      </c>
      <c r="K3949" s="44">
        <v>110.400002</v>
      </c>
    </row>
    <row r="3950" spans="6:11" x14ac:dyDescent="0.3">
      <c r="F3950" s="43">
        <v>43619</v>
      </c>
      <c r="G3950" s="44">
        <v>2744.4499510000001</v>
      </c>
      <c r="H3950" s="44">
        <v>1822.9399410000001</v>
      </c>
      <c r="I3950" s="44">
        <v>1469.9799800000001</v>
      </c>
      <c r="J3950" s="44">
        <v>63.77</v>
      </c>
      <c r="K3950" s="44">
        <v>110.400002</v>
      </c>
    </row>
    <row r="3951" spans="6:11" x14ac:dyDescent="0.3">
      <c r="F3951" s="43">
        <v>43620</v>
      </c>
      <c r="G3951" s="44">
        <v>2803.2700199999999</v>
      </c>
      <c r="H3951" s="44">
        <v>1868.8199460000001</v>
      </c>
      <c r="I3951" s="44">
        <v>1508.5600589999999</v>
      </c>
      <c r="J3951" s="44">
        <v>64.5</v>
      </c>
      <c r="K3951" s="44">
        <v>110.300003</v>
      </c>
    </row>
    <row r="3952" spans="6:11" x14ac:dyDescent="0.3">
      <c r="F3952" s="43">
        <v>43621</v>
      </c>
      <c r="G3952" s="44">
        <v>2826.1499020000001</v>
      </c>
      <c r="H3952" s="44">
        <v>1874.709961</v>
      </c>
      <c r="I3952" s="44">
        <v>1506.790039</v>
      </c>
      <c r="J3952" s="44">
        <v>64.480002999999996</v>
      </c>
      <c r="K3952" s="44">
        <v>110.239998</v>
      </c>
    </row>
    <row r="3953" spans="6:11" x14ac:dyDescent="0.3">
      <c r="F3953" s="43">
        <v>43622</v>
      </c>
      <c r="G3953" s="44">
        <v>2843.48999</v>
      </c>
      <c r="H3953" s="44">
        <v>1881.5200199999999</v>
      </c>
      <c r="I3953" s="44">
        <v>1499.290039</v>
      </c>
      <c r="J3953" s="44">
        <v>64.739998</v>
      </c>
      <c r="K3953" s="44">
        <v>110.220001</v>
      </c>
    </row>
    <row r="3954" spans="6:11" x14ac:dyDescent="0.3">
      <c r="F3954" s="43">
        <v>43623</v>
      </c>
      <c r="G3954" s="44">
        <v>2873.3400879999999</v>
      </c>
      <c r="H3954" s="44">
        <v>1892</v>
      </c>
      <c r="I3954" s="44">
        <v>1514.3900149999999</v>
      </c>
      <c r="J3954" s="44">
        <v>65.559997999999993</v>
      </c>
      <c r="K3954" s="44">
        <v>110.529999</v>
      </c>
    </row>
    <row r="3955" spans="6:11" x14ac:dyDescent="0.3">
      <c r="F3955" s="43">
        <v>43626</v>
      </c>
      <c r="G3955" s="44">
        <v>2886.7299800000001</v>
      </c>
      <c r="H3955" s="44">
        <v>1902.1899410000001</v>
      </c>
      <c r="I3955" s="44">
        <v>1523.5600589999999</v>
      </c>
      <c r="J3955" s="44">
        <v>65.739998</v>
      </c>
      <c r="K3955" s="44">
        <v>110.239998</v>
      </c>
    </row>
    <row r="3956" spans="6:11" x14ac:dyDescent="0.3">
      <c r="F3956" s="43">
        <v>43627</v>
      </c>
      <c r="G3956" s="44">
        <v>2885.719971</v>
      </c>
      <c r="H3956" s="44">
        <v>1903.880005</v>
      </c>
      <c r="I3956" s="44">
        <v>1519.1099850000001</v>
      </c>
      <c r="J3956" s="44">
        <v>66.069999999999993</v>
      </c>
      <c r="K3956" s="44">
        <v>110.220001</v>
      </c>
    </row>
    <row r="3957" spans="6:11" x14ac:dyDescent="0.3">
      <c r="F3957" s="43">
        <v>43628</v>
      </c>
      <c r="G3957" s="44">
        <v>2879.8400879999999</v>
      </c>
      <c r="H3957" s="44">
        <v>1901.719971</v>
      </c>
      <c r="I3957" s="44">
        <v>1519.790039</v>
      </c>
      <c r="J3957" s="44">
        <v>65.580001999999993</v>
      </c>
      <c r="K3957" s="44">
        <v>110.360001</v>
      </c>
    </row>
    <row r="3958" spans="6:11" x14ac:dyDescent="0.3">
      <c r="F3958" s="43">
        <v>43629</v>
      </c>
      <c r="G3958" s="44">
        <v>2891.639893</v>
      </c>
      <c r="H3958" s="44">
        <v>1912.4499510000001</v>
      </c>
      <c r="I3958" s="44">
        <v>1535.8000489999999</v>
      </c>
      <c r="J3958" s="44">
        <v>65.639999000000003</v>
      </c>
      <c r="K3958" s="44">
        <v>110.599998</v>
      </c>
    </row>
    <row r="3959" spans="6:11" x14ac:dyDescent="0.3">
      <c r="F3959" s="43">
        <v>43630</v>
      </c>
      <c r="G3959" s="44">
        <v>2886.9799800000001</v>
      </c>
      <c r="H3959" s="44">
        <v>1899.920044</v>
      </c>
      <c r="I3959" s="44">
        <v>1522.5</v>
      </c>
      <c r="J3959" s="44">
        <v>65.160004000000001</v>
      </c>
      <c r="K3959" s="44">
        <v>110.57</v>
      </c>
    </row>
    <row r="3960" spans="6:11" x14ac:dyDescent="0.3">
      <c r="F3960" s="43">
        <v>43633</v>
      </c>
      <c r="G3960" s="44">
        <v>2889.669922</v>
      </c>
      <c r="H3960" s="44">
        <v>1899.5600589999999</v>
      </c>
      <c r="I3960" s="44">
        <v>1532.75</v>
      </c>
      <c r="J3960" s="44">
        <v>63.830002</v>
      </c>
      <c r="K3960" s="44">
        <v>110.540001</v>
      </c>
    </row>
    <row r="3961" spans="6:11" x14ac:dyDescent="0.3">
      <c r="F3961" s="43">
        <v>43634</v>
      </c>
      <c r="G3961" s="44">
        <v>2917.75</v>
      </c>
      <c r="H3961" s="44">
        <v>1921.349976</v>
      </c>
      <c r="I3961" s="44">
        <v>1550.2299800000001</v>
      </c>
      <c r="J3961" s="44">
        <v>64.680000000000007</v>
      </c>
      <c r="K3961" s="44">
        <v>110.839996</v>
      </c>
    </row>
    <row r="3962" spans="6:11" x14ac:dyDescent="0.3">
      <c r="F3962" s="43">
        <v>43635</v>
      </c>
      <c r="G3962" s="44">
        <v>2926.459961</v>
      </c>
      <c r="H3962" s="44">
        <v>1926.9499510000001</v>
      </c>
      <c r="I3962" s="44">
        <v>1555.579956</v>
      </c>
      <c r="J3962" s="44">
        <v>65.080001999999993</v>
      </c>
      <c r="K3962" s="44">
        <v>111.220001</v>
      </c>
    </row>
    <row r="3963" spans="6:11" x14ac:dyDescent="0.3">
      <c r="F3963" s="43">
        <v>43636</v>
      </c>
      <c r="G3963" s="44">
        <v>2954.179932</v>
      </c>
      <c r="H3963" s="44">
        <v>1939.9399410000001</v>
      </c>
      <c r="I3963" s="44">
        <v>1563.48999</v>
      </c>
      <c r="J3963" s="44">
        <v>65.650002000000001</v>
      </c>
      <c r="K3963" s="44">
        <v>111.410004</v>
      </c>
    </row>
    <row r="3964" spans="6:11" x14ac:dyDescent="0.3">
      <c r="F3964" s="43">
        <v>43637</v>
      </c>
      <c r="G3964" s="44">
        <v>2950.459961</v>
      </c>
      <c r="H3964" s="44">
        <v>1928.1099850000001</v>
      </c>
      <c r="I3964" s="44">
        <v>1549.630005</v>
      </c>
      <c r="J3964" s="44">
        <v>65.370002999999997</v>
      </c>
      <c r="K3964" s="44">
        <v>111.120003</v>
      </c>
    </row>
    <row r="3965" spans="6:11" x14ac:dyDescent="0.3">
      <c r="F3965" s="43">
        <v>43640</v>
      </c>
      <c r="G3965" s="44">
        <v>2945.3500979999999</v>
      </c>
      <c r="H3965" s="44">
        <v>1912.650024</v>
      </c>
      <c r="I3965" s="44">
        <v>1530.079956</v>
      </c>
      <c r="J3965" s="44">
        <v>65.510002</v>
      </c>
      <c r="K3965" s="44">
        <v>111.32</v>
      </c>
    </row>
    <row r="3966" spans="6:11" x14ac:dyDescent="0.3">
      <c r="F3966" s="43">
        <v>43641</v>
      </c>
      <c r="G3966" s="44">
        <v>2917.3798830000001</v>
      </c>
      <c r="H3966" s="44">
        <v>1901.329956</v>
      </c>
      <c r="I3966" s="44">
        <v>1521.040039</v>
      </c>
      <c r="J3966" s="44">
        <v>65.120002999999997</v>
      </c>
      <c r="K3966" s="44">
        <v>111.339996</v>
      </c>
    </row>
    <row r="3967" spans="6:11" x14ac:dyDescent="0.3">
      <c r="F3967" s="43">
        <v>43642</v>
      </c>
      <c r="G3967" s="44">
        <v>2913.780029</v>
      </c>
      <c r="H3967" s="44">
        <v>1898.619995</v>
      </c>
      <c r="I3967" s="44">
        <v>1521.8900149999999</v>
      </c>
      <c r="J3967" s="44">
        <v>65.199996999999996</v>
      </c>
      <c r="K3967" s="44">
        <v>111.089996</v>
      </c>
    </row>
    <row r="3968" spans="6:11" x14ac:dyDescent="0.3">
      <c r="F3968" s="43">
        <v>43643</v>
      </c>
      <c r="G3968" s="44">
        <v>2924.919922</v>
      </c>
      <c r="H3968" s="44">
        <v>1922.3000489999999</v>
      </c>
      <c r="I3968" s="44">
        <v>1546.5500489999999</v>
      </c>
      <c r="J3968" s="44">
        <v>65.360000999999997</v>
      </c>
      <c r="K3968" s="44">
        <v>111.400002</v>
      </c>
    </row>
    <row r="3969" spans="6:11" x14ac:dyDescent="0.3">
      <c r="F3969" s="43">
        <v>43644</v>
      </c>
      <c r="G3969" s="44">
        <v>2941.76001</v>
      </c>
      <c r="H3969" s="44">
        <v>1945.51001</v>
      </c>
      <c r="I3969" s="44">
        <v>1566.5699460000001</v>
      </c>
      <c r="J3969" s="44">
        <v>65.730002999999996</v>
      </c>
      <c r="K3969" s="44">
        <v>111.349998</v>
      </c>
    </row>
    <row r="3970" spans="6:11" x14ac:dyDescent="0.3">
      <c r="F3970" s="43">
        <v>43647</v>
      </c>
      <c r="G3970" s="44">
        <v>2964.330078</v>
      </c>
      <c r="H3970" s="44">
        <v>1952.380005</v>
      </c>
      <c r="I3970" s="44">
        <v>1566.5699460000001</v>
      </c>
      <c r="J3970" s="44">
        <v>66.040001000000004</v>
      </c>
      <c r="K3970" s="44">
        <v>111.18</v>
      </c>
    </row>
    <row r="3971" spans="6:11" x14ac:dyDescent="0.3">
      <c r="F3971" s="43">
        <v>43648</v>
      </c>
      <c r="G3971" s="44">
        <v>2973.01001</v>
      </c>
      <c r="H3971" s="44">
        <v>1946.1899410000001</v>
      </c>
      <c r="I3971" s="44">
        <v>1560.540039</v>
      </c>
      <c r="J3971" s="44">
        <v>66.230002999999996</v>
      </c>
      <c r="K3971" s="44">
        <v>111.379997</v>
      </c>
    </row>
    <row r="3972" spans="6:11" x14ac:dyDescent="0.3">
      <c r="F3972" s="43">
        <v>43649</v>
      </c>
      <c r="G3972" s="44">
        <v>2995.820068</v>
      </c>
      <c r="H3972" s="44">
        <v>1963.420044</v>
      </c>
      <c r="I3972" s="44">
        <v>1572.119995</v>
      </c>
      <c r="J3972" s="44">
        <v>66.680000000000007</v>
      </c>
      <c r="K3972" s="44">
        <v>111.55999799999999</v>
      </c>
    </row>
    <row r="3973" spans="6:11" x14ac:dyDescent="0.3">
      <c r="F3973" s="43">
        <v>43651</v>
      </c>
      <c r="G3973" s="44">
        <v>2990.4099120000001</v>
      </c>
      <c r="H3973" s="44">
        <v>1965.9499510000001</v>
      </c>
      <c r="I3973" s="44">
        <v>1575.619995</v>
      </c>
      <c r="J3973" s="44">
        <v>66.169998000000007</v>
      </c>
      <c r="K3973" s="44">
        <v>111.089996</v>
      </c>
    </row>
    <row r="3974" spans="6:11" x14ac:dyDescent="0.3">
      <c r="F3974" s="43">
        <v>43654</v>
      </c>
      <c r="G3974" s="44">
        <v>2975.9499510000001</v>
      </c>
      <c r="H3974" s="44">
        <v>1947.420044</v>
      </c>
      <c r="I3974" s="44">
        <v>1561.3900149999999</v>
      </c>
      <c r="J3974" s="44">
        <v>65.790001000000004</v>
      </c>
      <c r="K3974" s="44">
        <v>111.029999</v>
      </c>
    </row>
    <row r="3975" spans="6:11" x14ac:dyDescent="0.3">
      <c r="F3975" s="43">
        <v>43655</v>
      </c>
      <c r="G3975" s="44">
        <v>2979.6298830000001</v>
      </c>
      <c r="H3975" s="44">
        <v>1947.209961</v>
      </c>
      <c r="I3975" s="44">
        <v>1562.589966</v>
      </c>
      <c r="J3975" s="44">
        <v>65.510002</v>
      </c>
      <c r="K3975" s="44">
        <v>111</v>
      </c>
    </row>
    <row r="3976" spans="6:11" x14ac:dyDescent="0.3">
      <c r="F3976" s="43">
        <v>43656</v>
      </c>
      <c r="G3976" s="44">
        <v>2993.070068</v>
      </c>
      <c r="H3976" s="44">
        <v>1945.829956</v>
      </c>
      <c r="I3976" s="44">
        <v>1565.0500489999999</v>
      </c>
      <c r="J3976" s="44">
        <v>65.739998</v>
      </c>
      <c r="K3976" s="44">
        <v>111.08000199999999</v>
      </c>
    </row>
    <row r="3977" spans="6:11" x14ac:dyDescent="0.3">
      <c r="F3977" s="43">
        <v>43657</v>
      </c>
      <c r="G3977" s="44">
        <v>2999.9099120000001</v>
      </c>
      <c r="H3977" s="44">
        <v>1940.630005</v>
      </c>
      <c r="I3977" s="44">
        <v>1557.920044</v>
      </c>
      <c r="J3977" s="44">
        <v>65.720000999999996</v>
      </c>
      <c r="K3977" s="44">
        <v>110.66999800000001</v>
      </c>
    </row>
    <row r="3978" spans="6:11" x14ac:dyDescent="0.3">
      <c r="F3978" s="43">
        <v>43658</v>
      </c>
      <c r="G3978" s="44">
        <v>3013.7700199999999</v>
      </c>
      <c r="H3978" s="44">
        <v>1960.48999</v>
      </c>
      <c r="I3978" s="44">
        <v>1570</v>
      </c>
      <c r="J3978" s="44">
        <v>65.800003000000004</v>
      </c>
      <c r="K3978" s="44">
        <v>110.790001</v>
      </c>
    </row>
    <row r="3979" spans="6:11" x14ac:dyDescent="0.3">
      <c r="F3979" s="43">
        <v>43661</v>
      </c>
      <c r="G3979" s="44">
        <v>3014.3000489999999</v>
      </c>
      <c r="H3979" s="44">
        <v>1951.3599850000001</v>
      </c>
      <c r="I3979" s="44">
        <v>1561.8199460000001</v>
      </c>
      <c r="J3979" s="44">
        <v>65.860000999999997</v>
      </c>
      <c r="K3979" s="44">
        <v>110.949997</v>
      </c>
    </row>
    <row r="3980" spans="6:11" x14ac:dyDescent="0.3">
      <c r="F3980" s="43">
        <v>43662</v>
      </c>
      <c r="G3980" s="44">
        <v>3004.040039</v>
      </c>
      <c r="H3980" s="44">
        <v>1951.829956</v>
      </c>
      <c r="I3980" s="44">
        <v>1562</v>
      </c>
      <c r="J3980" s="44">
        <v>65.589995999999999</v>
      </c>
      <c r="K3980" s="44">
        <v>110.83000199999999</v>
      </c>
    </row>
    <row r="3981" spans="6:11" x14ac:dyDescent="0.3">
      <c r="F3981" s="43">
        <v>43663</v>
      </c>
      <c r="G3981" s="44">
        <v>2984.419922</v>
      </c>
      <c r="H3981" s="44">
        <v>1937.469971</v>
      </c>
      <c r="I3981" s="44">
        <v>1550.780029</v>
      </c>
      <c r="J3981" s="44">
        <v>65.5</v>
      </c>
      <c r="K3981" s="44">
        <v>111.120003</v>
      </c>
    </row>
    <row r="3982" spans="6:11" x14ac:dyDescent="0.3">
      <c r="F3982" s="43">
        <v>43664</v>
      </c>
      <c r="G3982" s="44">
        <v>2995.110107</v>
      </c>
      <c r="H3982" s="44">
        <v>1943.599976</v>
      </c>
      <c r="I3982" s="44">
        <v>1555.619995</v>
      </c>
      <c r="J3982" s="44">
        <v>65.699996999999996</v>
      </c>
      <c r="K3982" s="44">
        <v>111.300003</v>
      </c>
    </row>
    <row r="3983" spans="6:11" x14ac:dyDescent="0.3">
      <c r="F3983" s="43">
        <v>43665</v>
      </c>
      <c r="G3983" s="44">
        <v>2976.610107</v>
      </c>
      <c r="H3983" s="44">
        <v>1937.400024</v>
      </c>
      <c r="I3983" s="44">
        <v>1547.900024</v>
      </c>
      <c r="J3983" s="44">
        <v>65.510002</v>
      </c>
      <c r="K3983" s="44">
        <v>111.16999800000001</v>
      </c>
    </row>
    <row r="3984" spans="6:11" x14ac:dyDescent="0.3">
      <c r="F3984" s="43">
        <v>43668</v>
      </c>
      <c r="G3984" s="44">
        <v>2985.030029</v>
      </c>
      <c r="H3984" s="44">
        <v>1935.6400149999999</v>
      </c>
      <c r="I3984" s="44">
        <v>1544.780029</v>
      </c>
      <c r="J3984" s="44">
        <v>65.580001999999993</v>
      </c>
      <c r="K3984" s="44">
        <v>111.30999799999999</v>
      </c>
    </row>
    <row r="3985" spans="6:11" x14ac:dyDescent="0.3">
      <c r="F3985" s="43">
        <v>43669</v>
      </c>
      <c r="G3985" s="44">
        <v>3005.469971</v>
      </c>
      <c r="H3985" s="44">
        <v>1956.1999510000001</v>
      </c>
      <c r="I3985" s="44">
        <v>1554.959961</v>
      </c>
      <c r="J3985" s="44">
        <v>65.989998</v>
      </c>
      <c r="K3985" s="44">
        <v>111.199997</v>
      </c>
    </row>
    <row r="3986" spans="6:11" x14ac:dyDescent="0.3">
      <c r="F3986" s="43">
        <v>43670</v>
      </c>
      <c r="G3986" s="44">
        <v>3019.5600589999999</v>
      </c>
      <c r="H3986" s="44">
        <v>1983.8000489999999</v>
      </c>
      <c r="I3986" s="44">
        <v>1580.420044</v>
      </c>
      <c r="J3986" s="44">
        <v>66.040001000000004</v>
      </c>
      <c r="K3986" s="44">
        <v>111.360001</v>
      </c>
    </row>
    <row r="3987" spans="6:11" x14ac:dyDescent="0.3">
      <c r="F3987" s="43">
        <v>43671</v>
      </c>
      <c r="G3987" s="44">
        <v>3003.669922</v>
      </c>
      <c r="H3987" s="44">
        <v>1964.829956</v>
      </c>
      <c r="I3987" s="44">
        <v>1561.4499510000001</v>
      </c>
      <c r="J3987" s="44">
        <v>65.370002999999997</v>
      </c>
      <c r="K3987" s="44">
        <v>111.19000200000001</v>
      </c>
    </row>
    <row r="3988" spans="6:11" x14ac:dyDescent="0.3">
      <c r="F3988" s="43">
        <v>43672</v>
      </c>
      <c r="G3988" s="44">
        <v>3025.860107</v>
      </c>
      <c r="H3988" s="44">
        <v>1983.1400149999999</v>
      </c>
      <c r="I3988" s="44">
        <v>1578.969971</v>
      </c>
      <c r="J3988" s="44">
        <v>65.5</v>
      </c>
      <c r="K3988" s="44">
        <v>111.209999</v>
      </c>
    </row>
    <row r="3989" spans="6:11" x14ac:dyDescent="0.3">
      <c r="F3989" s="43">
        <v>43675</v>
      </c>
      <c r="G3989" s="44">
        <v>3020.969971</v>
      </c>
      <c r="H3989" s="44">
        <v>1973.880005</v>
      </c>
      <c r="I3989" s="44">
        <v>1569.030029</v>
      </c>
      <c r="J3989" s="44">
        <v>65.639999000000003</v>
      </c>
      <c r="K3989" s="44">
        <v>111.260002</v>
      </c>
    </row>
    <row r="3990" spans="6:11" x14ac:dyDescent="0.3">
      <c r="F3990" s="43">
        <v>43676</v>
      </c>
      <c r="G3990" s="44">
        <v>3013.179932</v>
      </c>
      <c r="H3990" s="44">
        <v>1986.8000489999999</v>
      </c>
      <c r="I3990" s="44">
        <v>1585.599976</v>
      </c>
      <c r="J3990" s="44">
        <v>64.879997000000003</v>
      </c>
      <c r="K3990" s="44">
        <v>111.25</v>
      </c>
    </row>
    <row r="3991" spans="6:11" x14ac:dyDescent="0.3">
      <c r="F3991" s="43">
        <v>43677</v>
      </c>
      <c r="G3991" s="44">
        <v>2980.3798830000001</v>
      </c>
      <c r="H3991" s="44">
        <v>1966.719971</v>
      </c>
      <c r="I3991" s="44">
        <v>1574.6099850000001</v>
      </c>
      <c r="J3991" s="44">
        <v>64.449996999999996</v>
      </c>
      <c r="K3991" s="44">
        <v>111.300003</v>
      </c>
    </row>
    <row r="3992" spans="6:11" x14ac:dyDescent="0.3">
      <c r="F3992" s="43">
        <v>43678</v>
      </c>
      <c r="G3992" s="44">
        <v>2953.5600589999999</v>
      </c>
      <c r="H3992" s="44">
        <v>1933.4799800000001</v>
      </c>
      <c r="I3992" s="44">
        <v>1550.76001</v>
      </c>
      <c r="J3992" s="44">
        <v>64.269997000000004</v>
      </c>
      <c r="K3992" s="44">
        <v>111.910004</v>
      </c>
    </row>
    <row r="3993" spans="6:11" x14ac:dyDescent="0.3">
      <c r="F3993" s="43">
        <v>43679</v>
      </c>
      <c r="G3993" s="44">
        <v>2932.0500489999999</v>
      </c>
      <c r="H3993" s="44">
        <v>1914.530029</v>
      </c>
      <c r="I3993" s="44">
        <v>1533.660034</v>
      </c>
      <c r="J3993" s="44">
        <v>63.700001</v>
      </c>
      <c r="K3993" s="44">
        <v>111.949997</v>
      </c>
    </row>
    <row r="3994" spans="6:11" x14ac:dyDescent="0.3">
      <c r="F3994" s="43">
        <v>43682</v>
      </c>
      <c r="G3994" s="44">
        <v>2844.73999</v>
      </c>
      <c r="H3994" s="44">
        <v>1860.829956</v>
      </c>
      <c r="I3994" s="44">
        <v>1487.410034</v>
      </c>
      <c r="J3994" s="44">
        <v>62.110000999999997</v>
      </c>
      <c r="K3994" s="44">
        <v>112.44000200000001</v>
      </c>
    </row>
    <row r="3995" spans="6:11" x14ac:dyDescent="0.3">
      <c r="F3995" s="43">
        <v>43683</v>
      </c>
      <c r="G3995" s="44">
        <v>2881.7700199999999</v>
      </c>
      <c r="H3995" s="44">
        <v>1883.5</v>
      </c>
      <c r="I3995" s="44">
        <v>1502.089966</v>
      </c>
      <c r="J3995" s="44">
        <v>62.529998999999997</v>
      </c>
      <c r="K3995" s="44">
        <v>112.739998</v>
      </c>
    </row>
    <row r="3996" spans="6:11" x14ac:dyDescent="0.3">
      <c r="F3996" s="43">
        <v>43684</v>
      </c>
      <c r="G3996" s="44">
        <v>2883.9799800000001</v>
      </c>
      <c r="H3996" s="44">
        <v>1887.3100589999999</v>
      </c>
      <c r="I3996" s="44">
        <v>1500.6899410000001</v>
      </c>
      <c r="J3996" s="44">
        <v>62.77</v>
      </c>
      <c r="K3996" s="44">
        <v>112.68</v>
      </c>
    </row>
    <row r="3997" spans="6:11" x14ac:dyDescent="0.3">
      <c r="F3997" s="43">
        <v>43685</v>
      </c>
      <c r="G3997" s="44">
        <v>2938.0900879999999</v>
      </c>
      <c r="H3997" s="44">
        <v>1925.3100589999999</v>
      </c>
      <c r="I3997" s="44">
        <v>1532.130005</v>
      </c>
      <c r="J3997" s="44">
        <v>63.380001</v>
      </c>
      <c r="K3997" s="44">
        <v>112.790001</v>
      </c>
    </row>
    <row r="3998" spans="6:11" x14ac:dyDescent="0.3">
      <c r="F3998" s="43">
        <v>43686</v>
      </c>
      <c r="G3998" s="44">
        <v>2918.6499020000001</v>
      </c>
      <c r="H3998" s="44">
        <v>1901.329956</v>
      </c>
      <c r="I3998" s="44">
        <v>1513.040039</v>
      </c>
      <c r="J3998" s="44">
        <v>62.939999</v>
      </c>
      <c r="K3998" s="44">
        <v>112.639999</v>
      </c>
    </row>
    <row r="3999" spans="6:11" x14ac:dyDescent="0.3">
      <c r="F3999" s="43">
        <v>43689</v>
      </c>
      <c r="G3999" s="44">
        <v>2882.6999510000001</v>
      </c>
      <c r="H3999" s="44">
        <v>1872.380005</v>
      </c>
      <c r="I3999" s="44">
        <v>1495.900024</v>
      </c>
      <c r="J3999" s="44">
        <v>62.439999</v>
      </c>
      <c r="K3999" s="44">
        <v>113.050003</v>
      </c>
    </row>
    <row r="4000" spans="6:11" x14ac:dyDescent="0.3">
      <c r="F4000" s="43">
        <v>43690</v>
      </c>
      <c r="G4000" s="44">
        <v>2926.320068</v>
      </c>
      <c r="H4000" s="44">
        <v>1893.51001</v>
      </c>
      <c r="I4000" s="44">
        <v>1510.579956</v>
      </c>
      <c r="J4000" s="44">
        <v>63.029998999999997</v>
      </c>
      <c r="K4000" s="44">
        <v>112.889999</v>
      </c>
    </row>
    <row r="4001" spans="6:11" x14ac:dyDescent="0.3">
      <c r="F4001" s="43">
        <v>43691</v>
      </c>
      <c r="G4001" s="44">
        <v>2840.6000979999999</v>
      </c>
      <c r="H4001" s="44">
        <v>1837.98999</v>
      </c>
      <c r="I4001" s="44">
        <v>1467.5200199999999</v>
      </c>
      <c r="J4001" s="44">
        <v>61.299999</v>
      </c>
      <c r="K4001" s="44">
        <v>113.239998</v>
      </c>
    </row>
    <row r="4002" spans="6:11" x14ac:dyDescent="0.3">
      <c r="F4002" s="43">
        <v>43692</v>
      </c>
      <c r="G4002" s="44">
        <v>2847.6000979999999</v>
      </c>
      <c r="H4002" s="44">
        <v>1835.160034</v>
      </c>
      <c r="I4002" s="44">
        <v>1461.650024</v>
      </c>
      <c r="J4002" s="44">
        <v>61.509998000000003</v>
      </c>
      <c r="K4002" s="44">
        <v>113.760002</v>
      </c>
    </row>
    <row r="4003" spans="6:11" x14ac:dyDescent="0.3">
      <c r="F4003" s="43">
        <v>43693</v>
      </c>
      <c r="G4003" s="44">
        <v>2888.679932</v>
      </c>
      <c r="H4003" s="44">
        <v>1873.219971</v>
      </c>
      <c r="I4003" s="44">
        <v>1493.6400149999999</v>
      </c>
      <c r="J4003" s="44">
        <v>62.25</v>
      </c>
      <c r="K4003" s="44">
        <v>113.66999800000001</v>
      </c>
    </row>
    <row r="4004" spans="6:11" x14ac:dyDescent="0.3">
      <c r="F4004" s="43">
        <v>43696</v>
      </c>
      <c r="G4004" s="44">
        <v>2923.6499020000001</v>
      </c>
      <c r="H4004" s="44">
        <v>1891.709961</v>
      </c>
      <c r="I4004" s="44">
        <v>1508.849976</v>
      </c>
      <c r="J4004" s="44">
        <v>62.630001</v>
      </c>
      <c r="K4004" s="44">
        <v>113.370003</v>
      </c>
    </row>
    <row r="4005" spans="6:11" x14ac:dyDescent="0.3">
      <c r="F4005" s="43">
        <v>43697</v>
      </c>
      <c r="G4005" s="44">
        <v>2900.51001</v>
      </c>
      <c r="H4005" s="44">
        <v>1876.3000489999999</v>
      </c>
      <c r="I4005" s="44">
        <v>1498.01001</v>
      </c>
      <c r="J4005" s="44">
        <v>62.419998</v>
      </c>
      <c r="K4005" s="44">
        <v>113.68</v>
      </c>
    </row>
    <row r="4006" spans="6:11" x14ac:dyDescent="0.3">
      <c r="F4006" s="43">
        <v>43698</v>
      </c>
      <c r="G4006" s="44">
        <v>2924.429932</v>
      </c>
      <c r="H4006" s="44">
        <v>1886.8599850000001</v>
      </c>
      <c r="I4006" s="44">
        <v>1509.849976</v>
      </c>
      <c r="J4006" s="44">
        <v>62.860000999999997</v>
      </c>
      <c r="K4006" s="44">
        <v>113.620003</v>
      </c>
    </row>
    <row r="4007" spans="6:11" x14ac:dyDescent="0.3">
      <c r="F4007" s="43">
        <v>43699</v>
      </c>
      <c r="G4007" s="44">
        <v>2922.9499510000001</v>
      </c>
      <c r="H4007" s="44">
        <v>1888.459961</v>
      </c>
      <c r="I4007" s="44">
        <v>1506</v>
      </c>
      <c r="J4007" s="44">
        <v>62.740001999999997</v>
      </c>
      <c r="K4007" s="44">
        <v>113.32</v>
      </c>
    </row>
    <row r="4008" spans="6:11" x14ac:dyDescent="0.3">
      <c r="F4008" s="43">
        <v>43700</v>
      </c>
      <c r="G4008" s="44">
        <v>2847.110107</v>
      </c>
      <c r="H4008" s="44">
        <v>1836.5500489999999</v>
      </c>
      <c r="I4008" s="44">
        <v>1459.48999</v>
      </c>
      <c r="J4008" s="44">
        <v>61.959999000000003</v>
      </c>
      <c r="K4008" s="44">
        <v>113.779999</v>
      </c>
    </row>
    <row r="4009" spans="6:11" x14ac:dyDescent="0.3">
      <c r="F4009" s="43">
        <v>43703</v>
      </c>
      <c r="G4009" s="44">
        <v>2878.3798830000001</v>
      </c>
      <c r="H4009" s="44">
        <v>1851.3900149999999</v>
      </c>
      <c r="I4009" s="44">
        <v>1476</v>
      </c>
      <c r="J4009" s="44">
        <v>62.470001000000003</v>
      </c>
      <c r="K4009" s="44">
        <v>113.730003</v>
      </c>
    </row>
    <row r="4010" spans="6:11" x14ac:dyDescent="0.3">
      <c r="F4010" s="43">
        <v>43704</v>
      </c>
      <c r="G4010" s="44">
        <v>2869.1599120000001</v>
      </c>
      <c r="H4010" s="44">
        <v>1832.630005</v>
      </c>
      <c r="I4010" s="44">
        <v>1456.040039</v>
      </c>
      <c r="J4010" s="44">
        <v>62.419998</v>
      </c>
      <c r="K4010" s="44">
        <v>114.089996</v>
      </c>
    </row>
    <row r="4011" spans="6:11" x14ac:dyDescent="0.3">
      <c r="F4011" s="43">
        <v>43705</v>
      </c>
      <c r="G4011" s="44">
        <v>2887.9399410000001</v>
      </c>
      <c r="H4011" s="44">
        <v>1849.9499510000001</v>
      </c>
      <c r="I4011" s="44">
        <v>1472.709961</v>
      </c>
      <c r="J4011" s="44">
        <v>62.419998</v>
      </c>
      <c r="K4011" s="44">
        <v>114.099998</v>
      </c>
    </row>
    <row r="4012" spans="6:11" x14ac:dyDescent="0.3">
      <c r="F4012" s="43">
        <v>43706</v>
      </c>
      <c r="G4012" s="44">
        <v>2924.580078</v>
      </c>
      <c r="H4012" s="44">
        <v>1877.209961</v>
      </c>
      <c r="I4012" s="44">
        <v>1496.719971</v>
      </c>
      <c r="J4012" s="44">
        <v>62.959999000000003</v>
      </c>
      <c r="K4012" s="44">
        <v>114.029999</v>
      </c>
    </row>
    <row r="4013" spans="6:11" x14ac:dyDescent="0.3">
      <c r="F4013" s="43">
        <v>43707</v>
      </c>
      <c r="G4013" s="44">
        <v>2926.459961</v>
      </c>
      <c r="H4013" s="44">
        <v>1881.1999510000001</v>
      </c>
      <c r="I4013" s="44">
        <v>1494.839966</v>
      </c>
      <c r="J4013" s="44">
        <v>63.209999000000003</v>
      </c>
      <c r="K4013" s="44">
        <v>114.129997</v>
      </c>
    </row>
    <row r="4014" spans="6:11" x14ac:dyDescent="0.3">
      <c r="F4014" s="43">
        <v>43711</v>
      </c>
      <c r="G4014" s="44">
        <v>2906.2700199999999</v>
      </c>
      <c r="H4014" s="44">
        <v>1858.0500489999999</v>
      </c>
      <c r="I4014" s="44">
        <v>1472.280029</v>
      </c>
      <c r="J4014" s="44">
        <v>63.09</v>
      </c>
      <c r="K4014" s="44">
        <v>113.839996</v>
      </c>
    </row>
    <row r="4015" spans="6:11" x14ac:dyDescent="0.3">
      <c r="F4015" s="43">
        <v>43712</v>
      </c>
      <c r="G4015" s="44">
        <v>2937.780029</v>
      </c>
      <c r="H4015" s="44">
        <v>1880.9399410000001</v>
      </c>
      <c r="I4015" s="44">
        <v>1484.76001</v>
      </c>
      <c r="J4015" s="44">
        <v>63.98</v>
      </c>
      <c r="K4015" s="44">
        <v>114.040001</v>
      </c>
    </row>
    <row r="4016" spans="6:11" x14ac:dyDescent="0.3">
      <c r="F4016" s="43">
        <v>43713</v>
      </c>
      <c r="G4016" s="44">
        <v>2976</v>
      </c>
      <c r="H4016" s="44">
        <v>1912.630005</v>
      </c>
      <c r="I4016" s="44">
        <v>1510.75</v>
      </c>
      <c r="J4016" s="44">
        <v>64.319999999999993</v>
      </c>
      <c r="K4016" s="44">
        <v>113.550003</v>
      </c>
    </row>
    <row r="4017" spans="6:11" x14ac:dyDescent="0.3">
      <c r="F4017" s="43">
        <v>43714</v>
      </c>
      <c r="G4017" s="44">
        <v>2978.709961</v>
      </c>
      <c r="H4017" s="44">
        <v>1911.51001</v>
      </c>
      <c r="I4017" s="44">
        <v>1505.170044</v>
      </c>
      <c r="J4017" s="44">
        <v>64.529999000000004</v>
      </c>
      <c r="K4017" s="44">
        <v>113.66999800000001</v>
      </c>
    </row>
    <row r="4018" spans="6:11" x14ac:dyDescent="0.3">
      <c r="F4018" s="43">
        <v>43717</v>
      </c>
      <c r="G4018" s="44">
        <v>2978.429932</v>
      </c>
      <c r="H4018" s="44">
        <v>1926.459961</v>
      </c>
      <c r="I4018" s="44">
        <v>1524.2299800000001</v>
      </c>
      <c r="J4018" s="44">
        <v>64.720000999999996</v>
      </c>
      <c r="K4018" s="44">
        <v>113.19000200000001</v>
      </c>
    </row>
    <row r="4019" spans="6:11" x14ac:dyDescent="0.3">
      <c r="F4019" s="43">
        <v>43718</v>
      </c>
      <c r="G4019" s="44">
        <v>2979.389893</v>
      </c>
      <c r="H4019" s="44">
        <v>1937.8000489999999</v>
      </c>
      <c r="I4019" s="44">
        <v>1541.6099850000001</v>
      </c>
      <c r="J4019" s="44">
        <v>64.830001999999993</v>
      </c>
      <c r="K4019" s="44">
        <v>112.58000199999999</v>
      </c>
    </row>
    <row r="4020" spans="6:11" x14ac:dyDescent="0.3">
      <c r="F4020" s="43">
        <v>43719</v>
      </c>
      <c r="G4020" s="44">
        <v>3000.929932</v>
      </c>
      <c r="H4020" s="44">
        <v>1964.1099850000001</v>
      </c>
      <c r="I4020" s="44">
        <v>1575.709961</v>
      </c>
      <c r="J4020" s="44">
        <v>65.190002000000007</v>
      </c>
      <c r="K4020" s="44">
        <v>112.599998</v>
      </c>
    </row>
    <row r="4021" spans="6:11" x14ac:dyDescent="0.3">
      <c r="F4021" s="43">
        <v>43720</v>
      </c>
      <c r="G4021" s="44">
        <v>3009.570068</v>
      </c>
      <c r="H4021" s="44">
        <v>1962.3599850000001</v>
      </c>
      <c r="I4021" s="44">
        <v>1575.0699460000001</v>
      </c>
      <c r="J4021" s="44">
        <v>65.569999999999993</v>
      </c>
      <c r="K4021" s="44">
        <v>112.41999800000001</v>
      </c>
    </row>
    <row r="4022" spans="6:11" x14ac:dyDescent="0.3">
      <c r="F4022" s="43">
        <v>43721</v>
      </c>
      <c r="G4022" s="44">
        <v>3007.389893</v>
      </c>
      <c r="H4022" s="44">
        <v>1963.160034</v>
      </c>
      <c r="I4022" s="44">
        <v>1578.1400149999999</v>
      </c>
      <c r="J4022" s="44">
        <v>65.940002000000007</v>
      </c>
      <c r="K4022" s="44">
        <v>111.75</v>
      </c>
    </row>
    <row r="4023" spans="6:11" x14ac:dyDescent="0.3">
      <c r="F4023" s="43">
        <v>43724</v>
      </c>
      <c r="G4023" s="44">
        <v>2997.959961</v>
      </c>
      <c r="H4023" s="44">
        <v>1966.089966</v>
      </c>
      <c r="I4023" s="44">
        <v>1584.599976</v>
      </c>
      <c r="J4023" s="44">
        <v>65.349997999999999</v>
      </c>
      <c r="K4023" s="44">
        <v>112.050003</v>
      </c>
    </row>
    <row r="4024" spans="6:11" x14ac:dyDescent="0.3">
      <c r="F4024" s="43">
        <v>43725</v>
      </c>
      <c r="G4024" s="44">
        <v>3005.6999510000001</v>
      </c>
      <c r="H4024" s="44">
        <v>1959.48999</v>
      </c>
      <c r="I4024" s="44">
        <v>1578.290039</v>
      </c>
      <c r="J4024" s="44">
        <v>65.569999999999993</v>
      </c>
      <c r="K4024" s="44">
        <v>112.220001</v>
      </c>
    </row>
    <row r="4025" spans="6:11" x14ac:dyDescent="0.3">
      <c r="F4025" s="43">
        <v>43726</v>
      </c>
      <c r="G4025" s="44">
        <v>3006.7299800000001</v>
      </c>
      <c r="H4025" s="44">
        <v>1953.4300539999999</v>
      </c>
      <c r="I4025" s="44">
        <v>1568.339966</v>
      </c>
      <c r="J4025" s="44">
        <v>65.489998</v>
      </c>
      <c r="K4025" s="44">
        <v>112.349998</v>
      </c>
    </row>
    <row r="4026" spans="6:11" x14ac:dyDescent="0.3">
      <c r="F4026" s="43">
        <v>43727</v>
      </c>
      <c r="G4026" s="44">
        <v>3006.790039</v>
      </c>
      <c r="H4026" s="44">
        <v>1949.660034</v>
      </c>
      <c r="I4026" s="44">
        <v>1561.469971</v>
      </c>
      <c r="J4026" s="44">
        <v>65.709998999999996</v>
      </c>
      <c r="K4026" s="44">
        <v>112.510002</v>
      </c>
    </row>
    <row r="4027" spans="6:11" x14ac:dyDescent="0.3">
      <c r="F4027" s="43">
        <v>43728</v>
      </c>
      <c r="G4027" s="44">
        <v>2992.070068</v>
      </c>
      <c r="H4027" s="44">
        <v>1944.6400149999999</v>
      </c>
      <c r="I4027" s="44">
        <v>1559.76001</v>
      </c>
      <c r="J4027" s="44">
        <v>65.559997999999993</v>
      </c>
      <c r="K4027" s="44">
        <v>112.91999800000001</v>
      </c>
    </row>
    <row r="4028" spans="6:11" x14ac:dyDescent="0.3">
      <c r="F4028" s="43">
        <v>43731</v>
      </c>
      <c r="G4028" s="44">
        <v>2991.780029</v>
      </c>
      <c r="H4028" s="44">
        <v>1947.829956</v>
      </c>
      <c r="I4028" s="44">
        <v>1558.25</v>
      </c>
      <c r="J4028" s="44">
        <v>65.389999000000003</v>
      </c>
      <c r="K4028" s="44">
        <v>112.970001</v>
      </c>
    </row>
    <row r="4029" spans="6:11" x14ac:dyDescent="0.3">
      <c r="F4029" s="43">
        <v>43732</v>
      </c>
      <c r="G4029" s="44">
        <v>2966.6000979999999</v>
      </c>
      <c r="H4029" s="44">
        <v>1925.6800539999999</v>
      </c>
      <c r="I4029" s="44">
        <v>1533.589966</v>
      </c>
      <c r="J4029" s="44">
        <v>65.139999000000003</v>
      </c>
      <c r="K4029" s="44">
        <v>113.279999</v>
      </c>
    </row>
    <row r="4030" spans="6:11" x14ac:dyDescent="0.3">
      <c r="F4030" s="43">
        <v>43733</v>
      </c>
      <c r="G4030" s="44">
        <v>2984.8701169999999</v>
      </c>
      <c r="H4030" s="44">
        <v>1947.4300539999999</v>
      </c>
      <c r="I4030" s="44">
        <v>1550.650024</v>
      </c>
      <c r="J4030" s="44">
        <v>64.949996999999996</v>
      </c>
      <c r="K4030" s="44">
        <v>112.80999799999999</v>
      </c>
    </row>
    <row r="4031" spans="6:11" x14ac:dyDescent="0.3">
      <c r="F4031" s="43">
        <v>43734</v>
      </c>
      <c r="G4031" s="44">
        <v>2977.6201169999999</v>
      </c>
      <c r="H4031" s="44">
        <v>1936.969971</v>
      </c>
      <c r="I4031" s="44">
        <v>1533.329956</v>
      </c>
      <c r="J4031" s="44">
        <v>65.190002000000007</v>
      </c>
      <c r="K4031" s="44">
        <v>113</v>
      </c>
    </row>
    <row r="4032" spans="6:11" x14ac:dyDescent="0.3">
      <c r="F4032" s="43">
        <v>43735</v>
      </c>
      <c r="G4032" s="44">
        <v>2961.790039</v>
      </c>
      <c r="H4032" s="44">
        <v>1922.73999</v>
      </c>
      <c r="I4032" s="44">
        <v>1520.4799800000001</v>
      </c>
      <c r="J4032" s="44">
        <v>64.970000999999996</v>
      </c>
      <c r="K4032" s="44">
        <v>113.139999</v>
      </c>
    </row>
    <row r="4033" spans="6:11" x14ac:dyDescent="0.3">
      <c r="F4033" s="43">
        <v>43738</v>
      </c>
      <c r="G4033" s="44">
        <v>2976.73999</v>
      </c>
      <c r="H4033" s="44">
        <v>1935.4799800000001</v>
      </c>
      <c r="I4033" s="44">
        <v>1523.369995</v>
      </c>
      <c r="J4033" s="44">
        <v>65.209998999999996</v>
      </c>
      <c r="K4033" s="44">
        <v>113.16999800000001</v>
      </c>
    </row>
    <row r="4034" spans="6:11" x14ac:dyDescent="0.3">
      <c r="F4034" s="43">
        <v>43739</v>
      </c>
      <c r="G4034" s="44">
        <v>2940.25</v>
      </c>
      <c r="H4034" s="44">
        <v>1900.0200199999999</v>
      </c>
      <c r="I4034" s="44">
        <v>1493.4300539999999</v>
      </c>
      <c r="J4034" s="44">
        <v>64.569999999999993</v>
      </c>
      <c r="K4034" s="44">
        <v>113.120003</v>
      </c>
    </row>
    <row r="4035" spans="6:11" x14ac:dyDescent="0.3">
      <c r="F4035" s="43">
        <v>43740</v>
      </c>
      <c r="G4035" s="44">
        <v>2887.610107</v>
      </c>
      <c r="H4035" s="44">
        <v>1873.8199460000001</v>
      </c>
      <c r="I4035" s="44">
        <v>1479.630005</v>
      </c>
      <c r="J4035" s="44">
        <v>63.25</v>
      </c>
      <c r="K4035" s="44">
        <v>113.199997</v>
      </c>
    </row>
    <row r="4036" spans="6:11" x14ac:dyDescent="0.3">
      <c r="F4036" s="43">
        <v>43741</v>
      </c>
      <c r="G4036" s="44">
        <v>2910.6298830000001</v>
      </c>
      <c r="H4036" s="44">
        <v>1884.619995</v>
      </c>
      <c r="I4036" s="44">
        <v>1486.349976</v>
      </c>
      <c r="J4036" s="44">
        <v>63.669998</v>
      </c>
      <c r="K4036" s="44">
        <v>113.639999</v>
      </c>
    </row>
    <row r="4037" spans="6:11" x14ac:dyDescent="0.3">
      <c r="F4037" s="43">
        <v>43742</v>
      </c>
      <c r="G4037" s="44">
        <v>2952.01001</v>
      </c>
      <c r="H4037" s="44">
        <v>1903.790039</v>
      </c>
      <c r="I4037" s="44">
        <v>1500.6999510000001</v>
      </c>
      <c r="J4037" s="44">
        <v>64.169998000000007</v>
      </c>
      <c r="K4037" s="44">
        <v>113.82</v>
      </c>
    </row>
    <row r="4038" spans="6:11" x14ac:dyDescent="0.3">
      <c r="F4038" s="43">
        <v>43745</v>
      </c>
      <c r="G4038" s="44">
        <v>2938.790039</v>
      </c>
      <c r="H4038" s="44">
        <v>1894.0500489999999</v>
      </c>
      <c r="I4038" s="44">
        <v>1497.790039</v>
      </c>
      <c r="J4038" s="44">
        <v>64.089995999999999</v>
      </c>
      <c r="K4038" s="44">
        <v>113.510002</v>
      </c>
    </row>
    <row r="4039" spans="6:11" x14ac:dyDescent="0.3">
      <c r="F4039" s="43">
        <v>43746</v>
      </c>
      <c r="G4039" s="44">
        <v>2893.0600589999999</v>
      </c>
      <c r="H4039" s="44">
        <v>1860.8599850000001</v>
      </c>
      <c r="I4039" s="44">
        <v>1472.599976</v>
      </c>
      <c r="J4039" s="44">
        <v>63.490001999999997</v>
      </c>
      <c r="K4039" s="44">
        <v>113.550003</v>
      </c>
    </row>
    <row r="4040" spans="6:11" x14ac:dyDescent="0.3">
      <c r="F4040" s="43">
        <v>43747</v>
      </c>
      <c r="G4040" s="44">
        <v>2919.3999020000001</v>
      </c>
      <c r="H4040" s="44">
        <v>1873.790039</v>
      </c>
      <c r="I4040" s="44">
        <v>1479.459961</v>
      </c>
      <c r="J4040" s="44">
        <v>63.950001</v>
      </c>
      <c r="K4040" s="44">
        <v>113.489998</v>
      </c>
    </row>
    <row r="4041" spans="6:11" x14ac:dyDescent="0.3">
      <c r="F4041" s="43">
        <v>43748</v>
      </c>
      <c r="G4041" s="44">
        <v>2938.1298830000001</v>
      </c>
      <c r="H4041" s="44">
        <v>1884.170044</v>
      </c>
      <c r="I4041" s="44">
        <v>1485.3599850000001</v>
      </c>
      <c r="J4041" s="44">
        <v>64.400002000000001</v>
      </c>
      <c r="K4041" s="44">
        <v>113.099998</v>
      </c>
    </row>
    <row r="4042" spans="6:11" x14ac:dyDescent="0.3">
      <c r="F4042" s="43">
        <v>43749</v>
      </c>
      <c r="G4042" s="44">
        <v>2970.2700199999999</v>
      </c>
      <c r="H4042" s="44">
        <v>1916.5699460000001</v>
      </c>
      <c r="I4042" s="44">
        <v>1511.900024</v>
      </c>
      <c r="J4042" s="44">
        <v>65.550003000000004</v>
      </c>
      <c r="K4042" s="44">
        <v>112.730003</v>
      </c>
    </row>
    <row r="4043" spans="6:11" x14ac:dyDescent="0.3">
      <c r="F4043" s="43">
        <v>43752</v>
      </c>
      <c r="G4043" s="44">
        <v>2966.1499020000001</v>
      </c>
      <c r="H4043" s="44">
        <v>1909.030029</v>
      </c>
      <c r="I4043" s="44">
        <v>1505.4300539999999</v>
      </c>
      <c r="J4043" s="44">
        <v>65.279999000000004</v>
      </c>
      <c r="K4043" s="44">
        <v>112.91999800000001</v>
      </c>
    </row>
    <row r="4044" spans="6:11" x14ac:dyDescent="0.3">
      <c r="F4044" s="43">
        <v>43753</v>
      </c>
      <c r="G4044" s="44">
        <v>2995.679932</v>
      </c>
      <c r="H4044" s="44">
        <v>1924.3100589999999</v>
      </c>
      <c r="I4044" s="44">
        <v>1523.3000489999999</v>
      </c>
      <c r="J4044" s="44">
        <v>66.040001000000004</v>
      </c>
      <c r="K4044" s="44">
        <v>112.550003</v>
      </c>
    </row>
    <row r="4045" spans="6:11" x14ac:dyDescent="0.3">
      <c r="F4045" s="43">
        <v>43754</v>
      </c>
      <c r="G4045" s="44">
        <v>2989.6899410000001</v>
      </c>
      <c r="H4045" s="44">
        <v>1922.400024</v>
      </c>
      <c r="I4045" s="44">
        <v>1525.0600589999999</v>
      </c>
      <c r="J4045" s="44">
        <v>66.139999000000003</v>
      </c>
      <c r="K4045" s="44">
        <v>112.75</v>
      </c>
    </row>
    <row r="4046" spans="6:11" x14ac:dyDescent="0.3">
      <c r="F4046" s="43">
        <v>43755</v>
      </c>
      <c r="G4046" s="44">
        <v>2997.9499510000001</v>
      </c>
      <c r="H4046" s="44">
        <v>1938.650024</v>
      </c>
      <c r="I4046" s="44">
        <v>1541.839966</v>
      </c>
      <c r="J4046" s="44">
        <v>66.300003000000004</v>
      </c>
      <c r="K4046" s="44">
        <v>112.720001</v>
      </c>
    </row>
    <row r="4047" spans="6:11" x14ac:dyDescent="0.3">
      <c r="F4047" s="43">
        <v>43756</v>
      </c>
      <c r="G4047" s="44">
        <v>2986.1999510000001</v>
      </c>
      <c r="H4047" s="44">
        <v>1936.76001</v>
      </c>
      <c r="I4047" s="44">
        <v>1535.4799800000001</v>
      </c>
      <c r="J4047" s="44">
        <v>66.269997000000004</v>
      </c>
      <c r="K4047" s="44">
        <v>112.800003</v>
      </c>
    </row>
    <row r="4048" spans="6:11" x14ac:dyDescent="0.3">
      <c r="F4048" s="43">
        <v>43759</v>
      </c>
      <c r="G4048" s="44">
        <v>3006.719971</v>
      </c>
      <c r="H4048" s="44">
        <v>1947.660034</v>
      </c>
      <c r="I4048" s="44">
        <v>1552.410034</v>
      </c>
      <c r="J4048" s="44">
        <v>66.629997000000003</v>
      </c>
      <c r="K4048" s="44">
        <v>112.489998</v>
      </c>
    </row>
    <row r="4049" spans="6:11" x14ac:dyDescent="0.3">
      <c r="F4049" s="43">
        <v>43760</v>
      </c>
      <c r="G4049" s="44">
        <v>2995.98999</v>
      </c>
      <c r="H4049" s="44">
        <v>1947.079956</v>
      </c>
      <c r="I4049" s="44">
        <v>1550.869995</v>
      </c>
      <c r="J4049" s="44">
        <v>66.470000999999996</v>
      </c>
      <c r="K4049" s="44">
        <v>112.660004</v>
      </c>
    </row>
    <row r="4050" spans="6:11" x14ac:dyDescent="0.3">
      <c r="F4050" s="43">
        <v>43761</v>
      </c>
      <c r="G4050" s="44">
        <v>3004.5200199999999</v>
      </c>
      <c r="H4050" s="44">
        <v>1948.709961</v>
      </c>
      <c r="I4050" s="44">
        <v>1552.8599850000001</v>
      </c>
      <c r="J4050" s="44">
        <v>66.830001999999993</v>
      </c>
      <c r="K4050" s="44">
        <v>112.75</v>
      </c>
    </row>
    <row r="4051" spans="6:11" x14ac:dyDescent="0.3">
      <c r="F4051" s="43">
        <v>43762</v>
      </c>
      <c r="G4051" s="44">
        <v>3010.290039</v>
      </c>
      <c r="H4051" s="44">
        <v>1949.599976</v>
      </c>
      <c r="I4051" s="44">
        <v>1548.48999</v>
      </c>
      <c r="J4051" s="44">
        <v>66.949996999999996</v>
      </c>
      <c r="K4051" s="44">
        <v>112.779999</v>
      </c>
    </row>
    <row r="4052" spans="6:11" x14ac:dyDescent="0.3">
      <c r="F4052" s="43">
        <v>43763</v>
      </c>
      <c r="G4052" s="44">
        <v>3022.5500489999999</v>
      </c>
      <c r="H4052" s="44">
        <v>1959.219971</v>
      </c>
      <c r="I4052" s="44">
        <v>1558.709961</v>
      </c>
      <c r="J4052" s="44">
        <v>67.019997000000004</v>
      </c>
      <c r="K4052" s="44">
        <v>112.620003</v>
      </c>
    </row>
    <row r="4053" spans="6:11" x14ac:dyDescent="0.3">
      <c r="F4053" s="43">
        <v>43766</v>
      </c>
      <c r="G4053" s="44">
        <v>3039.419922</v>
      </c>
      <c r="H4053" s="44">
        <v>1970.6099850000001</v>
      </c>
      <c r="I4053" s="44">
        <v>1571.9300539999999</v>
      </c>
      <c r="J4053" s="44">
        <v>67.319999999999993</v>
      </c>
      <c r="K4053" s="44">
        <v>112.379997</v>
      </c>
    </row>
    <row r="4054" spans="6:11" x14ac:dyDescent="0.3">
      <c r="F4054" s="43">
        <v>43767</v>
      </c>
      <c r="G4054" s="44">
        <v>3036.889893</v>
      </c>
      <c r="H4054" s="44">
        <v>1975.23999</v>
      </c>
      <c r="I4054" s="44">
        <v>1577.0699460000001</v>
      </c>
      <c r="J4054" s="44">
        <v>67.300003000000004</v>
      </c>
      <c r="K4054" s="44">
        <v>112.389999</v>
      </c>
    </row>
    <row r="4055" spans="6:11" x14ac:dyDescent="0.3">
      <c r="F4055" s="43">
        <v>43768</v>
      </c>
      <c r="G4055" s="44">
        <v>3046.7700199999999</v>
      </c>
      <c r="H4055" s="44">
        <v>1969.9399410000001</v>
      </c>
      <c r="I4055" s="44">
        <v>1572.849976</v>
      </c>
      <c r="J4055" s="44">
        <v>67.580001999999993</v>
      </c>
      <c r="K4055" s="44">
        <v>112.709999</v>
      </c>
    </row>
    <row r="4056" spans="6:11" x14ac:dyDescent="0.3">
      <c r="F4056" s="43">
        <v>43769</v>
      </c>
      <c r="G4056" s="44">
        <v>3037.5600589999999</v>
      </c>
      <c r="H4056" s="44">
        <v>1955.369995</v>
      </c>
      <c r="I4056" s="44">
        <v>1562.4499510000001</v>
      </c>
      <c r="J4056" s="44">
        <v>67.419998000000007</v>
      </c>
      <c r="K4056" s="44">
        <v>113.150002</v>
      </c>
    </row>
    <row r="4057" spans="6:11" x14ac:dyDescent="0.3">
      <c r="F4057" s="43">
        <v>43770</v>
      </c>
      <c r="G4057" s="44">
        <v>3066.9099120000001</v>
      </c>
      <c r="H4057" s="44">
        <v>1983.5</v>
      </c>
      <c r="I4057" s="44">
        <v>1589.329956</v>
      </c>
      <c r="J4057" s="44">
        <v>68.019997000000004</v>
      </c>
      <c r="K4057" s="44">
        <v>112.93</v>
      </c>
    </row>
    <row r="4058" spans="6:11" x14ac:dyDescent="0.3">
      <c r="F4058" s="43">
        <v>43773</v>
      </c>
      <c r="G4058" s="44">
        <v>3078.2700199999999</v>
      </c>
      <c r="H4058" s="44">
        <v>1995.099976</v>
      </c>
      <c r="I4058" s="44">
        <v>1597.400024</v>
      </c>
      <c r="J4058" s="44">
        <v>68.370002999999997</v>
      </c>
      <c r="K4058" s="44">
        <v>112.650002</v>
      </c>
    </row>
    <row r="4059" spans="6:11" x14ac:dyDescent="0.3">
      <c r="F4059" s="43">
        <v>43774</v>
      </c>
      <c r="G4059" s="44">
        <v>3074.6201169999999</v>
      </c>
      <c r="H4059" s="44">
        <v>1999.329956</v>
      </c>
      <c r="I4059" s="44">
        <v>1599.6099850000001</v>
      </c>
      <c r="J4059" s="44">
        <v>68.239998</v>
      </c>
      <c r="K4059" s="44">
        <v>112.230003</v>
      </c>
    </row>
    <row r="4060" spans="6:11" x14ac:dyDescent="0.3">
      <c r="F4060" s="43">
        <v>43775</v>
      </c>
      <c r="G4060" s="44">
        <v>3076.780029</v>
      </c>
      <c r="H4060" s="44">
        <v>1990.349976</v>
      </c>
      <c r="I4060" s="44">
        <v>1589.540039</v>
      </c>
      <c r="J4060" s="44">
        <v>68.209998999999996</v>
      </c>
      <c r="K4060" s="44">
        <v>112.400002</v>
      </c>
    </row>
    <row r="4061" spans="6:11" x14ac:dyDescent="0.3">
      <c r="F4061" s="43">
        <v>43776</v>
      </c>
      <c r="G4061" s="44">
        <v>3085.179932</v>
      </c>
      <c r="H4061" s="44">
        <v>1992.6400149999999</v>
      </c>
      <c r="I4061" s="44">
        <v>1593.98999</v>
      </c>
      <c r="J4061" s="44">
        <v>68.419998000000007</v>
      </c>
      <c r="K4061" s="44">
        <v>111.870003</v>
      </c>
    </row>
    <row r="4062" spans="6:11" x14ac:dyDescent="0.3">
      <c r="F4062" s="43">
        <v>43777</v>
      </c>
      <c r="G4062" s="44">
        <v>3093.080078</v>
      </c>
      <c r="H4062" s="44">
        <v>1998.3900149999999</v>
      </c>
      <c r="I4062" s="44">
        <v>1598.8599850000001</v>
      </c>
      <c r="J4062" s="44">
        <v>68.379997000000003</v>
      </c>
      <c r="K4062" s="44">
        <v>111.80999799999999</v>
      </c>
    </row>
    <row r="4063" spans="6:11" x14ac:dyDescent="0.3">
      <c r="F4063" s="43">
        <v>43780</v>
      </c>
      <c r="G4063" s="44">
        <v>3087.01001</v>
      </c>
      <c r="H4063" s="44">
        <v>1994.459961</v>
      </c>
      <c r="I4063" s="44">
        <v>1594.7700199999999</v>
      </c>
      <c r="J4063" s="44">
        <v>68.290001000000004</v>
      </c>
      <c r="K4063" s="44">
        <v>111.83000199999999</v>
      </c>
    </row>
    <row r="4064" spans="6:11" x14ac:dyDescent="0.3">
      <c r="F4064" s="43">
        <v>43781</v>
      </c>
      <c r="G4064" s="44">
        <v>3091.8400879999999</v>
      </c>
      <c r="H4064" s="44">
        <v>1990.98999</v>
      </c>
      <c r="I4064" s="44">
        <v>1595.119995</v>
      </c>
      <c r="J4064" s="44">
        <v>68.319999999999993</v>
      </c>
      <c r="K4064" s="44">
        <v>111.949997</v>
      </c>
    </row>
    <row r="4065" spans="6:11" x14ac:dyDescent="0.3">
      <c r="F4065" s="43">
        <v>43782</v>
      </c>
      <c r="G4065" s="44">
        <v>3094.040039</v>
      </c>
      <c r="H4065" s="44">
        <v>1986.459961</v>
      </c>
      <c r="I4065" s="44">
        <v>1589.1800539999999</v>
      </c>
      <c r="J4065" s="44">
        <v>68.080001999999993</v>
      </c>
      <c r="K4065" s="44">
        <v>112.150002</v>
      </c>
    </row>
    <row r="4066" spans="6:11" x14ac:dyDescent="0.3">
      <c r="F4066" s="43">
        <v>43783</v>
      </c>
      <c r="G4066" s="44">
        <v>3096.6298830000001</v>
      </c>
      <c r="H4066" s="44">
        <v>1991.459961</v>
      </c>
      <c r="I4066" s="44">
        <v>1588.790039</v>
      </c>
      <c r="J4066" s="44">
        <v>67.889999000000003</v>
      </c>
      <c r="K4066" s="44">
        <v>112.470001</v>
      </c>
    </row>
    <row r="4067" spans="6:11" x14ac:dyDescent="0.3">
      <c r="F4067" s="43">
        <v>43784</v>
      </c>
      <c r="G4067" s="44">
        <v>3120.459961</v>
      </c>
      <c r="H4067" s="44">
        <v>2000.6099850000001</v>
      </c>
      <c r="I4067" s="44">
        <v>1596.4499510000001</v>
      </c>
      <c r="J4067" s="44">
        <v>68.319999999999993</v>
      </c>
      <c r="K4067" s="44">
        <v>112.410004</v>
      </c>
    </row>
    <row r="4068" spans="6:11" x14ac:dyDescent="0.3">
      <c r="F4068" s="43">
        <v>43787</v>
      </c>
      <c r="G4068" s="44">
        <v>3122.030029</v>
      </c>
      <c r="H4068" s="44">
        <v>1997.910034</v>
      </c>
      <c r="I4068" s="44">
        <v>1592.339966</v>
      </c>
      <c r="J4068" s="44">
        <v>68.400002000000001</v>
      </c>
      <c r="K4068" s="44">
        <v>112.620003</v>
      </c>
    </row>
    <row r="4069" spans="6:11" x14ac:dyDescent="0.3">
      <c r="F4069" s="43">
        <v>43788</v>
      </c>
      <c r="G4069" s="44">
        <v>3120.179932</v>
      </c>
      <c r="H4069" s="44">
        <v>2001.349976</v>
      </c>
      <c r="I4069" s="44">
        <v>1598.290039</v>
      </c>
      <c r="J4069" s="44">
        <v>68.309997999999993</v>
      </c>
      <c r="K4069" s="44">
        <v>112.699997</v>
      </c>
    </row>
    <row r="4070" spans="6:11" x14ac:dyDescent="0.3">
      <c r="F4070" s="43">
        <v>43789</v>
      </c>
      <c r="G4070" s="44">
        <v>3108.459961</v>
      </c>
      <c r="H4070" s="44">
        <v>1994.170044</v>
      </c>
      <c r="I4070" s="44">
        <v>1591.6099850000001</v>
      </c>
      <c r="J4070" s="44">
        <v>67.879997000000003</v>
      </c>
      <c r="K4070" s="44">
        <v>112.970001</v>
      </c>
    </row>
    <row r="4071" spans="6:11" x14ac:dyDescent="0.3">
      <c r="F4071" s="43">
        <v>43790</v>
      </c>
      <c r="G4071" s="44">
        <v>3103.540039</v>
      </c>
      <c r="H4071" s="44">
        <v>1980.4399410000001</v>
      </c>
      <c r="I4071" s="44">
        <v>1583.959961</v>
      </c>
      <c r="J4071" s="44">
        <v>67.790001000000004</v>
      </c>
      <c r="K4071" s="44">
        <v>112.80999799999999</v>
      </c>
    </row>
    <row r="4072" spans="6:11" x14ac:dyDescent="0.3">
      <c r="F4072" s="43">
        <v>43791</v>
      </c>
      <c r="G4072" s="44">
        <v>3110.290039</v>
      </c>
      <c r="H4072" s="44">
        <v>1985.869995</v>
      </c>
      <c r="I4072" s="44">
        <v>1588.9399410000001</v>
      </c>
      <c r="J4072" s="44">
        <v>67.980002999999996</v>
      </c>
      <c r="K4072" s="44">
        <v>112.870003</v>
      </c>
    </row>
    <row r="4073" spans="6:11" x14ac:dyDescent="0.3">
      <c r="F4073" s="43">
        <v>43794</v>
      </c>
      <c r="G4073" s="44">
        <v>3133.639893</v>
      </c>
      <c r="H4073" s="44">
        <v>2009.6999510000001</v>
      </c>
      <c r="I4073" s="44">
        <v>1621.900024</v>
      </c>
      <c r="J4073" s="44">
        <v>68.519997000000004</v>
      </c>
      <c r="K4073" s="44">
        <v>112.980003</v>
      </c>
    </row>
    <row r="4074" spans="6:11" x14ac:dyDescent="0.3">
      <c r="F4074" s="43">
        <v>43795</v>
      </c>
      <c r="G4074" s="44">
        <v>3140.5200199999999</v>
      </c>
      <c r="H4074" s="44">
        <v>2018.0200199999999</v>
      </c>
      <c r="I4074" s="44">
        <v>1624.2299800000001</v>
      </c>
      <c r="J4074" s="44">
        <v>68.480002999999996</v>
      </c>
      <c r="K4074" s="44">
        <v>113.139999</v>
      </c>
    </row>
    <row r="4075" spans="6:11" x14ac:dyDescent="0.3">
      <c r="F4075" s="43">
        <v>43796</v>
      </c>
      <c r="G4075" s="44">
        <v>3153.6298830000001</v>
      </c>
      <c r="H4075" s="44">
        <v>2030.780029</v>
      </c>
      <c r="I4075" s="44">
        <v>1634.099976</v>
      </c>
      <c r="J4075" s="44">
        <v>68.660004000000001</v>
      </c>
      <c r="K4075" s="44">
        <v>113</v>
      </c>
    </row>
    <row r="4076" spans="6:11" x14ac:dyDescent="0.3">
      <c r="F4076" s="43">
        <v>43798</v>
      </c>
      <c r="G4076" s="44">
        <v>3140.9799800000001</v>
      </c>
      <c r="H4076" s="44">
        <v>2010.150024</v>
      </c>
      <c r="I4076" s="44">
        <v>1624.5</v>
      </c>
      <c r="J4076" s="44">
        <v>68.180000000000007</v>
      </c>
      <c r="K4076" s="44">
        <v>112.860001</v>
      </c>
    </row>
    <row r="4077" spans="6:11" x14ac:dyDescent="0.3">
      <c r="F4077" s="43">
        <v>43801</v>
      </c>
      <c r="G4077" s="44">
        <v>3113.8701169999999</v>
      </c>
      <c r="H4077" s="44">
        <v>1995.8599850000001</v>
      </c>
      <c r="I4077" s="44">
        <v>1607.579956</v>
      </c>
      <c r="J4077" s="44">
        <v>67.830001999999993</v>
      </c>
      <c r="K4077" s="44">
        <v>112.489998</v>
      </c>
    </row>
    <row r="4078" spans="6:11" x14ac:dyDescent="0.3">
      <c r="F4078" s="43">
        <v>43802</v>
      </c>
      <c r="G4078" s="44">
        <v>3093.1999510000001</v>
      </c>
      <c r="H4078" s="44">
        <v>1983.920044</v>
      </c>
      <c r="I4078" s="44">
        <v>1602.630005</v>
      </c>
      <c r="J4078" s="44">
        <v>67.580001999999993</v>
      </c>
      <c r="K4078" s="44">
        <v>113</v>
      </c>
    </row>
    <row r="4079" spans="6:11" x14ac:dyDescent="0.3">
      <c r="F4079" s="43">
        <v>43803</v>
      </c>
      <c r="G4079" s="44">
        <v>3112.76001</v>
      </c>
      <c r="H4079" s="44">
        <v>1999.530029</v>
      </c>
      <c r="I4079" s="44">
        <v>1613.900024</v>
      </c>
      <c r="J4079" s="44">
        <v>68.199996999999996</v>
      </c>
      <c r="K4079" s="44">
        <v>112.80999799999999</v>
      </c>
    </row>
    <row r="4080" spans="6:11" x14ac:dyDescent="0.3">
      <c r="F4080" s="43">
        <v>43804</v>
      </c>
      <c r="G4080" s="44">
        <v>3117.429932</v>
      </c>
      <c r="H4080" s="44">
        <v>2003</v>
      </c>
      <c r="I4080" s="44">
        <v>1614.829956</v>
      </c>
      <c r="J4080" s="44">
        <v>68.069999999999993</v>
      </c>
      <c r="K4080" s="44">
        <v>112.68</v>
      </c>
    </row>
    <row r="4081" spans="6:11" x14ac:dyDescent="0.3">
      <c r="F4081" s="43">
        <v>43805</v>
      </c>
      <c r="G4081" s="44">
        <v>3145.9099120000001</v>
      </c>
      <c r="H4081" s="44">
        <v>2021.9799800000001</v>
      </c>
      <c r="I4081" s="44">
        <v>1633.839966</v>
      </c>
      <c r="J4081" s="44">
        <v>68.690002000000007</v>
      </c>
      <c r="K4081" s="44">
        <v>112.519997</v>
      </c>
    </row>
    <row r="4082" spans="6:11" x14ac:dyDescent="0.3">
      <c r="F4082" s="43">
        <v>43808</v>
      </c>
      <c r="G4082" s="44">
        <v>3135.959961</v>
      </c>
      <c r="H4082" s="44">
        <v>2013.4799800000001</v>
      </c>
      <c r="I4082" s="44">
        <v>1629.619995</v>
      </c>
      <c r="J4082" s="44">
        <v>68.330001999999993</v>
      </c>
      <c r="K4082" s="44">
        <v>112.58000199999999</v>
      </c>
    </row>
    <row r="4083" spans="6:11" x14ac:dyDescent="0.3">
      <c r="F4083" s="43">
        <v>43809</v>
      </c>
      <c r="G4083" s="44">
        <v>3132.5200199999999</v>
      </c>
      <c r="H4083" s="44">
        <v>2011.75</v>
      </c>
      <c r="I4083" s="44">
        <v>1631.709961</v>
      </c>
      <c r="J4083" s="44">
        <v>68.360000999999997</v>
      </c>
      <c r="K4083" s="44">
        <v>112.540001</v>
      </c>
    </row>
    <row r="4084" spans="6:11" x14ac:dyDescent="0.3">
      <c r="F4084" s="43">
        <v>43810</v>
      </c>
      <c r="G4084" s="44">
        <v>3141.6298830000001</v>
      </c>
      <c r="H4084" s="44">
        <v>2015.75</v>
      </c>
      <c r="I4084" s="44">
        <v>1631.9300539999999</v>
      </c>
      <c r="J4084" s="44">
        <v>68.720000999999996</v>
      </c>
      <c r="K4084" s="44">
        <v>112.839996</v>
      </c>
    </row>
    <row r="4085" spans="6:11" x14ac:dyDescent="0.3">
      <c r="F4085" s="43">
        <v>43811</v>
      </c>
      <c r="G4085" s="44">
        <v>3168.570068</v>
      </c>
      <c r="H4085" s="44">
        <v>2036.630005</v>
      </c>
      <c r="I4085" s="44">
        <v>1644.8100589999999</v>
      </c>
      <c r="J4085" s="44">
        <v>69.180000000000007</v>
      </c>
      <c r="K4085" s="44">
        <v>112.360001</v>
      </c>
    </row>
    <row r="4086" spans="6:11" x14ac:dyDescent="0.3">
      <c r="F4086" s="43">
        <v>43812</v>
      </c>
      <c r="G4086" s="44">
        <v>3168.8000489999999</v>
      </c>
      <c r="H4086" s="44">
        <v>2024.719971</v>
      </c>
      <c r="I4086" s="44">
        <v>1637.9799800000001</v>
      </c>
      <c r="J4086" s="44">
        <v>69.660004000000001</v>
      </c>
      <c r="K4086" s="44">
        <v>112.80999799999999</v>
      </c>
    </row>
    <row r="4087" spans="6:11" x14ac:dyDescent="0.3">
      <c r="F4087" s="43">
        <v>43815</v>
      </c>
      <c r="G4087" s="44">
        <v>3191.4499510000001</v>
      </c>
      <c r="H4087" s="44">
        <v>2038.459961</v>
      </c>
      <c r="I4087" s="44">
        <v>1649.9399410000001</v>
      </c>
      <c r="J4087" s="44">
        <v>69.620002999999997</v>
      </c>
      <c r="K4087" s="44">
        <v>112.58000199999999</v>
      </c>
    </row>
    <row r="4088" spans="6:11" x14ac:dyDescent="0.3">
      <c r="F4088" s="43">
        <v>43816</v>
      </c>
      <c r="G4088" s="44">
        <v>3192.5200199999999</v>
      </c>
      <c r="H4088" s="44">
        <v>2045.089966</v>
      </c>
      <c r="I4088" s="44">
        <v>1657.5600589999999</v>
      </c>
      <c r="J4088" s="44">
        <v>69.220000999999996</v>
      </c>
      <c r="K4088" s="44">
        <v>112.589996</v>
      </c>
    </row>
    <row r="4089" spans="6:11" x14ac:dyDescent="0.3">
      <c r="F4089" s="43">
        <v>43817</v>
      </c>
      <c r="G4089" s="44">
        <v>3191.139893</v>
      </c>
      <c r="H4089" s="44">
        <v>2046.150024</v>
      </c>
      <c r="I4089" s="44">
        <v>1661.7299800000001</v>
      </c>
      <c r="J4089" s="44">
        <v>69.129997000000003</v>
      </c>
      <c r="K4089" s="44">
        <v>112.370003</v>
      </c>
    </row>
    <row r="4090" spans="6:11" x14ac:dyDescent="0.3">
      <c r="F4090" s="43">
        <v>43818</v>
      </c>
      <c r="G4090" s="44">
        <v>3205.3701169999999</v>
      </c>
      <c r="H4090" s="44">
        <v>2054.3100589999999</v>
      </c>
      <c r="I4090" s="44">
        <v>1667.089966</v>
      </c>
      <c r="J4090" s="44">
        <v>69.129997000000003</v>
      </c>
      <c r="K4090" s="44">
        <v>112.300003</v>
      </c>
    </row>
    <row r="4091" spans="6:11" x14ac:dyDescent="0.3">
      <c r="F4091" s="43">
        <v>43819</v>
      </c>
      <c r="G4091" s="44">
        <v>3221.219971</v>
      </c>
      <c r="H4091" s="44">
        <v>2065.610107</v>
      </c>
      <c r="I4091" s="44">
        <v>1671.900024</v>
      </c>
      <c r="J4091" s="44">
        <v>69.180000000000007</v>
      </c>
      <c r="K4091" s="44">
        <v>112.32</v>
      </c>
    </row>
    <row r="4092" spans="6:11" x14ac:dyDescent="0.3">
      <c r="F4092" s="43">
        <v>43822</v>
      </c>
      <c r="G4092" s="44">
        <v>3224.01001</v>
      </c>
      <c r="H4092" s="44">
        <v>2063.389893</v>
      </c>
      <c r="I4092" s="44">
        <v>1674.1400149999999</v>
      </c>
      <c r="J4092" s="44">
        <v>69.290001000000004</v>
      </c>
      <c r="K4092" s="44">
        <v>112.239998</v>
      </c>
    </row>
    <row r="4093" spans="6:11" x14ac:dyDescent="0.3">
      <c r="F4093" s="43">
        <v>43823</v>
      </c>
      <c r="G4093" s="44">
        <v>3223.3798830000001</v>
      </c>
      <c r="H4093" s="44">
        <v>2061.360107</v>
      </c>
      <c r="I4093" s="44">
        <v>1678.01001</v>
      </c>
      <c r="J4093" s="44">
        <v>69.220000999999996</v>
      </c>
      <c r="K4093" s="44">
        <v>112.379997</v>
      </c>
    </row>
    <row r="4094" spans="6:11" x14ac:dyDescent="0.3">
      <c r="F4094" s="43">
        <v>43825</v>
      </c>
      <c r="G4094" s="44">
        <v>3239.9099120000001</v>
      </c>
      <c r="H4094" s="44">
        <v>2067.330078</v>
      </c>
      <c r="I4094" s="44">
        <v>1677.670044</v>
      </c>
      <c r="J4094" s="44">
        <v>69.519997000000004</v>
      </c>
      <c r="K4094" s="44">
        <v>112.480003</v>
      </c>
    </row>
    <row r="4095" spans="6:11" x14ac:dyDescent="0.3">
      <c r="F4095" s="43">
        <v>43826</v>
      </c>
      <c r="G4095" s="44">
        <v>3240.0200199999999</v>
      </c>
      <c r="H4095" s="44">
        <v>2062.8798830000001</v>
      </c>
      <c r="I4095" s="44">
        <v>1669.030029</v>
      </c>
      <c r="J4095" s="44">
        <v>69.639999000000003</v>
      </c>
      <c r="K4095" s="44">
        <v>112.629997</v>
      </c>
    </row>
    <row r="4096" spans="6:11" x14ac:dyDescent="0.3">
      <c r="F4096" s="43">
        <v>43829</v>
      </c>
      <c r="G4096" s="44">
        <v>3221.290039</v>
      </c>
      <c r="H4096" s="44">
        <v>2060.719971</v>
      </c>
      <c r="I4096" s="44">
        <v>1664.150024</v>
      </c>
      <c r="J4096" s="44">
        <v>69.120002999999997</v>
      </c>
      <c r="K4096" s="44">
        <v>112.629997</v>
      </c>
    </row>
    <row r="4097" spans="6:11" x14ac:dyDescent="0.3">
      <c r="F4097" s="43">
        <v>43830</v>
      </c>
      <c r="G4097" s="44">
        <v>3230.780029</v>
      </c>
      <c r="H4097" s="44">
        <v>2063.0200199999999</v>
      </c>
      <c r="I4097" s="44">
        <v>1668.469971</v>
      </c>
      <c r="J4097" s="44">
        <v>69.440002000000007</v>
      </c>
      <c r="K4097" s="44">
        <v>112.370003</v>
      </c>
    </row>
    <row r="4098" spans="6:11" x14ac:dyDescent="0.3">
      <c r="F4098" s="43">
        <v>43832</v>
      </c>
      <c r="G4098" s="44">
        <v>3257.8500979999999</v>
      </c>
      <c r="H4098" s="44">
        <v>2065.1899410000001</v>
      </c>
      <c r="I4098" s="44">
        <v>1666.7700199999999</v>
      </c>
      <c r="J4098" s="44">
        <v>70.139999000000003</v>
      </c>
      <c r="K4098" s="44">
        <v>112.68</v>
      </c>
    </row>
    <row r="4099" spans="6:11" x14ac:dyDescent="0.3">
      <c r="F4099" s="43">
        <v>43833</v>
      </c>
      <c r="G4099" s="44">
        <v>3234.8500979999999</v>
      </c>
      <c r="H4099" s="44">
        <v>2055.669922</v>
      </c>
      <c r="I4099" s="44">
        <v>1660.869995</v>
      </c>
      <c r="J4099" s="44">
        <v>69.269997000000004</v>
      </c>
      <c r="K4099" s="44">
        <v>113.010002</v>
      </c>
    </row>
    <row r="4100" spans="6:11" x14ac:dyDescent="0.3">
      <c r="F4100" s="43">
        <v>43836</v>
      </c>
      <c r="G4100" s="44">
        <v>3246.280029</v>
      </c>
      <c r="H4100" s="44">
        <v>2054.1599120000001</v>
      </c>
      <c r="I4100" s="44">
        <v>1663.26001</v>
      </c>
      <c r="J4100" s="44">
        <v>69.540001000000004</v>
      </c>
      <c r="K4100" s="44">
        <v>112.91999800000001</v>
      </c>
    </row>
    <row r="4101" spans="6:11" x14ac:dyDescent="0.3">
      <c r="F4101" s="43">
        <v>43837</v>
      </c>
      <c r="G4101" s="44">
        <v>3237.179932</v>
      </c>
      <c r="H4101" s="44">
        <v>2049.3400879999999</v>
      </c>
      <c r="I4101" s="44">
        <v>1658.3100589999999</v>
      </c>
      <c r="J4101" s="44">
        <v>69.349997999999999</v>
      </c>
      <c r="K4101" s="44">
        <v>112.800003</v>
      </c>
    </row>
    <row r="4102" spans="6:11" x14ac:dyDescent="0.3">
      <c r="F4102" s="43">
        <v>43838</v>
      </c>
      <c r="G4102" s="44">
        <v>3253.0500489999999</v>
      </c>
      <c r="H4102" s="44">
        <v>2052.929932</v>
      </c>
      <c r="I4102" s="44">
        <v>1663.589966</v>
      </c>
      <c r="J4102" s="44">
        <v>69.550003000000004</v>
      </c>
      <c r="K4102" s="44">
        <v>112.66999800000001</v>
      </c>
    </row>
    <row r="4103" spans="6:11" x14ac:dyDescent="0.3">
      <c r="F4103" s="43">
        <v>43839</v>
      </c>
      <c r="G4103" s="44">
        <v>3274.6999510000001</v>
      </c>
      <c r="H4103" s="44">
        <v>2058.0500489999999</v>
      </c>
      <c r="I4103" s="44">
        <v>1664.98999</v>
      </c>
      <c r="J4103" s="44">
        <v>69.709998999999996</v>
      </c>
      <c r="K4103" s="44">
        <v>112.790001</v>
      </c>
    </row>
    <row r="4104" spans="6:11" x14ac:dyDescent="0.3">
      <c r="F4104" s="43">
        <v>43840</v>
      </c>
      <c r="G4104" s="44">
        <v>3265.3500979999999</v>
      </c>
      <c r="H4104" s="44">
        <v>2051.3701169999999</v>
      </c>
      <c r="I4104" s="44">
        <v>1657.6400149999999</v>
      </c>
      <c r="J4104" s="44">
        <v>69.449996999999996</v>
      </c>
      <c r="K4104" s="44">
        <v>112.980003</v>
      </c>
    </row>
    <row r="4105" spans="6:11" x14ac:dyDescent="0.3">
      <c r="F4105" s="43">
        <v>43843</v>
      </c>
      <c r="G4105" s="44">
        <v>3288.1298830000001</v>
      </c>
      <c r="H4105" s="44">
        <v>2068.1298830000001</v>
      </c>
      <c r="I4105" s="44">
        <v>1669.6099850000001</v>
      </c>
      <c r="J4105" s="44">
        <v>69.809997999999993</v>
      </c>
      <c r="K4105" s="44">
        <v>112.910004</v>
      </c>
    </row>
    <row r="4106" spans="6:11" x14ac:dyDescent="0.3">
      <c r="F4106" s="43">
        <v>43844</v>
      </c>
      <c r="G4106" s="44">
        <v>3283.1499020000001</v>
      </c>
      <c r="H4106" s="44">
        <v>2072.98999</v>
      </c>
      <c r="I4106" s="44">
        <v>1675.73999</v>
      </c>
      <c r="J4106" s="44">
        <v>69.879997000000003</v>
      </c>
      <c r="K4106" s="44">
        <v>113.010002</v>
      </c>
    </row>
    <row r="4107" spans="6:11" x14ac:dyDescent="0.3">
      <c r="F4107" s="43">
        <v>43845</v>
      </c>
      <c r="G4107" s="44">
        <v>3289.290039</v>
      </c>
      <c r="H4107" s="44">
        <v>2076.1000979999999</v>
      </c>
      <c r="I4107" s="44">
        <v>1682.400024</v>
      </c>
      <c r="J4107" s="44">
        <v>69.879997000000003</v>
      </c>
      <c r="K4107" s="44">
        <v>113.18</v>
      </c>
    </row>
    <row r="4108" spans="6:11" x14ac:dyDescent="0.3">
      <c r="F4108" s="43">
        <v>43846</v>
      </c>
      <c r="G4108" s="44">
        <v>3316.8100589999999</v>
      </c>
      <c r="H4108" s="44">
        <v>2100.3400879999999</v>
      </c>
      <c r="I4108" s="44">
        <v>1705.219971</v>
      </c>
      <c r="J4108" s="44">
        <v>70.169998000000007</v>
      </c>
      <c r="K4108" s="44">
        <v>113.18</v>
      </c>
    </row>
    <row r="4109" spans="6:11" x14ac:dyDescent="0.3">
      <c r="F4109" s="43">
        <v>43847</v>
      </c>
      <c r="G4109" s="44">
        <v>3329.6201169999999</v>
      </c>
      <c r="H4109" s="44">
        <v>2095.5500489999999</v>
      </c>
      <c r="I4109" s="44">
        <v>1699.6400149999999</v>
      </c>
      <c r="J4109" s="44">
        <v>70.379997000000003</v>
      </c>
      <c r="K4109" s="44">
        <v>113.050003</v>
      </c>
    </row>
    <row r="4110" spans="6:11" x14ac:dyDescent="0.3">
      <c r="F4110" s="43">
        <v>43851</v>
      </c>
      <c r="G4110" s="44">
        <v>3320.790039</v>
      </c>
      <c r="H4110" s="44">
        <v>2082.929932</v>
      </c>
      <c r="I4110" s="44">
        <v>1685.900024</v>
      </c>
      <c r="J4110" s="44">
        <v>69.819999999999993</v>
      </c>
      <c r="K4110" s="44">
        <v>113.370003</v>
      </c>
    </row>
    <row r="4111" spans="6:11" x14ac:dyDescent="0.3">
      <c r="F4111" s="43">
        <v>43852</v>
      </c>
      <c r="G4111" s="44">
        <v>3321.75</v>
      </c>
      <c r="H4111" s="44">
        <v>2082.5200199999999</v>
      </c>
      <c r="I4111" s="44">
        <v>1684.459961</v>
      </c>
      <c r="J4111" s="44">
        <v>69.959998999999996</v>
      </c>
      <c r="K4111" s="44">
        <v>113.43</v>
      </c>
    </row>
    <row r="4112" spans="6:11" x14ac:dyDescent="0.3">
      <c r="F4112" s="43">
        <v>43853</v>
      </c>
      <c r="G4112" s="44">
        <v>3325.540039</v>
      </c>
      <c r="H4112" s="44">
        <v>2086.860107</v>
      </c>
      <c r="I4112" s="44">
        <v>1685.01001</v>
      </c>
      <c r="J4112" s="44">
        <v>69.790001000000004</v>
      </c>
      <c r="K4112" s="44">
        <v>113.58000199999999</v>
      </c>
    </row>
    <row r="4113" spans="6:11" x14ac:dyDescent="0.3">
      <c r="F4113" s="43">
        <v>43854</v>
      </c>
      <c r="G4113" s="44">
        <v>3295.469971</v>
      </c>
      <c r="H4113" s="44">
        <v>2065.1499020000001</v>
      </c>
      <c r="I4113" s="44">
        <v>1662.2299800000001</v>
      </c>
      <c r="J4113" s="44">
        <v>69.489998</v>
      </c>
      <c r="K4113" s="44">
        <v>113.790001</v>
      </c>
    </row>
    <row r="4114" spans="6:11" x14ac:dyDescent="0.3">
      <c r="F4114" s="43">
        <v>43857</v>
      </c>
      <c r="G4114" s="44">
        <v>3243.6298830000001</v>
      </c>
      <c r="H4114" s="44">
        <v>2035.969971</v>
      </c>
      <c r="I4114" s="44">
        <v>1644.1400149999999</v>
      </c>
      <c r="J4114" s="44">
        <v>68.050003000000004</v>
      </c>
      <c r="K4114" s="44">
        <v>114.139999</v>
      </c>
    </row>
    <row r="4115" spans="6:11" x14ac:dyDescent="0.3">
      <c r="F4115" s="43">
        <v>43858</v>
      </c>
      <c r="G4115" s="44">
        <v>3276.23999</v>
      </c>
      <c r="H4115" s="44">
        <v>2056.3798830000001</v>
      </c>
      <c r="I4115" s="44">
        <v>1658.3100589999999</v>
      </c>
      <c r="J4115" s="44">
        <v>68.690002000000007</v>
      </c>
      <c r="K4115" s="44">
        <v>114.040001</v>
      </c>
    </row>
    <row r="4116" spans="6:11" x14ac:dyDescent="0.3">
      <c r="F4116" s="43">
        <v>43859</v>
      </c>
      <c r="G4116" s="44">
        <v>3273.3999020000001</v>
      </c>
      <c r="H4116" s="44">
        <v>2046.660034</v>
      </c>
      <c r="I4116" s="44">
        <v>1649.219971</v>
      </c>
      <c r="J4116" s="44">
        <v>68.699996999999996</v>
      </c>
      <c r="K4116" s="44">
        <v>114.300003</v>
      </c>
    </row>
    <row r="4117" spans="6:11" x14ac:dyDescent="0.3">
      <c r="F4117" s="43">
        <v>43860</v>
      </c>
      <c r="G4117" s="44">
        <v>3283.6599120000001</v>
      </c>
      <c r="H4117" s="44">
        <v>2047.920044</v>
      </c>
      <c r="I4117" s="44">
        <v>1648.219971</v>
      </c>
      <c r="J4117" s="44">
        <v>68.639999000000003</v>
      </c>
      <c r="K4117" s="44">
        <v>114.30999799999999</v>
      </c>
    </row>
    <row r="4118" spans="6:11" x14ac:dyDescent="0.3">
      <c r="F4118" s="43">
        <v>43861</v>
      </c>
      <c r="G4118" s="44">
        <v>3225.5200199999999</v>
      </c>
      <c r="H4118" s="44">
        <v>2007.219971</v>
      </c>
      <c r="I4118" s="44">
        <v>1614.0600589999999</v>
      </c>
      <c r="J4118" s="44">
        <v>67.480002999999996</v>
      </c>
      <c r="K4118" s="44">
        <v>114.650002</v>
      </c>
    </row>
    <row r="4119" spans="6:11" x14ac:dyDescent="0.3">
      <c r="F4119" s="43">
        <v>43864</v>
      </c>
      <c r="G4119" s="44">
        <v>3248.919922</v>
      </c>
      <c r="H4119" s="44">
        <v>2028.6099850000001</v>
      </c>
      <c r="I4119" s="44">
        <v>1632.209961</v>
      </c>
      <c r="J4119" s="44">
        <v>67.639999000000003</v>
      </c>
      <c r="K4119" s="44">
        <v>114.370003</v>
      </c>
    </row>
    <row r="4120" spans="6:11" x14ac:dyDescent="0.3">
      <c r="F4120" s="43">
        <v>43865</v>
      </c>
      <c r="G4120" s="44">
        <v>3297.5900879999999</v>
      </c>
      <c r="H4120" s="44">
        <v>2055.6999510000001</v>
      </c>
      <c r="I4120" s="44">
        <v>1656.7700199999999</v>
      </c>
      <c r="J4120" s="44">
        <v>68.769997000000004</v>
      </c>
      <c r="K4120" s="44">
        <v>113.989998</v>
      </c>
    </row>
    <row r="4121" spans="6:11" x14ac:dyDescent="0.3">
      <c r="F4121" s="43">
        <v>43866</v>
      </c>
      <c r="G4121" s="44">
        <v>3334.6899410000001</v>
      </c>
      <c r="H4121" s="44">
        <v>2080.320068</v>
      </c>
      <c r="I4121" s="44">
        <v>1681.920044</v>
      </c>
      <c r="J4121" s="44">
        <v>69.430000000000007</v>
      </c>
      <c r="K4121" s="44">
        <v>113.82</v>
      </c>
    </row>
    <row r="4122" spans="6:11" x14ac:dyDescent="0.3">
      <c r="F4122" s="43">
        <v>43867</v>
      </c>
      <c r="G4122" s="44">
        <v>3345.780029</v>
      </c>
      <c r="H4122" s="44">
        <v>2069.6899410000001</v>
      </c>
      <c r="I4122" s="44">
        <v>1677.459961</v>
      </c>
      <c r="J4122" s="44">
        <v>69.620002999999997</v>
      </c>
      <c r="K4122" s="44">
        <v>113.889999</v>
      </c>
    </row>
    <row r="4123" spans="6:11" x14ac:dyDescent="0.3">
      <c r="F4123" s="43">
        <v>43868</v>
      </c>
      <c r="G4123" s="44">
        <v>3327.709961</v>
      </c>
      <c r="H4123" s="44">
        <v>2049.3000489999999</v>
      </c>
      <c r="I4123" s="44">
        <v>1656.780029</v>
      </c>
      <c r="J4123" s="44">
        <v>68.959998999999996</v>
      </c>
      <c r="K4123" s="44">
        <v>114.220001</v>
      </c>
    </row>
    <row r="4124" spans="6:11" x14ac:dyDescent="0.3">
      <c r="F4124" s="43">
        <v>43871</v>
      </c>
      <c r="G4124" s="44">
        <v>3352.0900879999999</v>
      </c>
      <c r="H4124" s="44">
        <v>2060.8400879999999</v>
      </c>
      <c r="I4124" s="44">
        <v>1667.670044</v>
      </c>
      <c r="J4124" s="44">
        <v>69.099997999999999</v>
      </c>
      <c r="K4124" s="44">
        <v>114.349998</v>
      </c>
    </row>
    <row r="4125" spans="6:11" x14ac:dyDescent="0.3">
      <c r="F4125" s="43">
        <v>43872</v>
      </c>
      <c r="G4125" s="44">
        <v>3357.75</v>
      </c>
      <c r="H4125" s="44">
        <v>2076.669922</v>
      </c>
      <c r="I4125" s="44">
        <v>1677.51001</v>
      </c>
      <c r="J4125" s="44">
        <v>69.569999999999993</v>
      </c>
      <c r="K4125" s="44">
        <v>114.209999</v>
      </c>
    </row>
    <row r="4126" spans="6:11" x14ac:dyDescent="0.3">
      <c r="F4126" s="43">
        <v>43873</v>
      </c>
      <c r="G4126" s="44">
        <v>3379.4499510000001</v>
      </c>
      <c r="H4126" s="44">
        <v>2091.3500979999999</v>
      </c>
      <c r="I4126" s="44">
        <v>1689.380005</v>
      </c>
      <c r="J4126" s="44">
        <v>69.809997999999993</v>
      </c>
      <c r="K4126" s="44">
        <v>114.089996</v>
      </c>
    </row>
    <row r="4127" spans="6:11" x14ac:dyDescent="0.3">
      <c r="F4127" s="43">
        <v>43874</v>
      </c>
      <c r="G4127" s="44">
        <v>3373.9399410000001</v>
      </c>
      <c r="H4127" s="44">
        <v>2097.290039</v>
      </c>
      <c r="I4127" s="44">
        <v>1693.73999</v>
      </c>
      <c r="J4127" s="44">
        <v>69.319999999999993</v>
      </c>
      <c r="K4127" s="44">
        <v>114.16999800000001</v>
      </c>
    </row>
    <row r="4128" spans="6:11" x14ac:dyDescent="0.3">
      <c r="F4128" s="43">
        <v>43875</v>
      </c>
      <c r="G4128" s="44">
        <v>3380.1599120000001</v>
      </c>
      <c r="H4128" s="44">
        <v>2096.610107</v>
      </c>
      <c r="I4128" s="44">
        <v>1687.579956</v>
      </c>
      <c r="J4128" s="44">
        <v>69.199996999999996</v>
      </c>
      <c r="K4128" s="44">
        <v>114.290001</v>
      </c>
    </row>
    <row r="4129" spans="6:11" x14ac:dyDescent="0.3">
      <c r="F4129" s="43">
        <v>43879</v>
      </c>
      <c r="G4129" s="44">
        <v>3370.290039</v>
      </c>
      <c r="H4129" s="44">
        <v>2089.1899410000001</v>
      </c>
      <c r="I4129" s="44">
        <v>1683.5200199999999</v>
      </c>
      <c r="J4129" s="44">
        <v>68.760002</v>
      </c>
      <c r="K4129" s="44">
        <v>114.44000200000001</v>
      </c>
    </row>
    <row r="4130" spans="6:11" x14ac:dyDescent="0.3">
      <c r="F4130" s="43">
        <v>43880</v>
      </c>
      <c r="G4130" s="44">
        <v>3386.1499020000001</v>
      </c>
      <c r="H4130" s="44">
        <v>2098.570068</v>
      </c>
      <c r="I4130" s="44">
        <v>1692.5699460000001</v>
      </c>
      <c r="J4130" s="44">
        <v>68.989998</v>
      </c>
      <c r="K4130" s="44">
        <v>114.410004</v>
      </c>
    </row>
    <row r="4131" spans="6:11" x14ac:dyDescent="0.3">
      <c r="F4131" s="43">
        <v>43881</v>
      </c>
      <c r="G4131" s="44">
        <v>3373.2299800000001</v>
      </c>
      <c r="H4131" s="44">
        <v>2106.1201169999999</v>
      </c>
      <c r="I4131" s="44">
        <v>1696.0699460000001</v>
      </c>
      <c r="J4131" s="44">
        <v>68.580001999999993</v>
      </c>
      <c r="K4131" s="44">
        <v>114.66999800000001</v>
      </c>
    </row>
    <row r="4132" spans="6:11" x14ac:dyDescent="0.3">
      <c r="F4132" s="43">
        <v>43882</v>
      </c>
      <c r="G4132" s="44">
        <v>3337.75</v>
      </c>
      <c r="H4132" s="44">
        <v>2084.330078</v>
      </c>
      <c r="I4132" s="44">
        <v>1678.6099850000001</v>
      </c>
      <c r="J4132" s="44">
        <v>68.260002</v>
      </c>
      <c r="K4132" s="44">
        <v>114.900002</v>
      </c>
    </row>
    <row r="4133" spans="6:11" x14ac:dyDescent="0.3">
      <c r="F4133" s="43">
        <v>43885</v>
      </c>
      <c r="G4133" s="44">
        <v>3225.889893</v>
      </c>
      <c r="H4133" s="44">
        <v>2022.5699460000001</v>
      </c>
      <c r="I4133" s="44">
        <v>1628.099976</v>
      </c>
      <c r="J4133" s="44">
        <v>65.529999000000004</v>
      </c>
      <c r="K4133" s="44">
        <v>115.269997</v>
      </c>
    </row>
    <row r="4134" spans="6:11" x14ac:dyDescent="0.3">
      <c r="F4134" s="43">
        <v>43886</v>
      </c>
      <c r="G4134" s="44">
        <v>3128.209961</v>
      </c>
      <c r="H4134" s="44">
        <v>1951.9399410000001</v>
      </c>
      <c r="I4134" s="44">
        <v>1571.900024</v>
      </c>
      <c r="J4134" s="44">
        <v>64.449996999999996</v>
      </c>
      <c r="K4134" s="44">
        <v>115.470001</v>
      </c>
    </row>
    <row r="4135" spans="6:11" x14ac:dyDescent="0.3">
      <c r="F4135" s="43">
        <v>43887</v>
      </c>
      <c r="G4135" s="44">
        <v>3116.389893</v>
      </c>
      <c r="H4135" s="44">
        <v>1921.969971</v>
      </c>
      <c r="I4135" s="44">
        <v>1552.76001</v>
      </c>
      <c r="J4135" s="44">
        <v>64.529999000000004</v>
      </c>
      <c r="K4135" s="44">
        <v>115.349998</v>
      </c>
    </row>
    <row r="4136" spans="6:11" x14ac:dyDescent="0.3">
      <c r="F4136" s="43">
        <v>43888</v>
      </c>
      <c r="G4136" s="44">
        <v>2978.76001</v>
      </c>
      <c r="H4136" s="44">
        <v>1851.8100589999999</v>
      </c>
      <c r="I4136" s="44">
        <v>1497.869995</v>
      </c>
      <c r="J4136" s="44">
        <v>62.619999</v>
      </c>
      <c r="K4136" s="44">
        <v>115.370003</v>
      </c>
    </row>
    <row r="4137" spans="6:11" x14ac:dyDescent="0.3">
      <c r="F4137" s="43">
        <v>43889</v>
      </c>
      <c r="G4137" s="44">
        <v>2954.219971</v>
      </c>
      <c r="H4137" s="44">
        <v>1814</v>
      </c>
      <c r="I4137" s="44">
        <v>1476.4300539999999</v>
      </c>
      <c r="J4137" s="44">
        <v>62.240001999999997</v>
      </c>
      <c r="K4137" s="44">
        <v>116.220001</v>
      </c>
    </row>
    <row r="4138" spans="6:11" x14ac:dyDescent="0.3">
      <c r="F4138" s="43">
        <v>43892</v>
      </c>
      <c r="G4138" s="44">
        <v>3090.2299800000001</v>
      </c>
      <c r="H4138" s="44">
        <v>1875.469971</v>
      </c>
      <c r="I4138" s="44">
        <v>1518.48999</v>
      </c>
      <c r="J4138" s="44">
        <v>63.040000999999997</v>
      </c>
      <c r="K4138" s="44">
        <v>115.94000200000001</v>
      </c>
    </row>
    <row r="4139" spans="6:11" x14ac:dyDescent="0.3">
      <c r="F4139" s="43">
        <v>43893</v>
      </c>
      <c r="G4139" s="44">
        <v>3003.3701169999999</v>
      </c>
      <c r="H4139" s="44">
        <v>1835.1899410000001</v>
      </c>
      <c r="I4139" s="44">
        <v>1486.079956</v>
      </c>
      <c r="J4139" s="44">
        <v>62.529998999999997</v>
      </c>
      <c r="K4139" s="44">
        <v>116.730003</v>
      </c>
    </row>
    <row r="4140" spans="6:11" x14ac:dyDescent="0.3">
      <c r="F4140" s="43">
        <v>43894</v>
      </c>
      <c r="G4140" s="44">
        <v>3130.1201169999999</v>
      </c>
      <c r="H4140" s="44">
        <v>1899.660034</v>
      </c>
      <c r="I4140" s="44">
        <v>1531.1999510000001</v>
      </c>
      <c r="J4140" s="44">
        <v>64.400002000000001</v>
      </c>
      <c r="K4140" s="44">
        <v>116.639999</v>
      </c>
    </row>
    <row r="4141" spans="6:11" x14ac:dyDescent="0.3">
      <c r="F4141" s="43">
        <v>43895</v>
      </c>
      <c r="G4141" s="44">
        <v>3023.9399410000001</v>
      </c>
      <c r="H4141" s="44">
        <v>1830.619995</v>
      </c>
      <c r="I4141" s="44">
        <v>1478.8199460000001</v>
      </c>
      <c r="J4141" s="44">
        <v>62.689999</v>
      </c>
      <c r="K4141" s="44">
        <v>117</v>
      </c>
    </row>
    <row r="4142" spans="6:11" x14ac:dyDescent="0.3">
      <c r="F4142" s="43">
        <v>43896</v>
      </c>
      <c r="G4142" s="44">
        <v>2972.3701169999999</v>
      </c>
      <c r="H4142" s="44">
        <v>1797.790039</v>
      </c>
      <c r="I4142" s="44">
        <v>1449.219971</v>
      </c>
      <c r="J4142" s="44">
        <v>61.75</v>
      </c>
      <c r="K4142" s="44">
        <v>117.860001</v>
      </c>
    </row>
    <row r="4143" spans="6:11" x14ac:dyDescent="0.3">
      <c r="F4143" s="43">
        <v>43899</v>
      </c>
      <c r="G4143" s="44">
        <v>2746.5600589999999</v>
      </c>
      <c r="H4143" s="44">
        <v>1633.6400149999999</v>
      </c>
      <c r="I4143" s="44">
        <v>1313.4399410000001</v>
      </c>
      <c r="J4143" s="44">
        <v>56.959999000000003</v>
      </c>
      <c r="K4143" s="44">
        <v>117.709999</v>
      </c>
    </row>
    <row r="4144" spans="6:11" x14ac:dyDescent="0.3">
      <c r="F4144" s="43">
        <v>43900</v>
      </c>
      <c r="G4144" s="44">
        <v>2882.2299800000001</v>
      </c>
      <c r="H4144" s="44">
        <v>1696.670044</v>
      </c>
      <c r="I4144" s="44">
        <v>1350.900024</v>
      </c>
      <c r="J4144" s="44">
        <v>59.060001</v>
      </c>
      <c r="K4144" s="44">
        <v>116.379997</v>
      </c>
    </row>
    <row r="4145" spans="6:11" x14ac:dyDescent="0.3">
      <c r="F4145" s="43">
        <v>43901</v>
      </c>
      <c r="G4145" s="44">
        <v>2741.3798830000001</v>
      </c>
      <c r="H4145" s="44">
        <v>1584.670044</v>
      </c>
      <c r="I4145" s="44">
        <v>1264.3000489999999</v>
      </c>
      <c r="J4145" s="44">
        <v>56.049999</v>
      </c>
      <c r="K4145" s="44">
        <v>114.720001</v>
      </c>
    </row>
    <row r="4146" spans="6:11" x14ac:dyDescent="0.3">
      <c r="F4146" s="43">
        <v>43902</v>
      </c>
      <c r="G4146" s="44">
        <v>2480.639893</v>
      </c>
      <c r="H4146" s="44">
        <v>1426.73999</v>
      </c>
      <c r="I4146" s="44">
        <v>1122.9300539999999</v>
      </c>
      <c r="J4146" s="44">
        <v>49.889999000000003</v>
      </c>
      <c r="K4146" s="44">
        <v>110.129997</v>
      </c>
    </row>
    <row r="4147" spans="6:11" x14ac:dyDescent="0.3">
      <c r="F4147" s="43">
        <v>43903</v>
      </c>
      <c r="G4147" s="44">
        <v>2711.0200199999999</v>
      </c>
      <c r="H4147" s="44">
        <v>1546.75</v>
      </c>
      <c r="I4147" s="44">
        <v>1210.130005</v>
      </c>
      <c r="J4147" s="44">
        <v>52.91</v>
      </c>
      <c r="K4147" s="44">
        <v>111.860001</v>
      </c>
    </row>
    <row r="4148" spans="6:11" x14ac:dyDescent="0.3">
      <c r="F4148" s="43">
        <v>43906</v>
      </c>
      <c r="G4148" s="44">
        <v>2386.1298830000001</v>
      </c>
      <c r="H4148" s="44">
        <v>1334.119995</v>
      </c>
      <c r="I4148" s="44">
        <v>1037.420044</v>
      </c>
      <c r="J4148" s="44">
        <v>47.450001</v>
      </c>
      <c r="K4148" s="44">
        <v>113.730003</v>
      </c>
    </row>
    <row r="4149" spans="6:11" x14ac:dyDescent="0.3">
      <c r="F4149" s="43">
        <v>43907</v>
      </c>
      <c r="G4149" s="44">
        <v>2529.1899410000001</v>
      </c>
      <c r="H4149" s="44">
        <v>1403.280029</v>
      </c>
      <c r="I4149" s="44">
        <v>1106.51001</v>
      </c>
      <c r="J4149" s="44">
        <v>49.759998000000003</v>
      </c>
      <c r="K4149" s="44">
        <v>110.790001</v>
      </c>
    </row>
    <row r="4150" spans="6:11" x14ac:dyDescent="0.3">
      <c r="F4150" s="43">
        <v>43908</v>
      </c>
      <c r="G4150" s="44">
        <v>2398.1000979999999</v>
      </c>
      <c r="H4150" s="44">
        <v>1258.23999</v>
      </c>
      <c r="I4150" s="44">
        <v>991.15997300000004</v>
      </c>
      <c r="J4150" s="44">
        <v>46.91</v>
      </c>
      <c r="K4150" s="44">
        <v>106.57</v>
      </c>
    </row>
    <row r="4151" spans="6:11" x14ac:dyDescent="0.3">
      <c r="F4151" s="43">
        <v>43909</v>
      </c>
      <c r="G4151" s="44">
        <v>2409.389893</v>
      </c>
      <c r="H4151" s="44">
        <v>1317.540039</v>
      </c>
      <c r="I4151" s="44">
        <v>1058.75</v>
      </c>
      <c r="J4151" s="44">
        <v>47.639999000000003</v>
      </c>
      <c r="K4151" s="44">
        <v>108.949997</v>
      </c>
    </row>
    <row r="4152" spans="6:11" x14ac:dyDescent="0.3">
      <c r="F4152" s="43">
        <v>43910</v>
      </c>
      <c r="G4152" s="44">
        <v>2304.919922</v>
      </c>
      <c r="H4152" s="44">
        <v>1257.8599850000001</v>
      </c>
      <c r="I4152" s="44">
        <v>1013.8900149999999</v>
      </c>
      <c r="J4152" s="44">
        <v>47.049999</v>
      </c>
      <c r="K4152" s="44">
        <v>110.029999</v>
      </c>
    </row>
    <row r="4153" spans="6:11" x14ac:dyDescent="0.3">
      <c r="F4153" s="43">
        <v>43913</v>
      </c>
      <c r="G4153" s="44">
        <v>2237.3999020000001</v>
      </c>
      <c r="H4153" s="44">
        <v>1218.5500489999999</v>
      </c>
      <c r="I4153" s="44">
        <v>1002.400024</v>
      </c>
      <c r="J4153" s="44">
        <v>46.5</v>
      </c>
      <c r="K4153" s="44">
        <v>112.639999</v>
      </c>
    </row>
    <row r="4154" spans="6:11" x14ac:dyDescent="0.3">
      <c r="F4154" s="43">
        <v>43914</v>
      </c>
      <c r="G4154" s="44">
        <v>2447.330078</v>
      </c>
      <c r="H4154" s="44">
        <v>1349.040039</v>
      </c>
      <c r="I4154" s="44">
        <v>1096.540039</v>
      </c>
      <c r="J4154" s="44">
        <v>50.439999</v>
      </c>
      <c r="K4154" s="44">
        <v>113.57</v>
      </c>
    </row>
    <row r="4155" spans="6:11" x14ac:dyDescent="0.3">
      <c r="F4155" s="43">
        <v>43915</v>
      </c>
      <c r="G4155" s="44">
        <v>2475.5600589999999</v>
      </c>
      <c r="H4155" s="44">
        <v>1388.8599850000001</v>
      </c>
      <c r="I4155" s="44">
        <v>1110.369995</v>
      </c>
      <c r="J4155" s="44">
        <v>52.080002</v>
      </c>
      <c r="K4155" s="44">
        <v>114.730003</v>
      </c>
    </row>
    <row r="4156" spans="6:11" x14ac:dyDescent="0.3">
      <c r="F4156" s="43">
        <v>43916</v>
      </c>
      <c r="G4156" s="44">
        <v>2630.070068</v>
      </c>
      <c r="H4156" s="44">
        <v>1471.530029</v>
      </c>
      <c r="I4156" s="44">
        <v>1180.3199460000001</v>
      </c>
      <c r="J4156" s="44">
        <v>54.41</v>
      </c>
      <c r="K4156" s="44">
        <v>115.08000199999999</v>
      </c>
    </row>
    <row r="4157" spans="6:11" x14ac:dyDescent="0.3">
      <c r="F4157" s="43">
        <v>43917</v>
      </c>
      <c r="G4157" s="44">
        <v>2541.469971</v>
      </c>
      <c r="H4157" s="44">
        <v>1422.920044</v>
      </c>
      <c r="I4157" s="44">
        <v>1131.98999</v>
      </c>
      <c r="J4157" s="44">
        <v>52.860000999999997</v>
      </c>
      <c r="K4157" s="44">
        <v>115.57</v>
      </c>
    </row>
    <row r="4158" spans="6:11" x14ac:dyDescent="0.3">
      <c r="F4158" s="43">
        <v>43920</v>
      </c>
      <c r="G4158" s="44">
        <v>2626.6499020000001</v>
      </c>
      <c r="H4158" s="44">
        <v>1459.150024</v>
      </c>
      <c r="I4158" s="44">
        <v>1158.3199460000001</v>
      </c>
      <c r="J4158" s="44">
        <v>53.93</v>
      </c>
      <c r="K4158" s="44">
        <v>115.68</v>
      </c>
    </row>
    <row r="4159" spans="6:11" x14ac:dyDescent="0.3">
      <c r="F4159" s="43">
        <v>43921</v>
      </c>
      <c r="G4159" s="44">
        <v>2584.5900879999999</v>
      </c>
      <c r="H4159" s="44">
        <v>1443.400024</v>
      </c>
      <c r="I4159" s="44">
        <v>1153.099976</v>
      </c>
      <c r="J4159" s="44">
        <v>53.459999000000003</v>
      </c>
      <c r="K4159" s="44">
        <v>115.370003</v>
      </c>
    </row>
    <row r="4160" spans="6:11" x14ac:dyDescent="0.3">
      <c r="F4160" s="43">
        <v>43922</v>
      </c>
      <c r="G4160" s="44">
        <v>2470.5</v>
      </c>
      <c r="H4160" s="44">
        <v>1361.209961</v>
      </c>
      <c r="I4160" s="44">
        <v>1071.98999</v>
      </c>
      <c r="J4160" s="44">
        <v>51.09</v>
      </c>
      <c r="K4160" s="44">
        <v>114.730003</v>
      </c>
    </row>
    <row r="4161" spans="6:11" x14ac:dyDescent="0.3">
      <c r="F4161" s="43">
        <v>43923</v>
      </c>
      <c r="G4161" s="44">
        <v>2526.8999020000001</v>
      </c>
      <c r="H4161" s="44">
        <v>1375.349976</v>
      </c>
      <c r="I4161" s="44">
        <v>1085.8100589999999</v>
      </c>
      <c r="J4161" s="44">
        <v>52.09</v>
      </c>
      <c r="K4161" s="44">
        <v>114.900002</v>
      </c>
    </row>
    <row r="4162" spans="6:11" x14ac:dyDescent="0.3">
      <c r="F4162" s="43">
        <v>43924</v>
      </c>
      <c r="G4162" s="44">
        <v>2488.6499020000001</v>
      </c>
      <c r="H4162" s="44">
        <v>1337.9499510000001</v>
      </c>
      <c r="I4162" s="44">
        <v>1052.0500489999999</v>
      </c>
      <c r="J4162" s="44">
        <v>50.900002000000001</v>
      </c>
      <c r="K4162" s="44">
        <v>114.980003</v>
      </c>
    </row>
    <row r="4163" spans="6:11" x14ac:dyDescent="0.3">
      <c r="F4163" s="43">
        <v>43927</v>
      </c>
      <c r="G4163" s="44">
        <v>2663.679932</v>
      </c>
      <c r="H4163" s="44">
        <v>1444.5600589999999</v>
      </c>
      <c r="I4163" s="44">
        <v>1138.780029</v>
      </c>
      <c r="J4163" s="44">
        <v>53.599997999999999</v>
      </c>
      <c r="K4163" s="44">
        <v>115.540001</v>
      </c>
    </row>
    <row r="4164" spans="6:11" x14ac:dyDescent="0.3">
      <c r="F4164" s="43">
        <v>43928</v>
      </c>
      <c r="G4164" s="44">
        <v>2659.4099120000001</v>
      </c>
      <c r="H4164" s="44">
        <v>1463.920044</v>
      </c>
      <c r="I4164" s="44">
        <v>1139.170044</v>
      </c>
      <c r="J4164" s="44">
        <v>53.900002000000001</v>
      </c>
      <c r="K4164" s="44">
        <v>115.699997</v>
      </c>
    </row>
    <row r="4165" spans="6:11" x14ac:dyDescent="0.3">
      <c r="F4165" s="43">
        <v>43929</v>
      </c>
      <c r="G4165" s="44">
        <v>2749.9799800000001</v>
      </c>
      <c r="H4165" s="44">
        <v>1535.51001</v>
      </c>
      <c r="I4165" s="44">
        <v>1191.660034</v>
      </c>
      <c r="J4165" s="44">
        <v>54.34</v>
      </c>
      <c r="K4165" s="44">
        <v>115.80999799999999</v>
      </c>
    </row>
    <row r="4166" spans="6:11" x14ac:dyDescent="0.3">
      <c r="F4166" s="43">
        <v>43930</v>
      </c>
      <c r="G4166" s="44">
        <v>2789.820068</v>
      </c>
      <c r="H4166" s="44">
        <v>1586.369995</v>
      </c>
      <c r="I4166" s="44">
        <v>1246.7299800000001</v>
      </c>
      <c r="J4166" s="44">
        <v>55.57</v>
      </c>
      <c r="K4166" s="44">
        <v>117.25</v>
      </c>
    </row>
    <row r="4167" spans="6:11" x14ac:dyDescent="0.3">
      <c r="F4167" s="43">
        <v>43934</v>
      </c>
      <c r="G4167" s="44">
        <v>2761.6298830000001</v>
      </c>
      <c r="H4167" s="44">
        <v>1537.469971</v>
      </c>
      <c r="I4167" s="44">
        <v>1212.040039</v>
      </c>
      <c r="J4167" s="44">
        <v>55.040000999999997</v>
      </c>
      <c r="K4167" s="44">
        <v>116.699997</v>
      </c>
    </row>
    <row r="4168" spans="6:11" x14ac:dyDescent="0.3">
      <c r="F4168" s="43">
        <v>43935</v>
      </c>
      <c r="G4168" s="44">
        <v>2846.0600589999999</v>
      </c>
      <c r="H4168" s="44">
        <v>1570.5200199999999</v>
      </c>
      <c r="I4168" s="44">
        <v>1237.329956</v>
      </c>
      <c r="J4168" s="44">
        <v>56.02</v>
      </c>
      <c r="K4168" s="44">
        <v>116.760002</v>
      </c>
    </row>
    <row r="4169" spans="6:11" x14ac:dyDescent="0.3">
      <c r="F4169" s="43">
        <v>43936</v>
      </c>
      <c r="G4169" s="44">
        <v>2783.360107</v>
      </c>
      <c r="H4169" s="44">
        <v>1508.8000489999999</v>
      </c>
      <c r="I4169" s="44">
        <v>1183.9799800000001</v>
      </c>
      <c r="J4169" s="44">
        <v>54.27</v>
      </c>
      <c r="K4169" s="44">
        <v>117.239998</v>
      </c>
    </row>
    <row r="4170" spans="6:11" x14ac:dyDescent="0.3">
      <c r="F4170" s="43">
        <v>43937</v>
      </c>
      <c r="G4170" s="44">
        <v>2799.5500489999999</v>
      </c>
      <c r="H4170" s="44">
        <v>1505.6400149999999</v>
      </c>
      <c r="I4170" s="44">
        <v>1178.089966</v>
      </c>
      <c r="J4170" s="44">
        <v>54.299999</v>
      </c>
      <c r="K4170" s="44">
        <v>117.389999</v>
      </c>
    </row>
    <row r="4171" spans="6:11" x14ac:dyDescent="0.3">
      <c r="F4171" s="43">
        <v>43938</v>
      </c>
      <c r="G4171" s="44">
        <v>2874.5600589999999</v>
      </c>
      <c r="H4171" s="44">
        <v>1561.4300539999999</v>
      </c>
      <c r="I4171" s="44">
        <v>1229.099976</v>
      </c>
      <c r="J4171" s="44">
        <v>55.740001999999997</v>
      </c>
      <c r="K4171" s="44">
        <v>117.25</v>
      </c>
    </row>
    <row r="4172" spans="6:11" x14ac:dyDescent="0.3">
      <c r="F4172" s="43">
        <v>43941</v>
      </c>
      <c r="G4172" s="44">
        <v>2823.1599120000001</v>
      </c>
      <c r="H4172" s="44">
        <v>1532.48999</v>
      </c>
      <c r="I4172" s="44">
        <v>1213.349976</v>
      </c>
      <c r="J4172" s="44">
        <v>54.91</v>
      </c>
      <c r="K4172" s="44">
        <v>117.08000199999999</v>
      </c>
    </row>
    <row r="4173" spans="6:11" x14ac:dyDescent="0.3">
      <c r="F4173" s="43">
        <v>43942</v>
      </c>
      <c r="G4173" s="44">
        <v>2736.5600589999999</v>
      </c>
      <c r="H4173" s="44">
        <v>1490.579956</v>
      </c>
      <c r="I4173" s="44">
        <v>1185.089966</v>
      </c>
      <c r="J4173" s="44">
        <v>53.84</v>
      </c>
      <c r="K4173" s="44">
        <v>117.139999</v>
      </c>
    </row>
    <row r="4174" spans="6:11" x14ac:dyDescent="0.3">
      <c r="F4174" s="43">
        <v>43943</v>
      </c>
      <c r="G4174" s="44">
        <v>2799.3100589999999</v>
      </c>
      <c r="H4174" s="44">
        <v>1512.8599850000001</v>
      </c>
      <c r="I4174" s="44">
        <v>1201.5200199999999</v>
      </c>
      <c r="J4174" s="44">
        <v>54.75</v>
      </c>
      <c r="K4174" s="44">
        <v>117.139999</v>
      </c>
    </row>
    <row r="4175" spans="6:11" x14ac:dyDescent="0.3">
      <c r="F4175" s="43">
        <v>43944</v>
      </c>
      <c r="G4175" s="44">
        <v>2797.8000489999999</v>
      </c>
      <c r="H4175" s="44">
        <v>1529.01001</v>
      </c>
      <c r="I4175" s="44">
        <v>1214.0600589999999</v>
      </c>
      <c r="J4175" s="44">
        <v>54.580002</v>
      </c>
      <c r="K4175" s="44">
        <v>117.41999800000001</v>
      </c>
    </row>
    <row r="4176" spans="6:11" x14ac:dyDescent="0.3">
      <c r="F4176" s="43">
        <v>43945</v>
      </c>
      <c r="G4176" s="44">
        <v>2836.73999</v>
      </c>
      <c r="H4176" s="44">
        <v>1550.369995</v>
      </c>
      <c r="I4176" s="44">
        <v>1233.0500489999999</v>
      </c>
      <c r="J4176" s="44">
        <v>55.209999000000003</v>
      </c>
      <c r="K4176" s="44">
        <v>117.360001</v>
      </c>
    </row>
    <row r="4177" spans="6:11" x14ac:dyDescent="0.3">
      <c r="F4177" s="43">
        <v>43948</v>
      </c>
      <c r="G4177" s="44">
        <v>2878.4799800000001</v>
      </c>
      <c r="H4177" s="44">
        <v>1613.530029</v>
      </c>
      <c r="I4177" s="44">
        <v>1281.880005</v>
      </c>
      <c r="J4177" s="44">
        <v>55.939999</v>
      </c>
      <c r="K4177" s="44">
        <v>116.82</v>
      </c>
    </row>
    <row r="4178" spans="6:11" x14ac:dyDescent="0.3">
      <c r="F4178" s="43">
        <v>43949</v>
      </c>
      <c r="G4178" s="44">
        <v>2863.389893</v>
      </c>
      <c r="H4178" s="44">
        <v>1629.8900149999999</v>
      </c>
      <c r="I4178" s="44">
        <v>1298.079956</v>
      </c>
      <c r="J4178" s="44">
        <v>56.360000999999997</v>
      </c>
      <c r="K4178" s="44">
        <v>117.279999</v>
      </c>
    </row>
    <row r="4179" spans="6:11" x14ac:dyDescent="0.3">
      <c r="F4179" s="43">
        <v>43950</v>
      </c>
      <c r="G4179" s="44">
        <v>2939.51001</v>
      </c>
      <c r="H4179" s="44">
        <v>1698.26001</v>
      </c>
      <c r="I4179" s="44">
        <v>1360.76001</v>
      </c>
      <c r="J4179" s="44">
        <v>57.77</v>
      </c>
      <c r="K4179" s="44">
        <v>117.360001</v>
      </c>
    </row>
    <row r="4180" spans="6:11" x14ac:dyDescent="0.3">
      <c r="F4180" s="43">
        <v>43951</v>
      </c>
      <c r="G4180" s="44">
        <v>2912.429932</v>
      </c>
      <c r="H4180" s="44">
        <v>1646.3599850000001</v>
      </c>
      <c r="I4180" s="44">
        <v>1310.660034</v>
      </c>
      <c r="J4180" s="44">
        <v>56.57</v>
      </c>
      <c r="K4180" s="44">
        <v>117.099998</v>
      </c>
    </row>
    <row r="4181" spans="6:11" x14ac:dyDescent="0.3">
      <c r="F4181" s="43">
        <v>43952</v>
      </c>
      <c r="G4181" s="44">
        <v>2830.709961</v>
      </c>
      <c r="H4181" s="44">
        <v>1590.4799800000001</v>
      </c>
      <c r="I4181" s="44">
        <v>1260.4799800000001</v>
      </c>
      <c r="J4181" s="44">
        <v>55.34</v>
      </c>
      <c r="K4181" s="44">
        <v>116.870003</v>
      </c>
    </row>
    <row r="4182" spans="6:11" x14ac:dyDescent="0.3">
      <c r="F4182" s="43">
        <v>43955</v>
      </c>
      <c r="G4182" s="44">
        <v>2842.73999</v>
      </c>
      <c r="H4182" s="44">
        <v>1591.5</v>
      </c>
      <c r="I4182" s="44">
        <v>1263.969971</v>
      </c>
      <c r="J4182" s="44">
        <v>55.32</v>
      </c>
      <c r="K4182" s="44">
        <v>116.970001</v>
      </c>
    </row>
    <row r="4183" spans="6:11" x14ac:dyDescent="0.3">
      <c r="F4183" s="43">
        <v>43956</v>
      </c>
      <c r="G4183" s="44">
        <v>2868.4399410000001</v>
      </c>
      <c r="H4183" s="44">
        <v>1607.1099850000001</v>
      </c>
      <c r="I4183" s="44">
        <v>1273.51001</v>
      </c>
      <c r="J4183" s="44">
        <v>55.419998</v>
      </c>
      <c r="K4183" s="44">
        <v>116.879997</v>
      </c>
    </row>
    <row r="4184" spans="6:11" x14ac:dyDescent="0.3">
      <c r="F4184" s="43">
        <v>43957</v>
      </c>
      <c r="G4184" s="44">
        <v>2848.419922</v>
      </c>
      <c r="H4184" s="44">
        <v>1593.7700199999999</v>
      </c>
      <c r="I4184" s="44">
        <v>1263.01001</v>
      </c>
      <c r="J4184" s="44">
        <v>55.060001</v>
      </c>
      <c r="K4184" s="44">
        <v>116.410004</v>
      </c>
    </row>
    <row r="4185" spans="6:11" x14ac:dyDescent="0.3">
      <c r="F4185" s="43">
        <v>43958</v>
      </c>
      <c r="G4185" s="44">
        <v>2881.1899410000001</v>
      </c>
      <c r="H4185" s="44">
        <v>1620.079956</v>
      </c>
      <c r="I4185" s="44">
        <v>1282.9300539999999</v>
      </c>
      <c r="J4185" s="44">
        <v>55.889999000000003</v>
      </c>
      <c r="K4185" s="44">
        <v>116.769997</v>
      </c>
    </row>
    <row r="4186" spans="6:11" x14ac:dyDescent="0.3">
      <c r="F4186" s="43">
        <v>43959</v>
      </c>
      <c r="G4186" s="44">
        <v>2929.8000489999999</v>
      </c>
      <c r="H4186" s="44">
        <v>1676.1800539999999</v>
      </c>
      <c r="I4186" s="44">
        <v>1329.6400149999999</v>
      </c>
      <c r="J4186" s="44">
        <v>56.84</v>
      </c>
      <c r="K4186" s="44">
        <v>116.459999</v>
      </c>
    </row>
    <row r="4187" spans="6:11" x14ac:dyDescent="0.3">
      <c r="F4187" s="43">
        <v>43962</v>
      </c>
      <c r="G4187" s="44">
        <v>2930.1899410000001</v>
      </c>
      <c r="H4187" s="44">
        <v>1663.4799800000001</v>
      </c>
      <c r="I4187" s="44">
        <v>1321.23999</v>
      </c>
      <c r="J4187" s="44">
        <v>56.790000999999997</v>
      </c>
      <c r="K4187" s="44">
        <v>116.110001</v>
      </c>
    </row>
    <row r="4188" spans="6:11" x14ac:dyDescent="0.3">
      <c r="F4188" s="43">
        <v>43963</v>
      </c>
      <c r="G4188" s="44">
        <v>2870.1201169999999</v>
      </c>
      <c r="H4188" s="44">
        <v>1604.8000489999999</v>
      </c>
      <c r="I4188" s="44">
        <v>1275.540039</v>
      </c>
      <c r="J4188" s="44">
        <v>56.07</v>
      </c>
      <c r="K4188" s="44">
        <v>116.410004</v>
      </c>
    </row>
    <row r="4189" spans="6:11" x14ac:dyDescent="0.3">
      <c r="F4189" s="43">
        <v>43964</v>
      </c>
      <c r="G4189" s="44">
        <v>2820</v>
      </c>
      <c r="H4189" s="44">
        <v>1550.6999510000001</v>
      </c>
      <c r="I4189" s="44">
        <v>1233.25</v>
      </c>
      <c r="J4189" s="44">
        <v>55.639999000000003</v>
      </c>
      <c r="K4189" s="44">
        <v>116.599998</v>
      </c>
    </row>
    <row r="4190" spans="6:11" x14ac:dyDescent="0.3">
      <c r="F4190" s="43">
        <v>43965</v>
      </c>
      <c r="G4190" s="44">
        <v>2852.5</v>
      </c>
      <c r="H4190" s="44">
        <v>1567.150024</v>
      </c>
      <c r="I4190" s="44">
        <v>1237.5500489999999</v>
      </c>
      <c r="J4190" s="44">
        <v>55.110000999999997</v>
      </c>
      <c r="K4190" s="44">
        <v>116.959999</v>
      </c>
    </row>
    <row r="4191" spans="6:11" x14ac:dyDescent="0.3">
      <c r="F4191" s="43">
        <v>43966</v>
      </c>
      <c r="G4191" s="44">
        <v>2863.6999510000001</v>
      </c>
      <c r="H4191" s="44">
        <v>1578.26001</v>
      </c>
      <c r="I4191" s="44">
        <v>1256.98999</v>
      </c>
      <c r="J4191" s="44">
        <v>55.16</v>
      </c>
      <c r="K4191" s="44">
        <v>117.029999</v>
      </c>
    </row>
    <row r="4192" spans="6:11" x14ac:dyDescent="0.3">
      <c r="F4192" s="43">
        <v>43969</v>
      </c>
      <c r="G4192" s="44">
        <v>2953.9099120000001</v>
      </c>
      <c r="H4192" s="44">
        <v>1674.0600589999999</v>
      </c>
      <c r="I4192" s="44">
        <v>1333.6899410000001</v>
      </c>
      <c r="J4192" s="44">
        <v>57.389999000000003</v>
      </c>
      <c r="K4192" s="44">
        <v>116.860001</v>
      </c>
    </row>
    <row r="4193" spans="6:11" x14ac:dyDescent="0.3">
      <c r="F4193" s="43">
        <v>43970</v>
      </c>
      <c r="G4193" s="44">
        <v>2922.9399410000001</v>
      </c>
      <c r="H4193" s="44">
        <v>1652.630005</v>
      </c>
      <c r="I4193" s="44">
        <v>1307.719971</v>
      </c>
      <c r="J4193" s="44">
        <v>56.599997999999999</v>
      </c>
      <c r="K4193" s="44">
        <v>116.989998</v>
      </c>
    </row>
    <row r="4194" spans="6:11" x14ac:dyDescent="0.3">
      <c r="F4194" s="43">
        <v>43971</v>
      </c>
      <c r="G4194" s="44">
        <v>2971.610107</v>
      </c>
      <c r="H4194" s="44">
        <v>1688.630005</v>
      </c>
      <c r="I4194" s="44">
        <v>1346.9300539999999</v>
      </c>
      <c r="J4194" s="44">
        <v>57.779998999999997</v>
      </c>
      <c r="K4194" s="44">
        <v>117.290001</v>
      </c>
    </row>
    <row r="4195" spans="6:11" x14ac:dyDescent="0.3">
      <c r="F4195" s="43">
        <v>43972</v>
      </c>
      <c r="G4195" s="44">
        <v>2948.51001</v>
      </c>
      <c r="H4195" s="44">
        <v>1694.1800539999999</v>
      </c>
      <c r="I4195" s="44">
        <v>1347.5600589999999</v>
      </c>
      <c r="J4195" s="44">
        <v>57.110000999999997</v>
      </c>
      <c r="K4195" s="44">
        <v>117.379997</v>
      </c>
    </row>
    <row r="4196" spans="6:11" x14ac:dyDescent="0.3">
      <c r="F4196" s="43">
        <v>43973</v>
      </c>
      <c r="G4196" s="44">
        <v>2955.4499510000001</v>
      </c>
      <c r="H4196" s="44">
        <v>1695.329956</v>
      </c>
      <c r="I4196" s="44">
        <v>1355.530029</v>
      </c>
      <c r="J4196" s="44">
        <v>56.950001</v>
      </c>
      <c r="K4196" s="44">
        <v>117.44000200000001</v>
      </c>
    </row>
    <row r="4197" spans="6:11" x14ac:dyDescent="0.3">
      <c r="F4197" s="43">
        <v>43977</v>
      </c>
      <c r="G4197" s="44">
        <v>2991.7700199999999</v>
      </c>
      <c r="H4197" s="44">
        <v>1753.030029</v>
      </c>
      <c r="I4197" s="44">
        <v>1393.0699460000001</v>
      </c>
      <c r="J4197" s="44">
        <v>58.580002</v>
      </c>
      <c r="K4197" s="44">
        <v>117.25</v>
      </c>
    </row>
    <row r="4198" spans="6:11" x14ac:dyDescent="0.3">
      <c r="F4198" s="43">
        <v>43978</v>
      </c>
      <c r="G4198" s="44">
        <v>3036.1298830000001</v>
      </c>
      <c r="H4198" s="44">
        <v>1799.2700199999999</v>
      </c>
      <c r="I4198" s="44">
        <v>1436.3599850000001</v>
      </c>
      <c r="J4198" s="44">
        <v>59.290000999999997</v>
      </c>
      <c r="K4198" s="44">
        <v>117.41999800000001</v>
      </c>
    </row>
    <row r="4199" spans="6:11" x14ac:dyDescent="0.3">
      <c r="F4199" s="43">
        <v>43979</v>
      </c>
      <c r="G4199" s="44">
        <v>3029.7299800000001</v>
      </c>
      <c r="H4199" s="44">
        <v>1773.119995</v>
      </c>
      <c r="I4199" s="44">
        <v>1400.670044</v>
      </c>
      <c r="J4199" s="44">
        <v>59.849997999999999</v>
      </c>
      <c r="K4199" s="44">
        <v>117.339996</v>
      </c>
    </row>
    <row r="4200" spans="6:11" x14ac:dyDescent="0.3">
      <c r="F4200" s="43">
        <v>43980</v>
      </c>
      <c r="G4200" s="44">
        <v>3044.3100589999999</v>
      </c>
      <c r="H4200" s="44">
        <v>1763.9499510000001</v>
      </c>
      <c r="I4200" s="44">
        <v>1394.040039</v>
      </c>
      <c r="J4200" s="44">
        <v>59.639999000000003</v>
      </c>
      <c r="K4200" s="44">
        <v>117.650002</v>
      </c>
    </row>
    <row r="4201" spans="6:11" x14ac:dyDescent="0.3">
      <c r="F4201" s="43">
        <v>43983</v>
      </c>
      <c r="G4201" s="44">
        <v>3055.7299800000001</v>
      </c>
      <c r="H4201" s="44">
        <v>1784.040039</v>
      </c>
      <c r="I4201" s="44">
        <v>1405.369995</v>
      </c>
      <c r="J4201" s="44">
        <v>60.970001000000003</v>
      </c>
      <c r="K4201" s="44">
        <v>117.370003</v>
      </c>
    </row>
    <row r="4202" spans="6:11" x14ac:dyDescent="0.3">
      <c r="F4202" s="43">
        <v>43984</v>
      </c>
      <c r="G4202" s="44">
        <v>3080.820068</v>
      </c>
      <c r="H4202" s="44">
        <v>1800.619995</v>
      </c>
      <c r="I4202" s="44">
        <v>1418.209961</v>
      </c>
      <c r="J4202" s="44">
        <v>61.540000999999997</v>
      </c>
      <c r="K4202" s="44">
        <v>117.470001</v>
      </c>
    </row>
    <row r="4203" spans="6:11" x14ac:dyDescent="0.3">
      <c r="F4203" s="43">
        <v>43985</v>
      </c>
      <c r="G4203" s="44">
        <v>3122.8701169999999</v>
      </c>
      <c r="H4203" s="44">
        <v>1849.6099850000001</v>
      </c>
      <c r="I4203" s="44">
        <v>1452.089966</v>
      </c>
      <c r="J4203" s="44">
        <v>63.009998000000003</v>
      </c>
      <c r="K4203" s="44">
        <v>117.18</v>
      </c>
    </row>
    <row r="4204" spans="6:11" x14ac:dyDescent="0.3">
      <c r="F4204" s="43">
        <v>43986</v>
      </c>
      <c r="G4204" s="44">
        <v>3112.3500979999999</v>
      </c>
      <c r="H4204" s="44">
        <v>1852.1999510000001</v>
      </c>
      <c r="I4204" s="44">
        <v>1452.0600589999999</v>
      </c>
      <c r="J4204" s="44">
        <v>62.740001999999997</v>
      </c>
      <c r="K4204" s="44">
        <v>116.83000199999999</v>
      </c>
    </row>
    <row r="4205" spans="6:11" x14ac:dyDescent="0.3">
      <c r="F4205" s="43">
        <v>43987</v>
      </c>
      <c r="G4205" s="44">
        <v>3193.929932</v>
      </c>
      <c r="H4205" s="44">
        <v>1911.150024</v>
      </c>
      <c r="I4205" s="44">
        <v>1507.150024</v>
      </c>
      <c r="J4205" s="44">
        <v>63.82</v>
      </c>
      <c r="K4205" s="44">
        <v>116.900002</v>
      </c>
    </row>
    <row r="4206" spans="6:11" x14ac:dyDescent="0.3">
      <c r="F4206" s="43">
        <v>43990</v>
      </c>
      <c r="G4206" s="44">
        <v>3232.389893</v>
      </c>
      <c r="H4206" s="44">
        <v>1946.209961</v>
      </c>
      <c r="I4206" s="44">
        <v>1536.8900149999999</v>
      </c>
      <c r="J4206" s="44">
        <v>64.650002000000001</v>
      </c>
      <c r="K4206" s="44">
        <v>117.029999</v>
      </c>
    </row>
    <row r="4207" spans="6:11" x14ac:dyDescent="0.3">
      <c r="F4207" s="43">
        <v>43991</v>
      </c>
      <c r="G4207" s="44">
        <v>3207.179932</v>
      </c>
      <c r="H4207" s="44">
        <v>1905.369995</v>
      </c>
      <c r="I4207" s="44">
        <v>1507.0500489999999</v>
      </c>
      <c r="J4207" s="44">
        <v>63.810001</v>
      </c>
      <c r="K4207" s="44">
        <v>117.18</v>
      </c>
    </row>
    <row r="4208" spans="6:11" x14ac:dyDescent="0.3">
      <c r="F4208" s="43">
        <v>43992</v>
      </c>
      <c r="G4208" s="44">
        <v>3190.139893</v>
      </c>
      <c r="H4208" s="44">
        <v>1857.459961</v>
      </c>
      <c r="I4208" s="44">
        <v>1467.3900149999999</v>
      </c>
      <c r="J4208" s="44">
        <v>63.669998</v>
      </c>
      <c r="K4208" s="44">
        <v>117.660004</v>
      </c>
    </row>
    <row r="4209" spans="6:11" x14ac:dyDescent="0.3">
      <c r="F4209" s="43">
        <v>43993</v>
      </c>
      <c r="G4209" s="44">
        <v>3002.1000979999999</v>
      </c>
      <c r="H4209" s="44">
        <v>1724.619995</v>
      </c>
      <c r="I4209" s="44">
        <v>1356.219971</v>
      </c>
      <c r="J4209" s="44">
        <v>60.259998000000003</v>
      </c>
      <c r="K4209" s="44">
        <v>117.459999</v>
      </c>
    </row>
    <row r="4210" spans="6:11" x14ac:dyDescent="0.3">
      <c r="F4210" s="43">
        <v>43994</v>
      </c>
      <c r="G4210" s="44">
        <v>3041.3100589999999</v>
      </c>
      <c r="H4210" s="44">
        <v>1759.910034</v>
      </c>
      <c r="I4210" s="44">
        <v>1387.6800539999999</v>
      </c>
      <c r="J4210" s="44">
        <v>61.299999</v>
      </c>
      <c r="K4210" s="44">
        <v>117.58000199999999</v>
      </c>
    </row>
    <row r="4211" spans="6:11" x14ac:dyDescent="0.3">
      <c r="F4211" s="43">
        <v>43997</v>
      </c>
      <c r="G4211" s="44">
        <v>3066.5900879999999</v>
      </c>
      <c r="H4211" s="44">
        <v>1786.5</v>
      </c>
      <c r="I4211" s="44">
        <v>1419.6099850000001</v>
      </c>
      <c r="J4211" s="44">
        <v>60.689999</v>
      </c>
      <c r="K4211" s="44">
        <v>117.970001</v>
      </c>
    </row>
    <row r="4212" spans="6:11" x14ac:dyDescent="0.3">
      <c r="F4212" s="43">
        <v>43998</v>
      </c>
      <c r="G4212" s="44">
        <v>3124.73999</v>
      </c>
      <c r="H4212" s="44">
        <v>1823.4399410000001</v>
      </c>
      <c r="I4212" s="44">
        <v>1452.26001</v>
      </c>
      <c r="J4212" s="44">
        <v>61.439999</v>
      </c>
      <c r="K4212" s="44">
        <v>117.739998</v>
      </c>
    </row>
    <row r="4213" spans="6:11" x14ac:dyDescent="0.3">
      <c r="F4213" s="43">
        <v>43999</v>
      </c>
      <c r="G4213" s="44">
        <v>3113.48999</v>
      </c>
      <c r="H4213" s="44">
        <v>1798.369995</v>
      </c>
      <c r="I4213" s="44">
        <v>1426.530029</v>
      </c>
      <c r="J4213" s="44">
        <v>61.669998</v>
      </c>
      <c r="K4213" s="44">
        <v>117.639999</v>
      </c>
    </row>
    <row r="4214" spans="6:11" x14ac:dyDescent="0.3">
      <c r="F4214" s="43">
        <v>44000</v>
      </c>
      <c r="G4214" s="44">
        <v>3115.3400879999999</v>
      </c>
      <c r="H4214" s="44">
        <v>1792.8100589999999</v>
      </c>
      <c r="I4214" s="44">
        <v>1427.329956</v>
      </c>
      <c r="J4214" s="44">
        <v>61.34</v>
      </c>
      <c r="K4214" s="44">
        <v>117.760002</v>
      </c>
    </row>
    <row r="4215" spans="6:11" x14ac:dyDescent="0.3">
      <c r="F4215" s="43">
        <v>44001</v>
      </c>
      <c r="G4215" s="44">
        <v>3097.73999</v>
      </c>
      <c r="H4215" s="44">
        <v>1784.719971</v>
      </c>
      <c r="I4215" s="44">
        <v>1418.630005</v>
      </c>
      <c r="J4215" s="44">
        <v>61.040000999999997</v>
      </c>
      <c r="K4215" s="44">
        <v>117.800003</v>
      </c>
    </row>
    <row r="4216" spans="6:11" x14ac:dyDescent="0.3">
      <c r="F4216" s="43">
        <v>44004</v>
      </c>
      <c r="G4216" s="44">
        <v>3117.860107</v>
      </c>
      <c r="H4216" s="44">
        <v>1790.339966</v>
      </c>
      <c r="I4216" s="44">
        <v>1433.530029</v>
      </c>
      <c r="J4216" s="44">
        <v>61.77</v>
      </c>
      <c r="K4216" s="44">
        <v>117.769997</v>
      </c>
    </row>
    <row r="4217" spans="6:11" x14ac:dyDescent="0.3">
      <c r="F4217" s="43">
        <v>44005</v>
      </c>
      <c r="G4217" s="44">
        <v>3131.290039</v>
      </c>
      <c r="H4217" s="44">
        <v>1792.469971</v>
      </c>
      <c r="I4217" s="44">
        <v>1439.339966</v>
      </c>
      <c r="J4217" s="44">
        <v>62.110000999999997</v>
      </c>
      <c r="K4217" s="44">
        <v>117.75</v>
      </c>
    </row>
    <row r="4218" spans="6:11" x14ac:dyDescent="0.3">
      <c r="F4218" s="43">
        <v>44006</v>
      </c>
      <c r="G4218" s="44">
        <v>3050.330078</v>
      </c>
      <c r="H4218" s="44">
        <v>1731.4799800000001</v>
      </c>
      <c r="I4218" s="44">
        <v>1389.73999</v>
      </c>
      <c r="J4218" s="44">
        <v>60.52</v>
      </c>
      <c r="K4218" s="44">
        <v>117.730003</v>
      </c>
    </row>
    <row r="4219" spans="6:11" x14ac:dyDescent="0.3">
      <c r="F4219" s="43">
        <v>44007</v>
      </c>
      <c r="G4219" s="44">
        <v>3083.76001</v>
      </c>
      <c r="H4219" s="44">
        <v>1754.040039</v>
      </c>
      <c r="I4219" s="44">
        <v>1413.3100589999999</v>
      </c>
      <c r="J4219" s="44">
        <v>61.380001</v>
      </c>
      <c r="K4219" s="44">
        <v>117.870003</v>
      </c>
    </row>
    <row r="4220" spans="6:11" x14ac:dyDescent="0.3">
      <c r="F4220" s="43">
        <v>44008</v>
      </c>
      <c r="G4220" s="44">
        <v>3009.0500489999999</v>
      </c>
      <c r="H4220" s="44">
        <v>1719.3199460000001</v>
      </c>
      <c r="I4220" s="44">
        <v>1378.780029</v>
      </c>
      <c r="J4220" s="44">
        <v>60.490001999999997</v>
      </c>
      <c r="K4220" s="44">
        <v>118.010002</v>
      </c>
    </row>
    <row r="4221" spans="6:11" x14ac:dyDescent="0.3">
      <c r="F4221" s="43">
        <v>44011</v>
      </c>
      <c r="G4221" s="44">
        <v>3053.23999</v>
      </c>
      <c r="H4221" s="44">
        <v>1760.01001</v>
      </c>
      <c r="I4221" s="44">
        <v>1421.209961</v>
      </c>
      <c r="J4221" s="44">
        <v>60.98</v>
      </c>
      <c r="K4221" s="44">
        <v>118.110001</v>
      </c>
    </row>
    <row r="4222" spans="6:11" x14ac:dyDescent="0.3">
      <c r="F4222" s="43">
        <v>44012</v>
      </c>
      <c r="G4222" s="44">
        <v>3100.290039</v>
      </c>
      <c r="H4222" s="44">
        <v>1783.209961</v>
      </c>
      <c r="I4222" s="44">
        <v>1441.369995</v>
      </c>
      <c r="J4222" s="44">
        <v>60.869999</v>
      </c>
      <c r="K4222" s="44">
        <v>118.209999</v>
      </c>
    </row>
    <row r="4223" spans="6:11" x14ac:dyDescent="0.3">
      <c r="F4223" s="43">
        <v>44013</v>
      </c>
      <c r="G4223" s="44">
        <v>3115.860107</v>
      </c>
      <c r="H4223" s="44">
        <v>1770.6800539999999</v>
      </c>
      <c r="I4223" s="44">
        <v>1427.3100589999999</v>
      </c>
      <c r="J4223" s="44">
        <v>61.099997999999999</v>
      </c>
      <c r="K4223" s="44">
        <v>118.050003</v>
      </c>
    </row>
    <row r="4224" spans="6:11" x14ac:dyDescent="0.3">
      <c r="F4224" s="43">
        <v>44014</v>
      </c>
      <c r="G4224" s="44">
        <v>3130.01001</v>
      </c>
      <c r="H4224" s="44">
        <v>1778.9499510000001</v>
      </c>
      <c r="I4224" s="44">
        <v>1431.8599850000001</v>
      </c>
      <c r="J4224" s="44">
        <v>61.77</v>
      </c>
      <c r="K4224" s="44">
        <v>118.19000200000001</v>
      </c>
    </row>
    <row r="4225" spans="6:11" x14ac:dyDescent="0.3">
      <c r="F4225" s="43">
        <v>44018</v>
      </c>
      <c r="G4225" s="44">
        <v>3179.719971</v>
      </c>
      <c r="H4225" s="44">
        <v>1797.3599850000001</v>
      </c>
      <c r="I4225" s="44">
        <v>1442.880005</v>
      </c>
      <c r="J4225" s="44">
        <v>62.779998999999997</v>
      </c>
      <c r="K4225" s="44">
        <v>118.18</v>
      </c>
    </row>
    <row r="4226" spans="6:11" x14ac:dyDescent="0.3">
      <c r="F4226" s="43">
        <v>44019</v>
      </c>
      <c r="G4226" s="44">
        <v>3145.320068</v>
      </c>
      <c r="H4226" s="44">
        <v>1762.920044</v>
      </c>
      <c r="I4226" s="44">
        <v>1416</v>
      </c>
      <c r="J4226" s="44">
        <v>61.860000999999997</v>
      </c>
      <c r="K4226" s="44">
        <v>118.360001</v>
      </c>
    </row>
    <row r="4227" spans="6:11" x14ac:dyDescent="0.3">
      <c r="F4227" s="43">
        <v>44020</v>
      </c>
      <c r="G4227" s="44">
        <v>3169.9399410000001</v>
      </c>
      <c r="H4227" s="44">
        <v>1774.8599850000001</v>
      </c>
      <c r="I4227" s="44">
        <v>1427.400024</v>
      </c>
      <c r="J4227" s="44">
        <v>62.380001</v>
      </c>
      <c r="K4227" s="44">
        <v>118.32</v>
      </c>
    </row>
    <row r="4228" spans="6:11" x14ac:dyDescent="0.3">
      <c r="F4228" s="43">
        <v>44021</v>
      </c>
      <c r="G4228" s="44">
        <v>3152.0500489999999</v>
      </c>
      <c r="H4228" s="44">
        <v>1748.6099850000001</v>
      </c>
      <c r="I4228" s="44">
        <v>1398.920044</v>
      </c>
      <c r="J4228" s="44">
        <v>61.669998</v>
      </c>
      <c r="K4228" s="44">
        <v>118.629997</v>
      </c>
    </row>
    <row r="4229" spans="6:11" x14ac:dyDescent="0.3">
      <c r="F4229" s="43">
        <v>44022</v>
      </c>
      <c r="G4229" s="44">
        <v>3185.040039</v>
      </c>
      <c r="H4229" s="44">
        <v>1772.9799800000001</v>
      </c>
      <c r="I4229" s="44">
        <v>1422.6800539999999</v>
      </c>
      <c r="J4229" s="44">
        <v>62.330002</v>
      </c>
      <c r="K4229" s="44">
        <v>118.489998</v>
      </c>
    </row>
    <row r="4230" spans="6:11" x14ac:dyDescent="0.3">
      <c r="F4230" s="43">
        <v>44025</v>
      </c>
      <c r="G4230" s="44">
        <v>3155.219971</v>
      </c>
      <c r="H4230" s="44">
        <v>1754.400024</v>
      </c>
      <c r="I4230" s="44">
        <v>1403.5699460000001</v>
      </c>
      <c r="J4230" s="44">
        <v>61.93</v>
      </c>
      <c r="K4230" s="44">
        <v>118.480003</v>
      </c>
    </row>
    <row r="4231" spans="6:11" x14ac:dyDescent="0.3">
      <c r="F4231" s="43">
        <v>44026</v>
      </c>
      <c r="G4231" s="44">
        <v>3197.5200199999999</v>
      </c>
      <c r="H4231" s="44">
        <v>1782.6400149999999</v>
      </c>
      <c r="I4231" s="44">
        <v>1428.26001</v>
      </c>
      <c r="J4231" s="44">
        <v>62.84</v>
      </c>
      <c r="K4231" s="44">
        <v>118.66999800000001</v>
      </c>
    </row>
    <row r="4232" spans="6:11" x14ac:dyDescent="0.3">
      <c r="F4232" s="43">
        <v>44027</v>
      </c>
      <c r="G4232" s="44">
        <v>3226.5600589999999</v>
      </c>
      <c r="H4232" s="44">
        <v>1836.3000489999999</v>
      </c>
      <c r="I4232" s="44">
        <v>1478.2700199999999</v>
      </c>
      <c r="J4232" s="44">
        <v>63.549999</v>
      </c>
      <c r="K4232" s="44">
        <v>118.68</v>
      </c>
    </row>
    <row r="4233" spans="6:11" x14ac:dyDescent="0.3">
      <c r="F4233" s="43">
        <v>44028</v>
      </c>
      <c r="G4233" s="44">
        <v>3215.570068</v>
      </c>
      <c r="H4233" s="44">
        <v>1828.579956</v>
      </c>
      <c r="I4233" s="44">
        <v>1467.5600589999999</v>
      </c>
      <c r="J4233" s="44">
        <v>63.139999000000003</v>
      </c>
      <c r="K4233" s="44">
        <v>118.760002</v>
      </c>
    </row>
    <row r="4234" spans="6:11" x14ac:dyDescent="0.3">
      <c r="F4234" s="43">
        <v>44029</v>
      </c>
      <c r="G4234" s="44">
        <v>3224.7299800000001</v>
      </c>
      <c r="H4234" s="44">
        <v>1836.5500489999999</v>
      </c>
      <c r="I4234" s="44">
        <v>1473.3199460000001</v>
      </c>
      <c r="J4234" s="44">
        <v>63.509998000000003</v>
      </c>
      <c r="K4234" s="44">
        <v>118.879997</v>
      </c>
    </row>
    <row r="4235" spans="6:11" x14ac:dyDescent="0.3">
      <c r="F4235" s="43">
        <v>44032</v>
      </c>
      <c r="G4235" s="44">
        <v>3251.8400879999999</v>
      </c>
      <c r="H4235" s="44">
        <v>1825.670044</v>
      </c>
      <c r="I4235" s="44">
        <v>1467.9499510000001</v>
      </c>
      <c r="J4235" s="44">
        <v>63.82</v>
      </c>
      <c r="K4235" s="44">
        <v>119.010002</v>
      </c>
    </row>
    <row r="4236" spans="6:11" x14ac:dyDescent="0.3">
      <c r="F4236" s="43">
        <v>44033</v>
      </c>
      <c r="G4236" s="44">
        <v>3257.3000489999999</v>
      </c>
      <c r="H4236" s="44">
        <v>1848.369995</v>
      </c>
      <c r="I4236" s="44">
        <v>1487.51001</v>
      </c>
      <c r="J4236" s="44">
        <v>63.950001</v>
      </c>
      <c r="K4236" s="44">
        <v>119.08000199999999</v>
      </c>
    </row>
    <row r="4237" spans="6:11" x14ac:dyDescent="0.3">
      <c r="F4237" s="43">
        <v>44034</v>
      </c>
      <c r="G4237" s="44">
        <v>3276.0200199999999</v>
      </c>
      <c r="H4237" s="44">
        <v>1862.400024</v>
      </c>
      <c r="I4237" s="44">
        <v>1490.1400149999999</v>
      </c>
      <c r="J4237" s="44">
        <v>64.120002999999997</v>
      </c>
      <c r="K4237" s="44">
        <v>119.18</v>
      </c>
    </row>
    <row r="4238" spans="6:11" x14ac:dyDescent="0.3">
      <c r="F4238" s="43">
        <v>44035</v>
      </c>
      <c r="G4238" s="44">
        <v>3235.6599120000001</v>
      </c>
      <c r="H4238" s="44">
        <v>1864.650024</v>
      </c>
      <c r="I4238" s="44">
        <v>1490.1999510000001</v>
      </c>
      <c r="J4238" s="44">
        <v>63.610000999999997</v>
      </c>
      <c r="K4238" s="44">
        <v>119.32</v>
      </c>
    </row>
    <row r="4239" spans="6:11" x14ac:dyDescent="0.3">
      <c r="F4239" s="43">
        <v>44036</v>
      </c>
      <c r="G4239" s="44">
        <v>3215.6298830000001</v>
      </c>
      <c r="H4239" s="44">
        <v>1849.9399410000001</v>
      </c>
      <c r="I4239" s="44">
        <v>1467.5500489999999</v>
      </c>
      <c r="J4239" s="44">
        <v>63.259998000000003</v>
      </c>
      <c r="K4239" s="44">
        <v>119.279999</v>
      </c>
    </row>
    <row r="4240" spans="6:11" x14ac:dyDescent="0.3">
      <c r="F4240" s="43">
        <v>44039</v>
      </c>
      <c r="G4240" s="44">
        <v>3239.4099120000001</v>
      </c>
      <c r="H4240" s="44">
        <v>1867.2700199999999</v>
      </c>
      <c r="I4240" s="44">
        <v>1484.650024</v>
      </c>
      <c r="J4240" s="44">
        <v>64.089995999999999</v>
      </c>
      <c r="K4240" s="44">
        <v>119.199997</v>
      </c>
    </row>
    <row r="4241" spans="6:11" x14ac:dyDescent="0.3">
      <c r="F4241" s="43">
        <v>44040</v>
      </c>
      <c r="G4241" s="44">
        <v>3218.4399410000001</v>
      </c>
      <c r="H4241" s="44">
        <v>1848.73999</v>
      </c>
      <c r="I4241" s="44">
        <v>1469.76001</v>
      </c>
      <c r="J4241" s="44">
        <v>63.68</v>
      </c>
      <c r="K4241" s="44">
        <v>119.279999</v>
      </c>
    </row>
    <row r="4242" spans="6:11" x14ac:dyDescent="0.3">
      <c r="F4242" s="43">
        <v>44041</v>
      </c>
      <c r="G4242" s="44">
        <v>3258.4399410000001</v>
      </c>
      <c r="H4242" s="44">
        <v>1888.709961</v>
      </c>
      <c r="I4242" s="44">
        <v>1500.630005</v>
      </c>
      <c r="J4242" s="44">
        <v>64.349997999999999</v>
      </c>
      <c r="K4242" s="44">
        <v>119.41999800000001</v>
      </c>
    </row>
    <row r="4243" spans="6:11" x14ac:dyDescent="0.3">
      <c r="F4243" s="43">
        <v>44042</v>
      </c>
      <c r="G4243" s="44">
        <v>3246.219971</v>
      </c>
      <c r="H4243" s="44">
        <v>1876.26001</v>
      </c>
      <c r="I4243" s="44">
        <v>1495.099976</v>
      </c>
      <c r="J4243" s="44">
        <v>63.400002000000001</v>
      </c>
      <c r="K4243" s="44">
        <v>119.510002</v>
      </c>
    </row>
    <row r="4244" spans="6:11" x14ac:dyDescent="0.3">
      <c r="F4244" s="43">
        <v>44043</v>
      </c>
      <c r="G4244" s="44">
        <v>3271.1201169999999</v>
      </c>
      <c r="H4244" s="44">
        <v>1863.910034</v>
      </c>
      <c r="I4244" s="44">
        <v>1480.4300539999999</v>
      </c>
      <c r="J4244" s="44">
        <v>62.049999</v>
      </c>
      <c r="K4244" s="44">
        <v>119.55999799999999</v>
      </c>
    </row>
    <row r="4245" spans="6:11" x14ac:dyDescent="0.3">
      <c r="F4245" s="43">
        <v>44046</v>
      </c>
      <c r="G4245" s="44">
        <v>3294.610107</v>
      </c>
      <c r="H4245" s="44">
        <v>1884.5500489999999</v>
      </c>
      <c r="I4245" s="44">
        <v>1506.8000489999999</v>
      </c>
      <c r="J4245" s="44">
        <v>63.259998000000003</v>
      </c>
      <c r="K4245" s="44">
        <v>119.400002</v>
      </c>
    </row>
    <row r="4246" spans="6:11" x14ac:dyDescent="0.3">
      <c r="F4246" s="43">
        <v>44047</v>
      </c>
      <c r="G4246" s="44">
        <v>3306.51001</v>
      </c>
      <c r="H4246" s="44">
        <v>1894.459961</v>
      </c>
      <c r="I4246" s="44">
        <v>1517.209961</v>
      </c>
      <c r="J4246" s="44">
        <v>63.610000999999997</v>
      </c>
      <c r="K4246" s="44">
        <v>119.629997</v>
      </c>
    </row>
    <row r="4247" spans="6:11" x14ac:dyDescent="0.3">
      <c r="F4247" s="43">
        <v>44048</v>
      </c>
      <c r="G4247" s="44">
        <v>3327.7700199999999</v>
      </c>
      <c r="H4247" s="44">
        <v>1920.530029</v>
      </c>
      <c r="I4247" s="44">
        <v>1546.23999</v>
      </c>
      <c r="J4247" s="44">
        <v>63.82</v>
      </c>
      <c r="K4247" s="44">
        <v>119.400002</v>
      </c>
    </row>
    <row r="4248" spans="6:11" x14ac:dyDescent="0.3">
      <c r="F4248" s="43">
        <v>44049</v>
      </c>
      <c r="G4248" s="44">
        <v>3349.1599120000001</v>
      </c>
      <c r="H4248" s="44">
        <v>1915.099976</v>
      </c>
      <c r="I4248" s="44">
        <v>1544.619995</v>
      </c>
      <c r="J4248" s="44">
        <v>63.889999000000003</v>
      </c>
      <c r="K4248" s="44">
        <v>119.57</v>
      </c>
    </row>
    <row r="4249" spans="6:11" x14ac:dyDescent="0.3">
      <c r="F4249" s="43">
        <v>44050</v>
      </c>
      <c r="G4249" s="44">
        <v>3351.280029</v>
      </c>
      <c r="H4249" s="44">
        <v>1938.530029</v>
      </c>
      <c r="I4249" s="44">
        <v>1569.1800539999999</v>
      </c>
      <c r="J4249" s="44">
        <v>63.630001</v>
      </c>
      <c r="K4249" s="44">
        <v>119.43</v>
      </c>
    </row>
    <row r="4250" spans="6:11" x14ac:dyDescent="0.3">
      <c r="F4250" s="43">
        <v>44053</v>
      </c>
      <c r="G4250" s="44">
        <v>3360.469971</v>
      </c>
      <c r="H4250" s="44">
        <v>1947.130005</v>
      </c>
      <c r="I4250" s="44">
        <v>1584.670044</v>
      </c>
      <c r="J4250" s="44">
        <v>63.84</v>
      </c>
      <c r="K4250" s="44">
        <v>119.32</v>
      </c>
    </row>
    <row r="4251" spans="6:11" x14ac:dyDescent="0.3">
      <c r="F4251" s="43">
        <v>44054</v>
      </c>
      <c r="G4251" s="44">
        <v>3333.6899410000001</v>
      </c>
      <c r="H4251" s="44">
        <v>1944.920044</v>
      </c>
      <c r="I4251" s="44">
        <v>1575.099976</v>
      </c>
      <c r="J4251" s="44">
        <v>64.069999999999993</v>
      </c>
      <c r="K4251" s="44">
        <v>118.989998</v>
      </c>
    </row>
    <row r="4252" spans="6:11" x14ac:dyDescent="0.3">
      <c r="F4252" s="43">
        <v>44055</v>
      </c>
      <c r="G4252" s="44">
        <v>3380.3500979999999</v>
      </c>
      <c r="H4252" s="44">
        <v>1958.670044</v>
      </c>
      <c r="I4252" s="44">
        <v>1583.25</v>
      </c>
      <c r="J4252" s="44">
        <v>65.489998</v>
      </c>
      <c r="K4252" s="44">
        <v>118.75</v>
      </c>
    </row>
    <row r="4253" spans="6:11" x14ac:dyDescent="0.3">
      <c r="F4253" s="43">
        <v>44056</v>
      </c>
      <c r="G4253" s="44">
        <v>3373.429932</v>
      </c>
      <c r="H4253" s="44">
        <v>1952.619995</v>
      </c>
      <c r="I4253" s="44">
        <v>1579.790039</v>
      </c>
      <c r="J4253" s="44">
        <v>65.199996999999996</v>
      </c>
      <c r="K4253" s="44">
        <v>118.30999799999999</v>
      </c>
    </row>
    <row r="4254" spans="6:11" x14ac:dyDescent="0.3">
      <c r="F4254" s="43">
        <v>44057</v>
      </c>
      <c r="G4254" s="44">
        <v>3372.8500979999999</v>
      </c>
      <c r="H4254" s="44">
        <v>1949.5600589999999</v>
      </c>
      <c r="I4254" s="44">
        <v>1577.880005</v>
      </c>
      <c r="J4254" s="44">
        <v>64.800003000000004</v>
      </c>
      <c r="K4254" s="44">
        <v>118.199997</v>
      </c>
    </row>
    <row r="4255" spans="6:11" x14ac:dyDescent="0.3">
      <c r="F4255" s="43">
        <v>44060</v>
      </c>
      <c r="G4255" s="44">
        <v>3381.98999</v>
      </c>
      <c r="H4255" s="44">
        <v>1953.5600589999999</v>
      </c>
      <c r="I4255" s="44">
        <v>1585.469971</v>
      </c>
      <c r="J4255" s="44">
        <v>65.290001000000004</v>
      </c>
      <c r="K4255" s="44">
        <v>118.360001</v>
      </c>
    </row>
    <row r="4256" spans="6:11" x14ac:dyDescent="0.3">
      <c r="F4256" s="43">
        <v>44061</v>
      </c>
      <c r="G4256" s="44">
        <v>3389.780029</v>
      </c>
      <c r="H4256" s="44">
        <v>1935.9799800000001</v>
      </c>
      <c r="I4256" s="44">
        <v>1569.7700199999999</v>
      </c>
      <c r="J4256" s="44">
        <v>65.25</v>
      </c>
      <c r="K4256" s="44">
        <v>118.529999</v>
      </c>
    </row>
    <row r="4257" spans="6:11" x14ac:dyDescent="0.3">
      <c r="F4257" s="43">
        <v>44062</v>
      </c>
      <c r="G4257" s="44">
        <v>3374.8500979999999</v>
      </c>
      <c r="H4257" s="44">
        <v>1927.959961</v>
      </c>
      <c r="I4257" s="44">
        <v>1572.0699460000001</v>
      </c>
      <c r="J4257" s="44">
        <v>64.959998999999996</v>
      </c>
      <c r="K4257" s="44">
        <v>118.349998</v>
      </c>
    </row>
    <row r="4258" spans="6:11" x14ac:dyDescent="0.3">
      <c r="F4258" s="43">
        <v>44063</v>
      </c>
      <c r="G4258" s="44">
        <v>3385.51001</v>
      </c>
      <c r="H4258" s="44">
        <v>1915.3900149999999</v>
      </c>
      <c r="I4258" s="44">
        <v>1564.3000489999999</v>
      </c>
      <c r="J4258" s="44">
        <v>64.75</v>
      </c>
      <c r="K4258" s="44">
        <v>118.55999799999999</v>
      </c>
    </row>
    <row r="4259" spans="6:11" x14ac:dyDescent="0.3">
      <c r="F4259" s="43">
        <v>44064</v>
      </c>
      <c r="G4259" s="44">
        <v>3397.1599120000001</v>
      </c>
      <c r="H4259" s="44">
        <v>1910.25</v>
      </c>
      <c r="I4259" s="44">
        <v>1552.4799800000001</v>
      </c>
      <c r="J4259" s="44">
        <v>64.419998000000007</v>
      </c>
      <c r="K4259" s="44">
        <v>118.68</v>
      </c>
    </row>
    <row r="4260" spans="6:11" x14ac:dyDescent="0.3">
      <c r="F4260" s="43">
        <v>44067</v>
      </c>
      <c r="G4260" s="44">
        <v>3431.280029</v>
      </c>
      <c r="H4260" s="44">
        <v>1938.150024</v>
      </c>
      <c r="I4260" s="44">
        <v>1568.469971</v>
      </c>
      <c r="J4260" s="44">
        <v>65.269997000000004</v>
      </c>
      <c r="K4260" s="44">
        <v>118.629997</v>
      </c>
    </row>
    <row r="4261" spans="6:11" x14ac:dyDescent="0.3">
      <c r="F4261" s="43">
        <v>44068</v>
      </c>
      <c r="G4261" s="44">
        <v>3443.6201169999999</v>
      </c>
      <c r="H4261" s="44">
        <v>1935.7299800000001</v>
      </c>
      <c r="I4261" s="44">
        <v>1571.209961</v>
      </c>
      <c r="J4261" s="44">
        <v>65.309997999999993</v>
      </c>
      <c r="K4261" s="44">
        <v>118.379997</v>
      </c>
    </row>
    <row r="4262" spans="6:11" x14ac:dyDescent="0.3">
      <c r="F4262" s="43">
        <v>44069</v>
      </c>
      <c r="G4262" s="44">
        <v>3478.7299800000001</v>
      </c>
      <c r="H4262" s="44">
        <v>1928.630005</v>
      </c>
      <c r="I4262" s="44">
        <v>1560.1899410000001</v>
      </c>
      <c r="J4262" s="44">
        <v>65.690002000000007</v>
      </c>
      <c r="K4262" s="44">
        <v>118.360001</v>
      </c>
    </row>
    <row r="4263" spans="6:11" x14ac:dyDescent="0.3">
      <c r="F4263" s="43">
        <v>44070</v>
      </c>
      <c r="G4263" s="44">
        <v>3484.5500489999999</v>
      </c>
      <c r="H4263" s="44">
        <v>1936.1800539999999</v>
      </c>
      <c r="I4263" s="44">
        <v>1564.5600589999999</v>
      </c>
      <c r="J4263" s="44">
        <v>65.019997000000004</v>
      </c>
      <c r="K4263" s="44">
        <v>117.949997</v>
      </c>
    </row>
    <row r="4264" spans="6:11" x14ac:dyDescent="0.3">
      <c r="F4264" s="43">
        <v>44071</v>
      </c>
      <c r="G4264" s="44">
        <v>3508.01001</v>
      </c>
      <c r="H4264" s="44">
        <v>1946.51001</v>
      </c>
      <c r="I4264" s="44">
        <v>1578.339966</v>
      </c>
      <c r="J4264" s="44">
        <v>65.480002999999996</v>
      </c>
      <c r="K4264" s="44">
        <v>118.110001</v>
      </c>
    </row>
    <row r="4265" spans="6:11" x14ac:dyDescent="0.3">
      <c r="F4265" s="43">
        <v>44074</v>
      </c>
      <c r="G4265" s="44">
        <v>3500.3100589999999</v>
      </c>
      <c r="H4265" s="44">
        <v>1926.540039</v>
      </c>
      <c r="I4265" s="44">
        <v>1561.880005</v>
      </c>
      <c r="J4265" s="44">
        <v>64.980002999999996</v>
      </c>
      <c r="K4265" s="44">
        <v>118.370003</v>
      </c>
    </row>
    <row r="4266" spans="6:11" x14ac:dyDescent="0.3">
      <c r="F4266" s="43">
        <v>44075</v>
      </c>
      <c r="G4266" s="44">
        <v>3526.6499020000001</v>
      </c>
      <c r="H4266" s="44">
        <v>1941.030029</v>
      </c>
      <c r="I4266" s="44">
        <v>1578.579956</v>
      </c>
      <c r="J4266" s="44">
        <v>65.050003000000004</v>
      </c>
      <c r="K4266" s="44">
        <v>118.41999800000001</v>
      </c>
    </row>
    <row r="4267" spans="6:11" x14ac:dyDescent="0.3">
      <c r="F4267" s="43">
        <v>44076</v>
      </c>
      <c r="G4267" s="44">
        <v>3580.8400879999999</v>
      </c>
      <c r="H4267" s="44">
        <v>1966.4499510000001</v>
      </c>
      <c r="I4267" s="44">
        <v>1592.290039</v>
      </c>
      <c r="J4267" s="44">
        <v>65.919998000000007</v>
      </c>
      <c r="K4267" s="44">
        <v>118.660004</v>
      </c>
    </row>
    <row r="4268" spans="6:11" x14ac:dyDescent="0.3">
      <c r="F4268" s="43">
        <v>44077</v>
      </c>
      <c r="G4268" s="44">
        <v>3455.0600589999999</v>
      </c>
      <c r="H4268" s="44">
        <v>1905.839966</v>
      </c>
      <c r="I4268" s="44">
        <v>1544.6800539999999</v>
      </c>
      <c r="J4268" s="44">
        <v>64.430000000000007</v>
      </c>
      <c r="K4268" s="44">
        <v>118.69000200000001</v>
      </c>
    </row>
    <row r="4269" spans="6:11" x14ac:dyDescent="0.3">
      <c r="F4269" s="43">
        <v>44078</v>
      </c>
      <c r="G4269" s="44">
        <v>3426.959961</v>
      </c>
      <c r="H4269" s="44">
        <v>1897.8599850000001</v>
      </c>
      <c r="I4269" s="44">
        <v>1535.3000489999999</v>
      </c>
      <c r="J4269" s="44">
        <v>64.519997000000004</v>
      </c>
      <c r="K4269" s="44">
        <v>118.099998</v>
      </c>
    </row>
    <row r="4270" spans="6:11" x14ac:dyDescent="0.3">
      <c r="F4270" s="43">
        <v>44082</v>
      </c>
      <c r="G4270" s="44">
        <v>3331.8400879999999</v>
      </c>
      <c r="H4270" s="44">
        <v>1855.170044</v>
      </c>
      <c r="I4270" s="44">
        <v>1504.589966</v>
      </c>
      <c r="J4270" s="44">
        <v>63.73</v>
      </c>
      <c r="K4270" s="44">
        <v>118.230003</v>
      </c>
    </row>
    <row r="4271" spans="6:11" x14ac:dyDescent="0.3">
      <c r="F4271" s="43">
        <v>44083</v>
      </c>
      <c r="G4271" s="44">
        <v>3398.959961</v>
      </c>
      <c r="H4271" s="44">
        <v>1880.5200199999999</v>
      </c>
      <c r="I4271" s="44">
        <v>1526.4799800000001</v>
      </c>
      <c r="J4271" s="44">
        <v>64.919998000000007</v>
      </c>
      <c r="K4271" s="44">
        <v>118.220001</v>
      </c>
    </row>
    <row r="4272" spans="6:11" x14ac:dyDescent="0.3">
      <c r="F4272" s="43">
        <v>44084</v>
      </c>
      <c r="G4272" s="44">
        <v>3339.1899410000001</v>
      </c>
      <c r="H4272" s="44">
        <v>1857.150024</v>
      </c>
      <c r="I4272" s="44">
        <v>1507.75</v>
      </c>
      <c r="J4272" s="44">
        <v>64.160004000000001</v>
      </c>
      <c r="K4272" s="44">
        <v>118.230003</v>
      </c>
    </row>
    <row r="4273" spans="6:11" x14ac:dyDescent="0.3">
      <c r="F4273" s="43">
        <v>44085</v>
      </c>
      <c r="G4273" s="44">
        <v>3340.969971</v>
      </c>
      <c r="H4273" s="44">
        <v>1854.869995</v>
      </c>
      <c r="I4273" s="44">
        <v>1497.2700199999999</v>
      </c>
      <c r="J4273" s="44">
        <v>64.800003000000004</v>
      </c>
      <c r="K4273" s="44">
        <v>118.370003</v>
      </c>
    </row>
    <row r="4274" spans="6:11" x14ac:dyDescent="0.3">
      <c r="F4274" s="43">
        <v>44088</v>
      </c>
      <c r="G4274" s="44">
        <v>3383.540039</v>
      </c>
      <c r="H4274" s="44">
        <v>1891.25</v>
      </c>
      <c r="I4274" s="44">
        <v>1536.969971</v>
      </c>
      <c r="J4274" s="44">
        <v>65.150002000000001</v>
      </c>
      <c r="K4274" s="44">
        <v>118.379997</v>
      </c>
    </row>
    <row r="4275" spans="6:11" x14ac:dyDescent="0.3">
      <c r="F4275" s="43">
        <v>44089</v>
      </c>
      <c r="G4275" s="44">
        <v>3401.1999510000001</v>
      </c>
      <c r="H4275" s="44">
        <v>1892.4799800000001</v>
      </c>
      <c r="I4275" s="44">
        <v>1538.150024</v>
      </c>
      <c r="J4275" s="44">
        <v>65.569999999999993</v>
      </c>
      <c r="K4275" s="44">
        <v>118.389999</v>
      </c>
    </row>
    <row r="4276" spans="6:11" x14ac:dyDescent="0.3">
      <c r="F4276" s="43">
        <v>44090</v>
      </c>
      <c r="G4276" s="44">
        <v>3385.48999</v>
      </c>
      <c r="H4276" s="44">
        <v>1898.5500489999999</v>
      </c>
      <c r="I4276" s="44">
        <v>1552.329956</v>
      </c>
      <c r="J4276" s="44">
        <v>65.569999999999993</v>
      </c>
      <c r="K4276" s="44">
        <v>118.33000199999999</v>
      </c>
    </row>
    <row r="4277" spans="6:11" x14ac:dyDescent="0.3">
      <c r="F4277" s="43">
        <v>44091</v>
      </c>
      <c r="G4277" s="44">
        <v>3357.01001</v>
      </c>
      <c r="H4277" s="44">
        <v>1888.130005</v>
      </c>
      <c r="I4277" s="44">
        <v>1542.599976</v>
      </c>
      <c r="J4277" s="44">
        <v>65.660004000000001</v>
      </c>
      <c r="K4277" s="44">
        <v>118.360001</v>
      </c>
    </row>
    <row r="4278" spans="6:11" x14ac:dyDescent="0.3">
      <c r="F4278" s="43">
        <v>44092</v>
      </c>
      <c r="G4278" s="44">
        <v>3319.469971</v>
      </c>
      <c r="H4278" s="44">
        <v>1865.8599850000001</v>
      </c>
      <c r="I4278" s="44">
        <v>1536.780029</v>
      </c>
      <c r="J4278" s="44">
        <v>65.129997000000003</v>
      </c>
      <c r="K4278" s="44">
        <v>118.220001</v>
      </c>
    </row>
    <row r="4279" spans="6:11" x14ac:dyDescent="0.3">
      <c r="F4279" s="43">
        <v>44095</v>
      </c>
      <c r="G4279" s="44">
        <v>3281.0600589999999</v>
      </c>
      <c r="H4279" s="44">
        <v>1820.6999510000001</v>
      </c>
      <c r="I4279" s="44">
        <v>1485.25</v>
      </c>
      <c r="J4279" s="44">
        <v>63.48</v>
      </c>
      <c r="K4279" s="44">
        <v>118.239998</v>
      </c>
    </row>
    <row r="4280" spans="6:11" x14ac:dyDescent="0.3">
      <c r="F4280" s="43">
        <v>44096</v>
      </c>
      <c r="G4280" s="44">
        <v>3315.570068</v>
      </c>
      <c r="H4280" s="44">
        <v>1833.719971</v>
      </c>
      <c r="I4280" s="44">
        <v>1496.959961</v>
      </c>
      <c r="J4280" s="44">
        <v>63.459999000000003</v>
      </c>
      <c r="K4280" s="44">
        <v>118.33000199999999</v>
      </c>
    </row>
    <row r="4281" spans="6:11" x14ac:dyDescent="0.3">
      <c r="F4281" s="43">
        <v>44097</v>
      </c>
      <c r="G4281" s="44">
        <v>3236.919922</v>
      </c>
      <c r="H4281" s="44">
        <v>1792.089966</v>
      </c>
      <c r="I4281" s="44">
        <v>1451.459961</v>
      </c>
      <c r="J4281" s="44">
        <v>62.93</v>
      </c>
      <c r="K4281" s="44">
        <v>118.08000199999999</v>
      </c>
    </row>
    <row r="4282" spans="6:11" x14ac:dyDescent="0.3">
      <c r="F4282" s="43">
        <v>44098</v>
      </c>
      <c r="G4282" s="44">
        <v>3246.5900879999999</v>
      </c>
      <c r="H4282" s="44">
        <v>1792.3100589999999</v>
      </c>
      <c r="I4282" s="44">
        <v>1451.8199460000001</v>
      </c>
      <c r="J4282" s="44">
        <v>62.869999</v>
      </c>
      <c r="K4282" s="44">
        <v>118.089996</v>
      </c>
    </row>
    <row r="4283" spans="6:11" x14ac:dyDescent="0.3">
      <c r="F4283" s="43">
        <v>44099</v>
      </c>
      <c r="G4283" s="44">
        <v>3298.459961</v>
      </c>
      <c r="H4283" s="44">
        <v>1817.2700199999999</v>
      </c>
      <c r="I4283" s="44">
        <v>1474.910034</v>
      </c>
      <c r="J4283" s="44">
        <v>63.080002</v>
      </c>
      <c r="K4283" s="44">
        <v>118.129997</v>
      </c>
    </row>
    <row r="4284" spans="6:11" x14ac:dyDescent="0.3">
      <c r="F4284" s="43">
        <v>44102</v>
      </c>
      <c r="G4284" s="44">
        <v>3351.6000979999999</v>
      </c>
      <c r="H4284" s="44">
        <v>1860.2700199999999</v>
      </c>
      <c r="I4284" s="44">
        <v>1510.339966</v>
      </c>
      <c r="J4284" s="44">
        <v>64.029999000000004</v>
      </c>
      <c r="K4284" s="44">
        <v>118.230003</v>
      </c>
    </row>
    <row r="4285" spans="6:11" x14ac:dyDescent="0.3">
      <c r="F4285" s="43">
        <v>44103</v>
      </c>
      <c r="G4285" s="44">
        <v>3335.469971</v>
      </c>
      <c r="H4285" s="44">
        <v>1848.790039</v>
      </c>
      <c r="I4285" s="44">
        <v>1504.7299800000001</v>
      </c>
      <c r="J4285" s="44">
        <v>63.959999000000003</v>
      </c>
      <c r="K4285" s="44">
        <v>118.25</v>
      </c>
    </row>
    <row r="4286" spans="6:11" x14ac:dyDescent="0.3">
      <c r="F4286" s="43">
        <v>44104</v>
      </c>
      <c r="G4286" s="44">
        <v>3363</v>
      </c>
      <c r="H4286" s="44">
        <v>1861.290039</v>
      </c>
      <c r="I4286" s="44">
        <v>1507.6899410000001</v>
      </c>
      <c r="J4286" s="44">
        <v>63.650002000000001</v>
      </c>
      <c r="K4286" s="44">
        <v>118.05999799999999</v>
      </c>
    </row>
    <row r="4287" spans="6:11" x14ac:dyDescent="0.3">
      <c r="F4287" s="43">
        <v>44105</v>
      </c>
      <c r="G4287" s="44">
        <v>3380.8000489999999</v>
      </c>
      <c r="H4287" s="44">
        <v>1884.9399410000001</v>
      </c>
      <c r="I4287" s="44">
        <v>1531.1999510000001</v>
      </c>
      <c r="J4287" s="44">
        <v>64.019997000000004</v>
      </c>
      <c r="K4287" s="44">
        <v>118.019997</v>
      </c>
    </row>
    <row r="4288" spans="6:11" x14ac:dyDescent="0.3">
      <c r="F4288" s="43">
        <v>44106</v>
      </c>
      <c r="G4288" s="44">
        <v>3348.419922</v>
      </c>
      <c r="H4288" s="44">
        <v>1902.790039</v>
      </c>
      <c r="I4288" s="44" t="s">
        <v>288</v>
      </c>
      <c r="J4288" s="44">
        <v>63.889999000000003</v>
      </c>
      <c r="K4288" s="44">
        <v>117.900002</v>
      </c>
    </row>
    <row r="4289" spans="6:11" x14ac:dyDescent="0.3">
      <c r="F4289" s="43">
        <v>44109</v>
      </c>
      <c r="G4289" s="44">
        <v>3408.6000979999999</v>
      </c>
      <c r="H4289" s="44">
        <v>1945.959961</v>
      </c>
      <c r="I4289" s="44">
        <v>1581.959961</v>
      </c>
      <c r="J4289" s="44">
        <v>64.860000999999997</v>
      </c>
      <c r="K4289" s="44">
        <v>117.519997</v>
      </c>
    </row>
    <row r="4290" spans="6:11" x14ac:dyDescent="0.3">
      <c r="F4290" s="43">
        <v>44110</v>
      </c>
      <c r="G4290" s="44">
        <v>3360.969971</v>
      </c>
      <c r="H4290" s="44">
        <v>1936.849976</v>
      </c>
      <c r="I4290" s="44">
        <v>1577.290039</v>
      </c>
      <c r="J4290" s="44">
        <v>64.169998000000007</v>
      </c>
      <c r="K4290" s="44">
        <v>117.620003</v>
      </c>
    </row>
    <row r="4291" spans="6:11" x14ac:dyDescent="0.3">
      <c r="F4291" s="43">
        <v>44111</v>
      </c>
      <c r="G4291" s="44">
        <v>3419.4399410000001</v>
      </c>
      <c r="H4291" s="44">
        <v>1971.119995</v>
      </c>
      <c r="I4291" s="44">
        <v>1611.040039</v>
      </c>
      <c r="J4291" s="44">
        <v>64.720000999999996</v>
      </c>
      <c r="K4291" s="44">
        <v>117.540001</v>
      </c>
    </row>
    <row r="4292" spans="6:11" x14ac:dyDescent="0.3">
      <c r="F4292" s="43">
        <v>44112</v>
      </c>
      <c r="G4292" s="44">
        <v>3446.830078</v>
      </c>
      <c r="H4292" s="44">
        <v>1991.540039</v>
      </c>
      <c r="I4292" s="44">
        <v>1628.5500489999999</v>
      </c>
      <c r="J4292" s="44">
        <v>65.169998000000007</v>
      </c>
      <c r="K4292" s="44">
        <v>117.69000200000001</v>
      </c>
    </row>
    <row r="4293" spans="6:11" x14ac:dyDescent="0.3">
      <c r="F4293" s="43">
        <v>44113</v>
      </c>
      <c r="G4293" s="44">
        <v>3477.139893</v>
      </c>
      <c r="H4293" s="44">
        <v>1996.3599850000001</v>
      </c>
      <c r="I4293" s="44">
        <v>1637.5500489999999</v>
      </c>
      <c r="J4293" s="44">
        <v>65.680000000000007</v>
      </c>
      <c r="K4293" s="44">
        <v>117.720001</v>
      </c>
    </row>
    <row r="4294" spans="6:11" x14ac:dyDescent="0.3">
      <c r="F4294" s="43">
        <v>44116</v>
      </c>
      <c r="G4294" s="44">
        <v>3534.219971</v>
      </c>
      <c r="H4294" s="44">
        <v>2009.0699460000001</v>
      </c>
      <c r="I4294" s="44">
        <v>1649.0500489999999</v>
      </c>
      <c r="J4294" s="44">
        <v>66.059997999999993</v>
      </c>
      <c r="K4294" s="44">
        <v>117.949997</v>
      </c>
    </row>
    <row r="4295" spans="6:11" x14ac:dyDescent="0.3">
      <c r="F4295" s="43">
        <v>44117</v>
      </c>
      <c r="G4295" s="44">
        <v>3511.929932</v>
      </c>
      <c r="H4295" s="44">
        <v>1993.0699460000001</v>
      </c>
      <c r="I4295" s="44">
        <v>1636.849976</v>
      </c>
      <c r="J4295" s="44">
        <v>65.319999999999993</v>
      </c>
      <c r="K4295" s="44">
        <v>117.980003</v>
      </c>
    </row>
    <row r="4296" spans="6:11" x14ac:dyDescent="0.3">
      <c r="F4296" s="43">
        <v>44118</v>
      </c>
      <c r="G4296" s="44">
        <v>3488.669922</v>
      </c>
      <c r="H4296" s="44">
        <v>1984.280029</v>
      </c>
      <c r="I4296" s="44">
        <v>1621.650024</v>
      </c>
      <c r="J4296" s="44">
        <v>65.209998999999996</v>
      </c>
      <c r="K4296" s="44">
        <v>118.050003</v>
      </c>
    </row>
    <row r="4297" spans="6:11" x14ac:dyDescent="0.3">
      <c r="F4297" s="43">
        <v>44119</v>
      </c>
      <c r="G4297" s="44">
        <v>3483.3400879999999</v>
      </c>
      <c r="H4297" s="44">
        <v>2002.8199460000001</v>
      </c>
      <c r="I4297" s="44">
        <v>1638.880005</v>
      </c>
      <c r="J4297" s="44">
        <v>64.440002000000007</v>
      </c>
      <c r="K4297" s="44">
        <v>117.949997</v>
      </c>
    </row>
    <row r="4298" spans="6:11" x14ac:dyDescent="0.3">
      <c r="F4298" s="43">
        <v>44120</v>
      </c>
      <c r="G4298" s="44">
        <v>3483.8100589999999</v>
      </c>
      <c r="H4298" s="44">
        <v>1997.339966</v>
      </c>
      <c r="I4298" s="44">
        <v>1633.8100589999999</v>
      </c>
      <c r="J4298" s="44">
        <v>64.739998</v>
      </c>
      <c r="K4298" s="44">
        <v>117.889999</v>
      </c>
    </row>
    <row r="4299" spans="6:11" x14ac:dyDescent="0.3">
      <c r="F4299" s="43">
        <v>44123</v>
      </c>
      <c r="G4299" s="44">
        <v>3426.919922</v>
      </c>
      <c r="H4299" s="44">
        <v>1973.8100589999999</v>
      </c>
      <c r="I4299" s="44">
        <v>1613.630005</v>
      </c>
      <c r="J4299" s="44">
        <v>64.5</v>
      </c>
      <c r="K4299" s="44">
        <v>117.75</v>
      </c>
    </row>
    <row r="4300" spans="6:11" x14ac:dyDescent="0.3">
      <c r="F4300" s="43">
        <v>44124</v>
      </c>
      <c r="G4300" s="44">
        <v>3443.1201169999999</v>
      </c>
      <c r="H4300" s="44">
        <v>1984.26001</v>
      </c>
      <c r="I4300" s="44">
        <v>1617.709961</v>
      </c>
      <c r="J4300" s="44">
        <v>64.819999999999993</v>
      </c>
      <c r="K4300" s="44">
        <v>117.650002</v>
      </c>
    </row>
    <row r="4301" spans="6:11" x14ac:dyDescent="0.3">
      <c r="F4301" s="43">
        <v>44125</v>
      </c>
      <c r="G4301" s="44">
        <v>3435.5600589999999</v>
      </c>
      <c r="H4301" s="44">
        <v>1970.130005</v>
      </c>
      <c r="I4301" s="44">
        <v>1603.780029</v>
      </c>
      <c r="J4301" s="44">
        <v>64.510002</v>
      </c>
      <c r="K4301" s="44">
        <v>117.510002</v>
      </c>
    </row>
    <row r="4302" spans="6:11" x14ac:dyDescent="0.3">
      <c r="F4302" s="43">
        <v>44126</v>
      </c>
      <c r="G4302" s="44">
        <v>3453.48999</v>
      </c>
      <c r="H4302" s="44">
        <v>2002.9300539999999</v>
      </c>
      <c r="I4302" s="44">
        <v>1630.25</v>
      </c>
      <c r="J4302" s="44">
        <v>64.559997999999993</v>
      </c>
      <c r="K4302" s="44">
        <v>117.300003</v>
      </c>
    </row>
    <row r="4303" spans="6:11" x14ac:dyDescent="0.3">
      <c r="F4303" s="43">
        <v>44127</v>
      </c>
      <c r="G4303" s="44">
        <v>3465.389893</v>
      </c>
      <c r="H4303" s="44">
        <v>2015.650024</v>
      </c>
      <c r="I4303" s="44">
        <v>1640.5</v>
      </c>
      <c r="J4303" s="44">
        <v>64.980002999999996</v>
      </c>
      <c r="K4303" s="44">
        <v>117.470001</v>
      </c>
    </row>
    <row r="4304" spans="6:11" x14ac:dyDescent="0.3">
      <c r="F4304" s="43">
        <v>44130</v>
      </c>
      <c r="G4304" s="44">
        <v>3400.969971</v>
      </c>
      <c r="H4304" s="44">
        <v>1973.880005</v>
      </c>
      <c r="I4304" s="44">
        <v>1605.209961</v>
      </c>
      <c r="J4304" s="44">
        <v>63.810001</v>
      </c>
      <c r="K4304" s="44">
        <v>117.629997</v>
      </c>
    </row>
    <row r="4305" spans="6:11" x14ac:dyDescent="0.3">
      <c r="F4305" s="43">
        <v>44131</v>
      </c>
      <c r="G4305" s="44">
        <v>3390.679932</v>
      </c>
      <c r="H4305" s="44">
        <v>1946.6800539999999</v>
      </c>
      <c r="I4305" s="44">
        <v>1590.709961</v>
      </c>
      <c r="J4305" s="44">
        <v>63.310001</v>
      </c>
      <c r="K4305" s="44">
        <v>117.900002</v>
      </c>
    </row>
    <row r="4306" spans="6:11" x14ac:dyDescent="0.3">
      <c r="F4306" s="43">
        <v>44132</v>
      </c>
      <c r="G4306" s="44">
        <v>3271.030029</v>
      </c>
      <c r="H4306" s="44">
        <v>1895.5699460000001</v>
      </c>
      <c r="I4306" s="44">
        <v>1543.280029</v>
      </c>
      <c r="J4306" s="44">
        <v>61.419998</v>
      </c>
      <c r="K4306" s="44">
        <v>117.730003</v>
      </c>
    </row>
    <row r="4307" spans="6:11" x14ac:dyDescent="0.3">
      <c r="F4307" s="43">
        <v>44133</v>
      </c>
      <c r="G4307" s="44">
        <v>3310.110107</v>
      </c>
      <c r="H4307" s="44">
        <v>1915.4399410000001</v>
      </c>
      <c r="I4307" s="44">
        <v>1561.579956</v>
      </c>
      <c r="J4307" s="44">
        <v>61.709999000000003</v>
      </c>
      <c r="K4307" s="44">
        <v>117.519997</v>
      </c>
    </row>
    <row r="4308" spans="6:11" x14ac:dyDescent="0.3">
      <c r="F4308" s="43">
        <v>44134</v>
      </c>
      <c r="G4308" s="44">
        <v>3269.959961</v>
      </c>
      <c r="H4308" s="44">
        <v>1900.1800539999999</v>
      </c>
      <c r="I4308" s="44">
        <v>1538.4799800000001</v>
      </c>
      <c r="J4308" s="44">
        <v>61.389999000000003</v>
      </c>
      <c r="K4308" s="44">
        <v>117.199997</v>
      </c>
    </row>
    <row r="4309" spans="6:11" x14ac:dyDescent="0.3">
      <c r="F4309" s="43">
        <v>44137</v>
      </c>
      <c r="G4309" s="44">
        <v>3310.23999</v>
      </c>
      <c r="H4309" s="44">
        <v>1937.1099850000001</v>
      </c>
      <c r="I4309" s="44">
        <v>1568.589966</v>
      </c>
      <c r="J4309" s="44">
        <v>62.189999</v>
      </c>
      <c r="K4309" s="44">
        <v>117.220001</v>
      </c>
    </row>
    <row r="4310" spans="6:11" x14ac:dyDescent="0.3">
      <c r="F4310" s="43">
        <v>44138</v>
      </c>
      <c r="G4310" s="44">
        <v>3369.1599120000001</v>
      </c>
      <c r="H4310" s="44">
        <v>1980.51001</v>
      </c>
      <c r="I4310" s="44">
        <v>1614.3000489999999</v>
      </c>
      <c r="J4310" s="44">
        <v>63.82</v>
      </c>
      <c r="K4310" s="44">
        <v>117.16999800000001</v>
      </c>
    </row>
    <row r="4311" spans="6:11" x14ac:dyDescent="0.3">
      <c r="F4311" s="43">
        <v>44139</v>
      </c>
      <c r="G4311" s="44">
        <v>3443.4399410000001</v>
      </c>
      <c r="H4311" s="44">
        <v>1981.790039</v>
      </c>
      <c r="I4311" s="44">
        <v>1615.079956</v>
      </c>
      <c r="J4311" s="44">
        <v>64.519997000000004</v>
      </c>
      <c r="K4311" s="44">
        <v>117.949997</v>
      </c>
    </row>
    <row r="4312" spans="6:11" x14ac:dyDescent="0.3">
      <c r="F4312" s="43">
        <v>44140</v>
      </c>
      <c r="G4312" s="44">
        <v>3510.4499510000001</v>
      </c>
      <c r="H4312" s="44">
        <v>2037.130005</v>
      </c>
      <c r="I4312" s="44">
        <v>1660.0500489999999</v>
      </c>
      <c r="J4312" s="44">
        <v>66.069999999999993</v>
      </c>
      <c r="K4312" s="44">
        <v>118.05999799999999</v>
      </c>
    </row>
    <row r="4313" spans="6:11" x14ac:dyDescent="0.3">
      <c r="F4313" s="43">
        <v>44141</v>
      </c>
      <c r="G4313" s="44">
        <v>3509.4399410000001</v>
      </c>
      <c r="H4313" s="44">
        <v>2026.9499510000001</v>
      </c>
      <c r="I4313" s="44">
        <v>1648.26001</v>
      </c>
      <c r="J4313" s="44">
        <v>66.209998999999996</v>
      </c>
      <c r="K4313" s="44">
        <v>117.800003</v>
      </c>
    </row>
    <row r="4314" spans="6:11" x14ac:dyDescent="0.3">
      <c r="F4314" s="43">
        <v>44144</v>
      </c>
      <c r="G4314" s="44">
        <v>3550.5</v>
      </c>
      <c r="H4314" s="44">
        <v>2083.26001</v>
      </c>
      <c r="I4314" s="44">
        <v>1705.040039</v>
      </c>
      <c r="J4314" s="44">
        <v>68.139999000000003</v>
      </c>
      <c r="K4314" s="44">
        <v>117.25</v>
      </c>
    </row>
    <row r="4315" spans="6:11" x14ac:dyDescent="0.3">
      <c r="F4315" s="43">
        <v>44145</v>
      </c>
      <c r="G4315" s="44">
        <v>3545.530029</v>
      </c>
      <c r="H4315" s="44">
        <v>2108.4099120000001</v>
      </c>
      <c r="I4315" s="44">
        <v>1737.01001</v>
      </c>
      <c r="J4315" s="44">
        <v>68.75</v>
      </c>
      <c r="K4315" s="44">
        <v>117.05999799999999</v>
      </c>
    </row>
    <row r="4316" spans="6:11" x14ac:dyDescent="0.3">
      <c r="F4316" s="43">
        <v>44146</v>
      </c>
      <c r="G4316" s="44">
        <v>3572.6599120000001</v>
      </c>
      <c r="H4316" s="44">
        <v>2106.3701169999999</v>
      </c>
      <c r="I4316" s="44">
        <v>1736.9399410000001</v>
      </c>
      <c r="J4316" s="44">
        <v>69.330001999999993</v>
      </c>
      <c r="K4316" s="44">
        <v>117.129997</v>
      </c>
    </row>
    <row r="4317" spans="6:11" x14ac:dyDescent="0.3">
      <c r="F4317" s="43">
        <v>44147</v>
      </c>
      <c r="G4317" s="44">
        <v>3537.01001</v>
      </c>
      <c r="H4317" s="44">
        <v>2070.219971</v>
      </c>
      <c r="I4317" s="44">
        <v>1708.469971</v>
      </c>
      <c r="J4317" s="44">
        <v>68.319999999999993</v>
      </c>
      <c r="K4317" s="44">
        <v>117.620003</v>
      </c>
    </row>
    <row r="4318" spans="6:11" x14ac:dyDescent="0.3">
      <c r="F4318" s="43">
        <v>44148</v>
      </c>
      <c r="G4318" s="44">
        <v>3585.1499020000001</v>
      </c>
      <c r="H4318" s="44">
        <v>2113.26001</v>
      </c>
      <c r="I4318" s="44">
        <v>1744.040039</v>
      </c>
      <c r="J4318" s="44">
        <v>69.370002999999997</v>
      </c>
      <c r="K4318" s="44">
        <v>117.639999</v>
      </c>
    </row>
    <row r="4319" spans="6:11" x14ac:dyDescent="0.3">
      <c r="F4319" s="43">
        <v>44151</v>
      </c>
      <c r="G4319" s="44">
        <v>3626.9099120000001</v>
      </c>
      <c r="H4319" s="44">
        <v>2155.5500489999999</v>
      </c>
      <c r="I4319" s="44">
        <v>1785.339966</v>
      </c>
      <c r="J4319" s="44">
        <v>70.089995999999999</v>
      </c>
      <c r="K4319" s="44">
        <v>117.629997</v>
      </c>
    </row>
    <row r="4320" spans="6:11" x14ac:dyDescent="0.3">
      <c r="F4320" s="43">
        <v>44152</v>
      </c>
      <c r="G4320" s="44">
        <v>3609.530029</v>
      </c>
      <c r="H4320" s="44">
        <v>2159.6298830000001</v>
      </c>
      <c r="I4320" s="44">
        <v>1791.910034</v>
      </c>
      <c r="J4320" s="44">
        <v>70.019997000000004</v>
      </c>
      <c r="K4320" s="44">
        <v>117.870003</v>
      </c>
    </row>
    <row r="4321" spans="6:11" x14ac:dyDescent="0.3">
      <c r="F4321" s="43">
        <v>44153</v>
      </c>
      <c r="G4321" s="44">
        <v>3567.790039</v>
      </c>
      <c r="H4321" s="44">
        <v>2131.4499510000001</v>
      </c>
      <c r="I4321" s="44">
        <v>1769.3199460000001</v>
      </c>
      <c r="J4321" s="44">
        <v>69.650002000000001</v>
      </c>
      <c r="K4321" s="44">
        <v>117.949997</v>
      </c>
    </row>
    <row r="4322" spans="6:11" x14ac:dyDescent="0.3">
      <c r="F4322" s="43">
        <v>44154</v>
      </c>
      <c r="G4322" s="44">
        <v>3581.8701169999999</v>
      </c>
      <c r="H4322" s="44">
        <v>2149.1499020000001</v>
      </c>
      <c r="I4322" s="44">
        <v>1784.130005</v>
      </c>
      <c r="J4322" s="44">
        <v>70.139999000000003</v>
      </c>
      <c r="K4322" s="44">
        <v>118.16999800000001</v>
      </c>
    </row>
    <row r="4323" spans="6:11" x14ac:dyDescent="0.3">
      <c r="F4323" s="43">
        <v>44155</v>
      </c>
      <c r="G4323" s="44">
        <v>3557.540039</v>
      </c>
      <c r="H4323" s="44">
        <v>2147.610107</v>
      </c>
      <c r="I4323" s="44">
        <v>1785.339966</v>
      </c>
      <c r="J4323" s="44">
        <v>70.349997999999999</v>
      </c>
      <c r="K4323" s="44">
        <v>118.290001</v>
      </c>
    </row>
    <row r="4324" spans="6:11" x14ac:dyDescent="0.3">
      <c r="F4324" s="43">
        <v>44158</v>
      </c>
      <c r="G4324" s="44">
        <v>3577.5900879999999</v>
      </c>
      <c r="H4324" s="44">
        <v>2181.6000979999999</v>
      </c>
      <c r="I4324" s="44">
        <v>1818.3000489999999</v>
      </c>
      <c r="J4324" s="44">
        <v>70.260002</v>
      </c>
      <c r="K4324" s="44">
        <v>118.260002</v>
      </c>
    </row>
    <row r="4325" spans="6:11" x14ac:dyDescent="0.3">
      <c r="F4325" s="43">
        <v>44159</v>
      </c>
      <c r="G4325" s="44">
        <v>3635.4099120000001</v>
      </c>
      <c r="H4325" s="44">
        <v>2217.8400879999999</v>
      </c>
      <c r="I4325" s="44">
        <v>1853.530029</v>
      </c>
      <c r="J4325" s="44">
        <v>71.309997999999993</v>
      </c>
      <c r="K4325" s="44">
        <v>118.099998</v>
      </c>
    </row>
    <row r="4326" spans="6:11" x14ac:dyDescent="0.3">
      <c r="F4326" s="43">
        <v>44160</v>
      </c>
      <c r="G4326" s="44">
        <v>3629.6499020000001</v>
      </c>
      <c r="H4326" s="44">
        <v>2201.5600589999999</v>
      </c>
      <c r="I4326" s="44">
        <v>1845.0200199999999</v>
      </c>
      <c r="J4326" s="44">
        <v>71.220000999999996</v>
      </c>
      <c r="K4326" s="44">
        <v>118.05999799999999</v>
      </c>
    </row>
    <row r="4327" spans="6:11" x14ac:dyDescent="0.3">
      <c r="F4327" s="43">
        <v>44162</v>
      </c>
      <c r="G4327" s="44">
        <v>3638.3500979999999</v>
      </c>
      <c r="H4327" s="44">
        <v>2205.919922</v>
      </c>
      <c r="I4327" s="44">
        <v>1855.2700199999999</v>
      </c>
      <c r="J4327" s="44">
        <v>71.709998999999996</v>
      </c>
      <c r="K4327" s="44">
        <v>118.260002</v>
      </c>
    </row>
    <row r="4328" spans="6:11" x14ac:dyDescent="0.3">
      <c r="F4328" s="43">
        <v>44165</v>
      </c>
      <c r="G4328" s="44">
        <v>3621.6298830000001</v>
      </c>
      <c r="H4328" s="44">
        <v>2168.5</v>
      </c>
      <c r="I4328" s="44">
        <v>1819.8199460000001</v>
      </c>
      <c r="J4328" s="44">
        <v>70.150002000000001</v>
      </c>
      <c r="K4328" s="44">
        <v>118.41999800000001</v>
      </c>
    </row>
    <row r="4329" spans="6:11" x14ac:dyDescent="0.3">
      <c r="F4329" s="43">
        <v>44166</v>
      </c>
      <c r="G4329" s="44">
        <v>3662.4499510000001</v>
      </c>
      <c r="H4329" s="44">
        <v>2194.5</v>
      </c>
      <c r="I4329" s="44">
        <v>1836.0500489999999</v>
      </c>
      <c r="J4329" s="44">
        <v>71.800003000000004</v>
      </c>
      <c r="K4329" s="44">
        <v>117.839996</v>
      </c>
    </row>
    <row r="4330" spans="6:11" x14ac:dyDescent="0.3">
      <c r="F4330" s="43">
        <v>44167</v>
      </c>
      <c r="G4330" s="44">
        <v>3669.01001</v>
      </c>
      <c r="H4330" s="44">
        <v>2191.8701169999999</v>
      </c>
      <c r="I4330" s="44">
        <v>1838.030029</v>
      </c>
      <c r="J4330" s="44">
        <v>71.809997999999993</v>
      </c>
      <c r="K4330" s="44">
        <v>117.709999</v>
      </c>
    </row>
    <row r="4331" spans="6:11" x14ac:dyDescent="0.3">
      <c r="F4331" s="43">
        <v>44168</v>
      </c>
      <c r="G4331" s="44">
        <v>3666.719971</v>
      </c>
      <c r="H4331" s="44">
        <v>2203.4799800000001</v>
      </c>
      <c r="I4331" s="44">
        <v>1848.6999510000001</v>
      </c>
      <c r="J4331" s="44">
        <v>71.930000000000007</v>
      </c>
      <c r="K4331" s="44">
        <v>117.910004</v>
      </c>
    </row>
    <row r="4332" spans="6:11" x14ac:dyDescent="0.3">
      <c r="F4332" s="43">
        <v>44169</v>
      </c>
      <c r="G4332" s="44">
        <v>3699.1201169999999</v>
      </c>
      <c r="H4332" s="44">
        <v>2244.9399410000001</v>
      </c>
      <c r="I4332" s="44">
        <v>1892.4499510000001</v>
      </c>
      <c r="J4332" s="44">
        <v>72.540001000000004</v>
      </c>
      <c r="K4332" s="44">
        <v>117.589996</v>
      </c>
    </row>
    <row r="4333" spans="6:11" x14ac:dyDescent="0.3">
      <c r="F4333" s="43">
        <v>44172</v>
      </c>
      <c r="G4333" s="44">
        <v>3691.959961</v>
      </c>
      <c r="H4333" s="44">
        <v>2236.459961</v>
      </c>
      <c r="I4333" s="44">
        <v>1891.25</v>
      </c>
      <c r="J4333" s="44">
        <v>71.949996999999996</v>
      </c>
      <c r="K4333" s="44">
        <v>117.769997</v>
      </c>
    </row>
    <row r="4334" spans="6:11" x14ac:dyDescent="0.3">
      <c r="F4334" s="43">
        <v>44173</v>
      </c>
      <c r="G4334" s="44">
        <v>3702.25</v>
      </c>
      <c r="H4334" s="44">
        <v>2249.570068</v>
      </c>
      <c r="I4334" s="44">
        <v>1917.780029</v>
      </c>
      <c r="J4334" s="44">
        <v>72.199996999999996</v>
      </c>
      <c r="K4334" s="44">
        <v>117.779999</v>
      </c>
    </row>
    <row r="4335" spans="6:11" x14ac:dyDescent="0.3">
      <c r="F4335" s="43">
        <v>44174</v>
      </c>
      <c r="G4335" s="44">
        <v>3672.820068</v>
      </c>
      <c r="H4335" s="44">
        <v>2240.48999</v>
      </c>
      <c r="I4335" s="44">
        <v>1902.150024</v>
      </c>
      <c r="J4335" s="44">
        <v>72.300003000000004</v>
      </c>
      <c r="K4335" s="44">
        <v>117.610001</v>
      </c>
    </row>
    <row r="4336" spans="6:11" x14ac:dyDescent="0.3">
      <c r="F4336" s="43">
        <v>44175</v>
      </c>
      <c r="G4336" s="44">
        <v>3668.1000979999999</v>
      </c>
      <c r="H4336" s="44">
        <v>2246.1999510000001</v>
      </c>
      <c r="I4336" s="44">
        <v>1922.6999510000001</v>
      </c>
      <c r="J4336" s="44">
        <v>72.400002000000001</v>
      </c>
      <c r="K4336" s="44">
        <v>117.900002</v>
      </c>
    </row>
    <row r="4337" spans="6:11" x14ac:dyDescent="0.3">
      <c r="F4337" s="43">
        <v>44176</v>
      </c>
      <c r="G4337" s="44">
        <v>3663.459961</v>
      </c>
      <c r="H4337" s="44">
        <v>2239.9399410000001</v>
      </c>
      <c r="I4337" s="44">
        <v>1911.6999510000001</v>
      </c>
      <c r="J4337" s="44">
        <v>72.180000000000007</v>
      </c>
      <c r="K4337" s="44">
        <v>118.029999</v>
      </c>
    </row>
    <row r="4338" spans="6:11" x14ac:dyDescent="0.3">
      <c r="F4338" s="43">
        <v>44179</v>
      </c>
      <c r="G4338" s="44">
        <v>3647.48999</v>
      </c>
      <c r="H4338" s="44">
        <v>2234.01001</v>
      </c>
      <c r="I4338" s="44">
        <v>1913.8599850000001</v>
      </c>
      <c r="J4338" s="44">
        <v>71.529999000000004</v>
      </c>
      <c r="K4338" s="44">
        <v>117.959999</v>
      </c>
    </row>
    <row r="4339" spans="6:11" x14ac:dyDescent="0.3">
      <c r="F4339" s="43">
        <v>44180</v>
      </c>
      <c r="G4339" s="44">
        <v>3694.6201169999999</v>
      </c>
      <c r="H4339" s="44">
        <v>2287.040039</v>
      </c>
      <c r="I4339" s="44">
        <v>1959.76001</v>
      </c>
      <c r="J4339" s="44">
        <v>72.260002</v>
      </c>
      <c r="K4339" s="44">
        <v>118.029999</v>
      </c>
    </row>
    <row r="4340" spans="6:11" x14ac:dyDescent="0.3">
      <c r="F4340" s="43">
        <v>44181</v>
      </c>
      <c r="G4340" s="44">
        <v>3701.169922</v>
      </c>
      <c r="H4340" s="44">
        <v>2278.889893</v>
      </c>
      <c r="I4340" s="44">
        <v>1952.719971</v>
      </c>
      <c r="J4340" s="44">
        <v>72.540001000000004</v>
      </c>
      <c r="K4340" s="44">
        <v>117.980003</v>
      </c>
    </row>
    <row r="4341" spans="6:11" x14ac:dyDescent="0.3">
      <c r="F4341" s="43">
        <v>44182</v>
      </c>
      <c r="G4341" s="44">
        <v>3722.4799800000001</v>
      </c>
      <c r="H4341" s="44">
        <v>2297.9099120000001</v>
      </c>
      <c r="I4341" s="44">
        <v>1978.0500489999999</v>
      </c>
      <c r="J4341" s="44">
        <v>73.050003000000004</v>
      </c>
      <c r="K4341" s="44">
        <v>117.849998</v>
      </c>
    </row>
    <row r="4342" spans="6:11" x14ac:dyDescent="0.3">
      <c r="F4342" s="43">
        <v>44183</v>
      </c>
      <c r="G4342" s="44">
        <v>3709.4099120000001</v>
      </c>
      <c r="H4342" s="44">
        <v>2287.26001</v>
      </c>
      <c r="I4342" s="44">
        <v>1969.98999</v>
      </c>
      <c r="J4342" s="44">
        <v>72.669998000000007</v>
      </c>
      <c r="K4342" s="44">
        <v>117.790001</v>
      </c>
    </row>
    <row r="4343" spans="6:11" x14ac:dyDescent="0.3">
      <c r="F4343" s="43">
        <v>44186</v>
      </c>
      <c r="G4343" s="44">
        <v>3694.919922</v>
      </c>
      <c r="H4343" s="44">
        <v>2282.179932</v>
      </c>
      <c r="I4343" s="44">
        <v>1970.329956</v>
      </c>
      <c r="J4343" s="44">
        <v>71.739998</v>
      </c>
      <c r="K4343" s="44">
        <v>117.790001</v>
      </c>
    </row>
    <row r="4344" spans="6:11" x14ac:dyDescent="0.3">
      <c r="F4344" s="43">
        <v>44187</v>
      </c>
      <c r="G4344" s="44">
        <v>3687.26001</v>
      </c>
      <c r="H4344" s="44">
        <v>2292.1899410000001</v>
      </c>
      <c r="I4344" s="44">
        <v>1989.880005</v>
      </c>
      <c r="J4344" s="44">
        <v>71.559997999999993</v>
      </c>
      <c r="K4344" s="44">
        <v>117.959999</v>
      </c>
    </row>
    <row r="4345" spans="6:11" x14ac:dyDescent="0.3">
      <c r="F4345" s="43">
        <v>44188</v>
      </c>
      <c r="G4345" s="44">
        <v>3690.01001</v>
      </c>
      <c r="H4345" s="44">
        <v>2311.889893</v>
      </c>
      <c r="I4345" s="44">
        <v>2007.099976</v>
      </c>
      <c r="J4345" s="44">
        <v>72.330001999999993</v>
      </c>
      <c r="K4345" s="44">
        <v>117.879997</v>
      </c>
    </row>
    <row r="4346" spans="6:11" x14ac:dyDescent="0.3">
      <c r="F4346" s="43">
        <v>44189</v>
      </c>
      <c r="G4346" s="44">
        <v>3703.0600589999999</v>
      </c>
      <c r="H4346" s="44">
        <v>2315.360107</v>
      </c>
      <c r="I4346" s="44">
        <v>2003.9499510000001</v>
      </c>
      <c r="J4346" s="44">
        <v>72.360000999999997</v>
      </c>
      <c r="K4346" s="44">
        <v>117.989998</v>
      </c>
    </row>
    <row r="4347" spans="6:11" x14ac:dyDescent="0.3">
      <c r="F4347" s="43">
        <v>44193</v>
      </c>
      <c r="G4347" s="44">
        <v>3735.360107</v>
      </c>
      <c r="H4347" s="44">
        <v>2309.5200199999999</v>
      </c>
      <c r="I4347" s="44">
        <v>1996.25</v>
      </c>
      <c r="J4347" s="44">
        <v>72.949996999999996</v>
      </c>
      <c r="K4347" s="44">
        <v>118.010002</v>
      </c>
    </row>
    <row r="4348" spans="6:11" x14ac:dyDescent="0.3">
      <c r="F4348" s="43">
        <v>44194</v>
      </c>
      <c r="G4348" s="44">
        <v>3727.040039</v>
      </c>
      <c r="H4348" s="44">
        <v>2283.98999</v>
      </c>
      <c r="I4348" s="44">
        <v>1959.3599850000001</v>
      </c>
      <c r="J4348" s="44">
        <v>73.419998000000007</v>
      </c>
      <c r="K4348" s="44">
        <v>118.029999</v>
      </c>
    </row>
    <row r="4349" spans="6:11" x14ac:dyDescent="0.3">
      <c r="F4349" s="43">
        <v>44195</v>
      </c>
      <c r="G4349" s="44">
        <v>3732.040039</v>
      </c>
      <c r="H4349" s="44">
        <v>2302.8798830000001</v>
      </c>
      <c r="I4349" s="44">
        <v>1979.98999</v>
      </c>
      <c r="J4349" s="44">
        <v>73.519997000000004</v>
      </c>
      <c r="K4349" s="44">
        <v>118.099998</v>
      </c>
    </row>
    <row r="4350" spans="6:11" x14ac:dyDescent="0.3">
      <c r="F4350" s="43">
        <v>44196</v>
      </c>
      <c r="G4350" s="44">
        <v>3756.070068</v>
      </c>
      <c r="H4350" s="44">
        <v>2306.6201169999999</v>
      </c>
      <c r="I4350" s="44">
        <v>1974.8599850000001</v>
      </c>
      <c r="J4350" s="44">
        <v>72.959998999999996</v>
      </c>
      <c r="K4350" s="44">
        <v>118.19000200000001</v>
      </c>
    </row>
    <row r="4351" spans="6:11" x14ac:dyDescent="0.3">
      <c r="F4351" s="43">
        <v>44200</v>
      </c>
      <c r="G4351" s="44">
        <v>3700.6499020000001</v>
      </c>
      <c r="H4351" s="44">
        <v>2269.4499510000001</v>
      </c>
      <c r="I4351" s="44">
        <v>1945.910034</v>
      </c>
      <c r="J4351" s="44">
        <v>73.339995999999999</v>
      </c>
      <c r="K4351" s="44">
        <v>118.040001</v>
      </c>
    </row>
    <row r="4352" spans="6:11" x14ac:dyDescent="0.3">
      <c r="F4352" s="43">
        <v>44201</v>
      </c>
      <c r="G4352" s="44">
        <v>3726.860107</v>
      </c>
      <c r="H4352" s="44">
        <v>2302.8500979999999</v>
      </c>
      <c r="I4352" s="44">
        <v>1979.1099850000001</v>
      </c>
      <c r="J4352" s="44">
        <v>74.099997999999999</v>
      </c>
      <c r="K4352" s="44">
        <v>117.91999800000001</v>
      </c>
    </row>
    <row r="4353" spans="6:11" x14ac:dyDescent="0.3">
      <c r="F4353" s="43">
        <v>44202</v>
      </c>
      <c r="G4353" s="44">
        <v>3748.139893</v>
      </c>
      <c r="H4353" s="44">
        <v>2392.959961</v>
      </c>
      <c r="I4353" s="44">
        <v>2057.919922</v>
      </c>
      <c r="J4353" s="44">
        <v>74.949996999999996</v>
      </c>
      <c r="K4353" s="44">
        <v>117.339996</v>
      </c>
    </row>
    <row r="4354" spans="6:11" x14ac:dyDescent="0.3">
      <c r="F4354" s="43">
        <v>44203</v>
      </c>
      <c r="G4354" s="44">
        <v>3803.790039</v>
      </c>
      <c r="H4354" s="44">
        <v>2421.070068</v>
      </c>
      <c r="I4354" s="44">
        <v>2096.889893</v>
      </c>
      <c r="J4354" s="44">
        <v>75.029999000000004</v>
      </c>
      <c r="K4354" s="44">
        <v>117.220001</v>
      </c>
    </row>
    <row r="4355" spans="6:11" x14ac:dyDescent="0.3">
      <c r="F4355" s="43">
        <v>44204</v>
      </c>
      <c r="G4355" s="44">
        <v>3824.679932</v>
      </c>
      <c r="H4355" s="44">
        <v>2416.3701169999999</v>
      </c>
      <c r="I4355" s="44">
        <v>2091.6599120000001</v>
      </c>
      <c r="J4355" s="44">
        <v>75.730002999999996</v>
      </c>
      <c r="K4355" s="44">
        <v>117.08000199999999</v>
      </c>
    </row>
    <row r="4356" spans="6:11" x14ac:dyDescent="0.3">
      <c r="F4356" s="43">
        <v>44207</v>
      </c>
      <c r="G4356" s="44">
        <v>3799.610107</v>
      </c>
      <c r="H4356" s="44">
        <v>2421.8100589999999</v>
      </c>
      <c r="I4356" s="44">
        <v>2091.01001</v>
      </c>
      <c r="J4356" s="44">
        <v>74.739998</v>
      </c>
      <c r="K4356" s="44">
        <v>116.889999</v>
      </c>
    </row>
    <row r="4357" spans="6:11" x14ac:dyDescent="0.3">
      <c r="F4357" s="43">
        <v>44208</v>
      </c>
      <c r="G4357" s="44">
        <v>3801.1899410000001</v>
      </c>
      <c r="H4357" s="44">
        <v>2448.8798830000001</v>
      </c>
      <c r="I4357" s="44">
        <v>2127.959961</v>
      </c>
      <c r="J4357" s="44">
        <v>75.080001999999993</v>
      </c>
      <c r="K4357" s="44">
        <v>116.989998</v>
      </c>
    </row>
    <row r="4358" spans="6:11" x14ac:dyDescent="0.3">
      <c r="F4358" s="43">
        <v>44209</v>
      </c>
      <c r="G4358" s="44">
        <v>3809.8400879999999</v>
      </c>
      <c r="H4358" s="44">
        <v>2426.080078</v>
      </c>
      <c r="I4358" s="44">
        <v>2111.969971</v>
      </c>
      <c r="J4358" s="44">
        <v>74.980002999999996</v>
      </c>
      <c r="K4358" s="44">
        <v>117.360001</v>
      </c>
    </row>
    <row r="4359" spans="6:11" x14ac:dyDescent="0.3">
      <c r="F4359" s="43">
        <v>44210</v>
      </c>
      <c r="G4359" s="44">
        <v>3795.540039</v>
      </c>
      <c r="H4359" s="44">
        <v>2448.3798830000001</v>
      </c>
      <c r="I4359" s="44">
        <v>2155.3500979999999</v>
      </c>
      <c r="J4359" s="44">
        <v>75.580001999999993</v>
      </c>
      <c r="K4359" s="44">
        <v>117.129997</v>
      </c>
    </row>
    <row r="4360" spans="6:11" x14ac:dyDescent="0.3">
      <c r="F4360" s="43">
        <v>44211</v>
      </c>
      <c r="G4360" s="44">
        <v>3768.25</v>
      </c>
      <c r="H4360" s="44">
        <v>2424.030029</v>
      </c>
      <c r="I4360" s="44">
        <v>2123.1999510000001</v>
      </c>
      <c r="J4360" s="44">
        <v>74.400002000000001</v>
      </c>
      <c r="K4360" s="44">
        <v>117.25</v>
      </c>
    </row>
    <row r="4361" spans="6:11" x14ac:dyDescent="0.3">
      <c r="F4361" s="43"/>
    </row>
    <row r="4362" spans="6:11" x14ac:dyDescent="0.3">
      <c r="F4362" s="43"/>
    </row>
    <row r="4363" spans="6:11" x14ac:dyDescent="0.3">
      <c r="F4363" s="43"/>
    </row>
    <row r="4364" spans="6:11" x14ac:dyDescent="0.3">
      <c r="F4364" s="43"/>
    </row>
    <row r="4365" spans="6:11" x14ac:dyDescent="0.3">
      <c r="F4365" s="43"/>
    </row>
    <row r="4366" spans="6:11" x14ac:dyDescent="0.3">
      <c r="F4366" s="43"/>
    </row>
    <row r="4367" spans="6:11" x14ac:dyDescent="0.3">
      <c r="F4367" s="43"/>
    </row>
    <row r="4368" spans="6:11" x14ac:dyDescent="0.3">
      <c r="F4368" s="43"/>
    </row>
    <row r="4369" spans="6:6" x14ac:dyDescent="0.3">
      <c r="F4369" s="43"/>
    </row>
    <row r="4370" spans="6:6" x14ac:dyDescent="0.3">
      <c r="F4370" s="43"/>
    </row>
    <row r="4371" spans="6:6" x14ac:dyDescent="0.3">
      <c r="F4371" s="43"/>
    </row>
    <row r="4372" spans="6:6" x14ac:dyDescent="0.3">
      <c r="F4372" s="43"/>
    </row>
    <row r="4373" spans="6:6" x14ac:dyDescent="0.3">
      <c r="F4373" s="43"/>
    </row>
    <row r="4374" spans="6:6" x14ac:dyDescent="0.3">
      <c r="F4374" s="43"/>
    </row>
    <row r="4375" spans="6:6" x14ac:dyDescent="0.3">
      <c r="F4375" s="43"/>
    </row>
    <row r="4376" spans="6:6" x14ac:dyDescent="0.3">
      <c r="F4376" s="43"/>
    </row>
    <row r="4377" spans="6:6" x14ac:dyDescent="0.3">
      <c r="F4377" s="43"/>
    </row>
    <row r="4378" spans="6:6" x14ac:dyDescent="0.3">
      <c r="F4378" s="43"/>
    </row>
    <row r="4379" spans="6:6" x14ac:dyDescent="0.3">
      <c r="F4379" s="43"/>
    </row>
    <row r="4380" spans="6:6" x14ac:dyDescent="0.3">
      <c r="F4380" s="43"/>
    </row>
    <row r="4381" spans="6:6" x14ac:dyDescent="0.3">
      <c r="F4381" s="43"/>
    </row>
    <row r="4382" spans="6:6" x14ac:dyDescent="0.3">
      <c r="F4382" s="43"/>
    </row>
    <row r="4383" spans="6:6" x14ac:dyDescent="0.3">
      <c r="F4383" s="43"/>
    </row>
    <row r="4384" spans="6:6" x14ac:dyDescent="0.3">
      <c r="F4384" s="43"/>
    </row>
    <row r="4385" spans="6:6" x14ac:dyDescent="0.3">
      <c r="F4385" s="43"/>
    </row>
    <row r="4386" spans="6:6" x14ac:dyDescent="0.3">
      <c r="F4386" s="43"/>
    </row>
    <row r="4387" spans="6:6" x14ac:dyDescent="0.3">
      <c r="F4387" s="43"/>
    </row>
    <row r="4388" spans="6:6" x14ac:dyDescent="0.3">
      <c r="F4388" s="43"/>
    </row>
    <row r="4389" spans="6:6" x14ac:dyDescent="0.3">
      <c r="F4389" s="43"/>
    </row>
    <row r="4390" spans="6:6" x14ac:dyDescent="0.3">
      <c r="F4390" s="43"/>
    </row>
    <row r="4391" spans="6:6" x14ac:dyDescent="0.3">
      <c r="F4391" s="43"/>
    </row>
    <row r="4392" spans="6:6" x14ac:dyDescent="0.3">
      <c r="F4392" s="43"/>
    </row>
    <row r="4393" spans="6:6" x14ac:dyDescent="0.3">
      <c r="F4393" s="43"/>
    </row>
    <row r="4394" spans="6:6" x14ac:dyDescent="0.3">
      <c r="F4394" s="43"/>
    </row>
    <row r="4395" spans="6:6" x14ac:dyDescent="0.3">
      <c r="F4395" s="43"/>
    </row>
    <row r="4396" spans="6:6" x14ac:dyDescent="0.3">
      <c r="F4396" s="43"/>
    </row>
    <row r="4397" spans="6:6" x14ac:dyDescent="0.3">
      <c r="F4397" s="43"/>
    </row>
    <row r="4398" spans="6:6" x14ac:dyDescent="0.3">
      <c r="F4398" s="43"/>
    </row>
    <row r="4399" spans="6:6" x14ac:dyDescent="0.3">
      <c r="F4399" s="43"/>
    </row>
    <row r="4400" spans="6:6" x14ac:dyDescent="0.3">
      <c r="F4400" s="43"/>
    </row>
    <row r="4401" spans="6:6" x14ac:dyDescent="0.3">
      <c r="F4401" s="43"/>
    </row>
    <row r="4402" spans="6:6" x14ac:dyDescent="0.3">
      <c r="F4402" s="43"/>
    </row>
    <row r="4403" spans="6:6" x14ac:dyDescent="0.3">
      <c r="F4403" s="43"/>
    </row>
    <row r="4404" spans="6:6" x14ac:dyDescent="0.3">
      <c r="F4404" s="43"/>
    </row>
    <row r="4405" spans="6:6" x14ac:dyDescent="0.3">
      <c r="F4405" s="43"/>
    </row>
    <row r="4406" spans="6:6" x14ac:dyDescent="0.3">
      <c r="F4406" s="43"/>
    </row>
    <row r="4407" spans="6:6" x14ac:dyDescent="0.3">
      <c r="F4407" s="43"/>
    </row>
    <row r="4408" spans="6:6" x14ac:dyDescent="0.3">
      <c r="F4408" s="43"/>
    </row>
    <row r="4409" spans="6:6" x14ac:dyDescent="0.3">
      <c r="F4409" s="43"/>
    </row>
    <row r="4410" spans="6:6" x14ac:dyDescent="0.3">
      <c r="F4410" s="43"/>
    </row>
    <row r="4411" spans="6:6" x14ac:dyDescent="0.3">
      <c r="F4411" s="43"/>
    </row>
    <row r="4412" spans="6:6" x14ac:dyDescent="0.3">
      <c r="F4412" s="43"/>
    </row>
    <row r="4413" spans="6:6" x14ac:dyDescent="0.3">
      <c r="F4413" s="43"/>
    </row>
    <row r="4414" spans="6:6" x14ac:dyDescent="0.3">
      <c r="F4414" s="43"/>
    </row>
    <row r="4415" spans="6:6" x14ac:dyDescent="0.3">
      <c r="F4415" s="43"/>
    </row>
    <row r="4416" spans="6:6" x14ac:dyDescent="0.3">
      <c r="F4416" s="43"/>
    </row>
    <row r="4417" spans="6:6" x14ac:dyDescent="0.3">
      <c r="F4417" s="43"/>
    </row>
    <row r="4418" spans="6:6" x14ac:dyDescent="0.3">
      <c r="F4418" s="43"/>
    </row>
    <row r="4419" spans="6:6" x14ac:dyDescent="0.3">
      <c r="F4419" s="43"/>
    </row>
    <row r="4420" spans="6:6" x14ac:dyDescent="0.3">
      <c r="F4420" s="43"/>
    </row>
    <row r="4421" spans="6:6" x14ac:dyDescent="0.3">
      <c r="F4421" s="43"/>
    </row>
    <row r="4422" spans="6:6" x14ac:dyDescent="0.3">
      <c r="F4422" s="43"/>
    </row>
    <row r="4423" spans="6:6" x14ac:dyDescent="0.3">
      <c r="F4423" s="43"/>
    </row>
    <row r="4424" spans="6:6" x14ac:dyDescent="0.3">
      <c r="F4424" s="43"/>
    </row>
    <row r="4425" spans="6:6" x14ac:dyDescent="0.3">
      <c r="F4425" s="43"/>
    </row>
    <row r="4426" spans="6:6" x14ac:dyDescent="0.3">
      <c r="F4426" s="43"/>
    </row>
    <row r="4427" spans="6:6" x14ac:dyDescent="0.3">
      <c r="F4427" s="43"/>
    </row>
    <row r="4428" spans="6:6" x14ac:dyDescent="0.3">
      <c r="F4428" s="43"/>
    </row>
    <row r="4429" spans="6:6" x14ac:dyDescent="0.3">
      <c r="F4429" s="43"/>
    </row>
    <row r="4430" spans="6:6" x14ac:dyDescent="0.3">
      <c r="F4430" s="43"/>
    </row>
    <row r="4431" spans="6:6" x14ac:dyDescent="0.3">
      <c r="F4431" s="43"/>
    </row>
    <row r="4432" spans="6:6" x14ac:dyDescent="0.3">
      <c r="F4432" s="43"/>
    </row>
    <row r="4433" spans="6:6" x14ac:dyDescent="0.3">
      <c r="F4433" s="43"/>
    </row>
    <row r="4434" spans="6:6" x14ac:dyDescent="0.3">
      <c r="F4434" s="43"/>
    </row>
    <row r="4435" spans="6:6" x14ac:dyDescent="0.3">
      <c r="F4435" s="43"/>
    </row>
    <row r="4436" spans="6:6" x14ac:dyDescent="0.3">
      <c r="F4436" s="43"/>
    </row>
    <row r="4437" spans="6:6" x14ac:dyDescent="0.3">
      <c r="F4437" s="43"/>
    </row>
    <row r="4438" spans="6:6" x14ac:dyDescent="0.3">
      <c r="F4438" s="43"/>
    </row>
    <row r="4439" spans="6:6" x14ac:dyDescent="0.3">
      <c r="F4439" s="43"/>
    </row>
    <row r="4440" spans="6:6" x14ac:dyDescent="0.3">
      <c r="F4440" s="43"/>
    </row>
    <row r="4441" spans="6:6" x14ac:dyDescent="0.3">
      <c r="F4441" s="43"/>
    </row>
    <row r="4442" spans="6:6" x14ac:dyDescent="0.3">
      <c r="F4442" s="43"/>
    </row>
    <row r="4443" spans="6:6" x14ac:dyDescent="0.3">
      <c r="F4443" s="43"/>
    </row>
    <row r="4444" spans="6:6" x14ac:dyDescent="0.3">
      <c r="F4444" s="43"/>
    </row>
    <row r="4445" spans="6:6" x14ac:dyDescent="0.3">
      <c r="F4445" s="43"/>
    </row>
    <row r="4446" spans="6:6" x14ac:dyDescent="0.3">
      <c r="F4446" s="43"/>
    </row>
    <row r="4447" spans="6:6" x14ac:dyDescent="0.3">
      <c r="F4447" s="43"/>
    </row>
    <row r="4448" spans="6:6" x14ac:dyDescent="0.3">
      <c r="F4448" s="43"/>
    </row>
    <row r="4449" spans="6:6" x14ac:dyDescent="0.3">
      <c r="F4449" s="43"/>
    </row>
    <row r="4450" spans="6:6" x14ac:dyDescent="0.3">
      <c r="F4450" s="43"/>
    </row>
    <row r="4451" spans="6:6" x14ac:dyDescent="0.3">
      <c r="F4451" s="43"/>
    </row>
    <row r="4452" spans="6:6" x14ac:dyDescent="0.3">
      <c r="F4452" s="43"/>
    </row>
    <row r="4453" spans="6:6" x14ac:dyDescent="0.3">
      <c r="F4453" s="43"/>
    </row>
    <row r="4454" spans="6:6" x14ac:dyDescent="0.3">
      <c r="F4454" s="43"/>
    </row>
    <row r="4455" spans="6:6" x14ac:dyDescent="0.3">
      <c r="F4455" s="43"/>
    </row>
    <row r="4456" spans="6:6" x14ac:dyDescent="0.3">
      <c r="F4456" s="43"/>
    </row>
    <row r="4457" spans="6:6" x14ac:dyDescent="0.3">
      <c r="F4457" s="43"/>
    </row>
    <row r="4458" spans="6:6" x14ac:dyDescent="0.3">
      <c r="F4458" s="43"/>
    </row>
    <row r="4459" spans="6:6" x14ac:dyDescent="0.3">
      <c r="F4459" s="43"/>
    </row>
    <row r="4460" spans="6:6" x14ac:dyDescent="0.3">
      <c r="F4460" s="43"/>
    </row>
    <row r="4461" spans="6:6" x14ac:dyDescent="0.3">
      <c r="F4461" s="43"/>
    </row>
    <row r="4462" spans="6:6" x14ac:dyDescent="0.3">
      <c r="F4462" s="43"/>
    </row>
    <row r="4463" spans="6:6" x14ac:dyDescent="0.3">
      <c r="F4463" s="43"/>
    </row>
    <row r="4464" spans="6:6" x14ac:dyDescent="0.3">
      <c r="F4464" s="43"/>
    </row>
    <row r="4465" spans="6:6" x14ac:dyDescent="0.3">
      <c r="F4465" s="43"/>
    </row>
    <row r="4466" spans="6:6" x14ac:dyDescent="0.3">
      <c r="F4466" s="43"/>
    </row>
    <row r="4467" spans="6:6" x14ac:dyDescent="0.3">
      <c r="F4467" s="43"/>
    </row>
    <row r="4468" spans="6:6" x14ac:dyDescent="0.3">
      <c r="F4468" s="43"/>
    </row>
    <row r="4469" spans="6:6" x14ac:dyDescent="0.3">
      <c r="F4469" s="43"/>
    </row>
    <row r="4470" spans="6:6" x14ac:dyDescent="0.3">
      <c r="F4470" s="43"/>
    </row>
    <row r="4471" spans="6:6" x14ac:dyDescent="0.3">
      <c r="F4471" s="43"/>
    </row>
    <row r="4472" spans="6:6" x14ac:dyDescent="0.3">
      <c r="F4472" s="43"/>
    </row>
    <row r="4473" spans="6:6" x14ac:dyDescent="0.3">
      <c r="F4473" s="43"/>
    </row>
    <row r="4474" spans="6:6" x14ac:dyDescent="0.3">
      <c r="F4474" s="43"/>
    </row>
    <row r="4475" spans="6:6" x14ac:dyDescent="0.3">
      <c r="F4475" s="43"/>
    </row>
    <row r="4476" spans="6:6" x14ac:dyDescent="0.3">
      <c r="F4476" s="43"/>
    </row>
    <row r="4477" spans="6:6" x14ac:dyDescent="0.3">
      <c r="F4477" s="43"/>
    </row>
    <row r="4478" spans="6:6" x14ac:dyDescent="0.3">
      <c r="F4478" s="43"/>
    </row>
    <row r="4479" spans="6:6" x14ac:dyDescent="0.3">
      <c r="F4479" s="43"/>
    </row>
    <row r="4480" spans="6:6" x14ac:dyDescent="0.3">
      <c r="F4480" s="43"/>
    </row>
    <row r="4481" spans="6:6" x14ac:dyDescent="0.3">
      <c r="F4481" s="43"/>
    </row>
    <row r="4482" spans="6:6" x14ac:dyDescent="0.3">
      <c r="F4482" s="43"/>
    </row>
    <row r="4483" spans="6:6" x14ac:dyDescent="0.3">
      <c r="F4483" s="43"/>
    </row>
    <row r="4484" spans="6:6" x14ac:dyDescent="0.3">
      <c r="F4484" s="43"/>
    </row>
    <row r="4485" spans="6:6" x14ac:dyDescent="0.3">
      <c r="F4485" s="43"/>
    </row>
    <row r="4486" spans="6:6" x14ac:dyDescent="0.3">
      <c r="F4486" s="43"/>
    </row>
    <row r="4487" spans="6:6" x14ac:dyDescent="0.3">
      <c r="F4487" s="43"/>
    </row>
    <row r="4488" spans="6:6" x14ac:dyDescent="0.3">
      <c r="F4488" s="43"/>
    </row>
    <row r="4489" spans="6:6" x14ac:dyDescent="0.3">
      <c r="F4489" s="43"/>
    </row>
    <row r="4490" spans="6:6" x14ac:dyDescent="0.3">
      <c r="F4490" s="43"/>
    </row>
    <row r="4491" spans="6:6" x14ac:dyDescent="0.3">
      <c r="F4491" s="43"/>
    </row>
    <row r="4492" spans="6:6" x14ac:dyDescent="0.3">
      <c r="F4492" s="43"/>
    </row>
    <row r="4493" spans="6:6" x14ac:dyDescent="0.3">
      <c r="F4493" s="43"/>
    </row>
    <row r="4494" spans="6:6" x14ac:dyDescent="0.3">
      <c r="F4494" s="43"/>
    </row>
    <row r="4495" spans="6:6" x14ac:dyDescent="0.3">
      <c r="F4495" s="43"/>
    </row>
    <row r="4496" spans="6:6" x14ac:dyDescent="0.3">
      <c r="F4496" s="43"/>
    </row>
    <row r="4497" spans="6:6" x14ac:dyDescent="0.3">
      <c r="F4497" s="43"/>
    </row>
    <row r="4498" spans="6:6" x14ac:dyDescent="0.3">
      <c r="F4498" s="43"/>
    </row>
    <row r="4499" spans="6:6" x14ac:dyDescent="0.3">
      <c r="F4499" s="43"/>
    </row>
    <row r="4500" spans="6:6" x14ac:dyDescent="0.3">
      <c r="F4500" s="43"/>
    </row>
    <row r="4501" spans="6:6" x14ac:dyDescent="0.3">
      <c r="F4501" s="43"/>
    </row>
    <row r="4502" spans="6:6" x14ac:dyDescent="0.3">
      <c r="F4502" s="43"/>
    </row>
    <row r="4503" spans="6:6" x14ac:dyDescent="0.3">
      <c r="F4503" s="43"/>
    </row>
    <row r="4504" spans="6:6" x14ac:dyDescent="0.3">
      <c r="F4504" s="43"/>
    </row>
    <row r="4505" spans="6:6" x14ac:dyDescent="0.3">
      <c r="F4505" s="43"/>
    </row>
    <row r="4506" spans="6:6" x14ac:dyDescent="0.3">
      <c r="F4506" s="43"/>
    </row>
    <row r="4507" spans="6:6" x14ac:dyDescent="0.3">
      <c r="F4507" s="43"/>
    </row>
    <row r="4508" spans="6:6" x14ac:dyDescent="0.3">
      <c r="F4508" s="43"/>
    </row>
    <row r="4509" spans="6:6" x14ac:dyDescent="0.3">
      <c r="F4509" s="43"/>
    </row>
    <row r="4510" spans="6:6" x14ac:dyDescent="0.3">
      <c r="F4510" s="43"/>
    </row>
    <row r="4511" spans="6:6" x14ac:dyDescent="0.3">
      <c r="F4511" s="43"/>
    </row>
    <row r="4512" spans="6:6" x14ac:dyDescent="0.3">
      <c r="F4512" s="43"/>
    </row>
    <row r="4513" spans="6:6" x14ac:dyDescent="0.3">
      <c r="F4513" s="43"/>
    </row>
    <row r="4514" spans="6:6" x14ac:dyDescent="0.3">
      <c r="F4514" s="43"/>
    </row>
    <row r="4515" spans="6:6" x14ac:dyDescent="0.3">
      <c r="F4515" s="43"/>
    </row>
    <row r="4516" spans="6:6" x14ac:dyDescent="0.3">
      <c r="F4516" s="43"/>
    </row>
    <row r="4517" spans="6:6" x14ac:dyDescent="0.3">
      <c r="F4517" s="43"/>
    </row>
    <row r="4518" spans="6:6" x14ac:dyDescent="0.3">
      <c r="F4518" s="43"/>
    </row>
    <row r="4519" spans="6:6" x14ac:dyDescent="0.3">
      <c r="F4519" s="43"/>
    </row>
    <row r="4520" spans="6:6" x14ac:dyDescent="0.3">
      <c r="F4520" s="43"/>
    </row>
    <row r="4521" spans="6:6" x14ac:dyDescent="0.3">
      <c r="F4521" s="43"/>
    </row>
    <row r="4522" spans="6:6" x14ac:dyDescent="0.3">
      <c r="F4522" s="43"/>
    </row>
    <row r="4523" spans="6:6" x14ac:dyDescent="0.3">
      <c r="F4523" s="43"/>
    </row>
    <row r="4524" spans="6:6" x14ac:dyDescent="0.3">
      <c r="F4524" s="43"/>
    </row>
    <row r="4525" spans="6:6" x14ac:dyDescent="0.3">
      <c r="F4525" s="43"/>
    </row>
    <row r="4526" spans="6:6" x14ac:dyDescent="0.3">
      <c r="F4526" s="43"/>
    </row>
    <row r="4527" spans="6:6" x14ac:dyDescent="0.3">
      <c r="F4527" s="43"/>
    </row>
    <row r="4528" spans="6:6" x14ac:dyDescent="0.3">
      <c r="F4528" s="43"/>
    </row>
    <row r="4529" spans="6:6" x14ac:dyDescent="0.3">
      <c r="F4529" s="43"/>
    </row>
    <row r="4530" spans="6:6" x14ac:dyDescent="0.3">
      <c r="F4530" s="43"/>
    </row>
    <row r="4531" spans="6:6" x14ac:dyDescent="0.3">
      <c r="F4531" s="43"/>
    </row>
    <row r="4532" spans="6:6" x14ac:dyDescent="0.3">
      <c r="F4532" s="43"/>
    </row>
    <row r="4533" spans="6:6" x14ac:dyDescent="0.3">
      <c r="F4533" s="43"/>
    </row>
    <row r="4534" spans="6:6" x14ac:dyDescent="0.3">
      <c r="F4534" s="43"/>
    </row>
    <row r="4535" spans="6:6" x14ac:dyDescent="0.3">
      <c r="F4535" s="43"/>
    </row>
    <row r="4536" spans="6:6" x14ac:dyDescent="0.3">
      <c r="F4536" s="43"/>
    </row>
    <row r="4537" spans="6:6" x14ac:dyDescent="0.3">
      <c r="F4537" s="43"/>
    </row>
    <row r="4538" spans="6:6" x14ac:dyDescent="0.3">
      <c r="F4538" s="43"/>
    </row>
    <row r="4539" spans="6:6" x14ac:dyDescent="0.3">
      <c r="F4539" s="43"/>
    </row>
    <row r="4540" spans="6:6" x14ac:dyDescent="0.3">
      <c r="F4540" s="43"/>
    </row>
    <row r="4541" spans="6:6" x14ac:dyDescent="0.3">
      <c r="F4541" s="43"/>
    </row>
    <row r="4542" spans="6:6" x14ac:dyDescent="0.3">
      <c r="F4542" s="43"/>
    </row>
    <row r="4543" spans="6:6" x14ac:dyDescent="0.3">
      <c r="F4543" s="43"/>
    </row>
    <row r="4544" spans="6:6" x14ac:dyDescent="0.3">
      <c r="F4544" s="43"/>
    </row>
    <row r="4545" spans="6:6" x14ac:dyDescent="0.3">
      <c r="F4545" s="43"/>
    </row>
    <row r="4546" spans="6:6" x14ac:dyDescent="0.3">
      <c r="F4546" s="43"/>
    </row>
    <row r="4547" spans="6:6" x14ac:dyDescent="0.3">
      <c r="F4547" s="43"/>
    </row>
    <row r="4548" spans="6:6" x14ac:dyDescent="0.3">
      <c r="F4548" s="43"/>
    </row>
    <row r="4549" spans="6:6" x14ac:dyDescent="0.3">
      <c r="F4549" s="43"/>
    </row>
    <row r="4550" spans="6:6" x14ac:dyDescent="0.3">
      <c r="F4550" s="43"/>
    </row>
    <row r="4551" spans="6:6" x14ac:dyDescent="0.3">
      <c r="F4551" s="43"/>
    </row>
    <row r="4552" spans="6:6" x14ac:dyDescent="0.3">
      <c r="F4552" s="43"/>
    </row>
    <row r="4553" spans="6:6" x14ac:dyDescent="0.3">
      <c r="F4553" s="43"/>
    </row>
    <row r="4554" spans="6:6" x14ac:dyDescent="0.3">
      <c r="F4554" s="43"/>
    </row>
    <row r="4555" spans="6:6" x14ac:dyDescent="0.3">
      <c r="F4555" s="43"/>
    </row>
    <row r="4556" spans="6:6" x14ac:dyDescent="0.3">
      <c r="F4556" s="43"/>
    </row>
    <row r="4557" spans="6:6" x14ac:dyDescent="0.3">
      <c r="F4557" s="43"/>
    </row>
    <row r="4558" spans="6:6" x14ac:dyDescent="0.3">
      <c r="F4558" s="43"/>
    </row>
    <row r="4559" spans="6:6" x14ac:dyDescent="0.3">
      <c r="F4559" s="43"/>
    </row>
    <row r="4560" spans="6:6" x14ac:dyDescent="0.3">
      <c r="F4560" s="43"/>
    </row>
    <row r="4561" spans="6:6" x14ac:dyDescent="0.3">
      <c r="F4561" s="43"/>
    </row>
    <row r="4562" spans="6:6" x14ac:dyDescent="0.3">
      <c r="F4562" s="43"/>
    </row>
    <row r="4563" spans="6:6" x14ac:dyDescent="0.3">
      <c r="F4563" s="43"/>
    </row>
    <row r="4564" spans="6:6" x14ac:dyDescent="0.3">
      <c r="F4564" s="43"/>
    </row>
    <row r="4565" spans="6:6" x14ac:dyDescent="0.3">
      <c r="F4565" s="43"/>
    </row>
    <row r="4566" spans="6:6" x14ac:dyDescent="0.3">
      <c r="F4566" s="43"/>
    </row>
    <row r="4567" spans="6:6" x14ac:dyDescent="0.3">
      <c r="F4567" s="43"/>
    </row>
    <row r="4568" spans="6:6" x14ac:dyDescent="0.3">
      <c r="F4568" s="43"/>
    </row>
    <row r="4569" spans="6:6" x14ac:dyDescent="0.3">
      <c r="F4569" s="43"/>
    </row>
    <row r="4570" spans="6:6" x14ac:dyDescent="0.3">
      <c r="F4570" s="43"/>
    </row>
    <row r="4571" spans="6:6" x14ac:dyDescent="0.3">
      <c r="F4571" s="43"/>
    </row>
    <row r="4572" spans="6:6" x14ac:dyDescent="0.3">
      <c r="F4572" s="43"/>
    </row>
    <row r="4573" spans="6:6" x14ac:dyDescent="0.3">
      <c r="F4573" s="43"/>
    </row>
    <row r="4574" spans="6:6" x14ac:dyDescent="0.3">
      <c r="F4574" s="43"/>
    </row>
    <row r="4575" spans="6:6" x14ac:dyDescent="0.3">
      <c r="F4575" s="43"/>
    </row>
    <row r="4576" spans="6:6" x14ac:dyDescent="0.3">
      <c r="F4576" s="43"/>
    </row>
    <row r="4577" spans="6:6" x14ac:dyDescent="0.3">
      <c r="F4577" s="43"/>
    </row>
    <row r="4578" spans="6:6" x14ac:dyDescent="0.3">
      <c r="F4578" s="43"/>
    </row>
    <row r="4579" spans="6:6" x14ac:dyDescent="0.3">
      <c r="F4579" s="43"/>
    </row>
    <row r="4580" spans="6:6" x14ac:dyDescent="0.3">
      <c r="F4580" s="43"/>
    </row>
    <row r="4581" spans="6:6" x14ac:dyDescent="0.3">
      <c r="F4581" s="43"/>
    </row>
    <row r="4582" spans="6:6" x14ac:dyDescent="0.3">
      <c r="F4582" s="43"/>
    </row>
    <row r="4583" spans="6:6" x14ac:dyDescent="0.3">
      <c r="F4583" s="43"/>
    </row>
    <row r="4584" spans="6:6" x14ac:dyDescent="0.3">
      <c r="F4584" s="43"/>
    </row>
    <row r="4585" spans="6:6" x14ac:dyDescent="0.3">
      <c r="F4585" s="43"/>
    </row>
    <row r="4586" spans="6:6" x14ac:dyDescent="0.3">
      <c r="F4586" s="43"/>
    </row>
    <row r="4587" spans="6:6" x14ac:dyDescent="0.3">
      <c r="F4587" s="43"/>
    </row>
    <row r="4588" spans="6:6" x14ac:dyDescent="0.3">
      <c r="F4588" s="43"/>
    </row>
    <row r="4589" spans="6:6" x14ac:dyDescent="0.3">
      <c r="F4589" s="43"/>
    </row>
    <row r="4590" spans="6:6" x14ac:dyDescent="0.3">
      <c r="F4590" s="43"/>
    </row>
    <row r="4591" spans="6:6" x14ac:dyDescent="0.3">
      <c r="F4591" s="43"/>
    </row>
    <row r="4592" spans="6:6" x14ac:dyDescent="0.3">
      <c r="F4592" s="43"/>
    </row>
    <row r="4593" spans="6:6" x14ac:dyDescent="0.3">
      <c r="F4593" s="43"/>
    </row>
    <row r="4594" spans="6:6" x14ac:dyDescent="0.3">
      <c r="F4594" s="43"/>
    </row>
    <row r="4595" spans="6:6" x14ac:dyDescent="0.3">
      <c r="F4595" s="43"/>
    </row>
    <row r="4596" spans="6:6" x14ac:dyDescent="0.3">
      <c r="F4596" s="43"/>
    </row>
    <row r="4597" spans="6:6" x14ac:dyDescent="0.3">
      <c r="F4597" s="43"/>
    </row>
    <row r="4598" spans="6:6" x14ac:dyDescent="0.3">
      <c r="F4598" s="43"/>
    </row>
    <row r="4599" spans="6:6" x14ac:dyDescent="0.3">
      <c r="F4599" s="43"/>
    </row>
    <row r="4600" spans="6:6" x14ac:dyDescent="0.3">
      <c r="F4600" s="43"/>
    </row>
    <row r="4601" spans="6:6" x14ac:dyDescent="0.3">
      <c r="F4601" s="43"/>
    </row>
    <row r="4602" spans="6:6" x14ac:dyDescent="0.3">
      <c r="F4602" s="43"/>
    </row>
    <row r="4603" spans="6:6" x14ac:dyDescent="0.3">
      <c r="F4603" s="43"/>
    </row>
    <row r="4604" spans="6:6" x14ac:dyDescent="0.3">
      <c r="F4604" s="43"/>
    </row>
    <row r="4605" spans="6:6" x14ac:dyDescent="0.3">
      <c r="F4605" s="43"/>
    </row>
    <row r="4606" spans="6:6" x14ac:dyDescent="0.3">
      <c r="F4606" s="43"/>
    </row>
    <row r="4607" spans="6:6" x14ac:dyDescent="0.3">
      <c r="F4607" s="43"/>
    </row>
    <row r="4608" spans="6:6" x14ac:dyDescent="0.3">
      <c r="F4608" s="43"/>
    </row>
    <row r="4609" spans="6:6" x14ac:dyDescent="0.3">
      <c r="F4609" s="43"/>
    </row>
    <row r="4610" spans="6:6" x14ac:dyDescent="0.3">
      <c r="F4610" s="43"/>
    </row>
    <row r="4611" spans="6:6" x14ac:dyDescent="0.3">
      <c r="F4611" s="43"/>
    </row>
    <row r="4612" spans="6:6" x14ac:dyDescent="0.3">
      <c r="F4612" s="43"/>
    </row>
    <row r="4613" spans="6:6" x14ac:dyDescent="0.3">
      <c r="F4613" s="43"/>
    </row>
    <row r="4614" spans="6:6" x14ac:dyDescent="0.3">
      <c r="F4614" s="43"/>
    </row>
    <row r="4615" spans="6:6" x14ac:dyDescent="0.3">
      <c r="F4615" s="43"/>
    </row>
    <row r="4616" spans="6:6" x14ac:dyDescent="0.3">
      <c r="F4616" s="43"/>
    </row>
    <row r="4617" spans="6:6" x14ac:dyDescent="0.3">
      <c r="F4617" s="43"/>
    </row>
    <row r="4618" spans="6:6" x14ac:dyDescent="0.3">
      <c r="F4618" s="43"/>
    </row>
    <row r="4619" spans="6:6" x14ac:dyDescent="0.3">
      <c r="F4619" s="43"/>
    </row>
    <row r="4620" spans="6:6" x14ac:dyDescent="0.3">
      <c r="F4620" s="43"/>
    </row>
    <row r="4621" spans="6:6" x14ac:dyDescent="0.3">
      <c r="F4621" s="43"/>
    </row>
    <row r="4622" spans="6:6" x14ac:dyDescent="0.3">
      <c r="F4622" s="43"/>
    </row>
    <row r="4623" spans="6:6" x14ac:dyDescent="0.3">
      <c r="F4623" s="43"/>
    </row>
    <row r="4624" spans="6:6" x14ac:dyDescent="0.3">
      <c r="F4624" s="43"/>
    </row>
    <row r="4625" spans="6:6" x14ac:dyDescent="0.3">
      <c r="F4625" s="43"/>
    </row>
    <row r="4626" spans="6:6" x14ac:dyDescent="0.3">
      <c r="F4626" s="43"/>
    </row>
    <row r="4627" spans="6:6" x14ac:dyDescent="0.3">
      <c r="F4627" s="43"/>
    </row>
    <row r="4628" spans="6:6" x14ac:dyDescent="0.3">
      <c r="F4628" s="43"/>
    </row>
    <row r="4629" spans="6:6" x14ac:dyDescent="0.3">
      <c r="F4629" s="43"/>
    </row>
    <row r="4630" spans="6:6" x14ac:dyDescent="0.3">
      <c r="F4630" s="43"/>
    </row>
    <row r="4631" spans="6:6" x14ac:dyDescent="0.3">
      <c r="F4631" s="43"/>
    </row>
    <row r="4632" spans="6:6" x14ac:dyDescent="0.3">
      <c r="F4632" s="43"/>
    </row>
    <row r="4633" spans="6:6" x14ac:dyDescent="0.3">
      <c r="F4633" s="43"/>
    </row>
    <row r="4634" spans="6:6" x14ac:dyDescent="0.3">
      <c r="F4634" s="43"/>
    </row>
    <row r="4635" spans="6:6" x14ac:dyDescent="0.3">
      <c r="F4635" s="43"/>
    </row>
    <row r="4636" spans="6:6" x14ac:dyDescent="0.3">
      <c r="F4636" s="43"/>
    </row>
    <row r="4637" spans="6:6" x14ac:dyDescent="0.3">
      <c r="F4637" s="43"/>
    </row>
    <row r="4638" spans="6:6" x14ac:dyDescent="0.3">
      <c r="F4638" s="43"/>
    </row>
    <row r="4639" spans="6:6" x14ac:dyDescent="0.3">
      <c r="F4639" s="43"/>
    </row>
    <row r="4640" spans="6:6" x14ac:dyDescent="0.3">
      <c r="F4640" s="43"/>
    </row>
    <row r="4641" spans="6:6" x14ac:dyDescent="0.3">
      <c r="F4641" s="43"/>
    </row>
    <row r="4642" spans="6:6" x14ac:dyDescent="0.3">
      <c r="F4642" s="43"/>
    </row>
    <row r="4643" spans="6:6" x14ac:dyDescent="0.3">
      <c r="F4643" s="43"/>
    </row>
    <row r="4644" spans="6:6" x14ac:dyDescent="0.3">
      <c r="F4644" s="43"/>
    </row>
    <row r="4645" spans="6:6" x14ac:dyDescent="0.3">
      <c r="F4645" s="43"/>
    </row>
    <row r="4646" spans="6:6" x14ac:dyDescent="0.3">
      <c r="F4646" s="43"/>
    </row>
    <row r="4647" spans="6:6" x14ac:dyDescent="0.3">
      <c r="F4647" s="43"/>
    </row>
    <row r="4648" spans="6:6" x14ac:dyDescent="0.3">
      <c r="F4648" s="43"/>
    </row>
    <row r="4649" spans="6:6" x14ac:dyDescent="0.3">
      <c r="F4649" s="43"/>
    </row>
    <row r="4650" spans="6:6" x14ac:dyDescent="0.3">
      <c r="F4650" s="43"/>
    </row>
    <row r="4651" spans="6:6" x14ac:dyDescent="0.3">
      <c r="F4651" s="43"/>
    </row>
    <row r="4652" spans="6:6" x14ac:dyDescent="0.3">
      <c r="F4652" s="43"/>
    </row>
    <row r="4653" spans="6:6" x14ac:dyDescent="0.3">
      <c r="F4653" s="43"/>
    </row>
    <row r="4654" spans="6:6" x14ac:dyDescent="0.3">
      <c r="F4654" s="43"/>
    </row>
    <row r="4655" spans="6:6" x14ac:dyDescent="0.3">
      <c r="F4655" s="43"/>
    </row>
    <row r="4656" spans="6:6" x14ac:dyDescent="0.3">
      <c r="F4656" s="43"/>
    </row>
    <row r="4657" spans="6:6" x14ac:dyDescent="0.3">
      <c r="F4657" s="43"/>
    </row>
    <row r="4658" spans="6:6" x14ac:dyDescent="0.3">
      <c r="F4658" s="43"/>
    </row>
    <row r="4659" spans="6:6" x14ac:dyDescent="0.3">
      <c r="F4659" s="43"/>
    </row>
    <row r="4660" spans="6:6" x14ac:dyDescent="0.3">
      <c r="F4660" s="43"/>
    </row>
    <row r="4661" spans="6:6" x14ac:dyDescent="0.3">
      <c r="F4661" s="43"/>
    </row>
    <row r="4662" spans="6:6" x14ac:dyDescent="0.3">
      <c r="F4662" s="43"/>
    </row>
    <row r="4663" spans="6:6" x14ac:dyDescent="0.3">
      <c r="F4663" s="43"/>
    </row>
    <row r="4664" spans="6:6" x14ac:dyDescent="0.3">
      <c r="F4664" s="43"/>
    </row>
    <row r="4665" spans="6:6" x14ac:dyDescent="0.3">
      <c r="F4665" s="43"/>
    </row>
    <row r="4666" spans="6:6" x14ac:dyDescent="0.3">
      <c r="F4666" s="43"/>
    </row>
    <row r="4667" spans="6:6" x14ac:dyDescent="0.3">
      <c r="F4667" s="43"/>
    </row>
    <row r="4668" spans="6:6" x14ac:dyDescent="0.3">
      <c r="F4668" s="43"/>
    </row>
    <row r="4669" spans="6:6" x14ac:dyDescent="0.3">
      <c r="F4669" s="43"/>
    </row>
    <row r="4670" spans="6:6" x14ac:dyDescent="0.3">
      <c r="F4670" s="43"/>
    </row>
    <row r="4671" spans="6:6" x14ac:dyDescent="0.3">
      <c r="F4671" s="43"/>
    </row>
    <row r="4672" spans="6:6" x14ac:dyDescent="0.3">
      <c r="F4672" s="43"/>
    </row>
    <row r="4673" spans="6:6" x14ac:dyDescent="0.3">
      <c r="F4673" s="43"/>
    </row>
    <row r="4674" spans="6:6" x14ac:dyDescent="0.3">
      <c r="F4674" s="43"/>
    </row>
    <row r="4675" spans="6:6" x14ac:dyDescent="0.3">
      <c r="F4675" s="43"/>
    </row>
    <row r="4676" spans="6:6" x14ac:dyDescent="0.3">
      <c r="F4676" s="43"/>
    </row>
    <row r="4677" spans="6:6" x14ac:dyDescent="0.3">
      <c r="F4677" s="43"/>
    </row>
    <row r="4678" spans="6:6" x14ac:dyDescent="0.3">
      <c r="F4678" s="43"/>
    </row>
    <row r="4679" spans="6:6" x14ac:dyDescent="0.3">
      <c r="F4679" s="43"/>
    </row>
    <row r="4680" spans="6:6" x14ac:dyDescent="0.3">
      <c r="F4680" s="43"/>
    </row>
    <row r="4681" spans="6:6" x14ac:dyDescent="0.3">
      <c r="F4681" s="43"/>
    </row>
    <row r="4682" spans="6:6" x14ac:dyDescent="0.3">
      <c r="F4682" s="43"/>
    </row>
    <row r="4683" spans="6:6" x14ac:dyDescent="0.3">
      <c r="F4683" s="43"/>
    </row>
    <row r="4684" spans="6:6" x14ac:dyDescent="0.3">
      <c r="F4684" s="43"/>
    </row>
    <row r="4685" spans="6:6" x14ac:dyDescent="0.3">
      <c r="F4685" s="43"/>
    </row>
    <row r="4686" spans="6:6" x14ac:dyDescent="0.3">
      <c r="F4686" s="43"/>
    </row>
    <row r="4687" spans="6:6" x14ac:dyDescent="0.3">
      <c r="F4687" s="43"/>
    </row>
    <row r="4688" spans="6:6" x14ac:dyDescent="0.3">
      <c r="F4688" s="43"/>
    </row>
    <row r="4689" spans="6:6" x14ac:dyDescent="0.3">
      <c r="F4689" s="43"/>
    </row>
    <row r="4690" spans="6:6" x14ac:dyDescent="0.3">
      <c r="F4690" s="43"/>
    </row>
    <row r="4691" spans="6:6" x14ac:dyDescent="0.3">
      <c r="F4691" s="43"/>
    </row>
    <row r="4692" spans="6:6" x14ac:dyDescent="0.3">
      <c r="F4692" s="43"/>
    </row>
    <row r="4693" spans="6:6" x14ac:dyDescent="0.3">
      <c r="F4693" s="43"/>
    </row>
    <row r="4694" spans="6:6" x14ac:dyDescent="0.3">
      <c r="F4694" s="43"/>
    </row>
    <row r="4695" spans="6:6" x14ac:dyDescent="0.3">
      <c r="F4695" s="43"/>
    </row>
    <row r="4696" spans="6:6" x14ac:dyDescent="0.3">
      <c r="F4696" s="43"/>
    </row>
    <row r="4697" spans="6:6" x14ac:dyDescent="0.3">
      <c r="F4697" s="43"/>
    </row>
    <row r="4698" spans="6:6" x14ac:dyDescent="0.3">
      <c r="F4698" s="43"/>
    </row>
    <row r="4699" spans="6:6" x14ac:dyDescent="0.3">
      <c r="F4699" s="43"/>
    </row>
    <row r="4700" spans="6:6" x14ac:dyDescent="0.3">
      <c r="F4700" s="43"/>
    </row>
    <row r="4701" spans="6:6" x14ac:dyDescent="0.3">
      <c r="F4701" s="43"/>
    </row>
    <row r="4702" spans="6:6" x14ac:dyDescent="0.3">
      <c r="F4702" s="43"/>
    </row>
    <row r="4703" spans="6:6" x14ac:dyDescent="0.3">
      <c r="F4703" s="43"/>
    </row>
    <row r="4704" spans="6:6" x14ac:dyDescent="0.3">
      <c r="F4704" s="43"/>
    </row>
    <row r="4705" spans="6:6" x14ac:dyDescent="0.3">
      <c r="F4705" s="43"/>
    </row>
    <row r="4706" spans="6:6" x14ac:dyDescent="0.3">
      <c r="F4706" s="43"/>
    </row>
    <row r="4707" spans="6:6" x14ac:dyDescent="0.3">
      <c r="F4707" s="43"/>
    </row>
    <row r="4708" spans="6:6" x14ac:dyDescent="0.3">
      <c r="F4708" s="43"/>
    </row>
    <row r="4709" spans="6:6" x14ac:dyDescent="0.3">
      <c r="F4709" s="43"/>
    </row>
    <row r="4710" spans="6:6" x14ac:dyDescent="0.3">
      <c r="F4710" s="43"/>
    </row>
    <row r="4711" spans="6:6" x14ac:dyDescent="0.3">
      <c r="F4711" s="43"/>
    </row>
    <row r="4712" spans="6:6" x14ac:dyDescent="0.3">
      <c r="F4712" s="43"/>
    </row>
    <row r="4713" spans="6:6" x14ac:dyDescent="0.3">
      <c r="F4713" s="43"/>
    </row>
    <row r="4714" spans="6:6" x14ac:dyDescent="0.3">
      <c r="F4714" s="43"/>
    </row>
    <row r="4715" spans="6:6" x14ac:dyDescent="0.3">
      <c r="F4715" s="43"/>
    </row>
    <row r="4716" spans="6:6" x14ac:dyDescent="0.3">
      <c r="F4716" s="43"/>
    </row>
    <row r="4717" spans="6:6" x14ac:dyDescent="0.3">
      <c r="F4717" s="43"/>
    </row>
    <row r="4718" spans="6:6" x14ac:dyDescent="0.3">
      <c r="F4718" s="43"/>
    </row>
    <row r="4719" spans="6:6" x14ac:dyDescent="0.3">
      <c r="F4719" s="43"/>
    </row>
    <row r="4720" spans="6:6" x14ac:dyDescent="0.3">
      <c r="F4720" s="43"/>
    </row>
    <row r="4721" spans="6:6" x14ac:dyDescent="0.3">
      <c r="F4721" s="43"/>
    </row>
    <row r="4722" spans="6:6" x14ac:dyDescent="0.3">
      <c r="F4722" s="43"/>
    </row>
    <row r="4723" spans="6:6" x14ac:dyDescent="0.3">
      <c r="F4723" s="43"/>
    </row>
    <row r="4724" spans="6:6" x14ac:dyDescent="0.3">
      <c r="F4724" s="43"/>
    </row>
    <row r="4725" spans="6:6" x14ac:dyDescent="0.3">
      <c r="F4725" s="43"/>
    </row>
    <row r="4726" spans="6:6" x14ac:dyDescent="0.3">
      <c r="F4726" s="43"/>
    </row>
    <row r="4727" spans="6:6" x14ac:dyDescent="0.3">
      <c r="F4727" s="43"/>
    </row>
    <row r="4728" spans="6:6" x14ac:dyDescent="0.3">
      <c r="F4728" s="43"/>
    </row>
    <row r="4729" spans="6:6" x14ac:dyDescent="0.3">
      <c r="F4729" s="43"/>
    </row>
    <row r="4730" spans="6:6" x14ac:dyDescent="0.3">
      <c r="F4730" s="43"/>
    </row>
    <row r="4731" spans="6:6" x14ac:dyDescent="0.3">
      <c r="F4731" s="43"/>
    </row>
    <row r="4732" spans="6:6" x14ac:dyDescent="0.3">
      <c r="F4732" s="43"/>
    </row>
    <row r="4733" spans="6:6" x14ac:dyDescent="0.3">
      <c r="F4733" s="43"/>
    </row>
    <row r="4734" spans="6:6" x14ac:dyDescent="0.3">
      <c r="F4734" s="43"/>
    </row>
    <row r="4735" spans="6:6" x14ac:dyDescent="0.3">
      <c r="F4735" s="43"/>
    </row>
    <row r="4736" spans="6:6" x14ac:dyDescent="0.3">
      <c r="F4736" s="43"/>
    </row>
    <row r="4737" spans="6:6" x14ac:dyDescent="0.3">
      <c r="F4737" s="43"/>
    </row>
    <row r="4738" spans="6:6" x14ac:dyDescent="0.3">
      <c r="F4738" s="43"/>
    </row>
    <row r="4739" spans="6:6" x14ac:dyDescent="0.3">
      <c r="F4739" s="43"/>
    </row>
    <row r="4740" spans="6:6" x14ac:dyDescent="0.3">
      <c r="F4740" s="43"/>
    </row>
    <row r="4741" spans="6:6" x14ac:dyDescent="0.3">
      <c r="F4741" s="43"/>
    </row>
    <row r="4742" spans="6:6" x14ac:dyDescent="0.3">
      <c r="F4742" s="43"/>
    </row>
    <row r="4743" spans="6:6" x14ac:dyDescent="0.3">
      <c r="F4743" s="43"/>
    </row>
    <row r="4744" spans="6:6" x14ac:dyDescent="0.3">
      <c r="F4744" s="43"/>
    </row>
    <row r="4745" spans="6:6" x14ac:dyDescent="0.3">
      <c r="F4745" s="43"/>
    </row>
    <row r="4746" spans="6:6" x14ac:dyDescent="0.3">
      <c r="F4746" s="43"/>
    </row>
    <row r="4747" spans="6:6" x14ac:dyDescent="0.3">
      <c r="F4747" s="43"/>
    </row>
    <row r="4748" spans="6:6" x14ac:dyDescent="0.3">
      <c r="F4748" s="43"/>
    </row>
    <row r="4749" spans="6:6" x14ac:dyDescent="0.3">
      <c r="F4749" s="43"/>
    </row>
    <row r="4750" spans="6:6" x14ac:dyDescent="0.3">
      <c r="F4750" s="43"/>
    </row>
    <row r="4751" spans="6:6" x14ac:dyDescent="0.3">
      <c r="F4751" s="43"/>
    </row>
    <row r="4752" spans="6:6" x14ac:dyDescent="0.3">
      <c r="F4752" s="43"/>
    </row>
    <row r="4753" spans="6:6" x14ac:dyDescent="0.3">
      <c r="F4753" s="43"/>
    </row>
    <row r="4754" spans="6:6" x14ac:dyDescent="0.3">
      <c r="F4754" s="43"/>
    </row>
    <row r="4755" spans="6:6" x14ac:dyDescent="0.3">
      <c r="F4755" s="43"/>
    </row>
    <row r="4756" spans="6:6" x14ac:dyDescent="0.3">
      <c r="F4756" s="43"/>
    </row>
    <row r="4757" spans="6:6" x14ac:dyDescent="0.3">
      <c r="F4757" s="43"/>
    </row>
    <row r="4758" spans="6:6" x14ac:dyDescent="0.3">
      <c r="F4758" s="43"/>
    </row>
    <row r="4759" spans="6:6" x14ac:dyDescent="0.3">
      <c r="F4759" s="43"/>
    </row>
    <row r="4760" spans="6:6" x14ac:dyDescent="0.3">
      <c r="F4760" s="43"/>
    </row>
    <row r="4761" spans="6:6" x14ac:dyDescent="0.3">
      <c r="F4761" s="43"/>
    </row>
    <row r="4762" spans="6:6" x14ac:dyDescent="0.3">
      <c r="F4762" s="43"/>
    </row>
    <row r="4763" spans="6:6" x14ac:dyDescent="0.3">
      <c r="F4763" s="43"/>
    </row>
    <row r="4764" spans="6:6" x14ac:dyDescent="0.3">
      <c r="F4764" s="43"/>
    </row>
    <row r="4765" spans="6:6" x14ac:dyDescent="0.3">
      <c r="F4765" s="43"/>
    </row>
    <row r="4766" spans="6:6" x14ac:dyDescent="0.3">
      <c r="F4766" s="43"/>
    </row>
    <row r="4767" spans="6:6" x14ac:dyDescent="0.3">
      <c r="F4767" s="43"/>
    </row>
    <row r="4768" spans="6:6" x14ac:dyDescent="0.3">
      <c r="F4768" s="43"/>
    </row>
    <row r="4769" spans="6:6" x14ac:dyDescent="0.3">
      <c r="F4769" s="43"/>
    </row>
    <row r="4770" spans="6:6" x14ac:dyDescent="0.3">
      <c r="F4770" s="43"/>
    </row>
    <row r="4771" spans="6:6" x14ac:dyDescent="0.3">
      <c r="F4771" s="43"/>
    </row>
    <row r="4772" spans="6:6" x14ac:dyDescent="0.3">
      <c r="F4772" s="43"/>
    </row>
    <row r="4773" spans="6:6" x14ac:dyDescent="0.3">
      <c r="F4773" s="43"/>
    </row>
    <row r="4774" spans="6:6" x14ac:dyDescent="0.3">
      <c r="F4774" s="43"/>
    </row>
    <row r="4775" spans="6:6" x14ac:dyDescent="0.3">
      <c r="F4775" s="43"/>
    </row>
    <row r="4776" spans="6:6" x14ac:dyDescent="0.3">
      <c r="F4776" s="43"/>
    </row>
    <row r="4777" spans="6:6" x14ac:dyDescent="0.3">
      <c r="F4777" s="43"/>
    </row>
    <row r="4778" spans="6:6" x14ac:dyDescent="0.3">
      <c r="F4778" s="43"/>
    </row>
    <row r="4779" spans="6:6" x14ac:dyDescent="0.3">
      <c r="F4779" s="43"/>
    </row>
    <row r="4780" spans="6:6" x14ac:dyDescent="0.3">
      <c r="F4780" s="43"/>
    </row>
    <row r="4781" spans="6:6" x14ac:dyDescent="0.3">
      <c r="F4781" s="43"/>
    </row>
    <row r="4782" spans="6:6" x14ac:dyDescent="0.3">
      <c r="F4782" s="43"/>
    </row>
    <row r="4783" spans="6:6" x14ac:dyDescent="0.3">
      <c r="F4783" s="43"/>
    </row>
    <row r="4784" spans="6:6" x14ac:dyDescent="0.3">
      <c r="F4784" s="43"/>
    </row>
    <row r="4785" spans="6:6" x14ac:dyDescent="0.3">
      <c r="F4785" s="43"/>
    </row>
    <row r="4786" spans="6:6" x14ac:dyDescent="0.3">
      <c r="F4786" s="43"/>
    </row>
    <row r="4787" spans="6:6" x14ac:dyDescent="0.3">
      <c r="F4787" s="43"/>
    </row>
    <row r="4788" spans="6:6" x14ac:dyDescent="0.3">
      <c r="F4788" s="43"/>
    </row>
    <row r="4789" spans="6:6" x14ac:dyDescent="0.3">
      <c r="F4789" s="43"/>
    </row>
    <row r="4790" spans="6:6" x14ac:dyDescent="0.3">
      <c r="F4790" s="43"/>
    </row>
    <row r="4791" spans="6:6" x14ac:dyDescent="0.3">
      <c r="F4791" s="43"/>
    </row>
    <row r="4792" spans="6:6" x14ac:dyDescent="0.3">
      <c r="F4792" s="43"/>
    </row>
    <row r="4793" spans="6:6" x14ac:dyDescent="0.3">
      <c r="F4793" s="43"/>
    </row>
    <row r="4794" spans="6:6" x14ac:dyDescent="0.3">
      <c r="F4794" s="43"/>
    </row>
    <row r="4795" spans="6:6" x14ac:dyDescent="0.3">
      <c r="F4795" s="43"/>
    </row>
    <row r="4796" spans="6:6" x14ac:dyDescent="0.3">
      <c r="F4796" s="43"/>
    </row>
    <row r="4797" spans="6:6" x14ac:dyDescent="0.3">
      <c r="F4797" s="43"/>
    </row>
    <row r="4798" spans="6:6" x14ac:dyDescent="0.3">
      <c r="F4798" s="43"/>
    </row>
    <row r="4799" spans="6:6" x14ac:dyDescent="0.3">
      <c r="F4799" s="43"/>
    </row>
    <row r="4800" spans="6:6" x14ac:dyDescent="0.3">
      <c r="F4800" s="43"/>
    </row>
    <row r="4801" spans="6:6" x14ac:dyDescent="0.3">
      <c r="F4801" s="43"/>
    </row>
    <row r="4802" spans="6:6" x14ac:dyDescent="0.3">
      <c r="F4802" s="43"/>
    </row>
    <row r="4803" spans="6:6" x14ac:dyDescent="0.3">
      <c r="F4803" s="43"/>
    </row>
    <row r="4804" spans="6:6" x14ac:dyDescent="0.3">
      <c r="F4804" s="43"/>
    </row>
    <row r="4805" spans="6:6" x14ac:dyDescent="0.3">
      <c r="F4805" s="43"/>
    </row>
    <row r="4806" spans="6:6" x14ac:dyDescent="0.3">
      <c r="F4806" s="43"/>
    </row>
    <row r="4807" spans="6:6" x14ac:dyDescent="0.3">
      <c r="F4807" s="43"/>
    </row>
    <row r="4808" spans="6:6" x14ac:dyDescent="0.3">
      <c r="F4808" s="43"/>
    </row>
    <row r="4809" spans="6:6" x14ac:dyDescent="0.3">
      <c r="F4809" s="43"/>
    </row>
    <row r="4810" spans="6:6" x14ac:dyDescent="0.3">
      <c r="F4810" s="43"/>
    </row>
    <row r="4811" spans="6:6" x14ac:dyDescent="0.3">
      <c r="F4811" s="43"/>
    </row>
    <row r="4812" spans="6:6" x14ac:dyDescent="0.3">
      <c r="F4812" s="43"/>
    </row>
    <row r="4813" spans="6:6" x14ac:dyDescent="0.3">
      <c r="F4813" s="43"/>
    </row>
    <row r="4814" spans="6:6" x14ac:dyDescent="0.3">
      <c r="F4814" s="43"/>
    </row>
    <row r="4815" spans="6:6" x14ac:dyDescent="0.3">
      <c r="F4815" s="43"/>
    </row>
    <row r="4816" spans="6:6" x14ac:dyDescent="0.3">
      <c r="F4816" s="43"/>
    </row>
    <row r="4817" spans="6:6" x14ac:dyDescent="0.3">
      <c r="F4817" s="43"/>
    </row>
    <row r="4818" spans="6:6" x14ac:dyDescent="0.3">
      <c r="F4818" s="43"/>
    </row>
    <row r="4819" spans="6:6" x14ac:dyDescent="0.3">
      <c r="F4819" s="43"/>
    </row>
    <row r="4820" spans="6:6" x14ac:dyDescent="0.3">
      <c r="F4820" s="43"/>
    </row>
    <row r="4821" spans="6:6" x14ac:dyDescent="0.3">
      <c r="F4821" s="43"/>
    </row>
    <row r="4822" spans="6:6" x14ac:dyDescent="0.3">
      <c r="F4822" s="43"/>
    </row>
    <row r="4823" spans="6:6" x14ac:dyDescent="0.3">
      <c r="F4823" s="43"/>
    </row>
    <row r="4824" spans="6:6" x14ac:dyDescent="0.3">
      <c r="F4824" s="43"/>
    </row>
    <row r="4825" spans="6:6" x14ac:dyDescent="0.3">
      <c r="F4825" s="43"/>
    </row>
    <row r="4826" spans="6:6" x14ac:dyDescent="0.3">
      <c r="F4826" s="43"/>
    </row>
    <row r="4827" spans="6:6" x14ac:dyDescent="0.3">
      <c r="F4827" s="43"/>
    </row>
    <row r="4828" spans="6:6" x14ac:dyDescent="0.3">
      <c r="F4828" s="43"/>
    </row>
    <row r="4829" spans="6:6" x14ac:dyDescent="0.3">
      <c r="F4829" s="43"/>
    </row>
    <row r="4830" spans="6:6" x14ac:dyDescent="0.3">
      <c r="F4830" s="43"/>
    </row>
    <row r="4831" spans="6:6" x14ac:dyDescent="0.3">
      <c r="F4831" s="43"/>
    </row>
    <row r="4832" spans="6:6" x14ac:dyDescent="0.3">
      <c r="F4832" s="43"/>
    </row>
    <row r="4833" spans="6:6" x14ac:dyDescent="0.3">
      <c r="F4833" s="43"/>
    </row>
    <row r="4834" spans="6:6" x14ac:dyDescent="0.3">
      <c r="F4834" s="43"/>
    </row>
    <row r="4835" spans="6:6" x14ac:dyDescent="0.3">
      <c r="F4835" s="43"/>
    </row>
    <row r="4836" spans="6:6" x14ac:dyDescent="0.3">
      <c r="F4836" s="43"/>
    </row>
    <row r="4837" spans="6:6" x14ac:dyDescent="0.3">
      <c r="F4837" s="43"/>
    </row>
    <row r="4838" spans="6:6" x14ac:dyDescent="0.3">
      <c r="F4838" s="43"/>
    </row>
    <row r="4839" spans="6:6" x14ac:dyDescent="0.3">
      <c r="F4839" s="43"/>
    </row>
    <row r="4840" spans="6:6" x14ac:dyDescent="0.3">
      <c r="F4840" s="43"/>
    </row>
    <row r="4841" spans="6:6" x14ac:dyDescent="0.3">
      <c r="F4841" s="43"/>
    </row>
    <row r="4842" spans="6:6" x14ac:dyDescent="0.3">
      <c r="F4842" s="43"/>
    </row>
    <row r="4843" spans="6:6" x14ac:dyDescent="0.3">
      <c r="F4843" s="43"/>
    </row>
    <row r="4844" spans="6:6" x14ac:dyDescent="0.3">
      <c r="F4844" s="43"/>
    </row>
    <row r="4845" spans="6:6" x14ac:dyDescent="0.3">
      <c r="F4845" s="43"/>
    </row>
    <row r="4846" spans="6:6" x14ac:dyDescent="0.3">
      <c r="F4846" s="43"/>
    </row>
    <row r="4847" spans="6:6" x14ac:dyDescent="0.3">
      <c r="F4847" s="43"/>
    </row>
    <row r="4848" spans="6:6" x14ac:dyDescent="0.3">
      <c r="F4848" s="43"/>
    </row>
    <row r="4849" spans="6:6" x14ac:dyDescent="0.3">
      <c r="F4849" s="43"/>
    </row>
    <row r="4850" spans="6:6" x14ac:dyDescent="0.3">
      <c r="F4850" s="43"/>
    </row>
    <row r="4851" spans="6:6" x14ac:dyDescent="0.3">
      <c r="F4851" s="43"/>
    </row>
    <row r="4852" spans="6:6" x14ac:dyDescent="0.3">
      <c r="F4852" s="43"/>
    </row>
    <row r="4853" spans="6:6" x14ac:dyDescent="0.3">
      <c r="F4853" s="43"/>
    </row>
    <row r="4854" spans="6:6" x14ac:dyDescent="0.3">
      <c r="F4854" s="43"/>
    </row>
    <row r="4855" spans="6:6" x14ac:dyDescent="0.3">
      <c r="F4855" s="43"/>
    </row>
    <row r="4856" spans="6:6" x14ac:dyDescent="0.3">
      <c r="F4856" s="43"/>
    </row>
    <row r="4857" spans="6:6" x14ac:dyDescent="0.3">
      <c r="F4857" s="43"/>
    </row>
    <row r="4858" spans="6:6" x14ac:dyDescent="0.3">
      <c r="F4858" s="43"/>
    </row>
    <row r="4859" spans="6:6" x14ac:dyDescent="0.3">
      <c r="F4859" s="43"/>
    </row>
    <row r="4860" spans="6:6" x14ac:dyDescent="0.3">
      <c r="F4860" s="43"/>
    </row>
    <row r="4861" spans="6:6" x14ac:dyDescent="0.3">
      <c r="F4861" s="43"/>
    </row>
    <row r="4862" spans="6:6" x14ac:dyDescent="0.3">
      <c r="F4862" s="43"/>
    </row>
    <row r="4863" spans="6:6" x14ac:dyDescent="0.3">
      <c r="F4863" s="43"/>
    </row>
    <row r="4864" spans="6:6" x14ac:dyDescent="0.3">
      <c r="F4864" s="43"/>
    </row>
    <row r="4865" spans="6:6" x14ac:dyDescent="0.3">
      <c r="F4865" s="43"/>
    </row>
    <row r="4866" spans="6:6" x14ac:dyDescent="0.3">
      <c r="F4866" s="43"/>
    </row>
    <row r="4867" spans="6:6" x14ac:dyDescent="0.3">
      <c r="F4867" s="43"/>
    </row>
    <row r="4868" spans="6:6" x14ac:dyDescent="0.3">
      <c r="F4868" s="43"/>
    </row>
    <row r="4869" spans="6:6" x14ac:dyDescent="0.3">
      <c r="F4869" s="43"/>
    </row>
    <row r="4870" spans="6:6" x14ac:dyDescent="0.3">
      <c r="F4870" s="43"/>
    </row>
    <row r="4871" spans="6:6" x14ac:dyDescent="0.3">
      <c r="F4871" s="43"/>
    </row>
    <row r="4872" spans="6:6" x14ac:dyDescent="0.3">
      <c r="F4872" s="43"/>
    </row>
    <row r="4873" spans="6:6" x14ac:dyDescent="0.3">
      <c r="F4873" s="43"/>
    </row>
    <row r="4874" spans="6:6" x14ac:dyDescent="0.3">
      <c r="F4874" s="43"/>
    </row>
    <row r="4875" spans="6:6" x14ac:dyDescent="0.3">
      <c r="F4875" s="43"/>
    </row>
    <row r="4876" spans="6:6" x14ac:dyDescent="0.3">
      <c r="F4876" s="43"/>
    </row>
    <row r="4877" spans="6:6" x14ac:dyDescent="0.3">
      <c r="F4877" s="43"/>
    </row>
    <row r="4878" spans="6:6" x14ac:dyDescent="0.3">
      <c r="F4878" s="43"/>
    </row>
    <row r="4879" spans="6:6" x14ac:dyDescent="0.3">
      <c r="F4879" s="43"/>
    </row>
    <row r="4880" spans="6:6" x14ac:dyDescent="0.3">
      <c r="F4880" s="43"/>
    </row>
    <row r="4881" spans="6:6" x14ac:dyDescent="0.3">
      <c r="F4881" s="43"/>
    </row>
    <row r="4882" spans="6:6" x14ac:dyDescent="0.3">
      <c r="F4882" s="43"/>
    </row>
    <row r="4883" spans="6:6" x14ac:dyDescent="0.3">
      <c r="F4883" s="43"/>
    </row>
    <row r="4884" spans="6:6" x14ac:dyDescent="0.3">
      <c r="F4884" s="43"/>
    </row>
    <row r="4885" spans="6:6" x14ac:dyDescent="0.3">
      <c r="F4885" s="43"/>
    </row>
    <row r="4886" spans="6:6" x14ac:dyDescent="0.3">
      <c r="F4886" s="43"/>
    </row>
    <row r="4887" spans="6:6" x14ac:dyDescent="0.3">
      <c r="F4887" s="43"/>
    </row>
    <row r="4888" spans="6:6" x14ac:dyDescent="0.3">
      <c r="F4888" s="43"/>
    </row>
    <row r="4889" spans="6:6" x14ac:dyDescent="0.3">
      <c r="F4889" s="43"/>
    </row>
    <row r="4890" spans="6:6" x14ac:dyDescent="0.3">
      <c r="F4890" s="43"/>
    </row>
    <row r="4891" spans="6:6" x14ac:dyDescent="0.3">
      <c r="F4891" s="43"/>
    </row>
    <row r="4892" spans="6:6" x14ac:dyDescent="0.3">
      <c r="F4892" s="43"/>
    </row>
    <row r="4893" spans="6:6" x14ac:dyDescent="0.3">
      <c r="F4893" s="43"/>
    </row>
    <row r="4894" spans="6:6" x14ac:dyDescent="0.3">
      <c r="F4894" s="43"/>
    </row>
    <row r="4895" spans="6:6" x14ac:dyDescent="0.3">
      <c r="F4895" s="43"/>
    </row>
    <row r="4896" spans="6:6" x14ac:dyDescent="0.3">
      <c r="F4896" s="43"/>
    </row>
    <row r="4897" spans="6:6" x14ac:dyDescent="0.3">
      <c r="F4897" s="43"/>
    </row>
    <row r="4898" spans="6:6" x14ac:dyDescent="0.3">
      <c r="F4898" s="43"/>
    </row>
    <row r="4899" spans="6:6" x14ac:dyDescent="0.3">
      <c r="F4899" s="43"/>
    </row>
    <row r="4900" spans="6:6" x14ac:dyDescent="0.3">
      <c r="F4900" s="43"/>
    </row>
    <row r="4901" spans="6:6" x14ac:dyDescent="0.3">
      <c r="F4901" s="43"/>
    </row>
    <row r="4902" spans="6:6" x14ac:dyDescent="0.3">
      <c r="F4902" s="43"/>
    </row>
    <row r="4903" spans="6:6" x14ac:dyDescent="0.3">
      <c r="F4903" s="43"/>
    </row>
    <row r="4904" spans="6:6" x14ac:dyDescent="0.3">
      <c r="F4904" s="43"/>
    </row>
    <row r="4905" spans="6:6" x14ac:dyDescent="0.3">
      <c r="F4905" s="43"/>
    </row>
    <row r="4906" spans="6:6" x14ac:dyDescent="0.3">
      <c r="F4906" s="43"/>
    </row>
    <row r="4907" spans="6:6" x14ac:dyDescent="0.3">
      <c r="F4907" s="43"/>
    </row>
    <row r="4908" spans="6:6" x14ac:dyDescent="0.3">
      <c r="F4908" s="43"/>
    </row>
    <row r="4909" spans="6:6" x14ac:dyDescent="0.3">
      <c r="F4909" s="43"/>
    </row>
    <row r="4910" spans="6:6" x14ac:dyDescent="0.3">
      <c r="F4910" s="43"/>
    </row>
    <row r="4911" spans="6:6" x14ac:dyDescent="0.3">
      <c r="F4911" s="43"/>
    </row>
    <row r="4912" spans="6:6" x14ac:dyDescent="0.3">
      <c r="F4912" s="43"/>
    </row>
    <row r="4913" spans="6:6" x14ac:dyDescent="0.3">
      <c r="F4913" s="43"/>
    </row>
    <row r="4914" spans="6:6" x14ac:dyDescent="0.3">
      <c r="F4914" s="43"/>
    </row>
    <row r="4915" spans="6:6" x14ac:dyDescent="0.3">
      <c r="F4915" s="43"/>
    </row>
    <row r="4916" spans="6:6" x14ac:dyDescent="0.3">
      <c r="F4916" s="43"/>
    </row>
    <row r="4917" spans="6:6" x14ac:dyDescent="0.3">
      <c r="F4917" s="43"/>
    </row>
    <row r="4918" spans="6:6" x14ac:dyDescent="0.3">
      <c r="F4918" s="43"/>
    </row>
    <row r="4919" spans="6:6" x14ac:dyDescent="0.3">
      <c r="F4919" s="43"/>
    </row>
    <row r="4920" spans="6:6" x14ac:dyDescent="0.3">
      <c r="F4920" s="43"/>
    </row>
    <row r="4921" spans="6:6" x14ac:dyDescent="0.3">
      <c r="F4921" s="43"/>
    </row>
    <row r="4922" spans="6:6" x14ac:dyDescent="0.3">
      <c r="F4922" s="43"/>
    </row>
    <row r="4923" spans="6:6" x14ac:dyDescent="0.3">
      <c r="F4923" s="43"/>
    </row>
    <row r="4924" spans="6:6" x14ac:dyDescent="0.3">
      <c r="F4924" s="43"/>
    </row>
    <row r="4925" spans="6:6" x14ac:dyDescent="0.3">
      <c r="F4925" s="43"/>
    </row>
    <row r="4926" spans="6:6" x14ac:dyDescent="0.3">
      <c r="F4926" s="43"/>
    </row>
    <row r="4927" spans="6:6" x14ac:dyDescent="0.3">
      <c r="F4927" s="43"/>
    </row>
    <row r="4928" spans="6:6" x14ac:dyDescent="0.3">
      <c r="F4928" s="43"/>
    </row>
    <row r="4929" spans="6:6" x14ac:dyDescent="0.3">
      <c r="F4929" s="43"/>
    </row>
    <row r="4930" spans="6:6" x14ac:dyDescent="0.3">
      <c r="F4930" s="43"/>
    </row>
    <row r="4931" spans="6:6" x14ac:dyDescent="0.3">
      <c r="F4931" s="43"/>
    </row>
    <row r="4932" spans="6:6" x14ac:dyDescent="0.3">
      <c r="F4932" s="43"/>
    </row>
    <row r="4933" spans="6:6" x14ac:dyDescent="0.3">
      <c r="F4933" s="43"/>
    </row>
    <row r="4934" spans="6:6" x14ac:dyDescent="0.3">
      <c r="F4934" s="43"/>
    </row>
    <row r="4935" spans="6:6" x14ac:dyDescent="0.3">
      <c r="F4935" s="43"/>
    </row>
    <row r="4936" spans="6:6" x14ac:dyDescent="0.3">
      <c r="F4936" s="43"/>
    </row>
    <row r="4937" spans="6:6" x14ac:dyDescent="0.3">
      <c r="F4937" s="43"/>
    </row>
    <row r="4938" spans="6:6" x14ac:dyDescent="0.3">
      <c r="F4938" s="43"/>
    </row>
    <row r="4939" spans="6:6" x14ac:dyDescent="0.3">
      <c r="F4939" s="43"/>
    </row>
    <row r="4940" spans="6:6" x14ac:dyDescent="0.3">
      <c r="F4940" s="43"/>
    </row>
    <row r="4941" spans="6:6" x14ac:dyDescent="0.3">
      <c r="F4941" s="43"/>
    </row>
    <row r="4942" spans="6:6" x14ac:dyDescent="0.3">
      <c r="F4942" s="43"/>
    </row>
    <row r="4943" spans="6:6" x14ac:dyDescent="0.3">
      <c r="F4943" s="43"/>
    </row>
    <row r="4944" spans="6:6" x14ac:dyDescent="0.3">
      <c r="F4944" s="43"/>
    </row>
    <row r="4945" spans="6:6" x14ac:dyDescent="0.3">
      <c r="F4945" s="43"/>
    </row>
    <row r="4946" spans="6:6" x14ac:dyDescent="0.3">
      <c r="F4946" s="43"/>
    </row>
    <row r="4947" spans="6:6" x14ac:dyDescent="0.3">
      <c r="F4947" s="43"/>
    </row>
    <row r="4948" spans="6:6" x14ac:dyDescent="0.3">
      <c r="F4948" s="43"/>
    </row>
    <row r="4949" spans="6:6" x14ac:dyDescent="0.3">
      <c r="F4949" s="43"/>
    </row>
    <row r="4950" spans="6:6" x14ac:dyDescent="0.3">
      <c r="F4950" s="43"/>
    </row>
    <row r="4951" spans="6:6" x14ac:dyDescent="0.3">
      <c r="F4951" s="43"/>
    </row>
    <row r="4952" spans="6:6" x14ac:dyDescent="0.3">
      <c r="F4952" s="43"/>
    </row>
    <row r="4953" spans="6:6" x14ac:dyDescent="0.3">
      <c r="F4953" s="43"/>
    </row>
    <row r="4954" spans="6:6" x14ac:dyDescent="0.3">
      <c r="F4954" s="43"/>
    </row>
    <row r="4955" spans="6:6" x14ac:dyDescent="0.3">
      <c r="F4955" s="43"/>
    </row>
    <row r="4956" spans="6:6" x14ac:dyDescent="0.3">
      <c r="F4956" s="43"/>
    </row>
    <row r="4957" spans="6:6" x14ac:dyDescent="0.3">
      <c r="F4957" s="43"/>
    </row>
    <row r="4958" spans="6:6" x14ac:dyDescent="0.3">
      <c r="F4958" s="43"/>
    </row>
    <row r="4959" spans="6:6" x14ac:dyDescent="0.3">
      <c r="F4959" s="43"/>
    </row>
    <row r="4960" spans="6:6" x14ac:dyDescent="0.3">
      <c r="F4960" s="43"/>
    </row>
    <row r="4961" spans="6:6" x14ac:dyDescent="0.3">
      <c r="F4961" s="43"/>
    </row>
    <row r="4962" spans="6:6" x14ac:dyDescent="0.3">
      <c r="F4962" s="43"/>
    </row>
    <row r="4963" spans="6:6" x14ac:dyDescent="0.3">
      <c r="F4963" s="43"/>
    </row>
    <row r="4964" spans="6:6" x14ac:dyDescent="0.3">
      <c r="F4964" s="43"/>
    </row>
    <row r="4965" spans="6:6" x14ac:dyDescent="0.3">
      <c r="F4965" s="43"/>
    </row>
    <row r="4966" spans="6:6" x14ac:dyDescent="0.3">
      <c r="F4966" s="43"/>
    </row>
    <row r="4967" spans="6:6" x14ac:dyDescent="0.3">
      <c r="F4967" s="43"/>
    </row>
    <row r="4968" spans="6:6" x14ac:dyDescent="0.3">
      <c r="F4968" s="43"/>
    </row>
    <row r="4969" spans="6:6" x14ac:dyDescent="0.3">
      <c r="F4969" s="43"/>
    </row>
    <row r="4970" spans="6:6" x14ac:dyDescent="0.3">
      <c r="F4970" s="43"/>
    </row>
    <row r="4971" spans="6:6" x14ac:dyDescent="0.3">
      <c r="F4971" s="43"/>
    </row>
    <row r="4972" spans="6:6" x14ac:dyDescent="0.3">
      <c r="F4972" s="43"/>
    </row>
    <row r="4973" spans="6:6" x14ac:dyDescent="0.3">
      <c r="F4973" s="43"/>
    </row>
    <row r="4974" spans="6:6" x14ac:dyDescent="0.3">
      <c r="F4974" s="43"/>
    </row>
    <row r="4975" spans="6:6" x14ac:dyDescent="0.3">
      <c r="F4975" s="43"/>
    </row>
    <row r="4976" spans="6:6" x14ac:dyDescent="0.3">
      <c r="F4976" s="43"/>
    </row>
    <row r="4977" spans="6:6" x14ac:dyDescent="0.3">
      <c r="F4977" s="43"/>
    </row>
    <row r="4978" spans="6:6" x14ac:dyDescent="0.3">
      <c r="F4978" s="43"/>
    </row>
    <row r="4979" spans="6:6" x14ac:dyDescent="0.3">
      <c r="F4979" s="43"/>
    </row>
    <row r="4980" spans="6:6" x14ac:dyDescent="0.3">
      <c r="F4980" s="43"/>
    </row>
    <row r="4981" spans="6:6" x14ac:dyDescent="0.3">
      <c r="F4981" s="43"/>
    </row>
    <row r="4982" spans="6:6" x14ac:dyDescent="0.3">
      <c r="F4982" s="43"/>
    </row>
    <row r="4983" spans="6:6" x14ac:dyDescent="0.3">
      <c r="F4983" s="43"/>
    </row>
    <row r="4984" spans="6:6" x14ac:dyDescent="0.3">
      <c r="F4984" s="43"/>
    </row>
    <row r="4985" spans="6:6" x14ac:dyDescent="0.3">
      <c r="F4985" s="43"/>
    </row>
    <row r="4986" spans="6:6" x14ac:dyDescent="0.3">
      <c r="F4986" s="43"/>
    </row>
    <row r="4987" spans="6:6" x14ac:dyDescent="0.3">
      <c r="F4987" s="43"/>
    </row>
    <row r="4988" spans="6:6" x14ac:dyDescent="0.3">
      <c r="F4988" s="43"/>
    </row>
    <row r="4989" spans="6:6" x14ac:dyDescent="0.3">
      <c r="F4989" s="43"/>
    </row>
    <row r="4990" spans="6:6" x14ac:dyDescent="0.3">
      <c r="F4990" s="43"/>
    </row>
    <row r="4991" spans="6:6" x14ac:dyDescent="0.3">
      <c r="F4991" s="43"/>
    </row>
    <row r="4992" spans="6:6" x14ac:dyDescent="0.3">
      <c r="F4992" s="43"/>
    </row>
    <row r="4993" spans="6:6" x14ac:dyDescent="0.3">
      <c r="F4993" s="43"/>
    </row>
    <row r="4994" spans="6:6" x14ac:dyDescent="0.3">
      <c r="F4994" s="43"/>
    </row>
    <row r="4995" spans="6:6" x14ac:dyDescent="0.3">
      <c r="F4995" s="43"/>
    </row>
    <row r="4996" spans="6:6" x14ac:dyDescent="0.3">
      <c r="F4996" s="43"/>
    </row>
    <row r="4997" spans="6:6" x14ac:dyDescent="0.3">
      <c r="F4997" s="43"/>
    </row>
    <row r="4998" spans="6:6" x14ac:dyDescent="0.3">
      <c r="F4998" s="43"/>
    </row>
    <row r="4999" spans="6:6" x14ac:dyDescent="0.3">
      <c r="F4999" s="43"/>
    </row>
    <row r="5000" spans="6:6" x14ac:dyDescent="0.3">
      <c r="F5000" s="43"/>
    </row>
    <row r="5001" spans="6:6" x14ac:dyDescent="0.3">
      <c r="F5001" s="43"/>
    </row>
    <row r="5002" spans="6:6" x14ac:dyDescent="0.3">
      <c r="F5002" s="43"/>
    </row>
    <row r="5003" spans="6:6" x14ac:dyDescent="0.3">
      <c r="F5003" s="43"/>
    </row>
    <row r="5004" spans="6:6" x14ac:dyDescent="0.3">
      <c r="F5004" s="43"/>
    </row>
    <row r="5005" spans="6:6" x14ac:dyDescent="0.3">
      <c r="F5005" s="43"/>
    </row>
    <row r="5006" spans="6:6" x14ac:dyDescent="0.3">
      <c r="F5006" s="43"/>
    </row>
    <row r="5007" spans="6:6" x14ac:dyDescent="0.3">
      <c r="F5007" s="43"/>
    </row>
    <row r="5008" spans="6:6" x14ac:dyDescent="0.3">
      <c r="F5008" s="43"/>
    </row>
    <row r="5009" spans="6:6" x14ac:dyDescent="0.3">
      <c r="F5009" s="43"/>
    </row>
    <row r="5010" spans="6:6" x14ac:dyDescent="0.3">
      <c r="F5010" s="43"/>
    </row>
    <row r="5011" spans="6:6" x14ac:dyDescent="0.3">
      <c r="F5011" s="43"/>
    </row>
    <row r="5012" spans="6:6" x14ac:dyDescent="0.3">
      <c r="F5012" s="43"/>
    </row>
    <row r="5013" spans="6:6" x14ac:dyDescent="0.3">
      <c r="F5013" s="43"/>
    </row>
    <row r="5014" spans="6:6" x14ac:dyDescent="0.3">
      <c r="F5014" s="43"/>
    </row>
    <row r="5015" spans="6:6" x14ac:dyDescent="0.3">
      <c r="F5015" s="43"/>
    </row>
    <row r="5016" spans="6:6" x14ac:dyDescent="0.3">
      <c r="F5016" s="43"/>
    </row>
    <row r="5017" spans="6:6" x14ac:dyDescent="0.3">
      <c r="F5017" s="43"/>
    </row>
    <row r="5018" spans="6:6" x14ac:dyDescent="0.3">
      <c r="F5018" s="43"/>
    </row>
    <row r="5019" spans="6:6" x14ac:dyDescent="0.3">
      <c r="F5019" s="43"/>
    </row>
    <row r="5020" spans="6:6" x14ac:dyDescent="0.3">
      <c r="F5020" s="43"/>
    </row>
    <row r="5021" spans="6:6" x14ac:dyDescent="0.3">
      <c r="F5021" s="43"/>
    </row>
    <row r="5022" spans="6:6" x14ac:dyDescent="0.3">
      <c r="F5022" s="43"/>
    </row>
    <row r="5023" spans="6:6" x14ac:dyDescent="0.3">
      <c r="F5023" s="43"/>
    </row>
    <row r="5024" spans="6:6" x14ac:dyDescent="0.3">
      <c r="F5024" s="43"/>
    </row>
    <row r="5025" spans="6:6" x14ac:dyDescent="0.3">
      <c r="F5025" s="43"/>
    </row>
    <row r="5026" spans="6:6" x14ac:dyDescent="0.3">
      <c r="F5026" s="43"/>
    </row>
    <row r="5027" spans="6:6" x14ac:dyDescent="0.3">
      <c r="F5027" s="43"/>
    </row>
    <row r="5028" spans="6:6" x14ac:dyDescent="0.3">
      <c r="F5028" s="43"/>
    </row>
    <row r="5029" spans="6:6" x14ac:dyDescent="0.3">
      <c r="F5029" s="43"/>
    </row>
    <row r="5030" spans="6:6" x14ac:dyDescent="0.3">
      <c r="F5030" s="43"/>
    </row>
    <row r="5031" spans="6:6" x14ac:dyDescent="0.3">
      <c r="F5031" s="43"/>
    </row>
    <row r="5032" spans="6:6" x14ac:dyDescent="0.3">
      <c r="F5032" s="43"/>
    </row>
    <row r="5033" spans="6:6" x14ac:dyDescent="0.3">
      <c r="F5033" s="43"/>
    </row>
    <row r="5034" spans="6:6" x14ac:dyDescent="0.3">
      <c r="F5034" s="43"/>
    </row>
    <row r="5035" spans="6:6" x14ac:dyDescent="0.3">
      <c r="F5035" s="43"/>
    </row>
    <row r="5036" spans="6:6" x14ac:dyDescent="0.3">
      <c r="F5036" s="43"/>
    </row>
    <row r="5037" spans="6:6" x14ac:dyDescent="0.3">
      <c r="F5037" s="43"/>
    </row>
    <row r="5038" spans="6:6" x14ac:dyDescent="0.3">
      <c r="F5038" s="43"/>
    </row>
    <row r="5039" spans="6:6" x14ac:dyDescent="0.3">
      <c r="F5039" s="43"/>
    </row>
    <row r="5040" spans="6:6" x14ac:dyDescent="0.3">
      <c r="F5040" s="43"/>
    </row>
    <row r="5041" spans="6:6" x14ac:dyDescent="0.3">
      <c r="F5041" s="43"/>
    </row>
    <row r="5042" spans="6:6" x14ac:dyDescent="0.3">
      <c r="F5042" s="43"/>
    </row>
    <row r="5043" spans="6:6" x14ac:dyDescent="0.3">
      <c r="F5043" s="43"/>
    </row>
    <row r="5044" spans="6:6" x14ac:dyDescent="0.3">
      <c r="F5044" s="43"/>
    </row>
    <row r="5045" spans="6:6" x14ac:dyDescent="0.3">
      <c r="F5045" s="43"/>
    </row>
    <row r="5046" spans="6:6" x14ac:dyDescent="0.3">
      <c r="F5046" s="43"/>
    </row>
    <row r="5047" spans="6:6" x14ac:dyDescent="0.3">
      <c r="F5047" s="43"/>
    </row>
    <row r="5048" spans="6:6" x14ac:dyDescent="0.3">
      <c r="F5048" s="43"/>
    </row>
    <row r="5049" spans="6:6" x14ac:dyDescent="0.3">
      <c r="F5049" s="43"/>
    </row>
    <row r="5050" spans="6:6" x14ac:dyDescent="0.3">
      <c r="F5050" s="43"/>
    </row>
    <row r="5051" spans="6:6" x14ac:dyDescent="0.3">
      <c r="F5051" s="43"/>
    </row>
    <row r="5052" spans="6:6" x14ac:dyDescent="0.3">
      <c r="F5052" s="43"/>
    </row>
    <row r="5053" spans="6:6" x14ac:dyDescent="0.3">
      <c r="F5053" s="43"/>
    </row>
    <row r="5054" spans="6:6" x14ac:dyDescent="0.3">
      <c r="F5054" s="43"/>
    </row>
    <row r="5055" spans="6:6" x14ac:dyDescent="0.3">
      <c r="F5055" s="43"/>
    </row>
    <row r="5056" spans="6:6" x14ac:dyDescent="0.3">
      <c r="F5056" s="43"/>
    </row>
    <row r="5057" spans="6:6" x14ac:dyDescent="0.3">
      <c r="F5057" s="43"/>
    </row>
    <row r="5058" spans="6:6" x14ac:dyDescent="0.3">
      <c r="F5058" s="43"/>
    </row>
    <row r="5059" spans="6:6" x14ac:dyDescent="0.3">
      <c r="F5059" s="43"/>
    </row>
    <row r="5060" spans="6:6" x14ac:dyDescent="0.3">
      <c r="F5060" s="43"/>
    </row>
    <row r="5061" spans="6:6" x14ac:dyDescent="0.3">
      <c r="F5061" s="43"/>
    </row>
    <row r="5062" spans="6:6" x14ac:dyDescent="0.3">
      <c r="F5062" s="43"/>
    </row>
    <row r="5063" spans="6:6" x14ac:dyDescent="0.3">
      <c r="F5063" s="43"/>
    </row>
    <row r="5064" spans="6:6" x14ac:dyDescent="0.3">
      <c r="F5064" s="43"/>
    </row>
    <row r="5065" spans="6:6" x14ac:dyDescent="0.3">
      <c r="F5065" s="43"/>
    </row>
    <row r="5066" spans="6:6" x14ac:dyDescent="0.3">
      <c r="F5066" s="43"/>
    </row>
    <row r="5067" spans="6:6" x14ac:dyDescent="0.3">
      <c r="F5067" s="43"/>
    </row>
    <row r="5068" spans="6:6" x14ac:dyDescent="0.3">
      <c r="F5068" s="43"/>
    </row>
    <row r="5069" spans="6:6" x14ac:dyDescent="0.3">
      <c r="F5069" s="43"/>
    </row>
    <row r="5070" spans="6:6" x14ac:dyDescent="0.3">
      <c r="F5070" s="43"/>
    </row>
    <row r="5071" spans="6:6" x14ac:dyDescent="0.3">
      <c r="F5071" s="43"/>
    </row>
    <row r="5072" spans="6:6" x14ac:dyDescent="0.3">
      <c r="F5072" s="43"/>
    </row>
    <row r="5073" spans="6:6" x14ac:dyDescent="0.3">
      <c r="F5073" s="43"/>
    </row>
    <row r="5074" spans="6:6" x14ac:dyDescent="0.3">
      <c r="F5074" s="43"/>
    </row>
    <row r="5075" spans="6:6" x14ac:dyDescent="0.3">
      <c r="F5075" s="43"/>
    </row>
    <row r="5076" spans="6:6" x14ac:dyDescent="0.3">
      <c r="F5076" s="43"/>
    </row>
    <row r="5077" spans="6:6" x14ac:dyDescent="0.3">
      <c r="F5077" s="43"/>
    </row>
    <row r="5078" spans="6:6" x14ac:dyDescent="0.3">
      <c r="F5078" s="43"/>
    </row>
    <row r="5079" spans="6:6" x14ac:dyDescent="0.3">
      <c r="F5079" s="43"/>
    </row>
    <row r="5080" spans="6:6" x14ac:dyDescent="0.3">
      <c r="F5080" s="43"/>
    </row>
    <row r="5081" spans="6:6" x14ac:dyDescent="0.3">
      <c r="F5081" s="43"/>
    </row>
    <row r="5082" spans="6:6" x14ac:dyDescent="0.3">
      <c r="F5082" s="43"/>
    </row>
    <row r="5083" spans="6:6" x14ac:dyDescent="0.3">
      <c r="F5083" s="43"/>
    </row>
    <row r="5084" spans="6:6" x14ac:dyDescent="0.3">
      <c r="F5084" s="43"/>
    </row>
    <row r="5085" spans="6:6" x14ac:dyDescent="0.3">
      <c r="F5085" s="43"/>
    </row>
    <row r="5086" spans="6:6" x14ac:dyDescent="0.3">
      <c r="F5086" s="43"/>
    </row>
    <row r="5087" spans="6:6" x14ac:dyDescent="0.3">
      <c r="F5087" s="43"/>
    </row>
    <row r="5088" spans="6:6" x14ac:dyDescent="0.3">
      <c r="F5088" s="43"/>
    </row>
    <row r="5089" spans="6:6" x14ac:dyDescent="0.3">
      <c r="F5089" s="43"/>
    </row>
    <row r="5090" spans="6:6" x14ac:dyDescent="0.3">
      <c r="F5090" s="43"/>
    </row>
    <row r="5091" spans="6:6" x14ac:dyDescent="0.3">
      <c r="F5091" s="43"/>
    </row>
    <row r="5092" spans="6:6" x14ac:dyDescent="0.3">
      <c r="F5092" s="43"/>
    </row>
    <row r="5093" spans="6:6" x14ac:dyDescent="0.3">
      <c r="F5093" s="43"/>
    </row>
    <row r="5094" spans="6:6" x14ac:dyDescent="0.3">
      <c r="F5094" s="43"/>
    </row>
    <row r="5095" spans="6:6" x14ac:dyDescent="0.3">
      <c r="F5095" s="43"/>
    </row>
    <row r="5096" spans="6:6" x14ac:dyDescent="0.3">
      <c r="F5096" s="43"/>
    </row>
    <row r="5097" spans="6:6" x14ac:dyDescent="0.3">
      <c r="F5097" s="43"/>
    </row>
    <row r="5098" spans="6:6" x14ac:dyDescent="0.3">
      <c r="F5098" s="43"/>
    </row>
    <row r="5099" spans="6:6" x14ac:dyDescent="0.3">
      <c r="F5099" s="43"/>
    </row>
    <row r="5100" spans="6:6" x14ac:dyDescent="0.3">
      <c r="F5100" s="43"/>
    </row>
    <row r="5101" spans="6:6" x14ac:dyDescent="0.3">
      <c r="F5101" s="43"/>
    </row>
    <row r="5102" spans="6:6" x14ac:dyDescent="0.3">
      <c r="F5102" s="43"/>
    </row>
    <row r="5103" spans="6:6" x14ac:dyDescent="0.3">
      <c r="F5103" s="43"/>
    </row>
    <row r="5104" spans="6:6" x14ac:dyDescent="0.3">
      <c r="F5104" s="43"/>
    </row>
    <row r="5105" spans="6:6" x14ac:dyDescent="0.3">
      <c r="F5105" s="43"/>
    </row>
    <row r="5106" spans="6:6" x14ac:dyDescent="0.3">
      <c r="F5106" s="43"/>
    </row>
    <row r="5107" spans="6:6" x14ac:dyDescent="0.3">
      <c r="F5107" s="43"/>
    </row>
    <row r="5108" spans="6:6" x14ac:dyDescent="0.3">
      <c r="F5108" s="43"/>
    </row>
    <row r="5109" spans="6:6" x14ac:dyDescent="0.3">
      <c r="F5109" s="43"/>
    </row>
    <row r="5110" spans="6:6" x14ac:dyDescent="0.3">
      <c r="F5110" s="43"/>
    </row>
    <row r="5111" spans="6:6" x14ac:dyDescent="0.3">
      <c r="F5111" s="43"/>
    </row>
    <row r="5112" spans="6:6" x14ac:dyDescent="0.3">
      <c r="F5112" s="43"/>
    </row>
    <row r="5113" spans="6:6" x14ac:dyDescent="0.3">
      <c r="F5113" s="43"/>
    </row>
    <row r="5114" spans="6:6" x14ac:dyDescent="0.3">
      <c r="F5114" s="43"/>
    </row>
    <row r="5115" spans="6:6" x14ac:dyDescent="0.3">
      <c r="F5115" s="43"/>
    </row>
    <row r="5116" spans="6:6" x14ac:dyDescent="0.3">
      <c r="F5116" s="43"/>
    </row>
    <row r="5117" spans="6:6" x14ac:dyDescent="0.3">
      <c r="F5117" s="43"/>
    </row>
    <row r="5118" spans="6:6" x14ac:dyDescent="0.3">
      <c r="F5118" s="43"/>
    </row>
    <row r="5119" spans="6:6" x14ac:dyDescent="0.3">
      <c r="F5119" s="43"/>
    </row>
    <row r="5120" spans="6:6" x14ac:dyDescent="0.3">
      <c r="F5120" s="43"/>
    </row>
    <row r="5121" spans="6:6" x14ac:dyDescent="0.3">
      <c r="F5121" s="43"/>
    </row>
    <row r="5122" spans="6:6" x14ac:dyDescent="0.3">
      <c r="F5122" s="43"/>
    </row>
    <row r="5123" spans="6:6" x14ac:dyDescent="0.3">
      <c r="F5123" s="43"/>
    </row>
    <row r="5124" spans="6:6" x14ac:dyDescent="0.3">
      <c r="F5124" s="43"/>
    </row>
    <row r="5125" spans="6:6" x14ac:dyDescent="0.3">
      <c r="F5125" s="43"/>
    </row>
    <row r="5126" spans="6:6" x14ac:dyDescent="0.3">
      <c r="F5126" s="43"/>
    </row>
    <row r="5127" spans="6:6" x14ac:dyDescent="0.3">
      <c r="F5127" s="43"/>
    </row>
    <row r="5128" spans="6:6" x14ac:dyDescent="0.3">
      <c r="F5128" s="43"/>
    </row>
    <row r="5129" spans="6:6" x14ac:dyDescent="0.3">
      <c r="F5129" s="43"/>
    </row>
    <row r="5130" spans="6:6" x14ac:dyDescent="0.3">
      <c r="F5130" s="43"/>
    </row>
    <row r="5131" spans="6:6" x14ac:dyDescent="0.3">
      <c r="F5131" s="43"/>
    </row>
    <row r="5132" spans="6:6" x14ac:dyDescent="0.3">
      <c r="F5132" s="43"/>
    </row>
    <row r="5133" spans="6:6" x14ac:dyDescent="0.3">
      <c r="F5133" s="43"/>
    </row>
    <row r="5134" spans="6:6" x14ac:dyDescent="0.3">
      <c r="F5134" s="43"/>
    </row>
    <row r="5135" spans="6:6" x14ac:dyDescent="0.3">
      <c r="F5135" s="43"/>
    </row>
    <row r="5136" spans="6:6" x14ac:dyDescent="0.3">
      <c r="F5136" s="43"/>
    </row>
    <row r="5137" spans="6:6" x14ac:dyDescent="0.3">
      <c r="F5137" s="43"/>
    </row>
    <row r="5138" spans="6:6" x14ac:dyDescent="0.3">
      <c r="F5138" s="43"/>
    </row>
    <row r="5139" spans="6:6" x14ac:dyDescent="0.3">
      <c r="F5139" s="43"/>
    </row>
    <row r="5140" spans="6:6" x14ac:dyDescent="0.3">
      <c r="F5140" s="43"/>
    </row>
    <row r="5141" spans="6:6" x14ac:dyDescent="0.3">
      <c r="F5141" s="43"/>
    </row>
    <row r="5142" spans="6:6" x14ac:dyDescent="0.3">
      <c r="F5142" s="43"/>
    </row>
    <row r="5143" spans="6:6" x14ac:dyDescent="0.3">
      <c r="F5143" s="43"/>
    </row>
    <row r="5144" spans="6:6" x14ac:dyDescent="0.3">
      <c r="F5144" s="43"/>
    </row>
    <row r="5145" spans="6:6" x14ac:dyDescent="0.3">
      <c r="F5145" s="43"/>
    </row>
    <row r="5146" spans="6:6" x14ac:dyDescent="0.3">
      <c r="F5146" s="43"/>
    </row>
    <row r="5147" spans="6:6" x14ac:dyDescent="0.3">
      <c r="F5147" s="43"/>
    </row>
    <row r="5148" spans="6:6" x14ac:dyDescent="0.3">
      <c r="F5148" s="43"/>
    </row>
    <row r="5149" spans="6:6" x14ac:dyDescent="0.3">
      <c r="F5149" s="43"/>
    </row>
    <row r="5150" spans="6:6" x14ac:dyDescent="0.3">
      <c r="F5150" s="43"/>
    </row>
    <row r="5151" spans="6:6" x14ac:dyDescent="0.3">
      <c r="F5151" s="43"/>
    </row>
    <row r="5152" spans="6:6" x14ac:dyDescent="0.3">
      <c r="F5152" s="43"/>
    </row>
    <row r="5153" spans="6:6" x14ac:dyDescent="0.3">
      <c r="F5153" s="43"/>
    </row>
    <row r="5154" spans="6:6" x14ac:dyDescent="0.3">
      <c r="F5154" s="43"/>
    </row>
    <row r="5155" spans="6:6" x14ac:dyDescent="0.3">
      <c r="F5155" s="43"/>
    </row>
    <row r="5156" spans="6:6" x14ac:dyDescent="0.3">
      <c r="F5156" s="43"/>
    </row>
    <row r="5157" spans="6:6" x14ac:dyDescent="0.3">
      <c r="F5157" s="43"/>
    </row>
    <row r="5158" spans="6:6" x14ac:dyDescent="0.3">
      <c r="F5158" s="43"/>
    </row>
    <row r="5159" spans="6:6" x14ac:dyDescent="0.3">
      <c r="F5159" s="43"/>
    </row>
    <row r="5160" spans="6:6" x14ac:dyDescent="0.3">
      <c r="F5160" s="43"/>
    </row>
    <row r="5161" spans="6:6" x14ac:dyDescent="0.3">
      <c r="F5161" s="43"/>
    </row>
    <row r="5162" spans="6:6" x14ac:dyDescent="0.3">
      <c r="F5162" s="43"/>
    </row>
    <row r="5163" spans="6:6" x14ac:dyDescent="0.3">
      <c r="F5163" s="43"/>
    </row>
    <row r="5164" spans="6:6" x14ac:dyDescent="0.3">
      <c r="F5164" s="43"/>
    </row>
    <row r="5165" spans="6:6" x14ac:dyDescent="0.3">
      <c r="F5165" s="43"/>
    </row>
    <row r="5166" spans="6:6" x14ac:dyDescent="0.3">
      <c r="F5166" s="43"/>
    </row>
    <row r="5167" spans="6:6" x14ac:dyDescent="0.3">
      <c r="F5167" s="43"/>
    </row>
    <row r="5168" spans="6:6" x14ac:dyDescent="0.3">
      <c r="F5168" s="43"/>
    </row>
    <row r="5169" spans="6:6" x14ac:dyDescent="0.3">
      <c r="F5169" s="43"/>
    </row>
    <row r="5170" spans="6:6" x14ac:dyDescent="0.3">
      <c r="F5170" s="43"/>
    </row>
    <row r="5171" spans="6:6" x14ac:dyDescent="0.3">
      <c r="F5171" s="43"/>
    </row>
    <row r="5172" spans="6:6" x14ac:dyDescent="0.3">
      <c r="F5172" s="43"/>
    </row>
    <row r="5173" spans="6:6" x14ac:dyDescent="0.3">
      <c r="F5173" s="43"/>
    </row>
    <row r="5174" spans="6:6" x14ac:dyDescent="0.3">
      <c r="F5174" s="43"/>
    </row>
    <row r="5175" spans="6:6" x14ac:dyDescent="0.3">
      <c r="F5175" s="43"/>
    </row>
    <row r="5176" spans="6:6" x14ac:dyDescent="0.3">
      <c r="F5176" s="43"/>
    </row>
    <row r="5177" spans="6:6" x14ac:dyDescent="0.3">
      <c r="F5177" s="43"/>
    </row>
    <row r="5178" spans="6:6" x14ac:dyDescent="0.3">
      <c r="F5178" s="43"/>
    </row>
    <row r="5179" spans="6:6" x14ac:dyDescent="0.3">
      <c r="F5179" s="43"/>
    </row>
    <row r="5180" spans="6:6" x14ac:dyDescent="0.3">
      <c r="F5180" s="43"/>
    </row>
    <row r="5181" spans="6:6" x14ac:dyDescent="0.3">
      <c r="F5181" s="43"/>
    </row>
    <row r="5182" spans="6:6" x14ac:dyDescent="0.3">
      <c r="F5182" s="43"/>
    </row>
    <row r="5183" spans="6:6" x14ac:dyDescent="0.3">
      <c r="F5183" s="43"/>
    </row>
    <row r="5184" spans="6:6" x14ac:dyDescent="0.3">
      <c r="F5184" s="43"/>
    </row>
    <row r="5185" spans="6:6" x14ac:dyDescent="0.3">
      <c r="F5185" s="43"/>
    </row>
    <row r="5186" spans="6:6" x14ac:dyDescent="0.3">
      <c r="F5186" s="43"/>
    </row>
    <row r="5187" spans="6:6" x14ac:dyDescent="0.3">
      <c r="F5187" s="43"/>
    </row>
    <row r="5188" spans="6:6" x14ac:dyDescent="0.3">
      <c r="F5188" s="43"/>
    </row>
    <row r="5189" spans="6:6" x14ac:dyDescent="0.3">
      <c r="F5189" s="43"/>
    </row>
    <row r="5190" spans="6:6" x14ac:dyDescent="0.3">
      <c r="F5190" s="43"/>
    </row>
    <row r="5191" spans="6:6" x14ac:dyDescent="0.3">
      <c r="F5191" s="43"/>
    </row>
    <row r="5192" spans="6:6" x14ac:dyDescent="0.3">
      <c r="F5192" s="43"/>
    </row>
    <row r="5193" spans="6:6" x14ac:dyDescent="0.3">
      <c r="F5193" s="43"/>
    </row>
    <row r="5194" spans="6:6" x14ac:dyDescent="0.3">
      <c r="F5194" s="43"/>
    </row>
    <row r="5195" spans="6:6" x14ac:dyDescent="0.3">
      <c r="F5195" s="43"/>
    </row>
    <row r="5196" spans="6:6" x14ac:dyDescent="0.3">
      <c r="F5196" s="43"/>
    </row>
    <row r="5197" spans="6:6" x14ac:dyDescent="0.3">
      <c r="F5197" s="43"/>
    </row>
    <row r="5198" spans="6:6" x14ac:dyDescent="0.3">
      <c r="F5198" s="43"/>
    </row>
    <row r="5199" spans="6:6" x14ac:dyDescent="0.3">
      <c r="F5199" s="43"/>
    </row>
    <row r="5200" spans="6:6" x14ac:dyDescent="0.3">
      <c r="F5200" s="43"/>
    </row>
    <row r="5201" spans="6:6" x14ac:dyDescent="0.3">
      <c r="F5201" s="43"/>
    </row>
    <row r="5202" spans="6:6" x14ac:dyDescent="0.3">
      <c r="F5202" s="43"/>
    </row>
    <row r="5203" spans="6:6" x14ac:dyDescent="0.3">
      <c r="F5203" s="43"/>
    </row>
    <row r="5204" spans="6:6" x14ac:dyDescent="0.3">
      <c r="F5204" s="43"/>
    </row>
    <row r="5205" spans="6:6" x14ac:dyDescent="0.3">
      <c r="F5205" s="43"/>
    </row>
    <row r="5206" spans="6:6" x14ac:dyDescent="0.3">
      <c r="F5206" s="43"/>
    </row>
    <row r="5207" spans="6:6" x14ac:dyDescent="0.3">
      <c r="F5207" s="43"/>
    </row>
    <row r="5208" spans="6:6" x14ac:dyDescent="0.3">
      <c r="F5208" s="43"/>
    </row>
    <row r="5209" spans="6:6" x14ac:dyDescent="0.3">
      <c r="F5209" s="43"/>
    </row>
    <row r="5210" spans="6:6" x14ac:dyDescent="0.3">
      <c r="F5210" s="43"/>
    </row>
    <row r="5211" spans="6:6" x14ac:dyDescent="0.3">
      <c r="F5211" s="43"/>
    </row>
    <row r="5212" spans="6:6" x14ac:dyDescent="0.3">
      <c r="F5212" s="43"/>
    </row>
    <row r="5213" spans="6:6" x14ac:dyDescent="0.3">
      <c r="F5213" s="43"/>
    </row>
    <row r="5214" spans="6:6" x14ac:dyDescent="0.3">
      <c r="F5214" s="43"/>
    </row>
    <row r="5215" spans="6:6" x14ac:dyDescent="0.3">
      <c r="F5215" s="43"/>
    </row>
    <row r="5216" spans="6:6" x14ac:dyDescent="0.3">
      <c r="F5216" s="43"/>
    </row>
    <row r="5217" spans="6:6" x14ac:dyDescent="0.3">
      <c r="F5217" s="43"/>
    </row>
    <row r="5218" spans="6:6" x14ac:dyDescent="0.3">
      <c r="F5218" s="43"/>
    </row>
    <row r="5219" spans="6:6" x14ac:dyDescent="0.3">
      <c r="F5219" s="43"/>
    </row>
    <row r="5220" spans="6:6" x14ac:dyDescent="0.3">
      <c r="F5220" s="43"/>
    </row>
    <row r="5221" spans="6:6" x14ac:dyDescent="0.3">
      <c r="F5221" s="43"/>
    </row>
    <row r="5222" spans="6:6" x14ac:dyDescent="0.3">
      <c r="F5222" s="43"/>
    </row>
    <row r="5223" spans="6:6" x14ac:dyDescent="0.3">
      <c r="F5223" s="43"/>
    </row>
    <row r="5224" spans="6:6" x14ac:dyDescent="0.3">
      <c r="F5224" s="43"/>
    </row>
    <row r="5225" spans="6:6" x14ac:dyDescent="0.3">
      <c r="F5225" s="43"/>
    </row>
    <row r="5226" spans="6:6" x14ac:dyDescent="0.3">
      <c r="F5226" s="43"/>
    </row>
    <row r="5227" spans="6:6" x14ac:dyDescent="0.3">
      <c r="F5227" s="43"/>
    </row>
    <row r="5228" spans="6:6" x14ac:dyDescent="0.3">
      <c r="F5228" s="43"/>
    </row>
    <row r="5229" spans="6:6" x14ac:dyDescent="0.3">
      <c r="F5229" s="43"/>
    </row>
    <row r="5230" spans="6:6" x14ac:dyDescent="0.3">
      <c r="F5230" s="43"/>
    </row>
    <row r="5231" spans="6:6" x14ac:dyDescent="0.3">
      <c r="F5231" s="43"/>
    </row>
    <row r="5232" spans="6:6" x14ac:dyDescent="0.3">
      <c r="F5232" s="43"/>
    </row>
    <row r="5233" spans="6:6" x14ac:dyDescent="0.3">
      <c r="F5233" s="43"/>
    </row>
    <row r="5234" spans="6:6" x14ac:dyDescent="0.3">
      <c r="F5234" s="43"/>
    </row>
    <row r="5235" spans="6:6" x14ac:dyDescent="0.3">
      <c r="F5235" s="43"/>
    </row>
    <row r="5236" spans="6:6" x14ac:dyDescent="0.3">
      <c r="F5236" s="43"/>
    </row>
    <row r="5237" spans="6:6" x14ac:dyDescent="0.3">
      <c r="F5237" s="43"/>
    </row>
    <row r="5238" spans="6:6" x14ac:dyDescent="0.3">
      <c r="F5238" s="43"/>
    </row>
    <row r="5239" spans="6:6" x14ac:dyDescent="0.3">
      <c r="F5239" s="43"/>
    </row>
    <row r="5240" spans="6:6" x14ac:dyDescent="0.3">
      <c r="F5240" s="43"/>
    </row>
    <row r="5241" spans="6:6" x14ac:dyDescent="0.3">
      <c r="F5241" s="43"/>
    </row>
    <row r="5242" spans="6:6" x14ac:dyDescent="0.3">
      <c r="F5242" s="43"/>
    </row>
    <row r="5243" spans="6:6" x14ac:dyDescent="0.3">
      <c r="F5243" s="43"/>
    </row>
    <row r="5244" spans="6:6" x14ac:dyDescent="0.3">
      <c r="F5244" s="43"/>
    </row>
    <row r="5245" spans="6:6" x14ac:dyDescent="0.3">
      <c r="F5245" s="43"/>
    </row>
    <row r="5246" spans="6:6" x14ac:dyDescent="0.3">
      <c r="F5246" s="43"/>
    </row>
    <row r="5247" spans="6:6" x14ac:dyDescent="0.3">
      <c r="F5247" s="43"/>
    </row>
    <row r="5248" spans="6:6" x14ac:dyDescent="0.3">
      <c r="F5248" s="43"/>
    </row>
    <row r="5249" spans="6:6" x14ac:dyDescent="0.3">
      <c r="F5249" s="43"/>
    </row>
    <row r="5250" spans="6:6" x14ac:dyDescent="0.3">
      <c r="F5250" s="43"/>
    </row>
    <row r="5251" spans="6:6" x14ac:dyDescent="0.3">
      <c r="F5251" s="43"/>
    </row>
    <row r="5252" spans="6:6" x14ac:dyDescent="0.3">
      <c r="F5252" s="43"/>
    </row>
    <row r="5253" spans="6:6" x14ac:dyDescent="0.3">
      <c r="F5253" s="43"/>
    </row>
    <row r="5254" spans="6:6" x14ac:dyDescent="0.3">
      <c r="F5254" s="43"/>
    </row>
    <row r="5255" spans="6:6" x14ac:dyDescent="0.3">
      <c r="F5255" s="43"/>
    </row>
    <row r="5256" spans="6:6" x14ac:dyDescent="0.3">
      <c r="F5256" s="43"/>
    </row>
    <row r="5257" spans="6:6" x14ac:dyDescent="0.3">
      <c r="F5257" s="43"/>
    </row>
    <row r="5258" spans="6:6" x14ac:dyDescent="0.3">
      <c r="F5258" s="43"/>
    </row>
    <row r="5259" spans="6:6" x14ac:dyDescent="0.3">
      <c r="F5259" s="43"/>
    </row>
    <row r="5260" spans="6:6" x14ac:dyDescent="0.3">
      <c r="F5260" s="43"/>
    </row>
    <row r="5261" spans="6:6" x14ac:dyDescent="0.3">
      <c r="F5261" s="43"/>
    </row>
    <row r="5262" spans="6:6" x14ac:dyDescent="0.3">
      <c r="F5262" s="43"/>
    </row>
    <row r="5263" spans="6:6" x14ac:dyDescent="0.3">
      <c r="F5263" s="43"/>
    </row>
    <row r="5264" spans="6:6" x14ac:dyDescent="0.3">
      <c r="F5264" s="43"/>
    </row>
    <row r="5265" spans="6:6" x14ac:dyDescent="0.3">
      <c r="F5265" s="43"/>
    </row>
    <row r="5266" spans="6:6" x14ac:dyDescent="0.3">
      <c r="F5266" s="43"/>
    </row>
    <row r="5267" spans="6:6" x14ac:dyDescent="0.3">
      <c r="F5267" s="43"/>
    </row>
    <row r="5268" spans="6:6" x14ac:dyDescent="0.3">
      <c r="F5268" s="43"/>
    </row>
    <row r="5269" spans="6:6" x14ac:dyDescent="0.3">
      <c r="F5269" s="43"/>
    </row>
    <row r="5270" spans="6:6" x14ac:dyDescent="0.3">
      <c r="F5270" s="43"/>
    </row>
    <row r="5271" spans="6:6" x14ac:dyDescent="0.3">
      <c r="F5271" s="43"/>
    </row>
    <row r="5272" spans="6:6" x14ac:dyDescent="0.3">
      <c r="F5272" s="43"/>
    </row>
    <row r="5273" spans="6:6" x14ac:dyDescent="0.3">
      <c r="F5273" s="43"/>
    </row>
    <row r="5274" spans="6:6" x14ac:dyDescent="0.3">
      <c r="F5274" s="43"/>
    </row>
    <row r="5275" spans="6:6" x14ac:dyDescent="0.3">
      <c r="F5275" s="43"/>
    </row>
    <row r="5276" spans="6:6" x14ac:dyDescent="0.3">
      <c r="F5276" s="43"/>
    </row>
    <row r="5277" spans="6:6" x14ac:dyDescent="0.3">
      <c r="F5277" s="43"/>
    </row>
    <row r="5278" spans="6:6" x14ac:dyDescent="0.3">
      <c r="F5278" s="43"/>
    </row>
    <row r="5279" spans="6:6" x14ac:dyDescent="0.3">
      <c r="F5279" s="43"/>
    </row>
    <row r="5280" spans="6:6" x14ac:dyDescent="0.3">
      <c r="F5280" s="43"/>
    </row>
    <row r="5281" spans="6:6" x14ac:dyDescent="0.3">
      <c r="F5281" s="43"/>
    </row>
    <row r="5282" spans="6:6" x14ac:dyDescent="0.3">
      <c r="F5282" s="43"/>
    </row>
    <row r="5283" spans="6:6" x14ac:dyDescent="0.3">
      <c r="F5283" s="43"/>
    </row>
    <row r="5284" spans="6:6" x14ac:dyDescent="0.3">
      <c r="F5284" s="43"/>
    </row>
    <row r="5285" spans="6:6" x14ac:dyDescent="0.3">
      <c r="F5285" s="43"/>
    </row>
    <row r="5286" spans="6:6" x14ac:dyDescent="0.3">
      <c r="F5286" s="43"/>
    </row>
    <row r="5287" spans="6:6" x14ac:dyDescent="0.3">
      <c r="F5287" s="43"/>
    </row>
    <row r="5288" spans="6:6" x14ac:dyDescent="0.3">
      <c r="F5288" s="43"/>
    </row>
    <row r="5289" spans="6:6" x14ac:dyDescent="0.3">
      <c r="F5289" s="43"/>
    </row>
    <row r="5290" spans="6:6" x14ac:dyDescent="0.3">
      <c r="F5290" s="43"/>
    </row>
    <row r="5291" spans="6:6" x14ac:dyDescent="0.3">
      <c r="F5291" s="43"/>
    </row>
    <row r="5292" spans="6:6" x14ac:dyDescent="0.3">
      <c r="F5292" s="43"/>
    </row>
    <row r="5293" spans="6:6" x14ac:dyDescent="0.3">
      <c r="F5293" s="43"/>
    </row>
    <row r="5294" spans="6:6" x14ac:dyDescent="0.3">
      <c r="F5294" s="43"/>
    </row>
    <row r="5295" spans="6:6" x14ac:dyDescent="0.3">
      <c r="F5295" s="43"/>
    </row>
    <row r="5296" spans="6:6" x14ac:dyDescent="0.3">
      <c r="F5296" s="43"/>
    </row>
    <row r="5297" spans="6:6" x14ac:dyDescent="0.3">
      <c r="F5297" s="43"/>
    </row>
    <row r="5298" spans="6:6" x14ac:dyDescent="0.3">
      <c r="F5298" s="43"/>
    </row>
    <row r="5299" spans="6:6" x14ac:dyDescent="0.3">
      <c r="F5299" s="43"/>
    </row>
    <row r="5300" spans="6:6" x14ac:dyDescent="0.3">
      <c r="F5300" s="43"/>
    </row>
    <row r="5301" spans="6:6" x14ac:dyDescent="0.3">
      <c r="F5301" s="43"/>
    </row>
    <row r="5302" spans="6:6" x14ac:dyDescent="0.3">
      <c r="F5302" s="43"/>
    </row>
    <row r="5303" spans="6:6" x14ac:dyDescent="0.3">
      <c r="F5303" s="43"/>
    </row>
    <row r="5304" spans="6:6" x14ac:dyDescent="0.3">
      <c r="F5304" s="43"/>
    </row>
    <row r="5305" spans="6:6" x14ac:dyDescent="0.3">
      <c r="F5305" s="43"/>
    </row>
    <row r="5306" spans="6:6" x14ac:dyDescent="0.3">
      <c r="F5306" s="43"/>
    </row>
    <row r="5307" spans="6:6" x14ac:dyDescent="0.3">
      <c r="F5307" s="43"/>
    </row>
    <row r="5308" spans="6:6" x14ac:dyDescent="0.3">
      <c r="F5308" s="43"/>
    </row>
    <row r="5309" spans="6:6" x14ac:dyDescent="0.3">
      <c r="F5309" s="43"/>
    </row>
    <row r="5310" spans="6:6" x14ac:dyDescent="0.3">
      <c r="F5310" s="43"/>
    </row>
    <row r="5311" spans="6:6" x14ac:dyDescent="0.3">
      <c r="F5311" s="43"/>
    </row>
    <row r="5312" spans="6:6" x14ac:dyDescent="0.3">
      <c r="F5312" s="43"/>
    </row>
    <row r="5313" spans="6:6" x14ac:dyDescent="0.3">
      <c r="F5313" s="43"/>
    </row>
    <row r="5314" spans="6:6" x14ac:dyDescent="0.3">
      <c r="F5314" s="43"/>
    </row>
    <row r="5315" spans="6:6" x14ac:dyDescent="0.3">
      <c r="F5315" s="43"/>
    </row>
    <row r="5316" spans="6:6" x14ac:dyDescent="0.3">
      <c r="F5316" s="43"/>
    </row>
    <row r="5317" spans="6:6" x14ac:dyDescent="0.3">
      <c r="F5317" s="43"/>
    </row>
    <row r="5318" spans="6:6" x14ac:dyDescent="0.3">
      <c r="F5318" s="43"/>
    </row>
    <row r="5319" spans="6:6" x14ac:dyDescent="0.3">
      <c r="F5319" s="43"/>
    </row>
    <row r="5320" spans="6:6" x14ac:dyDescent="0.3">
      <c r="F5320" s="43"/>
    </row>
    <row r="5321" spans="6:6" x14ac:dyDescent="0.3">
      <c r="F5321" s="43"/>
    </row>
    <row r="5322" spans="6:6" x14ac:dyDescent="0.3">
      <c r="F5322" s="43"/>
    </row>
    <row r="5323" spans="6:6" x14ac:dyDescent="0.3">
      <c r="F5323" s="43"/>
    </row>
    <row r="5324" spans="6:6" x14ac:dyDescent="0.3">
      <c r="F5324" s="43"/>
    </row>
    <row r="5325" spans="6:6" x14ac:dyDescent="0.3">
      <c r="F5325" s="43"/>
    </row>
    <row r="5326" spans="6:6" x14ac:dyDescent="0.3">
      <c r="F5326" s="43"/>
    </row>
    <row r="5327" spans="6:6" x14ac:dyDescent="0.3">
      <c r="F5327" s="43"/>
    </row>
    <row r="5328" spans="6:6" x14ac:dyDescent="0.3">
      <c r="F5328" s="43"/>
    </row>
    <row r="5329" spans="6:6" x14ac:dyDescent="0.3">
      <c r="F5329" s="43"/>
    </row>
    <row r="5330" spans="6:6" x14ac:dyDescent="0.3">
      <c r="F5330" s="43"/>
    </row>
    <row r="5331" spans="6:6" x14ac:dyDescent="0.3">
      <c r="F5331" s="43"/>
    </row>
    <row r="5332" spans="6:6" x14ac:dyDescent="0.3">
      <c r="F5332" s="43"/>
    </row>
    <row r="5333" spans="6:6" x14ac:dyDescent="0.3">
      <c r="F5333" s="43"/>
    </row>
    <row r="5334" spans="6:6" x14ac:dyDescent="0.3">
      <c r="F5334" s="43"/>
    </row>
    <row r="5335" spans="6:6" x14ac:dyDescent="0.3">
      <c r="F5335" s="43"/>
    </row>
    <row r="5336" spans="6:6" x14ac:dyDescent="0.3">
      <c r="F5336" s="43"/>
    </row>
    <row r="5337" spans="6:6" x14ac:dyDescent="0.3">
      <c r="F5337" s="43"/>
    </row>
    <row r="5338" spans="6:6" x14ac:dyDescent="0.3">
      <c r="F5338" s="43"/>
    </row>
    <row r="5339" spans="6:6" x14ac:dyDescent="0.3">
      <c r="F5339" s="43"/>
    </row>
    <row r="5340" spans="6:6" x14ac:dyDescent="0.3">
      <c r="F5340" s="43"/>
    </row>
    <row r="5341" spans="6:6" x14ac:dyDescent="0.3">
      <c r="F5341" s="43"/>
    </row>
    <row r="5342" spans="6:6" x14ac:dyDescent="0.3">
      <c r="F5342" s="43"/>
    </row>
    <row r="5343" spans="6:6" x14ac:dyDescent="0.3">
      <c r="F5343" s="43"/>
    </row>
    <row r="5344" spans="6:6" x14ac:dyDescent="0.3">
      <c r="F5344" s="43"/>
    </row>
    <row r="5345" spans="6:6" x14ac:dyDescent="0.3">
      <c r="F5345" s="43"/>
    </row>
    <row r="5346" spans="6:6" x14ac:dyDescent="0.3">
      <c r="F5346" s="43"/>
    </row>
    <row r="5347" spans="6:6" x14ac:dyDescent="0.3">
      <c r="F5347" s="43"/>
    </row>
    <row r="5348" spans="6:6" x14ac:dyDescent="0.3">
      <c r="F5348" s="43"/>
    </row>
    <row r="5349" spans="6:6" x14ac:dyDescent="0.3">
      <c r="F5349" s="43"/>
    </row>
    <row r="5350" spans="6:6" x14ac:dyDescent="0.3">
      <c r="F5350" s="43"/>
    </row>
    <row r="5351" spans="6:6" x14ac:dyDescent="0.3">
      <c r="F5351" s="43"/>
    </row>
    <row r="5352" spans="6:6" x14ac:dyDescent="0.3">
      <c r="F5352" s="43"/>
    </row>
    <row r="5353" spans="6:6" x14ac:dyDescent="0.3">
      <c r="F5353" s="43"/>
    </row>
    <row r="5354" spans="6:6" x14ac:dyDescent="0.3">
      <c r="F5354" s="43"/>
    </row>
    <row r="5355" spans="6:6" x14ac:dyDescent="0.3">
      <c r="F5355" s="43"/>
    </row>
    <row r="5356" spans="6:6" x14ac:dyDescent="0.3">
      <c r="F5356" s="43"/>
    </row>
    <row r="5357" spans="6:6" x14ac:dyDescent="0.3">
      <c r="F5357" s="43"/>
    </row>
    <row r="5358" spans="6:6" x14ac:dyDescent="0.3">
      <c r="F5358" s="43"/>
    </row>
    <row r="5359" spans="6:6" x14ac:dyDescent="0.3">
      <c r="F5359" s="43"/>
    </row>
    <row r="5360" spans="6:6" x14ac:dyDescent="0.3">
      <c r="F5360" s="43"/>
    </row>
    <row r="5361" spans="6:6" x14ac:dyDescent="0.3">
      <c r="F5361" s="43"/>
    </row>
    <row r="5362" spans="6:6" x14ac:dyDescent="0.3">
      <c r="F5362" s="43"/>
    </row>
    <row r="5363" spans="6:6" x14ac:dyDescent="0.3">
      <c r="F5363" s="43"/>
    </row>
    <row r="5364" spans="6:6" x14ac:dyDescent="0.3">
      <c r="F5364" s="43"/>
    </row>
    <row r="5365" spans="6:6" x14ac:dyDescent="0.3">
      <c r="F5365" s="43"/>
    </row>
    <row r="5366" spans="6:6" x14ac:dyDescent="0.3">
      <c r="F5366" s="43"/>
    </row>
    <row r="5367" spans="6:6" x14ac:dyDescent="0.3">
      <c r="F5367" s="43"/>
    </row>
    <row r="5368" spans="6:6" x14ac:dyDescent="0.3">
      <c r="F5368" s="43"/>
    </row>
    <row r="5369" spans="6:6" x14ac:dyDescent="0.3">
      <c r="F5369" s="43"/>
    </row>
    <row r="5370" spans="6:6" x14ac:dyDescent="0.3">
      <c r="F5370" s="43"/>
    </row>
    <row r="5371" spans="6:6" x14ac:dyDescent="0.3">
      <c r="F5371" s="43"/>
    </row>
    <row r="5372" spans="6:6" x14ac:dyDescent="0.3">
      <c r="F5372" s="43"/>
    </row>
    <row r="5373" spans="6:6" x14ac:dyDescent="0.3">
      <c r="F5373" s="43"/>
    </row>
    <row r="5374" spans="6:6" x14ac:dyDescent="0.3">
      <c r="F5374" s="43"/>
    </row>
    <row r="5375" spans="6:6" x14ac:dyDescent="0.3">
      <c r="F5375" s="43"/>
    </row>
    <row r="5376" spans="6:6" x14ac:dyDescent="0.3">
      <c r="F5376" s="43"/>
    </row>
    <row r="5377" spans="6:6" x14ac:dyDescent="0.3">
      <c r="F5377" s="43"/>
    </row>
    <row r="5378" spans="6:6" x14ac:dyDescent="0.3">
      <c r="F5378" s="43"/>
    </row>
    <row r="5379" spans="6:6" x14ac:dyDescent="0.3">
      <c r="F5379" s="43"/>
    </row>
    <row r="5380" spans="6:6" x14ac:dyDescent="0.3">
      <c r="F5380" s="43"/>
    </row>
    <row r="5381" spans="6:6" x14ac:dyDescent="0.3">
      <c r="F5381" s="43"/>
    </row>
    <row r="5382" spans="6:6" x14ac:dyDescent="0.3">
      <c r="F5382" s="43"/>
    </row>
    <row r="5383" spans="6:6" x14ac:dyDescent="0.3">
      <c r="F5383" s="43"/>
    </row>
    <row r="5384" spans="6:6" x14ac:dyDescent="0.3">
      <c r="F5384" s="43"/>
    </row>
    <row r="5385" spans="6:6" x14ac:dyDescent="0.3">
      <c r="F5385" s="43"/>
    </row>
    <row r="5386" spans="6:6" x14ac:dyDescent="0.3">
      <c r="F5386" s="43"/>
    </row>
    <row r="5387" spans="6:6" x14ac:dyDescent="0.3">
      <c r="F5387" s="43"/>
    </row>
    <row r="5388" spans="6:6" x14ac:dyDescent="0.3">
      <c r="F5388" s="43"/>
    </row>
    <row r="5389" spans="6:6" x14ac:dyDescent="0.3">
      <c r="F5389" s="43"/>
    </row>
    <row r="5390" spans="6:6" x14ac:dyDescent="0.3">
      <c r="F5390" s="43"/>
    </row>
    <row r="5391" spans="6:6" x14ac:dyDescent="0.3">
      <c r="F5391" s="43"/>
    </row>
    <row r="5392" spans="6:6" x14ac:dyDescent="0.3">
      <c r="F5392" s="43"/>
    </row>
    <row r="5393" spans="6:6" x14ac:dyDescent="0.3">
      <c r="F5393" s="43"/>
    </row>
    <row r="5394" spans="6:6" x14ac:dyDescent="0.3">
      <c r="F5394" s="43"/>
    </row>
    <row r="5395" spans="6:6" x14ac:dyDescent="0.3">
      <c r="F5395" s="43"/>
    </row>
    <row r="5396" spans="6:6" x14ac:dyDescent="0.3">
      <c r="F5396" s="43"/>
    </row>
    <row r="5397" spans="6:6" x14ac:dyDescent="0.3">
      <c r="F5397" s="43"/>
    </row>
    <row r="5398" spans="6:6" x14ac:dyDescent="0.3">
      <c r="F5398" s="43"/>
    </row>
    <row r="5399" spans="6:6" x14ac:dyDescent="0.3">
      <c r="F5399" s="43"/>
    </row>
    <row r="5400" spans="6:6" x14ac:dyDescent="0.3">
      <c r="F5400" s="43"/>
    </row>
    <row r="5401" spans="6:6" x14ac:dyDescent="0.3">
      <c r="F5401" s="43"/>
    </row>
    <row r="5402" spans="6:6" x14ac:dyDescent="0.3">
      <c r="F5402" s="43"/>
    </row>
    <row r="5403" spans="6:6" x14ac:dyDescent="0.3">
      <c r="F5403" s="43"/>
    </row>
    <row r="5404" spans="6:6" x14ac:dyDescent="0.3">
      <c r="F5404" s="43"/>
    </row>
    <row r="5405" spans="6:6" x14ac:dyDescent="0.3">
      <c r="F5405" s="43"/>
    </row>
    <row r="5406" spans="6:6" x14ac:dyDescent="0.3">
      <c r="F5406" s="43"/>
    </row>
    <row r="5407" spans="6:6" x14ac:dyDescent="0.3">
      <c r="F5407" s="43"/>
    </row>
    <row r="5408" spans="6:6" x14ac:dyDescent="0.3">
      <c r="F5408" s="43"/>
    </row>
    <row r="5409" spans="6:6" x14ac:dyDescent="0.3">
      <c r="F5409" s="43"/>
    </row>
    <row r="5410" spans="6:6" x14ac:dyDescent="0.3">
      <c r="F5410" s="43"/>
    </row>
    <row r="5411" spans="6:6" x14ac:dyDescent="0.3">
      <c r="F5411" s="43"/>
    </row>
    <row r="5412" spans="6:6" x14ac:dyDescent="0.3">
      <c r="F5412" s="43"/>
    </row>
    <row r="5413" spans="6:6" x14ac:dyDescent="0.3">
      <c r="F5413" s="43"/>
    </row>
    <row r="5414" spans="6:6" x14ac:dyDescent="0.3">
      <c r="F5414" s="43"/>
    </row>
    <row r="5415" spans="6:6" x14ac:dyDescent="0.3">
      <c r="F5415" s="43"/>
    </row>
    <row r="5416" spans="6:6" x14ac:dyDescent="0.3">
      <c r="F5416" s="43"/>
    </row>
    <row r="5417" spans="6:6" x14ac:dyDescent="0.3">
      <c r="F5417" s="43"/>
    </row>
    <row r="5418" spans="6:6" x14ac:dyDescent="0.3">
      <c r="F5418" s="43"/>
    </row>
    <row r="5419" spans="6:6" x14ac:dyDescent="0.3">
      <c r="F5419" s="43"/>
    </row>
    <row r="5420" spans="6:6" x14ac:dyDescent="0.3">
      <c r="F5420" s="43"/>
    </row>
    <row r="5421" spans="6:6" x14ac:dyDescent="0.3">
      <c r="F5421" s="43"/>
    </row>
    <row r="5422" spans="6:6" x14ac:dyDescent="0.3">
      <c r="F5422" s="43"/>
    </row>
    <row r="5423" spans="6:6" x14ac:dyDescent="0.3">
      <c r="F5423" s="43"/>
    </row>
    <row r="5424" spans="6:6" x14ac:dyDescent="0.3">
      <c r="F5424" s="43"/>
    </row>
    <row r="5425" spans="6:6" x14ac:dyDescent="0.3">
      <c r="F5425" s="43"/>
    </row>
    <row r="5426" spans="6:6" x14ac:dyDescent="0.3">
      <c r="F5426" s="43"/>
    </row>
    <row r="5427" spans="6:6" x14ac:dyDescent="0.3">
      <c r="F5427" s="43"/>
    </row>
    <row r="5428" spans="6:6" x14ac:dyDescent="0.3">
      <c r="F5428" s="43"/>
    </row>
    <row r="5429" spans="6:6" x14ac:dyDescent="0.3">
      <c r="F5429" s="43"/>
    </row>
    <row r="5430" spans="6:6" x14ac:dyDescent="0.3">
      <c r="F5430" s="43"/>
    </row>
    <row r="5431" spans="6:6" x14ac:dyDescent="0.3">
      <c r="F5431" s="43"/>
    </row>
    <row r="5432" spans="6:6" x14ac:dyDescent="0.3">
      <c r="F5432" s="43"/>
    </row>
    <row r="5433" spans="6:6" x14ac:dyDescent="0.3">
      <c r="F5433" s="43"/>
    </row>
    <row r="5434" spans="6:6" x14ac:dyDescent="0.3">
      <c r="F5434" s="43"/>
    </row>
    <row r="5435" spans="6:6" x14ac:dyDescent="0.3">
      <c r="F5435" s="43"/>
    </row>
    <row r="5436" spans="6:6" x14ac:dyDescent="0.3">
      <c r="F5436" s="43"/>
    </row>
    <row r="5437" spans="6:6" x14ac:dyDescent="0.3">
      <c r="F5437" s="43"/>
    </row>
    <row r="5438" spans="6:6" x14ac:dyDescent="0.3">
      <c r="F5438" s="43"/>
    </row>
    <row r="5439" spans="6:6" x14ac:dyDescent="0.3">
      <c r="F5439" s="43"/>
    </row>
    <row r="5440" spans="6:6" x14ac:dyDescent="0.3">
      <c r="F5440" s="43"/>
    </row>
    <row r="5441" spans="6:6" x14ac:dyDescent="0.3">
      <c r="F5441" s="43"/>
    </row>
    <row r="5442" spans="6:6" x14ac:dyDescent="0.3">
      <c r="F5442" s="43"/>
    </row>
    <row r="5443" spans="6:6" x14ac:dyDescent="0.3">
      <c r="F5443" s="43"/>
    </row>
    <row r="5444" spans="6:6" x14ac:dyDescent="0.3">
      <c r="F5444" s="43"/>
    </row>
    <row r="5445" spans="6:6" x14ac:dyDescent="0.3">
      <c r="F5445" s="43"/>
    </row>
    <row r="5446" spans="6:6" x14ac:dyDescent="0.3">
      <c r="F5446" s="43"/>
    </row>
    <row r="5447" spans="6:6" x14ac:dyDescent="0.3">
      <c r="F5447" s="43"/>
    </row>
    <row r="5448" spans="6:6" x14ac:dyDescent="0.3">
      <c r="F5448" s="43"/>
    </row>
    <row r="5449" spans="6:6" x14ac:dyDescent="0.3">
      <c r="F5449" s="43"/>
    </row>
    <row r="5450" spans="6:6" x14ac:dyDescent="0.3">
      <c r="F5450" s="43"/>
    </row>
    <row r="5451" spans="6:6" x14ac:dyDescent="0.3">
      <c r="F5451" s="43"/>
    </row>
    <row r="5452" spans="6:6" x14ac:dyDescent="0.3">
      <c r="F5452" s="43"/>
    </row>
    <row r="5453" spans="6:6" x14ac:dyDescent="0.3">
      <c r="F5453" s="43"/>
    </row>
    <row r="5454" spans="6:6" x14ac:dyDescent="0.3">
      <c r="F5454" s="43"/>
    </row>
    <row r="5455" spans="6:6" x14ac:dyDescent="0.3">
      <c r="F5455" s="43"/>
    </row>
    <row r="5456" spans="6:6" x14ac:dyDescent="0.3">
      <c r="F5456" s="43"/>
    </row>
    <row r="5457" spans="6:6" x14ac:dyDescent="0.3">
      <c r="F5457" s="43"/>
    </row>
    <row r="5458" spans="6:6" x14ac:dyDescent="0.3">
      <c r="F5458" s="43"/>
    </row>
    <row r="5459" spans="6:6" x14ac:dyDescent="0.3">
      <c r="F5459" s="43"/>
    </row>
    <row r="5460" spans="6:6" x14ac:dyDescent="0.3">
      <c r="F5460" s="43"/>
    </row>
    <row r="5461" spans="6:6" x14ac:dyDescent="0.3">
      <c r="F5461" s="43"/>
    </row>
    <row r="5462" spans="6:6" x14ac:dyDescent="0.3">
      <c r="F5462" s="43"/>
    </row>
    <row r="5463" spans="6:6" x14ac:dyDescent="0.3">
      <c r="F5463" s="43"/>
    </row>
    <row r="5464" spans="6:6" x14ac:dyDescent="0.3">
      <c r="F5464" s="43"/>
    </row>
    <row r="5465" spans="6:6" x14ac:dyDescent="0.3">
      <c r="F5465" s="43"/>
    </row>
    <row r="5466" spans="6:6" x14ac:dyDescent="0.3">
      <c r="F5466" s="43"/>
    </row>
    <row r="5467" spans="6:6" x14ac:dyDescent="0.3">
      <c r="F5467" s="43"/>
    </row>
    <row r="5468" spans="6:6" x14ac:dyDescent="0.3">
      <c r="F5468" s="43"/>
    </row>
    <row r="5469" spans="6:6" x14ac:dyDescent="0.3">
      <c r="F5469" s="43"/>
    </row>
    <row r="5470" spans="6:6" x14ac:dyDescent="0.3">
      <c r="F5470" s="43"/>
    </row>
    <row r="5471" spans="6:6" x14ac:dyDescent="0.3">
      <c r="F5471" s="43"/>
    </row>
    <row r="5472" spans="6:6" x14ac:dyDescent="0.3">
      <c r="F5472" s="43"/>
    </row>
    <row r="5473" spans="6:6" x14ac:dyDescent="0.3">
      <c r="F5473" s="43"/>
    </row>
    <row r="5474" spans="6:6" x14ac:dyDescent="0.3">
      <c r="F5474" s="43"/>
    </row>
    <row r="5475" spans="6:6" x14ac:dyDescent="0.3">
      <c r="F5475" s="43"/>
    </row>
    <row r="5476" spans="6:6" x14ac:dyDescent="0.3">
      <c r="F5476" s="43"/>
    </row>
    <row r="5477" spans="6:6" x14ac:dyDescent="0.3">
      <c r="F5477" s="43"/>
    </row>
    <row r="5478" spans="6:6" x14ac:dyDescent="0.3">
      <c r="F5478" s="43"/>
    </row>
    <row r="5479" spans="6:6" x14ac:dyDescent="0.3">
      <c r="F5479" s="43"/>
    </row>
    <row r="5480" spans="6:6" x14ac:dyDescent="0.3">
      <c r="F5480" s="43"/>
    </row>
    <row r="5481" spans="6:6" x14ac:dyDescent="0.3">
      <c r="F5481" s="43"/>
    </row>
    <row r="5482" spans="6:6" x14ac:dyDescent="0.3">
      <c r="F5482" s="43"/>
    </row>
    <row r="5483" spans="6:6" x14ac:dyDescent="0.3">
      <c r="F5483" s="43"/>
    </row>
    <row r="5484" spans="6:6" x14ac:dyDescent="0.3">
      <c r="F5484" s="43"/>
    </row>
    <row r="5485" spans="6:6" x14ac:dyDescent="0.3">
      <c r="F5485" s="43"/>
    </row>
    <row r="5486" spans="6:6" x14ac:dyDescent="0.3">
      <c r="F5486" s="43"/>
    </row>
    <row r="5487" spans="6:6" x14ac:dyDescent="0.3">
      <c r="F5487" s="43"/>
    </row>
    <row r="5488" spans="6:6" x14ac:dyDescent="0.3">
      <c r="F5488" s="43"/>
    </row>
    <row r="5489" spans="6:6" x14ac:dyDescent="0.3">
      <c r="F5489" s="43"/>
    </row>
    <row r="5490" spans="6:6" x14ac:dyDescent="0.3">
      <c r="F5490" s="43"/>
    </row>
    <row r="5491" spans="6:6" x14ac:dyDescent="0.3">
      <c r="F5491" s="43"/>
    </row>
    <row r="5492" spans="6:6" x14ac:dyDescent="0.3">
      <c r="F5492" s="43"/>
    </row>
    <row r="5493" spans="6:6" x14ac:dyDescent="0.3">
      <c r="F5493" s="43"/>
    </row>
    <row r="5494" spans="6:6" x14ac:dyDescent="0.3">
      <c r="F5494" s="43"/>
    </row>
    <row r="5495" spans="6:6" x14ac:dyDescent="0.3">
      <c r="F5495" s="43"/>
    </row>
    <row r="5496" spans="6:6" x14ac:dyDescent="0.3">
      <c r="F5496" s="43"/>
    </row>
    <row r="5497" spans="6:6" x14ac:dyDescent="0.3">
      <c r="F5497" s="43"/>
    </row>
    <row r="5498" spans="6:6" x14ac:dyDescent="0.3">
      <c r="F5498" s="43"/>
    </row>
    <row r="5499" spans="6:6" x14ac:dyDescent="0.3">
      <c r="F5499" s="43"/>
    </row>
    <row r="5500" spans="6:6" x14ac:dyDescent="0.3">
      <c r="F5500" s="43"/>
    </row>
    <row r="5501" spans="6:6" x14ac:dyDescent="0.3">
      <c r="F5501" s="43"/>
    </row>
    <row r="5502" spans="6:6" x14ac:dyDescent="0.3">
      <c r="F5502" s="43"/>
    </row>
    <row r="5503" spans="6:6" x14ac:dyDescent="0.3">
      <c r="F5503" s="43"/>
    </row>
    <row r="5504" spans="6:6" x14ac:dyDescent="0.3">
      <c r="F5504" s="43"/>
    </row>
    <row r="5505" spans="6:6" x14ac:dyDescent="0.3">
      <c r="F5505" s="43"/>
    </row>
    <row r="5506" spans="6:6" x14ac:dyDescent="0.3">
      <c r="F5506" s="43"/>
    </row>
    <row r="5507" spans="6:6" x14ac:dyDescent="0.3">
      <c r="F5507" s="43"/>
    </row>
    <row r="5508" spans="6:6" x14ac:dyDescent="0.3">
      <c r="F5508" s="43"/>
    </row>
    <row r="5509" spans="6:6" x14ac:dyDescent="0.3">
      <c r="F5509" s="43"/>
    </row>
    <row r="5510" spans="6:6" x14ac:dyDescent="0.3">
      <c r="F5510" s="43"/>
    </row>
    <row r="5511" spans="6:6" x14ac:dyDescent="0.3">
      <c r="F5511" s="43"/>
    </row>
    <row r="5512" spans="6:6" x14ac:dyDescent="0.3">
      <c r="F5512" s="43"/>
    </row>
    <row r="5513" spans="6:6" x14ac:dyDescent="0.3">
      <c r="F5513" s="43"/>
    </row>
    <row r="5514" spans="6:6" x14ac:dyDescent="0.3">
      <c r="F5514" s="43"/>
    </row>
    <row r="5515" spans="6:6" x14ac:dyDescent="0.3">
      <c r="F5515" s="43"/>
    </row>
    <row r="5516" spans="6:6" x14ac:dyDescent="0.3">
      <c r="F5516" s="43"/>
    </row>
    <row r="5517" spans="6:6" x14ac:dyDescent="0.3">
      <c r="F5517" s="43"/>
    </row>
    <row r="5518" spans="6:6" x14ac:dyDescent="0.3">
      <c r="F5518" s="43"/>
    </row>
    <row r="5519" spans="6:6" x14ac:dyDescent="0.3">
      <c r="F5519" s="43"/>
    </row>
    <row r="5520" spans="6:6" x14ac:dyDescent="0.3">
      <c r="F5520" s="43"/>
    </row>
    <row r="5521" spans="6:6" x14ac:dyDescent="0.3">
      <c r="F5521" s="43"/>
    </row>
    <row r="5522" spans="6:6" x14ac:dyDescent="0.3">
      <c r="F5522" s="43"/>
    </row>
    <row r="5523" spans="6:6" x14ac:dyDescent="0.3">
      <c r="F5523" s="43"/>
    </row>
    <row r="5524" spans="6:6" x14ac:dyDescent="0.3">
      <c r="F5524" s="43"/>
    </row>
    <row r="5525" spans="6:6" x14ac:dyDescent="0.3">
      <c r="F5525" s="43"/>
    </row>
    <row r="5526" spans="6:6" x14ac:dyDescent="0.3">
      <c r="F5526" s="43"/>
    </row>
    <row r="5527" spans="6:6" x14ac:dyDescent="0.3">
      <c r="F5527" s="43"/>
    </row>
    <row r="5528" spans="6:6" x14ac:dyDescent="0.3">
      <c r="F5528" s="43"/>
    </row>
    <row r="5529" spans="6:6" x14ac:dyDescent="0.3">
      <c r="F5529" s="43"/>
    </row>
    <row r="5530" spans="6:6" x14ac:dyDescent="0.3">
      <c r="F5530" s="43"/>
    </row>
    <row r="5531" spans="6:6" x14ac:dyDescent="0.3">
      <c r="F5531" s="43"/>
    </row>
    <row r="5532" spans="6:6" x14ac:dyDescent="0.3">
      <c r="F5532" s="43"/>
    </row>
    <row r="5533" spans="6:6" x14ac:dyDescent="0.3">
      <c r="F5533" s="43"/>
    </row>
    <row r="5534" spans="6:6" x14ac:dyDescent="0.3">
      <c r="F5534" s="43"/>
    </row>
    <row r="5535" spans="6:6" x14ac:dyDescent="0.3">
      <c r="F5535" s="43"/>
    </row>
    <row r="5536" spans="6:6" x14ac:dyDescent="0.3">
      <c r="F5536" s="43"/>
    </row>
    <row r="5537" spans="6:6" x14ac:dyDescent="0.3">
      <c r="F5537" s="43"/>
    </row>
    <row r="5538" spans="6:6" x14ac:dyDescent="0.3">
      <c r="F5538" s="43"/>
    </row>
    <row r="5539" spans="6:6" x14ac:dyDescent="0.3">
      <c r="F5539" s="43"/>
    </row>
    <row r="5540" spans="6:6" x14ac:dyDescent="0.3">
      <c r="F5540" s="43"/>
    </row>
    <row r="5541" spans="6:6" x14ac:dyDescent="0.3">
      <c r="F5541" s="43"/>
    </row>
    <row r="5542" spans="6:6" x14ac:dyDescent="0.3">
      <c r="F5542" s="43"/>
    </row>
    <row r="5543" spans="6:6" x14ac:dyDescent="0.3">
      <c r="F5543" s="43"/>
    </row>
    <row r="5544" spans="6:6" x14ac:dyDescent="0.3">
      <c r="F5544" s="43"/>
    </row>
    <row r="5545" spans="6:6" x14ac:dyDescent="0.3">
      <c r="F5545" s="43"/>
    </row>
    <row r="5546" spans="6:6" x14ac:dyDescent="0.3">
      <c r="F5546" s="43"/>
    </row>
    <row r="5547" spans="6:6" x14ac:dyDescent="0.3">
      <c r="F5547" s="43"/>
    </row>
    <row r="5548" spans="6:6" x14ac:dyDescent="0.3">
      <c r="F5548" s="43"/>
    </row>
    <row r="5549" spans="6:6" x14ac:dyDescent="0.3">
      <c r="F5549" s="43"/>
    </row>
    <row r="5550" spans="6:6" x14ac:dyDescent="0.3">
      <c r="F5550" s="43"/>
    </row>
    <row r="5551" spans="6:6" x14ac:dyDescent="0.3">
      <c r="F5551" s="43"/>
    </row>
    <row r="5552" spans="6:6" x14ac:dyDescent="0.3">
      <c r="F5552" s="43"/>
    </row>
    <row r="5553" spans="6:6" x14ac:dyDescent="0.3">
      <c r="F5553" s="43"/>
    </row>
    <row r="5554" spans="6:6" x14ac:dyDescent="0.3">
      <c r="F5554" s="43"/>
    </row>
    <row r="5555" spans="6:6" x14ac:dyDescent="0.3">
      <c r="F5555" s="43"/>
    </row>
    <row r="5556" spans="6:6" x14ac:dyDescent="0.3">
      <c r="F5556" s="43"/>
    </row>
    <row r="5557" spans="6:6" x14ac:dyDescent="0.3">
      <c r="F5557" s="43"/>
    </row>
    <row r="5558" spans="6:6" x14ac:dyDescent="0.3">
      <c r="F5558" s="43"/>
    </row>
    <row r="5559" spans="6:6" x14ac:dyDescent="0.3">
      <c r="F5559" s="43"/>
    </row>
    <row r="5560" spans="6:6" x14ac:dyDescent="0.3">
      <c r="F5560" s="43"/>
    </row>
    <row r="5561" spans="6:6" x14ac:dyDescent="0.3">
      <c r="F5561" s="43"/>
    </row>
    <row r="5562" spans="6:6" x14ac:dyDescent="0.3">
      <c r="F5562" s="43"/>
    </row>
    <row r="5563" spans="6:6" x14ac:dyDescent="0.3">
      <c r="F5563" s="43"/>
    </row>
    <row r="5564" spans="6:6" x14ac:dyDescent="0.3">
      <c r="F5564" s="43"/>
    </row>
    <row r="5565" spans="6:6" x14ac:dyDescent="0.3">
      <c r="F5565" s="43"/>
    </row>
    <row r="5566" spans="6:6" x14ac:dyDescent="0.3">
      <c r="F5566" s="43"/>
    </row>
    <row r="5567" spans="6:6" x14ac:dyDescent="0.3">
      <c r="F5567" s="43"/>
    </row>
    <row r="5568" spans="6:6" x14ac:dyDescent="0.3">
      <c r="F5568" s="43"/>
    </row>
    <row r="5569" spans="6:6" x14ac:dyDescent="0.3">
      <c r="F5569" s="43"/>
    </row>
    <row r="5570" spans="6:6" x14ac:dyDescent="0.3">
      <c r="F5570" s="43"/>
    </row>
    <row r="5571" spans="6:6" x14ac:dyDescent="0.3">
      <c r="F5571" s="43"/>
    </row>
    <row r="5572" spans="6:6" x14ac:dyDescent="0.3">
      <c r="F5572" s="43"/>
    </row>
    <row r="5573" spans="6:6" x14ac:dyDescent="0.3">
      <c r="F5573" s="43"/>
    </row>
    <row r="5574" spans="6:6" x14ac:dyDescent="0.3">
      <c r="F5574" s="43"/>
    </row>
    <row r="5575" spans="6:6" x14ac:dyDescent="0.3">
      <c r="F5575" s="43"/>
    </row>
    <row r="5576" spans="6:6" x14ac:dyDescent="0.3">
      <c r="F5576" s="43"/>
    </row>
    <row r="5577" spans="6:6" x14ac:dyDescent="0.3">
      <c r="F5577" s="43"/>
    </row>
    <row r="5578" spans="6:6" x14ac:dyDescent="0.3">
      <c r="F5578" s="43"/>
    </row>
    <row r="5579" spans="6:6" x14ac:dyDescent="0.3">
      <c r="F5579" s="43"/>
    </row>
    <row r="5580" spans="6:6" x14ac:dyDescent="0.3">
      <c r="F5580" s="43"/>
    </row>
    <row r="5581" spans="6:6" x14ac:dyDescent="0.3">
      <c r="F5581" s="43"/>
    </row>
    <row r="5582" spans="6:6" x14ac:dyDescent="0.3">
      <c r="F5582" s="43"/>
    </row>
    <row r="5583" spans="6:6" x14ac:dyDescent="0.3">
      <c r="F5583" s="43"/>
    </row>
    <row r="5584" spans="6:6" x14ac:dyDescent="0.3">
      <c r="F5584" s="43"/>
    </row>
    <row r="5585" spans="6:6" x14ac:dyDescent="0.3">
      <c r="F5585" s="43"/>
    </row>
    <row r="5586" spans="6:6" x14ac:dyDescent="0.3">
      <c r="F5586" s="43"/>
    </row>
    <row r="5587" spans="6:6" x14ac:dyDescent="0.3">
      <c r="F5587" s="43"/>
    </row>
    <row r="5588" spans="6:6" x14ac:dyDescent="0.3">
      <c r="F5588" s="43"/>
    </row>
    <row r="5589" spans="6:6" x14ac:dyDescent="0.3">
      <c r="F5589" s="43"/>
    </row>
    <row r="5590" spans="6:6" x14ac:dyDescent="0.3">
      <c r="F5590" s="43"/>
    </row>
    <row r="5591" spans="6:6" x14ac:dyDescent="0.3">
      <c r="F5591" s="43"/>
    </row>
    <row r="5592" spans="6:6" x14ac:dyDescent="0.3">
      <c r="F5592" s="43"/>
    </row>
    <row r="5593" spans="6:6" x14ac:dyDescent="0.3">
      <c r="F5593" s="43"/>
    </row>
    <row r="5594" spans="6:6" x14ac:dyDescent="0.3">
      <c r="F5594" s="43"/>
    </row>
    <row r="5595" spans="6:6" x14ac:dyDescent="0.3">
      <c r="F5595" s="43"/>
    </row>
    <row r="5596" spans="6:6" x14ac:dyDescent="0.3">
      <c r="F5596" s="43"/>
    </row>
    <row r="5597" spans="6:6" x14ac:dyDescent="0.3">
      <c r="F5597" s="43"/>
    </row>
    <row r="5598" spans="6:6" x14ac:dyDescent="0.3">
      <c r="F5598" s="43"/>
    </row>
    <row r="5599" spans="6:6" x14ac:dyDescent="0.3">
      <c r="F5599" s="43"/>
    </row>
    <row r="5600" spans="6:6" x14ac:dyDescent="0.3">
      <c r="F5600" s="43"/>
    </row>
    <row r="5601" spans="6:6" x14ac:dyDescent="0.3">
      <c r="F5601" s="43"/>
    </row>
    <row r="5602" spans="6:6" x14ac:dyDescent="0.3">
      <c r="F5602" s="43"/>
    </row>
    <row r="5603" spans="6:6" x14ac:dyDescent="0.3">
      <c r="F5603" s="43"/>
    </row>
    <row r="5604" spans="6:6" x14ac:dyDescent="0.3">
      <c r="F5604" s="43"/>
    </row>
    <row r="5605" spans="6:6" x14ac:dyDescent="0.3">
      <c r="F5605" s="43"/>
    </row>
    <row r="5606" spans="6:6" x14ac:dyDescent="0.3">
      <c r="F5606" s="43"/>
    </row>
    <row r="5607" spans="6:6" x14ac:dyDescent="0.3">
      <c r="F5607" s="43"/>
    </row>
    <row r="5608" spans="6:6" x14ac:dyDescent="0.3">
      <c r="F5608" s="43"/>
    </row>
    <row r="5609" spans="6:6" x14ac:dyDescent="0.3">
      <c r="F5609" s="43"/>
    </row>
    <row r="5610" spans="6:6" x14ac:dyDescent="0.3">
      <c r="F5610" s="43"/>
    </row>
    <row r="5611" spans="6:6" x14ac:dyDescent="0.3">
      <c r="F5611" s="43"/>
    </row>
    <row r="5612" spans="6:6" x14ac:dyDescent="0.3">
      <c r="F5612" s="43"/>
    </row>
    <row r="5613" spans="6:6" x14ac:dyDescent="0.3">
      <c r="F5613" s="43"/>
    </row>
    <row r="5614" spans="6:6" x14ac:dyDescent="0.3">
      <c r="F5614" s="43"/>
    </row>
    <row r="5615" spans="6:6" x14ac:dyDescent="0.3">
      <c r="F5615" s="43"/>
    </row>
    <row r="5616" spans="6:6" x14ac:dyDescent="0.3">
      <c r="F5616" s="43"/>
    </row>
    <row r="5617" spans="6:6" x14ac:dyDescent="0.3">
      <c r="F5617" s="43"/>
    </row>
    <row r="5618" spans="6:6" x14ac:dyDescent="0.3">
      <c r="F5618" s="43"/>
    </row>
    <row r="5619" spans="6:6" x14ac:dyDescent="0.3">
      <c r="F5619" s="43"/>
    </row>
    <row r="5620" spans="6:6" x14ac:dyDescent="0.3">
      <c r="F5620" s="43"/>
    </row>
    <row r="5621" spans="6:6" x14ac:dyDescent="0.3">
      <c r="F5621" s="43"/>
    </row>
    <row r="5622" spans="6:6" x14ac:dyDescent="0.3">
      <c r="F5622" s="43"/>
    </row>
    <row r="5623" spans="6:6" x14ac:dyDescent="0.3">
      <c r="F5623" s="43"/>
    </row>
    <row r="5624" spans="6:6" x14ac:dyDescent="0.3">
      <c r="F5624" s="43"/>
    </row>
    <row r="5625" spans="6:6" x14ac:dyDescent="0.3">
      <c r="F5625" s="43"/>
    </row>
    <row r="5626" spans="6:6" x14ac:dyDescent="0.3">
      <c r="F5626" s="43"/>
    </row>
    <row r="5627" spans="6:6" x14ac:dyDescent="0.3">
      <c r="F5627" s="43"/>
    </row>
    <row r="5628" spans="6:6" x14ac:dyDescent="0.3">
      <c r="F5628" s="43"/>
    </row>
    <row r="5629" spans="6:6" x14ac:dyDescent="0.3">
      <c r="F5629" s="43"/>
    </row>
    <row r="5630" spans="6:6" x14ac:dyDescent="0.3">
      <c r="F5630" s="43"/>
    </row>
    <row r="5631" spans="6:6" x14ac:dyDescent="0.3">
      <c r="F5631" s="43"/>
    </row>
    <row r="5632" spans="6:6" x14ac:dyDescent="0.3">
      <c r="F5632" s="43"/>
    </row>
    <row r="5633" spans="6:6" x14ac:dyDescent="0.3">
      <c r="F5633" s="43"/>
    </row>
    <row r="5634" spans="6:6" x14ac:dyDescent="0.3">
      <c r="F5634" s="43"/>
    </row>
    <row r="5635" spans="6:6" x14ac:dyDescent="0.3">
      <c r="F5635" s="43"/>
    </row>
    <row r="5636" spans="6:6" x14ac:dyDescent="0.3">
      <c r="F5636" s="43"/>
    </row>
    <row r="5637" spans="6:6" x14ac:dyDescent="0.3">
      <c r="F5637" s="43"/>
    </row>
    <row r="5638" spans="6:6" x14ac:dyDescent="0.3">
      <c r="F5638" s="43"/>
    </row>
    <row r="5639" spans="6:6" x14ac:dyDescent="0.3">
      <c r="F5639" s="43"/>
    </row>
    <row r="5640" spans="6:6" x14ac:dyDescent="0.3">
      <c r="F5640" s="43"/>
    </row>
    <row r="5641" spans="6:6" x14ac:dyDescent="0.3">
      <c r="F5641" s="43"/>
    </row>
    <row r="5642" spans="6:6" x14ac:dyDescent="0.3">
      <c r="F5642" s="43"/>
    </row>
    <row r="5643" spans="6:6" x14ac:dyDescent="0.3">
      <c r="F5643" s="43"/>
    </row>
    <row r="5644" spans="6:6" x14ac:dyDescent="0.3">
      <c r="F5644" s="43"/>
    </row>
    <row r="5645" spans="6:6" x14ac:dyDescent="0.3">
      <c r="F5645" s="43"/>
    </row>
    <row r="5646" spans="6:6" x14ac:dyDescent="0.3">
      <c r="F5646" s="43"/>
    </row>
    <row r="5647" spans="6:6" x14ac:dyDescent="0.3">
      <c r="F5647" s="43"/>
    </row>
    <row r="5648" spans="6:6" x14ac:dyDescent="0.3">
      <c r="F5648" s="43"/>
    </row>
    <row r="5649" spans="6:6" x14ac:dyDescent="0.3">
      <c r="F5649" s="43"/>
    </row>
    <row r="5650" spans="6:6" x14ac:dyDescent="0.3">
      <c r="F5650" s="43"/>
    </row>
    <row r="5651" spans="6:6" x14ac:dyDescent="0.3">
      <c r="F5651" s="43"/>
    </row>
    <row r="5652" spans="6:6" x14ac:dyDescent="0.3">
      <c r="F5652" s="43"/>
    </row>
    <row r="5653" spans="6:6" x14ac:dyDescent="0.3">
      <c r="F5653" s="43"/>
    </row>
    <row r="5654" spans="6:6" x14ac:dyDescent="0.3">
      <c r="F5654" s="43"/>
    </row>
    <row r="5655" spans="6:6" x14ac:dyDescent="0.3">
      <c r="F5655" s="43"/>
    </row>
    <row r="5656" spans="6:6" x14ac:dyDescent="0.3">
      <c r="F5656" s="43"/>
    </row>
    <row r="5657" spans="6:6" x14ac:dyDescent="0.3">
      <c r="F5657" s="43"/>
    </row>
    <row r="5658" spans="6:6" x14ac:dyDescent="0.3">
      <c r="F5658" s="43"/>
    </row>
    <row r="5659" spans="6:6" x14ac:dyDescent="0.3">
      <c r="F5659" s="43"/>
    </row>
    <row r="5660" spans="6:6" x14ac:dyDescent="0.3">
      <c r="F5660" s="43"/>
    </row>
    <row r="5661" spans="6:6" x14ac:dyDescent="0.3">
      <c r="F5661" s="43"/>
    </row>
    <row r="5662" spans="6:6" x14ac:dyDescent="0.3">
      <c r="F5662" s="43"/>
    </row>
    <row r="5663" spans="6:6" x14ac:dyDescent="0.3">
      <c r="F5663" s="43"/>
    </row>
    <row r="5664" spans="6:6" x14ac:dyDescent="0.3">
      <c r="F5664" s="43"/>
    </row>
    <row r="5665" spans="6:6" x14ac:dyDescent="0.3">
      <c r="F5665" s="43"/>
    </row>
    <row r="5666" spans="6:6" x14ac:dyDescent="0.3">
      <c r="F5666" s="43"/>
    </row>
    <row r="5667" spans="6:6" x14ac:dyDescent="0.3">
      <c r="F5667" s="43"/>
    </row>
    <row r="5668" spans="6:6" x14ac:dyDescent="0.3">
      <c r="F5668" s="43"/>
    </row>
    <row r="5669" spans="6:6" x14ac:dyDescent="0.3">
      <c r="F5669" s="43"/>
    </row>
    <row r="5670" spans="6:6" x14ac:dyDescent="0.3">
      <c r="F5670" s="43"/>
    </row>
    <row r="5671" spans="6:6" x14ac:dyDescent="0.3">
      <c r="F5671" s="43"/>
    </row>
    <row r="5672" spans="6:6" x14ac:dyDescent="0.3">
      <c r="F5672" s="43"/>
    </row>
    <row r="5673" spans="6:6" x14ac:dyDescent="0.3">
      <c r="F5673" s="43"/>
    </row>
    <row r="5674" spans="6:6" x14ac:dyDescent="0.3">
      <c r="F5674" s="43"/>
    </row>
    <row r="5675" spans="6:6" x14ac:dyDescent="0.3">
      <c r="F5675" s="43"/>
    </row>
    <row r="5676" spans="6:6" x14ac:dyDescent="0.3">
      <c r="F5676" s="43"/>
    </row>
    <row r="5677" spans="6:6" x14ac:dyDescent="0.3">
      <c r="F5677" s="43"/>
    </row>
    <row r="5678" spans="6:6" x14ac:dyDescent="0.3">
      <c r="F5678" s="43"/>
    </row>
    <row r="5679" spans="6:6" x14ac:dyDescent="0.3">
      <c r="F5679" s="43"/>
    </row>
    <row r="5680" spans="6:6" x14ac:dyDescent="0.3">
      <c r="F5680" s="43"/>
    </row>
    <row r="5681" spans="6:6" x14ac:dyDescent="0.3">
      <c r="F5681" s="43"/>
    </row>
    <row r="5682" spans="6:6" x14ac:dyDescent="0.3">
      <c r="F5682" s="43"/>
    </row>
    <row r="5683" spans="6:6" x14ac:dyDescent="0.3">
      <c r="F5683" s="43"/>
    </row>
    <row r="5684" spans="6:6" x14ac:dyDescent="0.3">
      <c r="F5684" s="43"/>
    </row>
    <row r="5685" spans="6:6" x14ac:dyDescent="0.3">
      <c r="F5685" s="43"/>
    </row>
    <row r="5686" spans="6:6" x14ac:dyDescent="0.3">
      <c r="F5686" s="43"/>
    </row>
    <row r="5687" spans="6:6" x14ac:dyDescent="0.3">
      <c r="F5687" s="43"/>
    </row>
    <row r="5688" spans="6:6" x14ac:dyDescent="0.3">
      <c r="F5688" s="43"/>
    </row>
    <row r="5689" spans="6:6" x14ac:dyDescent="0.3">
      <c r="F5689" s="43"/>
    </row>
    <row r="5690" spans="6:6" x14ac:dyDescent="0.3">
      <c r="F5690" s="43"/>
    </row>
    <row r="5691" spans="6:6" x14ac:dyDescent="0.3">
      <c r="F5691" s="43"/>
    </row>
    <row r="5692" spans="6:6" x14ac:dyDescent="0.3">
      <c r="F5692" s="43"/>
    </row>
    <row r="5693" spans="6:6" x14ac:dyDescent="0.3">
      <c r="F5693" s="43"/>
    </row>
    <row r="5694" spans="6:6" x14ac:dyDescent="0.3">
      <c r="F5694" s="43"/>
    </row>
    <row r="5695" spans="6:6" x14ac:dyDescent="0.3">
      <c r="F5695" s="43"/>
    </row>
    <row r="5696" spans="6:6" x14ac:dyDescent="0.3">
      <c r="F5696" s="43"/>
    </row>
    <row r="5697" spans="6:6" x14ac:dyDescent="0.3">
      <c r="F5697" s="43"/>
    </row>
    <row r="5698" spans="6:6" x14ac:dyDescent="0.3">
      <c r="F5698" s="43"/>
    </row>
    <row r="5699" spans="6:6" x14ac:dyDescent="0.3">
      <c r="F5699" s="43"/>
    </row>
    <row r="5700" spans="6:6" x14ac:dyDescent="0.3">
      <c r="F5700" s="43"/>
    </row>
    <row r="5701" spans="6:6" x14ac:dyDescent="0.3">
      <c r="F5701" s="43"/>
    </row>
    <row r="5702" spans="6:6" x14ac:dyDescent="0.3">
      <c r="F5702" s="43"/>
    </row>
    <row r="5703" spans="6:6" x14ac:dyDescent="0.3">
      <c r="F5703" s="43"/>
    </row>
    <row r="5704" spans="6:6" x14ac:dyDescent="0.3">
      <c r="F5704" s="43"/>
    </row>
    <row r="5705" spans="6:6" x14ac:dyDescent="0.3">
      <c r="F5705" s="43"/>
    </row>
    <row r="5706" spans="6:6" x14ac:dyDescent="0.3">
      <c r="F5706" s="43"/>
    </row>
    <row r="5707" spans="6:6" x14ac:dyDescent="0.3">
      <c r="F5707" s="43"/>
    </row>
    <row r="5708" spans="6:6" x14ac:dyDescent="0.3">
      <c r="F5708" s="43"/>
    </row>
    <row r="5709" spans="6:6" x14ac:dyDescent="0.3">
      <c r="F5709" s="43"/>
    </row>
    <row r="5710" spans="6:6" x14ac:dyDescent="0.3">
      <c r="F5710" s="43"/>
    </row>
    <row r="5711" spans="6:6" x14ac:dyDescent="0.3">
      <c r="F5711" s="43"/>
    </row>
    <row r="5712" spans="6:6" x14ac:dyDescent="0.3">
      <c r="F5712" s="43"/>
    </row>
    <row r="5713" spans="6:6" x14ac:dyDescent="0.3">
      <c r="F5713" s="43"/>
    </row>
    <row r="5714" spans="6:6" x14ac:dyDescent="0.3">
      <c r="F5714" s="43"/>
    </row>
    <row r="5715" spans="6:6" x14ac:dyDescent="0.3">
      <c r="F5715" s="43"/>
    </row>
    <row r="5716" spans="6:6" x14ac:dyDescent="0.3">
      <c r="F5716" s="43"/>
    </row>
    <row r="5717" spans="6:6" x14ac:dyDescent="0.3">
      <c r="F5717" s="43"/>
    </row>
    <row r="5718" spans="6:6" x14ac:dyDescent="0.3">
      <c r="F5718" s="43"/>
    </row>
    <row r="5719" spans="6:6" x14ac:dyDescent="0.3">
      <c r="F5719" s="43"/>
    </row>
    <row r="5720" spans="6:6" x14ac:dyDescent="0.3">
      <c r="F5720" s="43"/>
    </row>
    <row r="5721" spans="6:6" x14ac:dyDescent="0.3">
      <c r="F5721" s="43"/>
    </row>
    <row r="5722" spans="6:6" x14ac:dyDescent="0.3">
      <c r="F5722" s="43"/>
    </row>
    <row r="5723" spans="6:6" x14ac:dyDescent="0.3">
      <c r="F5723" s="43"/>
    </row>
    <row r="5724" spans="6:6" x14ac:dyDescent="0.3">
      <c r="F5724" s="43"/>
    </row>
    <row r="5725" spans="6:6" x14ac:dyDescent="0.3">
      <c r="F5725" s="43"/>
    </row>
    <row r="5726" spans="6:6" x14ac:dyDescent="0.3">
      <c r="F5726" s="43"/>
    </row>
    <row r="5727" spans="6:6" x14ac:dyDescent="0.3">
      <c r="F5727" s="43"/>
    </row>
    <row r="5728" spans="6:6" x14ac:dyDescent="0.3">
      <c r="F5728" s="43"/>
    </row>
    <row r="5729" spans="6:6" x14ac:dyDescent="0.3">
      <c r="F5729" s="43"/>
    </row>
    <row r="5730" spans="6:6" x14ac:dyDescent="0.3">
      <c r="F5730" s="43"/>
    </row>
    <row r="5731" spans="6:6" x14ac:dyDescent="0.3">
      <c r="F5731" s="43"/>
    </row>
    <row r="5732" spans="6:6" x14ac:dyDescent="0.3">
      <c r="F5732" s="43"/>
    </row>
    <row r="5733" spans="6:6" x14ac:dyDescent="0.3">
      <c r="F5733" s="43"/>
    </row>
    <row r="5734" spans="6:6" x14ac:dyDescent="0.3">
      <c r="F5734" s="43"/>
    </row>
    <row r="5735" spans="6:6" x14ac:dyDescent="0.3">
      <c r="F5735" s="43"/>
    </row>
    <row r="5736" spans="6:6" x14ac:dyDescent="0.3">
      <c r="F5736" s="43"/>
    </row>
    <row r="5737" spans="6:6" x14ac:dyDescent="0.3">
      <c r="F5737" s="43"/>
    </row>
    <row r="5738" spans="6:6" x14ac:dyDescent="0.3">
      <c r="F5738" s="43"/>
    </row>
    <row r="5739" spans="6:6" x14ac:dyDescent="0.3">
      <c r="F5739" s="43"/>
    </row>
    <row r="5740" spans="6:6" x14ac:dyDescent="0.3">
      <c r="F5740" s="43"/>
    </row>
    <row r="5741" spans="6:6" x14ac:dyDescent="0.3">
      <c r="F5741" s="43"/>
    </row>
    <row r="5742" spans="6:6" x14ac:dyDescent="0.3">
      <c r="F5742" s="43"/>
    </row>
    <row r="5743" spans="6:6" x14ac:dyDescent="0.3">
      <c r="F5743" s="43"/>
    </row>
    <row r="5744" spans="6:6" x14ac:dyDescent="0.3">
      <c r="F5744" s="43"/>
    </row>
    <row r="5745" spans="6:6" x14ac:dyDescent="0.3">
      <c r="F5745" s="43"/>
    </row>
    <row r="5746" spans="6:6" x14ac:dyDescent="0.3">
      <c r="F5746" s="43"/>
    </row>
    <row r="5747" spans="6:6" x14ac:dyDescent="0.3">
      <c r="F5747" s="43"/>
    </row>
    <row r="5748" spans="6:6" x14ac:dyDescent="0.3">
      <c r="F5748" s="43"/>
    </row>
    <row r="5749" spans="6:6" x14ac:dyDescent="0.3">
      <c r="F5749" s="43"/>
    </row>
    <row r="5750" spans="6:6" x14ac:dyDescent="0.3">
      <c r="F5750" s="43"/>
    </row>
    <row r="5751" spans="6:6" x14ac:dyDescent="0.3">
      <c r="F5751" s="43"/>
    </row>
    <row r="5752" spans="6:6" x14ac:dyDescent="0.3">
      <c r="F5752" s="43"/>
    </row>
    <row r="5753" spans="6:6" x14ac:dyDescent="0.3">
      <c r="F5753" s="43"/>
    </row>
    <row r="5754" spans="6:6" x14ac:dyDescent="0.3">
      <c r="F5754" s="43"/>
    </row>
    <row r="5755" spans="6:6" x14ac:dyDescent="0.3">
      <c r="F5755" s="43"/>
    </row>
    <row r="5756" spans="6:6" x14ac:dyDescent="0.3">
      <c r="F5756" s="43"/>
    </row>
    <row r="5757" spans="6:6" x14ac:dyDescent="0.3">
      <c r="F5757" s="43"/>
    </row>
    <row r="5758" spans="6:6" x14ac:dyDescent="0.3">
      <c r="F5758" s="43"/>
    </row>
    <row r="5759" spans="6:6" x14ac:dyDescent="0.3">
      <c r="F5759" s="43"/>
    </row>
    <row r="5760" spans="6:6" x14ac:dyDescent="0.3">
      <c r="F5760" s="43"/>
    </row>
    <row r="5761" spans="6:6" x14ac:dyDescent="0.3">
      <c r="F5761" s="43"/>
    </row>
    <row r="5762" spans="6:6" x14ac:dyDescent="0.3">
      <c r="F5762" s="43"/>
    </row>
    <row r="5763" spans="6:6" x14ac:dyDescent="0.3">
      <c r="F5763" s="43"/>
    </row>
    <row r="5764" spans="6:6" x14ac:dyDescent="0.3">
      <c r="F5764" s="43"/>
    </row>
    <row r="5765" spans="6:6" x14ac:dyDescent="0.3">
      <c r="F5765" s="43"/>
    </row>
    <row r="5766" spans="6:6" x14ac:dyDescent="0.3">
      <c r="F5766" s="43"/>
    </row>
    <row r="5767" spans="6:6" x14ac:dyDescent="0.3">
      <c r="F5767" s="43"/>
    </row>
    <row r="5768" spans="6:6" x14ac:dyDescent="0.3">
      <c r="F5768" s="43"/>
    </row>
    <row r="5769" spans="6:6" x14ac:dyDescent="0.3">
      <c r="F5769" s="43"/>
    </row>
    <row r="5770" spans="6:6" x14ac:dyDescent="0.3">
      <c r="F5770" s="43"/>
    </row>
    <row r="5771" spans="6:6" x14ac:dyDescent="0.3">
      <c r="F5771" s="43"/>
    </row>
    <row r="5772" spans="6:6" x14ac:dyDescent="0.3">
      <c r="F5772" s="43"/>
    </row>
    <row r="5773" spans="6:6" x14ac:dyDescent="0.3">
      <c r="F5773" s="43"/>
    </row>
    <row r="5774" spans="6:6" x14ac:dyDescent="0.3">
      <c r="F5774" s="43"/>
    </row>
    <row r="5775" spans="6:6" x14ac:dyDescent="0.3">
      <c r="F5775" s="43"/>
    </row>
    <row r="5776" spans="6:6" x14ac:dyDescent="0.3">
      <c r="F5776" s="43"/>
    </row>
    <row r="5777" spans="6:6" x14ac:dyDescent="0.3">
      <c r="F5777" s="43"/>
    </row>
    <row r="5778" spans="6:6" x14ac:dyDescent="0.3">
      <c r="F5778" s="43"/>
    </row>
    <row r="5779" spans="6:6" x14ac:dyDescent="0.3">
      <c r="F5779" s="43"/>
    </row>
    <row r="5780" spans="6:6" x14ac:dyDescent="0.3">
      <c r="F5780" s="43"/>
    </row>
    <row r="5781" spans="6:6" x14ac:dyDescent="0.3">
      <c r="F5781" s="43"/>
    </row>
    <row r="5782" spans="6:6" x14ac:dyDescent="0.3">
      <c r="F5782" s="43"/>
    </row>
    <row r="5783" spans="6:6" x14ac:dyDescent="0.3">
      <c r="F5783" s="43"/>
    </row>
    <row r="5784" spans="6:6" x14ac:dyDescent="0.3">
      <c r="F5784" s="43"/>
    </row>
    <row r="5785" spans="6:6" x14ac:dyDescent="0.3">
      <c r="F5785" s="43"/>
    </row>
    <row r="5786" spans="6:6" x14ac:dyDescent="0.3">
      <c r="F5786" s="43"/>
    </row>
    <row r="5787" spans="6:6" x14ac:dyDescent="0.3">
      <c r="F5787" s="43"/>
    </row>
    <row r="5788" spans="6:6" x14ac:dyDescent="0.3">
      <c r="F5788" s="43"/>
    </row>
    <row r="5789" spans="6:6" x14ac:dyDescent="0.3">
      <c r="F5789" s="43"/>
    </row>
    <row r="5790" spans="6:6" x14ac:dyDescent="0.3">
      <c r="F5790" s="43"/>
    </row>
    <row r="5791" spans="6:6" x14ac:dyDescent="0.3">
      <c r="F5791" s="43"/>
    </row>
    <row r="5792" spans="6:6" x14ac:dyDescent="0.3">
      <c r="F5792" s="43"/>
    </row>
    <row r="5793" spans="6:6" x14ac:dyDescent="0.3">
      <c r="F5793" s="43"/>
    </row>
    <row r="5794" spans="6:6" x14ac:dyDescent="0.3">
      <c r="F5794" s="43"/>
    </row>
    <row r="5795" spans="6:6" x14ac:dyDescent="0.3">
      <c r="F5795" s="43"/>
    </row>
    <row r="5796" spans="6:6" x14ac:dyDescent="0.3">
      <c r="F5796" s="43"/>
    </row>
    <row r="5797" spans="6:6" x14ac:dyDescent="0.3">
      <c r="F5797" s="43"/>
    </row>
    <row r="5798" spans="6:6" x14ac:dyDescent="0.3">
      <c r="F5798" s="43"/>
    </row>
    <row r="5799" spans="6:6" x14ac:dyDescent="0.3">
      <c r="F5799" s="43"/>
    </row>
    <row r="5800" spans="6:6" x14ac:dyDescent="0.3">
      <c r="F5800" s="43"/>
    </row>
    <row r="5801" spans="6:6" x14ac:dyDescent="0.3">
      <c r="F5801" s="43"/>
    </row>
    <row r="5802" spans="6:6" x14ac:dyDescent="0.3">
      <c r="F5802" s="43"/>
    </row>
    <row r="5803" spans="6:6" x14ac:dyDescent="0.3">
      <c r="F5803" s="43"/>
    </row>
    <row r="5804" spans="6:6" x14ac:dyDescent="0.3">
      <c r="F5804" s="43"/>
    </row>
    <row r="5805" spans="6:6" x14ac:dyDescent="0.3">
      <c r="F5805" s="43"/>
    </row>
    <row r="5806" spans="6:6" x14ac:dyDescent="0.3">
      <c r="F5806" s="43"/>
    </row>
    <row r="5807" spans="6:6" x14ac:dyDescent="0.3">
      <c r="F5807" s="43"/>
    </row>
    <row r="5808" spans="6:6" x14ac:dyDescent="0.3">
      <c r="F5808" s="43"/>
    </row>
    <row r="5809" spans="6:6" x14ac:dyDescent="0.3">
      <c r="F5809" s="43"/>
    </row>
    <row r="5810" spans="6:6" x14ac:dyDescent="0.3">
      <c r="F5810" s="43"/>
    </row>
    <row r="5811" spans="6:6" x14ac:dyDescent="0.3">
      <c r="F5811" s="43"/>
    </row>
    <row r="5812" spans="6:6" x14ac:dyDescent="0.3">
      <c r="F5812" s="43"/>
    </row>
    <row r="5813" spans="6:6" x14ac:dyDescent="0.3">
      <c r="F5813" s="43"/>
    </row>
    <row r="5814" spans="6:6" x14ac:dyDescent="0.3">
      <c r="F5814" s="43"/>
    </row>
    <row r="5815" spans="6:6" x14ac:dyDescent="0.3">
      <c r="F5815" s="43"/>
    </row>
    <row r="5816" spans="6:6" x14ac:dyDescent="0.3">
      <c r="F5816" s="43"/>
    </row>
    <row r="5817" spans="6:6" x14ac:dyDescent="0.3">
      <c r="F5817" s="43"/>
    </row>
    <row r="5818" spans="6:6" x14ac:dyDescent="0.3">
      <c r="F5818" s="43"/>
    </row>
    <row r="5819" spans="6:6" x14ac:dyDescent="0.3">
      <c r="F5819" s="43"/>
    </row>
    <row r="5820" spans="6:6" x14ac:dyDescent="0.3">
      <c r="F5820" s="43"/>
    </row>
    <row r="5821" spans="6:6" x14ac:dyDescent="0.3">
      <c r="F5821" s="43"/>
    </row>
    <row r="5822" spans="6:6" x14ac:dyDescent="0.3">
      <c r="F5822" s="43"/>
    </row>
    <row r="5823" spans="6:6" x14ac:dyDescent="0.3">
      <c r="F5823" s="43"/>
    </row>
    <row r="5824" spans="6:6" x14ac:dyDescent="0.3">
      <c r="F5824" s="43"/>
    </row>
    <row r="5825" spans="6:6" x14ac:dyDescent="0.3">
      <c r="F5825" s="43"/>
    </row>
    <row r="5826" spans="6:6" x14ac:dyDescent="0.3">
      <c r="F5826" s="43"/>
    </row>
    <row r="5827" spans="6:6" x14ac:dyDescent="0.3">
      <c r="F5827" s="43"/>
    </row>
    <row r="5828" spans="6:6" x14ac:dyDescent="0.3">
      <c r="F5828" s="43"/>
    </row>
    <row r="5829" spans="6:6" x14ac:dyDescent="0.3">
      <c r="F5829" s="43"/>
    </row>
    <row r="5830" spans="6:6" x14ac:dyDescent="0.3">
      <c r="F5830" s="43"/>
    </row>
    <row r="5831" spans="6:6" x14ac:dyDescent="0.3">
      <c r="F5831" s="43"/>
    </row>
    <row r="5832" spans="6:6" x14ac:dyDescent="0.3">
      <c r="F5832" s="43"/>
    </row>
    <row r="5833" spans="6:6" x14ac:dyDescent="0.3">
      <c r="F5833" s="43"/>
    </row>
    <row r="5834" spans="6:6" x14ac:dyDescent="0.3">
      <c r="F5834" s="43"/>
    </row>
    <row r="5835" spans="6:6" x14ac:dyDescent="0.3">
      <c r="F5835" s="43"/>
    </row>
    <row r="5836" spans="6:6" x14ac:dyDescent="0.3">
      <c r="F5836" s="43"/>
    </row>
    <row r="5837" spans="6:6" x14ac:dyDescent="0.3">
      <c r="F5837" s="43"/>
    </row>
    <row r="5838" spans="6:6" x14ac:dyDescent="0.3">
      <c r="F5838" s="43"/>
    </row>
    <row r="5839" spans="6:6" x14ac:dyDescent="0.3">
      <c r="F5839" s="43"/>
    </row>
    <row r="5840" spans="6:6" x14ac:dyDescent="0.3">
      <c r="F5840" s="43"/>
    </row>
    <row r="5841" spans="6:6" x14ac:dyDescent="0.3">
      <c r="F5841" s="43"/>
    </row>
    <row r="5842" spans="6:6" x14ac:dyDescent="0.3">
      <c r="F5842" s="43"/>
    </row>
    <row r="5843" spans="6:6" x14ac:dyDescent="0.3">
      <c r="F5843" s="43"/>
    </row>
    <row r="5844" spans="6:6" x14ac:dyDescent="0.3">
      <c r="F5844" s="43"/>
    </row>
    <row r="5845" spans="6:6" x14ac:dyDescent="0.3">
      <c r="F5845" s="43"/>
    </row>
    <row r="5846" spans="6:6" x14ac:dyDescent="0.3">
      <c r="F5846" s="43"/>
    </row>
    <row r="5847" spans="6:6" x14ac:dyDescent="0.3">
      <c r="F5847" s="43"/>
    </row>
    <row r="5848" spans="6:6" x14ac:dyDescent="0.3">
      <c r="F5848" s="43"/>
    </row>
    <row r="5849" spans="6:6" x14ac:dyDescent="0.3">
      <c r="F5849" s="43"/>
    </row>
    <row r="5850" spans="6:6" x14ac:dyDescent="0.3">
      <c r="F5850" s="43"/>
    </row>
    <row r="5851" spans="6:6" x14ac:dyDescent="0.3">
      <c r="F5851" s="43"/>
    </row>
    <row r="5852" spans="6:6" x14ac:dyDescent="0.3">
      <c r="F5852" s="43"/>
    </row>
    <row r="5853" spans="6:6" x14ac:dyDescent="0.3">
      <c r="F5853" s="43"/>
    </row>
    <row r="5854" spans="6:6" x14ac:dyDescent="0.3">
      <c r="F5854" s="43"/>
    </row>
    <row r="5855" spans="6:6" x14ac:dyDescent="0.3">
      <c r="F5855" s="43"/>
    </row>
    <row r="5856" spans="6:6" x14ac:dyDescent="0.3">
      <c r="F5856" s="43"/>
    </row>
    <row r="5857" spans="6:6" x14ac:dyDescent="0.3">
      <c r="F5857" s="43"/>
    </row>
    <row r="5858" spans="6:6" x14ac:dyDescent="0.3">
      <c r="F5858" s="43"/>
    </row>
    <row r="5859" spans="6:6" x14ac:dyDescent="0.3">
      <c r="F5859" s="43"/>
    </row>
    <row r="5860" spans="6:6" x14ac:dyDescent="0.3">
      <c r="F5860" s="43"/>
    </row>
    <row r="5861" spans="6:6" x14ac:dyDescent="0.3">
      <c r="F5861" s="43"/>
    </row>
    <row r="5862" spans="6:6" x14ac:dyDescent="0.3">
      <c r="F5862" s="43"/>
    </row>
    <row r="5863" spans="6:6" x14ac:dyDescent="0.3">
      <c r="F5863" s="43"/>
    </row>
    <row r="5864" spans="6:6" x14ac:dyDescent="0.3">
      <c r="F5864" s="43"/>
    </row>
    <row r="5865" spans="6:6" x14ac:dyDescent="0.3">
      <c r="F5865" s="43"/>
    </row>
    <row r="5866" spans="6:6" x14ac:dyDescent="0.3">
      <c r="F5866" s="43"/>
    </row>
    <row r="5867" spans="6:6" x14ac:dyDescent="0.3">
      <c r="F5867" s="43"/>
    </row>
    <row r="5868" spans="6:6" x14ac:dyDescent="0.3">
      <c r="F5868" s="43"/>
    </row>
    <row r="5869" spans="6:6" x14ac:dyDescent="0.3">
      <c r="F5869" s="43"/>
    </row>
    <row r="5870" spans="6:6" x14ac:dyDescent="0.3">
      <c r="F5870" s="43"/>
    </row>
    <row r="5871" spans="6:6" x14ac:dyDescent="0.3">
      <c r="F5871" s="43"/>
    </row>
    <row r="5872" spans="6:6" x14ac:dyDescent="0.3">
      <c r="F5872" s="43"/>
    </row>
    <row r="5873" spans="6:6" x14ac:dyDescent="0.3">
      <c r="F5873" s="43"/>
    </row>
    <row r="5874" spans="6:6" x14ac:dyDescent="0.3">
      <c r="F5874" s="43"/>
    </row>
    <row r="5875" spans="6:6" x14ac:dyDescent="0.3">
      <c r="F5875" s="43"/>
    </row>
    <row r="5876" spans="6:6" x14ac:dyDescent="0.3">
      <c r="F5876" s="43"/>
    </row>
    <row r="5877" spans="6:6" x14ac:dyDescent="0.3">
      <c r="F5877" s="43"/>
    </row>
    <row r="5878" spans="6:6" x14ac:dyDescent="0.3">
      <c r="F5878" s="43"/>
    </row>
    <row r="5879" spans="6:6" x14ac:dyDescent="0.3">
      <c r="F5879" s="43"/>
    </row>
    <row r="5880" spans="6:6" x14ac:dyDescent="0.3">
      <c r="F5880" s="43"/>
    </row>
    <row r="5881" spans="6:6" x14ac:dyDescent="0.3">
      <c r="F5881" s="43"/>
    </row>
    <row r="5882" spans="6:6" x14ac:dyDescent="0.3">
      <c r="F5882" s="43"/>
    </row>
    <row r="5883" spans="6:6" x14ac:dyDescent="0.3">
      <c r="F5883" s="43"/>
    </row>
    <row r="5884" spans="6:6" x14ac:dyDescent="0.3">
      <c r="F5884" s="43"/>
    </row>
    <row r="5885" spans="6:6" x14ac:dyDescent="0.3">
      <c r="F5885" s="43"/>
    </row>
    <row r="5886" spans="6:6" x14ac:dyDescent="0.3">
      <c r="F5886" s="43"/>
    </row>
    <row r="5887" spans="6:6" x14ac:dyDescent="0.3">
      <c r="F5887" s="43"/>
    </row>
    <row r="5888" spans="6:6" x14ac:dyDescent="0.3">
      <c r="F5888" s="43"/>
    </row>
    <row r="5889" spans="6:6" x14ac:dyDescent="0.3">
      <c r="F5889" s="43"/>
    </row>
    <row r="5890" spans="6:6" x14ac:dyDescent="0.3">
      <c r="F5890" s="43"/>
    </row>
    <row r="5891" spans="6:6" x14ac:dyDescent="0.3">
      <c r="F5891" s="43"/>
    </row>
    <row r="5892" spans="6:6" x14ac:dyDescent="0.3">
      <c r="F5892" s="43"/>
    </row>
    <row r="5893" spans="6:6" x14ac:dyDescent="0.3">
      <c r="F5893" s="43"/>
    </row>
    <row r="5894" spans="6:6" x14ac:dyDescent="0.3">
      <c r="F5894" s="43"/>
    </row>
    <row r="5895" spans="6:6" x14ac:dyDescent="0.3">
      <c r="F5895" s="43"/>
    </row>
    <row r="5896" spans="6:6" x14ac:dyDescent="0.3">
      <c r="F5896" s="43"/>
    </row>
    <row r="5897" spans="6:6" x14ac:dyDescent="0.3">
      <c r="F5897" s="43"/>
    </row>
    <row r="5898" spans="6:6" x14ac:dyDescent="0.3">
      <c r="F5898" s="43"/>
    </row>
    <row r="5899" spans="6:6" x14ac:dyDescent="0.3">
      <c r="F5899" s="43"/>
    </row>
    <row r="5900" spans="6:6" x14ac:dyDescent="0.3">
      <c r="F5900" s="43"/>
    </row>
    <row r="5901" spans="6:6" x14ac:dyDescent="0.3">
      <c r="F5901" s="43"/>
    </row>
    <row r="5902" spans="6:6" x14ac:dyDescent="0.3">
      <c r="F5902" s="43"/>
    </row>
    <row r="5903" spans="6:6" x14ac:dyDescent="0.3">
      <c r="F5903" s="43"/>
    </row>
    <row r="5904" spans="6:6" x14ac:dyDescent="0.3">
      <c r="F5904" s="43"/>
    </row>
    <row r="5905" spans="6:6" x14ac:dyDescent="0.3">
      <c r="F5905" s="43"/>
    </row>
    <row r="5906" spans="6:6" x14ac:dyDescent="0.3">
      <c r="F5906" s="43"/>
    </row>
    <row r="5907" spans="6:6" x14ac:dyDescent="0.3">
      <c r="F5907" s="43"/>
    </row>
    <row r="5908" spans="6:6" x14ac:dyDescent="0.3">
      <c r="F5908" s="43"/>
    </row>
    <row r="5909" spans="6:6" x14ac:dyDescent="0.3">
      <c r="F5909" s="43"/>
    </row>
    <row r="5910" spans="6:6" x14ac:dyDescent="0.3">
      <c r="F5910" s="43"/>
    </row>
    <row r="5911" spans="6:6" x14ac:dyDescent="0.3">
      <c r="F5911" s="43"/>
    </row>
    <row r="5912" spans="6:6" x14ac:dyDescent="0.3">
      <c r="F5912" s="43"/>
    </row>
    <row r="5913" spans="6:6" x14ac:dyDescent="0.3">
      <c r="F5913" s="43"/>
    </row>
    <row r="5914" spans="6:6" x14ac:dyDescent="0.3">
      <c r="F5914" s="43"/>
    </row>
    <row r="5915" spans="6:6" x14ac:dyDescent="0.3">
      <c r="F5915" s="43"/>
    </row>
    <row r="5916" spans="6:6" x14ac:dyDescent="0.3">
      <c r="F5916" s="43"/>
    </row>
    <row r="5917" spans="6:6" x14ac:dyDescent="0.3">
      <c r="F5917" s="43"/>
    </row>
    <row r="5918" spans="6:6" x14ac:dyDescent="0.3">
      <c r="F5918" s="43"/>
    </row>
    <row r="5919" spans="6:6" x14ac:dyDescent="0.3">
      <c r="F5919" s="43"/>
    </row>
    <row r="5920" spans="6:6" x14ac:dyDescent="0.3">
      <c r="F5920" s="43"/>
    </row>
    <row r="5921" spans="6:6" x14ac:dyDescent="0.3">
      <c r="F5921" s="43"/>
    </row>
    <row r="5922" spans="6:6" x14ac:dyDescent="0.3">
      <c r="F5922" s="43"/>
    </row>
    <row r="5923" spans="6:6" x14ac:dyDescent="0.3">
      <c r="F5923" s="43"/>
    </row>
    <row r="5924" spans="6:6" x14ac:dyDescent="0.3">
      <c r="F5924" s="43"/>
    </row>
    <row r="5925" spans="6:6" x14ac:dyDescent="0.3">
      <c r="F5925" s="43"/>
    </row>
    <row r="5926" spans="6:6" x14ac:dyDescent="0.3">
      <c r="F5926" s="43"/>
    </row>
    <row r="5927" spans="6:6" x14ac:dyDescent="0.3">
      <c r="F5927" s="43"/>
    </row>
    <row r="5928" spans="6:6" x14ac:dyDescent="0.3">
      <c r="F5928" s="43"/>
    </row>
    <row r="5929" spans="6:6" x14ac:dyDescent="0.3">
      <c r="F5929" s="43"/>
    </row>
    <row r="5930" spans="6:6" x14ac:dyDescent="0.3">
      <c r="F5930" s="43"/>
    </row>
    <row r="5931" spans="6:6" x14ac:dyDescent="0.3">
      <c r="F5931" s="43"/>
    </row>
    <row r="5932" spans="6:6" x14ac:dyDescent="0.3">
      <c r="F5932" s="43"/>
    </row>
    <row r="5933" spans="6:6" x14ac:dyDescent="0.3">
      <c r="F5933" s="43"/>
    </row>
    <row r="5934" spans="6:6" x14ac:dyDescent="0.3">
      <c r="F5934" s="43"/>
    </row>
    <row r="5935" spans="6:6" x14ac:dyDescent="0.3">
      <c r="F5935" s="43"/>
    </row>
    <row r="5936" spans="6:6" x14ac:dyDescent="0.3">
      <c r="F5936" s="43"/>
    </row>
    <row r="5937" spans="6:6" x14ac:dyDescent="0.3">
      <c r="F5937" s="43"/>
    </row>
    <row r="5938" spans="6:6" x14ac:dyDescent="0.3">
      <c r="F5938" s="43"/>
    </row>
    <row r="5939" spans="6:6" x14ac:dyDescent="0.3">
      <c r="F5939" s="43"/>
    </row>
    <row r="5940" spans="6:6" x14ac:dyDescent="0.3">
      <c r="F5940" s="43"/>
    </row>
    <row r="5941" spans="6:6" x14ac:dyDescent="0.3">
      <c r="F5941" s="43"/>
    </row>
    <row r="5942" spans="6:6" x14ac:dyDescent="0.3">
      <c r="F5942" s="43"/>
    </row>
    <row r="5943" spans="6:6" x14ac:dyDescent="0.3">
      <c r="F5943" s="43"/>
    </row>
    <row r="5944" spans="6:6" x14ac:dyDescent="0.3">
      <c r="F5944" s="43"/>
    </row>
    <row r="5945" spans="6:6" x14ac:dyDescent="0.3">
      <c r="F5945" s="43"/>
    </row>
    <row r="5946" spans="6:6" x14ac:dyDescent="0.3">
      <c r="F5946" s="43"/>
    </row>
    <row r="5947" spans="6:6" x14ac:dyDescent="0.3">
      <c r="F5947" s="43"/>
    </row>
    <row r="5948" spans="6:6" x14ac:dyDescent="0.3">
      <c r="F5948" s="43"/>
    </row>
    <row r="5949" spans="6:6" x14ac:dyDescent="0.3">
      <c r="F5949" s="43"/>
    </row>
    <row r="5950" spans="6:6" x14ac:dyDescent="0.3">
      <c r="F5950" s="43"/>
    </row>
    <row r="5951" spans="6:6" x14ac:dyDescent="0.3">
      <c r="F5951" s="43"/>
    </row>
    <row r="5952" spans="6:6" x14ac:dyDescent="0.3">
      <c r="F5952" s="43"/>
    </row>
    <row r="5953" spans="6:6" x14ac:dyDescent="0.3">
      <c r="F5953" s="43"/>
    </row>
    <row r="5954" spans="6:6" x14ac:dyDescent="0.3">
      <c r="F5954" s="43"/>
    </row>
    <row r="5955" spans="6:6" x14ac:dyDescent="0.3">
      <c r="F5955" s="43"/>
    </row>
    <row r="5956" spans="6:6" x14ac:dyDescent="0.3">
      <c r="F5956" s="43"/>
    </row>
    <row r="5957" spans="6:6" x14ac:dyDescent="0.3">
      <c r="F5957" s="43"/>
    </row>
    <row r="5958" spans="6:6" x14ac:dyDescent="0.3">
      <c r="F5958" s="43"/>
    </row>
    <row r="5959" spans="6:6" x14ac:dyDescent="0.3">
      <c r="F5959" s="43"/>
    </row>
    <row r="5960" spans="6:6" x14ac:dyDescent="0.3">
      <c r="F5960" s="43"/>
    </row>
    <row r="5961" spans="6:6" x14ac:dyDescent="0.3">
      <c r="F5961" s="43"/>
    </row>
    <row r="5962" spans="6:6" x14ac:dyDescent="0.3">
      <c r="F5962" s="43"/>
    </row>
    <row r="5963" spans="6:6" x14ac:dyDescent="0.3">
      <c r="F5963" s="43"/>
    </row>
    <row r="5964" spans="6:6" x14ac:dyDescent="0.3">
      <c r="F5964" s="43"/>
    </row>
    <row r="5965" spans="6:6" x14ac:dyDescent="0.3">
      <c r="F5965" s="43"/>
    </row>
    <row r="5966" spans="6:6" x14ac:dyDescent="0.3">
      <c r="F5966" s="43"/>
    </row>
    <row r="5967" spans="6:6" x14ac:dyDescent="0.3">
      <c r="F5967" s="43"/>
    </row>
    <row r="5968" spans="6:6" x14ac:dyDescent="0.3">
      <c r="F5968" s="43"/>
    </row>
    <row r="5969" spans="6:6" x14ac:dyDescent="0.3">
      <c r="F5969" s="43"/>
    </row>
    <row r="5970" spans="6:6" x14ac:dyDescent="0.3">
      <c r="F5970" s="43"/>
    </row>
    <row r="5971" spans="6:6" x14ac:dyDescent="0.3">
      <c r="F5971" s="43"/>
    </row>
    <row r="5972" spans="6:6" x14ac:dyDescent="0.3">
      <c r="F5972" s="43"/>
    </row>
    <row r="5973" spans="6:6" x14ac:dyDescent="0.3">
      <c r="F5973" s="43"/>
    </row>
    <row r="5974" spans="6:6" x14ac:dyDescent="0.3">
      <c r="F5974" s="43"/>
    </row>
    <row r="5975" spans="6:6" x14ac:dyDescent="0.3">
      <c r="F5975" s="43"/>
    </row>
    <row r="5976" spans="6:6" x14ac:dyDescent="0.3">
      <c r="F5976" s="43"/>
    </row>
    <row r="5977" spans="6:6" x14ac:dyDescent="0.3">
      <c r="F5977" s="43"/>
    </row>
    <row r="5978" spans="6:6" x14ac:dyDescent="0.3">
      <c r="F5978" s="43"/>
    </row>
    <row r="5979" spans="6:6" x14ac:dyDescent="0.3">
      <c r="F5979" s="43"/>
    </row>
    <row r="5980" spans="6:6" x14ac:dyDescent="0.3">
      <c r="F5980" s="43"/>
    </row>
    <row r="5981" spans="6:6" x14ac:dyDescent="0.3">
      <c r="F5981" s="43"/>
    </row>
    <row r="5982" spans="6:6" x14ac:dyDescent="0.3">
      <c r="F5982" s="43"/>
    </row>
    <row r="5983" spans="6:6" x14ac:dyDescent="0.3">
      <c r="F5983" s="43"/>
    </row>
    <row r="5984" spans="6:6" x14ac:dyDescent="0.3">
      <c r="F5984" s="43"/>
    </row>
    <row r="5985" spans="6:6" x14ac:dyDescent="0.3">
      <c r="F5985" s="43"/>
    </row>
    <row r="5986" spans="6:6" x14ac:dyDescent="0.3">
      <c r="F5986" s="43"/>
    </row>
    <row r="5987" spans="6:6" x14ac:dyDescent="0.3">
      <c r="F5987" s="43"/>
    </row>
    <row r="5988" spans="6:6" x14ac:dyDescent="0.3">
      <c r="F5988" s="43"/>
    </row>
    <row r="5989" spans="6:6" x14ac:dyDescent="0.3">
      <c r="F5989" s="43"/>
    </row>
    <row r="5990" spans="6:6" x14ac:dyDescent="0.3">
      <c r="F5990" s="43"/>
    </row>
    <row r="5991" spans="6:6" x14ac:dyDescent="0.3">
      <c r="F5991" s="43"/>
    </row>
    <row r="5992" spans="6:6" x14ac:dyDescent="0.3">
      <c r="F5992" s="43"/>
    </row>
    <row r="5993" spans="6:6" x14ac:dyDescent="0.3">
      <c r="F5993" s="43"/>
    </row>
    <row r="5994" spans="6:6" x14ac:dyDescent="0.3">
      <c r="F5994" s="43"/>
    </row>
    <row r="5995" spans="6:6" x14ac:dyDescent="0.3">
      <c r="F5995" s="43"/>
    </row>
    <row r="5996" spans="6:6" x14ac:dyDescent="0.3">
      <c r="F5996" s="43"/>
    </row>
    <row r="5997" spans="6:6" x14ac:dyDescent="0.3">
      <c r="F5997" s="43"/>
    </row>
    <row r="5998" spans="6:6" x14ac:dyDescent="0.3">
      <c r="F5998" s="43"/>
    </row>
    <row r="5999" spans="6:6" x14ac:dyDescent="0.3">
      <c r="F5999" s="43"/>
    </row>
    <row r="6000" spans="6:6" x14ac:dyDescent="0.3">
      <c r="F6000" s="43"/>
    </row>
    <row r="6001" spans="6:6" x14ac:dyDescent="0.3">
      <c r="F6001" s="43"/>
    </row>
    <row r="6002" spans="6:6" x14ac:dyDescent="0.3">
      <c r="F6002" s="43"/>
    </row>
    <row r="6003" spans="6:6" x14ac:dyDescent="0.3">
      <c r="F6003" s="43"/>
    </row>
    <row r="6004" spans="6:6" x14ac:dyDescent="0.3">
      <c r="F6004" s="43"/>
    </row>
    <row r="6005" spans="6:6" x14ac:dyDescent="0.3">
      <c r="F6005" s="43"/>
    </row>
    <row r="6006" spans="6:6" x14ac:dyDescent="0.3">
      <c r="F6006" s="43"/>
    </row>
    <row r="6007" spans="6:6" x14ac:dyDescent="0.3">
      <c r="F6007" s="43"/>
    </row>
    <row r="6008" spans="6:6" x14ac:dyDescent="0.3">
      <c r="F6008" s="43"/>
    </row>
    <row r="6009" spans="6:6" x14ac:dyDescent="0.3">
      <c r="F6009" s="43"/>
    </row>
    <row r="6010" spans="6:6" x14ac:dyDescent="0.3">
      <c r="F6010" s="43"/>
    </row>
    <row r="6011" spans="6:6" x14ac:dyDescent="0.3">
      <c r="F6011" s="43"/>
    </row>
    <row r="6012" spans="6:6" x14ac:dyDescent="0.3">
      <c r="F6012" s="43"/>
    </row>
    <row r="6013" spans="6:6" x14ac:dyDescent="0.3">
      <c r="F6013" s="43"/>
    </row>
    <row r="6014" spans="6:6" x14ac:dyDescent="0.3">
      <c r="F6014" s="43"/>
    </row>
    <row r="6015" spans="6:6" x14ac:dyDescent="0.3">
      <c r="F6015" s="43"/>
    </row>
    <row r="6016" spans="6:6" x14ac:dyDescent="0.3">
      <c r="F6016" s="43"/>
    </row>
    <row r="6017" spans="6:6" x14ac:dyDescent="0.3">
      <c r="F6017" s="43"/>
    </row>
    <row r="6018" spans="6:6" x14ac:dyDescent="0.3">
      <c r="F6018" s="43"/>
    </row>
    <row r="6019" spans="6:6" x14ac:dyDescent="0.3">
      <c r="F6019" s="43"/>
    </row>
    <row r="6020" spans="6:6" x14ac:dyDescent="0.3">
      <c r="F6020" s="43"/>
    </row>
    <row r="6021" spans="6:6" x14ac:dyDescent="0.3">
      <c r="F6021" s="43"/>
    </row>
    <row r="6022" spans="6:6" x14ac:dyDescent="0.3">
      <c r="F6022" s="43"/>
    </row>
    <row r="6023" spans="6:6" x14ac:dyDescent="0.3">
      <c r="F6023" s="43"/>
    </row>
    <row r="6024" spans="6:6" x14ac:dyDescent="0.3">
      <c r="F6024" s="43"/>
    </row>
    <row r="6025" spans="6:6" x14ac:dyDescent="0.3">
      <c r="F6025" s="43"/>
    </row>
    <row r="6026" spans="6:6" x14ac:dyDescent="0.3">
      <c r="F6026" s="43"/>
    </row>
    <row r="6027" spans="6:6" x14ac:dyDescent="0.3">
      <c r="F6027" s="43"/>
    </row>
    <row r="6028" spans="6:6" x14ac:dyDescent="0.3">
      <c r="F6028" s="43"/>
    </row>
    <row r="6029" spans="6:6" x14ac:dyDescent="0.3">
      <c r="F6029" s="43"/>
    </row>
    <row r="6030" spans="6:6" x14ac:dyDescent="0.3">
      <c r="F6030" s="43"/>
    </row>
    <row r="6031" spans="6:6" x14ac:dyDescent="0.3">
      <c r="F6031" s="43"/>
    </row>
    <row r="6032" spans="6:6" x14ac:dyDescent="0.3">
      <c r="F6032" s="43"/>
    </row>
    <row r="6033" spans="6:6" x14ac:dyDescent="0.3">
      <c r="F6033" s="43"/>
    </row>
    <row r="6034" spans="6:6" x14ac:dyDescent="0.3">
      <c r="F6034" s="43"/>
    </row>
    <row r="6035" spans="6:6" x14ac:dyDescent="0.3">
      <c r="F6035" s="43"/>
    </row>
    <row r="6036" spans="6:6" x14ac:dyDescent="0.3">
      <c r="F6036" s="43"/>
    </row>
    <row r="6037" spans="6:6" x14ac:dyDescent="0.3">
      <c r="F6037" s="43"/>
    </row>
    <row r="6038" spans="6:6" x14ac:dyDescent="0.3">
      <c r="F6038" s="43"/>
    </row>
    <row r="6039" spans="6:6" x14ac:dyDescent="0.3">
      <c r="F6039" s="43"/>
    </row>
    <row r="6040" spans="6:6" x14ac:dyDescent="0.3">
      <c r="F6040" s="43"/>
    </row>
    <row r="6041" spans="6:6" x14ac:dyDescent="0.3">
      <c r="F6041" s="43"/>
    </row>
    <row r="6042" spans="6:6" x14ac:dyDescent="0.3">
      <c r="F6042" s="43"/>
    </row>
    <row r="6043" spans="6:6" x14ac:dyDescent="0.3">
      <c r="F6043" s="43"/>
    </row>
    <row r="6044" spans="6:6" x14ac:dyDescent="0.3">
      <c r="F6044" s="43"/>
    </row>
    <row r="6045" spans="6:6" x14ac:dyDescent="0.3">
      <c r="F6045" s="43"/>
    </row>
    <row r="6046" spans="6:6" x14ac:dyDescent="0.3">
      <c r="F6046" s="43"/>
    </row>
    <row r="6047" spans="6:6" x14ac:dyDescent="0.3">
      <c r="F6047" s="43"/>
    </row>
    <row r="6048" spans="6:6" x14ac:dyDescent="0.3">
      <c r="F6048" s="43"/>
    </row>
    <row r="6049" spans="6:6" x14ac:dyDescent="0.3">
      <c r="F6049" s="43"/>
    </row>
    <row r="6050" spans="6:6" x14ac:dyDescent="0.3">
      <c r="F6050" s="43"/>
    </row>
    <row r="6051" spans="6:6" x14ac:dyDescent="0.3">
      <c r="F6051" s="43"/>
    </row>
    <row r="6052" spans="6:6" x14ac:dyDescent="0.3">
      <c r="F6052" s="43"/>
    </row>
    <row r="6053" spans="6:6" x14ac:dyDescent="0.3">
      <c r="F6053" s="43"/>
    </row>
    <row r="6054" spans="6:6" x14ac:dyDescent="0.3">
      <c r="F6054" s="43"/>
    </row>
    <row r="6055" spans="6:6" x14ac:dyDescent="0.3">
      <c r="F6055" s="43"/>
    </row>
    <row r="6056" spans="6:6" x14ac:dyDescent="0.3">
      <c r="F6056" s="43"/>
    </row>
    <row r="6057" spans="6:6" x14ac:dyDescent="0.3">
      <c r="F6057" s="43"/>
    </row>
    <row r="6058" spans="6:6" x14ac:dyDescent="0.3">
      <c r="F6058" s="43"/>
    </row>
    <row r="6059" spans="6:6" x14ac:dyDescent="0.3">
      <c r="F6059" s="43"/>
    </row>
    <row r="6060" spans="6:6" x14ac:dyDescent="0.3">
      <c r="F6060" s="43"/>
    </row>
    <row r="6061" spans="6:6" x14ac:dyDescent="0.3">
      <c r="F6061" s="43"/>
    </row>
    <row r="6062" spans="6:6" x14ac:dyDescent="0.3">
      <c r="F6062" s="43"/>
    </row>
    <row r="6063" spans="6:6" x14ac:dyDescent="0.3">
      <c r="F6063" s="43"/>
    </row>
    <row r="6064" spans="6:6" x14ac:dyDescent="0.3">
      <c r="F6064" s="43"/>
    </row>
    <row r="6065" spans="6:6" x14ac:dyDescent="0.3">
      <c r="F6065" s="43"/>
    </row>
    <row r="6066" spans="6:6" x14ac:dyDescent="0.3">
      <c r="F6066" s="43"/>
    </row>
    <row r="6067" spans="6:6" x14ac:dyDescent="0.3">
      <c r="F6067" s="43"/>
    </row>
    <row r="6068" spans="6:6" x14ac:dyDescent="0.3">
      <c r="F6068" s="43"/>
    </row>
    <row r="6069" spans="6:6" x14ac:dyDescent="0.3">
      <c r="F6069" s="43"/>
    </row>
    <row r="6070" spans="6:6" x14ac:dyDescent="0.3">
      <c r="F6070" s="43"/>
    </row>
    <row r="6071" spans="6:6" x14ac:dyDescent="0.3">
      <c r="F6071" s="43"/>
    </row>
    <row r="6072" spans="6:6" x14ac:dyDescent="0.3">
      <c r="F6072" s="43"/>
    </row>
    <row r="6073" spans="6:6" x14ac:dyDescent="0.3">
      <c r="F6073" s="43"/>
    </row>
    <row r="6074" spans="6:6" x14ac:dyDescent="0.3">
      <c r="F6074" s="43"/>
    </row>
    <row r="6075" spans="6:6" x14ac:dyDescent="0.3">
      <c r="F6075" s="43"/>
    </row>
    <row r="6076" spans="6:6" x14ac:dyDescent="0.3">
      <c r="F6076" s="43"/>
    </row>
    <row r="6077" spans="6:6" x14ac:dyDescent="0.3">
      <c r="F6077" s="43"/>
    </row>
    <row r="6078" spans="6:6" x14ac:dyDescent="0.3">
      <c r="F6078" s="43"/>
    </row>
    <row r="6079" spans="6:6" x14ac:dyDescent="0.3">
      <c r="F6079" s="43"/>
    </row>
    <row r="6080" spans="6:6" x14ac:dyDescent="0.3">
      <c r="F6080" s="43"/>
    </row>
    <row r="6081" spans="6:6" x14ac:dyDescent="0.3">
      <c r="F6081" s="43"/>
    </row>
    <row r="6082" spans="6:6" x14ac:dyDescent="0.3">
      <c r="F6082" s="43"/>
    </row>
    <row r="6083" spans="6:6" x14ac:dyDescent="0.3">
      <c r="F6083" s="43"/>
    </row>
    <row r="6084" spans="6:6" x14ac:dyDescent="0.3">
      <c r="F6084" s="43"/>
    </row>
    <row r="6085" spans="6:6" x14ac:dyDescent="0.3">
      <c r="F6085" s="43"/>
    </row>
    <row r="6086" spans="6:6" x14ac:dyDescent="0.3">
      <c r="F6086" s="43"/>
    </row>
    <row r="6087" spans="6:6" x14ac:dyDescent="0.3">
      <c r="F6087" s="43"/>
    </row>
    <row r="6088" spans="6:6" x14ac:dyDescent="0.3">
      <c r="F6088" s="43"/>
    </row>
    <row r="6089" spans="6:6" x14ac:dyDescent="0.3">
      <c r="F6089" s="43"/>
    </row>
    <row r="6090" spans="6:6" x14ac:dyDescent="0.3">
      <c r="F6090" s="43"/>
    </row>
    <row r="6091" spans="6:6" x14ac:dyDescent="0.3">
      <c r="F6091" s="43"/>
    </row>
    <row r="6092" spans="6:6" x14ac:dyDescent="0.3">
      <c r="F6092" s="43"/>
    </row>
    <row r="6093" spans="6:6" x14ac:dyDescent="0.3">
      <c r="F6093" s="43"/>
    </row>
    <row r="6094" spans="6:6" x14ac:dyDescent="0.3">
      <c r="F6094" s="43"/>
    </row>
    <row r="6095" spans="6:6" x14ac:dyDescent="0.3">
      <c r="F6095" s="43"/>
    </row>
    <row r="6096" spans="6:6" x14ac:dyDescent="0.3">
      <c r="F6096" s="43"/>
    </row>
    <row r="6097" spans="6:6" x14ac:dyDescent="0.3">
      <c r="F6097" s="43"/>
    </row>
    <row r="6098" spans="6:6" x14ac:dyDescent="0.3">
      <c r="F6098" s="43"/>
    </row>
    <row r="6099" spans="6:6" x14ac:dyDescent="0.3">
      <c r="F6099" s="43"/>
    </row>
    <row r="6100" spans="6:6" x14ac:dyDescent="0.3">
      <c r="F6100" s="43"/>
    </row>
    <row r="6101" spans="6:6" x14ac:dyDescent="0.3">
      <c r="F6101" s="43"/>
    </row>
    <row r="6102" spans="6:6" x14ac:dyDescent="0.3">
      <c r="F6102" s="43"/>
    </row>
    <row r="6103" spans="6:6" x14ac:dyDescent="0.3">
      <c r="F6103" s="43"/>
    </row>
    <row r="6104" spans="6:6" x14ac:dyDescent="0.3">
      <c r="F6104" s="43"/>
    </row>
    <row r="6105" spans="6:6" x14ac:dyDescent="0.3">
      <c r="F6105" s="43"/>
    </row>
    <row r="6106" spans="6:6" x14ac:dyDescent="0.3">
      <c r="F6106" s="43"/>
    </row>
    <row r="6107" spans="6:6" x14ac:dyDescent="0.3">
      <c r="F6107" s="43"/>
    </row>
    <row r="6108" spans="6:6" x14ac:dyDescent="0.3">
      <c r="F6108" s="43"/>
    </row>
    <row r="6109" spans="6:6" x14ac:dyDescent="0.3">
      <c r="F6109" s="43"/>
    </row>
    <row r="6110" spans="6:6" x14ac:dyDescent="0.3">
      <c r="F6110" s="43"/>
    </row>
    <row r="6111" spans="6:6" x14ac:dyDescent="0.3">
      <c r="F6111" s="43"/>
    </row>
    <row r="6112" spans="6:6" x14ac:dyDescent="0.3">
      <c r="F6112" s="43"/>
    </row>
    <row r="6113" spans="6:6" x14ac:dyDescent="0.3">
      <c r="F6113" s="43"/>
    </row>
    <row r="6114" spans="6:6" x14ac:dyDescent="0.3">
      <c r="F6114" s="43"/>
    </row>
    <row r="6115" spans="6:6" x14ac:dyDescent="0.3">
      <c r="F6115" s="43"/>
    </row>
    <row r="6116" spans="6:6" x14ac:dyDescent="0.3">
      <c r="F6116" s="43"/>
    </row>
    <row r="6117" spans="6:6" x14ac:dyDescent="0.3">
      <c r="F6117" s="43"/>
    </row>
    <row r="6118" spans="6:6" x14ac:dyDescent="0.3">
      <c r="F6118" s="43"/>
    </row>
    <row r="6119" spans="6:6" x14ac:dyDescent="0.3">
      <c r="F6119" s="43"/>
    </row>
    <row r="6120" spans="6:6" x14ac:dyDescent="0.3">
      <c r="F6120" s="43"/>
    </row>
    <row r="6121" spans="6:6" x14ac:dyDescent="0.3">
      <c r="F6121" s="43"/>
    </row>
    <row r="6122" spans="6:6" x14ac:dyDescent="0.3">
      <c r="F6122" s="43"/>
    </row>
    <row r="6123" spans="6:6" x14ac:dyDescent="0.3">
      <c r="F6123" s="43"/>
    </row>
    <row r="6124" spans="6:6" x14ac:dyDescent="0.3">
      <c r="F6124" s="43"/>
    </row>
    <row r="6125" spans="6:6" x14ac:dyDescent="0.3">
      <c r="F6125" s="43"/>
    </row>
    <row r="6126" spans="6:6" x14ac:dyDescent="0.3">
      <c r="F6126" s="43"/>
    </row>
    <row r="6127" spans="6:6" x14ac:dyDescent="0.3">
      <c r="F6127" s="43"/>
    </row>
    <row r="6128" spans="6:6" x14ac:dyDescent="0.3">
      <c r="F6128" s="43"/>
    </row>
    <row r="6129" spans="6:6" x14ac:dyDescent="0.3">
      <c r="F6129" s="43"/>
    </row>
    <row r="6130" spans="6:6" x14ac:dyDescent="0.3">
      <c r="F6130" s="43"/>
    </row>
    <row r="6131" spans="6:6" x14ac:dyDescent="0.3">
      <c r="F6131" s="43"/>
    </row>
    <row r="6132" spans="6:6" x14ac:dyDescent="0.3">
      <c r="F6132" s="43"/>
    </row>
    <row r="6133" spans="6:6" x14ac:dyDescent="0.3">
      <c r="F6133" s="43"/>
    </row>
    <row r="6134" spans="6:6" x14ac:dyDescent="0.3">
      <c r="F6134" s="43"/>
    </row>
    <row r="6135" spans="6:6" x14ac:dyDescent="0.3">
      <c r="F6135" s="43"/>
    </row>
    <row r="6136" spans="6:6" x14ac:dyDescent="0.3">
      <c r="F6136" s="43"/>
    </row>
    <row r="6137" spans="6:6" x14ac:dyDescent="0.3">
      <c r="F6137" s="43"/>
    </row>
    <row r="6138" spans="6:6" x14ac:dyDescent="0.3">
      <c r="F6138" s="43"/>
    </row>
    <row r="6139" spans="6:6" x14ac:dyDescent="0.3">
      <c r="F6139" s="43"/>
    </row>
    <row r="6140" spans="6:6" x14ac:dyDescent="0.3">
      <c r="F6140" s="43"/>
    </row>
    <row r="6141" spans="6:6" x14ac:dyDescent="0.3">
      <c r="F6141" s="43"/>
    </row>
    <row r="6142" spans="6:6" x14ac:dyDescent="0.3">
      <c r="F6142" s="43"/>
    </row>
    <row r="6143" spans="6:6" x14ac:dyDescent="0.3">
      <c r="F6143" s="43"/>
    </row>
    <row r="6144" spans="6:6" x14ac:dyDescent="0.3">
      <c r="F6144" s="43"/>
    </row>
    <row r="6145" spans="6:6" x14ac:dyDescent="0.3">
      <c r="F6145" s="43"/>
    </row>
    <row r="6146" spans="6:6" x14ac:dyDescent="0.3">
      <c r="F6146" s="43"/>
    </row>
    <row r="6147" spans="6:6" x14ac:dyDescent="0.3">
      <c r="F6147" s="43"/>
    </row>
    <row r="6148" spans="6:6" x14ac:dyDescent="0.3">
      <c r="F6148" s="43"/>
    </row>
    <row r="6149" spans="6:6" x14ac:dyDescent="0.3">
      <c r="F6149" s="43"/>
    </row>
    <row r="6150" spans="6:6" x14ac:dyDescent="0.3">
      <c r="F6150" s="43"/>
    </row>
    <row r="6151" spans="6:6" x14ac:dyDescent="0.3">
      <c r="F6151" s="43"/>
    </row>
    <row r="6152" spans="6:6" x14ac:dyDescent="0.3">
      <c r="F6152" s="43"/>
    </row>
    <row r="6153" spans="6:6" x14ac:dyDescent="0.3">
      <c r="F6153" s="43"/>
    </row>
    <row r="6154" spans="6:6" x14ac:dyDescent="0.3">
      <c r="F6154" s="43"/>
    </row>
    <row r="6155" spans="6:6" x14ac:dyDescent="0.3">
      <c r="F6155" s="43"/>
    </row>
    <row r="6156" spans="6:6" x14ac:dyDescent="0.3">
      <c r="F6156" s="43"/>
    </row>
    <row r="6157" spans="6:6" x14ac:dyDescent="0.3">
      <c r="F6157" s="4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47</vt:i4>
      </vt:variant>
    </vt:vector>
  </HeadingPairs>
  <TitlesOfParts>
    <vt:vector size="60" baseType="lpstr">
      <vt:lpstr>Glossary</vt:lpstr>
      <vt:lpstr>Control</vt:lpstr>
      <vt:lpstr>Test Cases</vt:lpstr>
      <vt:lpstr>Calculation</vt:lpstr>
      <vt:lpstr>WdTables</vt:lpstr>
      <vt:lpstr>Example Doc</vt:lpstr>
      <vt:lpstr>How It Works</vt:lpstr>
      <vt:lpstr>Orders of Operation</vt:lpstr>
      <vt:lpstr>Qx</vt:lpstr>
      <vt:lpstr>TestCaseExplinations</vt:lpstr>
      <vt:lpstr>Documentation</vt:lpstr>
      <vt:lpstr>VixFeeParameters</vt:lpstr>
      <vt:lpstr>^Vix</vt:lpstr>
      <vt:lpstr>AccountValue</vt:lpstr>
      <vt:lpstr>ACT</vt:lpstr>
      <vt:lpstr>Age</vt:lpstr>
      <vt:lpstr>AnnCount</vt:lpstr>
      <vt:lpstr>Bob</vt:lpstr>
      <vt:lpstr>CurrPer</vt:lpstr>
      <vt:lpstr>FIx</vt:lpstr>
      <vt:lpstr>ICP</vt:lpstr>
      <vt:lpstr>IncomeOption</vt:lpstr>
      <vt:lpstr>InitialAnnFeeRate1</vt:lpstr>
      <vt:lpstr>InitialAnnFeeRate2</vt:lpstr>
      <vt:lpstr>InitialPurchasePayment</vt:lpstr>
      <vt:lpstr>Is_Issued</vt:lpstr>
      <vt:lpstr>Is_Joint</vt:lpstr>
      <vt:lpstr>Issue_Date</vt:lpstr>
      <vt:lpstr>LbWdAgesPrimaryPer</vt:lpstr>
      <vt:lpstr>LifetimeChangeFee1</vt:lpstr>
      <vt:lpstr>LifetimeChangeFee2</vt:lpstr>
      <vt:lpstr>MAWA</vt:lpstr>
      <vt:lpstr>Qx!MaxAge</vt:lpstr>
      <vt:lpstr>MaxAnnFeeRate1</vt:lpstr>
      <vt:lpstr>MaxAnnFeeRate2</vt:lpstr>
      <vt:lpstr>MaxRateChange1</vt:lpstr>
      <vt:lpstr>MaxRateChange2</vt:lpstr>
      <vt:lpstr>MidWdAge</vt:lpstr>
      <vt:lpstr>MinAnnFeeRate1</vt:lpstr>
      <vt:lpstr>MinAnnFeeRate2</vt:lpstr>
      <vt:lpstr>MIx</vt:lpstr>
      <vt:lpstr>P_I_P</vt:lpstr>
      <vt:lpstr>PIP</vt:lpstr>
      <vt:lpstr>PrimaryBirthdate</vt:lpstr>
      <vt:lpstr>PrimaryGender</vt:lpstr>
      <vt:lpstr>PrimaryIssueAge</vt:lpstr>
      <vt:lpstr>Reserves</vt:lpstr>
      <vt:lpstr>SecondaryBirthdate</vt:lpstr>
      <vt:lpstr>SecondaryGender</vt:lpstr>
      <vt:lpstr>SecondaryIssueAge</vt:lpstr>
      <vt:lpstr>StartingIncomeBase</vt:lpstr>
      <vt:lpstr>StartingIncomeCreditBase</vt:lpstr>
      <vt:lpstr>Timing</vt:lpstr>
      <vt:lpstr>Turn_On_Fees</vt:lpstr>
      <vt:lpstr>Use_Base_Case</vt:lpstr>
      <vt:lpstr>Valuation_Date</vt:lpstr>
      <vt:lpstr>WithAmt</vt:lpstr>
      <vt:lpstr>WithdrawalDate</vt:lpstr>
      <vt:lpstr>WithdrawalPercentages</vt:lpstr>
      <vt:lpstr>YearsLeft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Bryon Robidoux</dc:creator>
  <cp:lastModifiedBy>Alissa Whitlock</cp:lastModifiedBy>
  <dcterms:created xsi:type="dcterms:W3CDTF">2020-11-27T19:30:22Z</dcterms:created>
  <dcterms:modified xsi:type="dcterms:W3CDTF">2023-04-16T18:34:19Z</dcterms:modified>
</cp:coreProperties>
</file>