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6"/>
  </bookViews>
  <sheets>
    <sheet name="0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</sheets>
  <calcPr calcId="124519"/>
</workbook>
</file>

<file path=xl/calcChain.xml><?xml version="1.0" encoding="utf-8"?>
<calcChain xmlns="http://schemas.openxmlformats.org/spreadsheetml/2006/main">
  <c r="G3" i="7"/>
  <c r="F3"/>
  <c r="H3"/>
  <c r="E3"/>
  <c r="C25"/>
  <c r="A25"/>
  <c r="A22"/>
  <c r="C22" s="1"/>
  <c r="C16"/>
  <c r="C15"/>
  <c r="C14"/>
  <c r="C13"/>
  <c r="C12"/>
  <c r="C11"/>
  <c r="C10"/>
  <c r="C9"/>
  <c r="C8"/>
  <c r="C7"/>
  <c r="C6"/>
  <c r="A22" i="6"/>
  <c r="C22" s="1"/>
  <c r="C16"/>
  <c r="C15"/>
  <c r="C14"/>
  <c r="C13"/>
  <c r="C12"/>
  <c r="C11"/>
  <c r="C10"/>
  <c r="C9"/>
  <c r="C8"/>
  <c r="C7"/>
  <c r="C6"/>
  <c r="E17" i="5"/>
  <c r="E16"/>
  <c r="E15"/>
  <c r="E14"/>
  <c r="E13"/>
  <c r="E12"/>
  <c r="E11"/>
  <c r="E10"/>
  <c r="E9"/>
  <c r="E8"/>
  <c r="E7"/>
  <c r="D17"/>
  <c r="D16"/>
  <c r="D15"/>
  <c r="D14"/>
  <c r="D13"/>
  <c r="D12"/>
  <c r="D11"/>
  <c r="D10"/>
  <c r="D9"/>
  <c r="D8"/>
  <c r="D7"/>
  <c r="C17"/>
  <c r="C16"/>
  <c r="C15"/>
  <c r="C14"/>
  <c r="C13"/>
  <c r="C12"/>
  <c r="C11"/>
  <c r="C10"/>
  <c r="C9"/>
  <c r="C8"/>
  <c r="C7"/>
  <c r="C16" i="4"/>
  <c r="C15"/>
  <c r="C14"/>
  <c r="C13"/>
  <c r="C12"/>
  <c r="C11"/>
  <c r="C10"/>
  <c r="C9"/>
  <c r="C8"/>
  <c r="C7"/>
  <c r="C6"/>
  <c r="O6" i="3"/>
  <c r="L3"/>
  <c r="F6"/>
  <c r="F5"/>
  <c r="I3"/>
  <c r="F3"/>
  <c r="E13"/>
  <c r="D20"/>
  <c r="D19"/>
  <c r="D18"/>
  <c r="D17"/>
  <c r="D16"/>
  <c r="D15"/>
  <c r="D14"/>
  <c r="D13"/>
  <c r="D12"/>
  <c r="D11"/>
  <c r="D10"/>
  <c r="B20"/>
  <c r="E20" s="1"/>
  <c r="B19"/>
  <c r="F19" s="1"/>
  <c r="B18"/>
  <c r="E18" s="1"/>
  <c r="B17"/>
  <c r="F17" s="1"/>
  <c r="B16"/>
  <c r="E16" s="1"/>
  <c r="B15"/>
  <c r="F15" s="1"/>
  <c r="B14"/>
  <c r="E14" s="1"/>
  <c r="B13"/>
  <c r="F13" s="1"/>
  <c r="B12"/>
  <c r="E12" s="1"/>
  <c r="B11"/>
  <c r="F11" s="1"/>
  <c r="B10"/>
  <c r="O10" i="2"/>
  <c r="O9"/>
  <c r="O8"/>
  <c r="O7"/>
  <c r="O6"/>
  <c r="O5"/>
  <c r="O4"/>
  <c r="O11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L11"/>
  <c r="L10"/>
  <c r="L9"/>
  <c r="L8"/>
  <c r="L7"/>
  <c r="L6"/>
  <c r="L5"/>
  <c r="L4"/>
  <c r="K36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6"/>
  <c r="K5"/>
  <c r="B11"/>
  <c r="K4"/>
  <c r="I14"/>
  <c r="H14"/>
  <c r="I13"/>
  <c r="H13"/>
  <c r="I12"/>
  <c r="H12"/>
  <c r="I11"/>
  <c r="H11"/>
  <c r="E7"/>
  <c r="F7"/>
  <c r="I7" s="1"/>
  <c r="I4"/>
  <c r="E6"/>
  <c r="F6"/>
  <c r="I6" s="1"/>
  <c r="I5"/>
  <c r="E5"/>
  <c r="F5"/>
  <c r="F4"/>
  <c r="H4" s="1"/>
  <c r="G7"/>
  <c r="G6"/>
  <c r="G5"/>
  <c r="G4"/>
  <c r="B9"/>
  <c r="B8"/>
  <c r="B7"/>
  <c r="B6"/>
  <c r="J20" i="1"/>
  <c r="C19"/>
  <c r="J19"/>
  <c r="L12"/>
  <c r="D17"/>
  <c r="D16"/>
  <c r="F6"/>
  <c r="E13"/>
  <c r="B12"/>
  <c r="C12"/>
  <c r="D7"/>
  <c r="E11"/>
  <c r="B3"/>
  <c r="D9" i="7" l="1"/>
  <c r="D14"/>
  <c r="D8"/>
  <c r="D12"/>
  <c r="D16"/>
  <c r="D7"/>
  <c r="D11"/>
  <c r="D15"/>
  <c r="D13"/>
  <c r="D6"/>
  <c r="D10"/>
  <c r="E11" i="3"/>
  <c r="E19"/>
  <c r="E17"/>
  <c r="F4"/>
  <c r="L5" s="1"/>
  <c r="E15"/>
  <c r="L4"/>
  <c r="F7"/>
  <c r="F10"/>
  <c r="F12"/>
  <c r="F14"/>
  <c r="F16"/>
  <c r="F18"/>
  <c r="F20"/>
  <c r="E10"/>
  <c r="I4" s="1"/>
  <c r="O5" s="1"/>
  <c r="H7" i="2"/>
  <c r="H6"/>
  <c r="H5"/>
  <c r="L11" i="1"/>
  <c r="I5" i="3" l="1"/>
  <c r="O4"/>
</calcChain>
</file>

<file path=xl/sharedStrings.xml><?xml version="1.0" encoding="utf-8"?>
<sst xmlns="http://schemas.openxmlformats.org/spreadsheetml/2006/main" count="126" uniqueCount="80">
  <si>
    <t>Mpa</t>
  </si>
  <si>
    <t>Pa</t>
  </si>
  <si>
    <t>R</t>
  </si>
  <si>
    <t>J/mol.K</t>
  </si>
  <si>
    <t>N/m2</t>
  </si>
  <si>
    <t>p2</t>
  </si>
  <si>
    <t>n</t>
  </si>
  <si>
    <t>mol</t>
  </si>
  <si>
    <t>T1</t>
  </si>
  <si>
    <t>point</t>
  </si>
  <si>
    <t>p</t>
  </si>
  <si>
    <t>V</t>
  </si>
  <si>
    <t>m3</t>
  </si>
  <si>
    <t>T</t>
  </si>
  <si>
    <t>K</t>
  </si>
  <si>
    <t>pV/nRT</t>
  </si>
  <si>
    <t>2020-12-15-isothermal-process.md</t>
  </si>
  <si>
    <t>Work</t>
  </si>
  <si>
    <t>2020-12-17-carnot-cycle.md</t>
  </si>
  <si>
    <t>TH (K)</t>
  </si>
  <si>
    <t>TC (K)</t>
  </si>
  <si>
    <t>n (mol)</t>
  </si>
  <si>
    <t>R (J/mol.K)</t>
  </si>
  <si>
    <t>Cp (J/mol.K)</t>
  </si>
  <si>
    <t>CV (J/mol.K)</t>
  </si>
  <si>
    <t>γ</t>
  </si>
  <si>
    <t>State</t>
  </si>
  <si>
    <t>p (N/m2)</t>
  </si>
  <si>
    <t>V (m3)</t>
  </si>
  <si>
    <t>T (K)</t>
  </si>
  <si>
    <t>c0</t>
  </si>
  <si>
    <t>Calculated</t>
  </si>
  <si>
    <t>Rounded</t>
  </si>
  <si>
    <t>1 -&gt; 2</t>
  </si>
  <si>
    <t>2 -&gt; 3</t>
  </si>
  <si>
    <t>3 -&gt; 4</t>
  </si>
  <si>
    <t>4 -&gt; 1</t>
  </si>
  <si>
    <t>ΔV (m3)</t>
  </si>
  <si>
    <t>x</t>
  </si>
  <si>
    <t>y</t>
  </si>
  <si>
    <t>f</t>
  </si>
  <si>
    <t>a + bx</t>
  </si>
  <si>
    <t>a</t>
  </si>
  <si>
    <t>b</t>
  </si>
  <si>
    <t>Σx</t>
  </si>
  <si>
    <t>Σy</t>
  </si>
  <si>
    <t>Σxy</t>
  </si>
  <si>
    <t>xx</t>
  </si>
  <si>
    <t>xy</t>
  </si>
  <si>
    <t>yy</t>
  </si>
  <si>
    <t>Σxx</t>
  </si>
  <si>
    <t>Σyy</t>
  </si>
  <si>
    <t>&lt;x&gt;</t>
  </si>
  <si>
    <t>N</t>
  </si>
  <si>
    <t>&lt;y&gt;</t>
  </si>
  <si>
    <t>ΣxΣx</t>
  </si>
  <si>
    <t>ΣxΣy</t>
  </si>
  <si>
    <t>ΣyΣy</t>
  </si>
  <si>
    <t>url</t>
  </si>
  <si>
    <t>https://www.statisticshowto.com/probability-and-statistics/regression-analysis/find-a-linear-regression-equation/</t>
  </si>
  <si>
    <t>ref</t>
  </si>
  <si>
    <t>Stephanie Glen. "The Practically Cheating Statistics Handbook" From StatisticsHowTo.com: Elementary Statistics for the rest of us! https://www.statisticshowto.com/the-practically-cheating-statistics-handbook/[20201226]</t>
  </si>
  <si>
    <t>Stephanie Glen. "Coefficient of Determination (R Squared): Definition, Calculation" From StatisticsHowTo.com: Elementary Statistics for the rest of us! https://www.statisticshowto.com/probability-and-statistics/coefficient-of-determination-r-squared/</t>
  </si>
  <si>
    <t>f(x)</t>
  </si>
  <si>
    <t>x1</t>
  </si>
  <si>
    <t>x2</t>
  </si>
  <si>
    <t>x3</t>
  </si>
  <si>
    <t>y = 0</t>
  </si>
  <si>
    <t>100% zoom</t>
  </si>
  <si>
    <t>g(x)</t>
  </si>
  <si>
    <t>h(x)</t>
  </si>
  <si>
    <t>a1</t>
  </si>
  <si>
    <t>b1</t>
  </si>
  <si>
    <t>a2</t>
  </si>
  <si>
    <t>x21</t>
  </si>
  <si>
    <t>x22</t>
  </si>
  <si>
    <t>S</t>
  </si>
  <si>
    <t>c3</t>
  </si>
  <si>
    <t>c2</t>
  </si>
  <si>
    <t>c1</t>
  </si>
</sst>
</file>

<file path=xl/styles.xml><?xml version="1.0" encoding="utf-8"?>
<styleSheet xmlns="http://schemas.openxmlformats.org/spreadsheetml/2006/main">
  <numFmts count="4">
    <numFmt numFmtId="164" formatCode="0.000E+00"/>
    <numFmt numFmtId="165" formatCode="0.0000E+00"/>
    <numFmt numFmtId="166" formatCode="0.000"/>
    <numFmt numFmtId="167" formatCode="0.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1" fillId="2" borderId="1" xfId="0" applyFont="1" applyFill="1" applyBorder="1"/>
    <xf numFmtId="0" fontId="3" fillId="0" borderId="0" xfId="0" applyFon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092"/>
          <c:y val="5.0322309711286102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100869248"/>
        <c:axId val="100871552"/>
      </c:scatterChart>
      <c:valAx>
        <c:axId val="100869248"/>
        <c:scaling>
          <c:logBase val="10"/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</c:title>
        <c:numFmt formatCode="General" sourceLinked="0"/>
        <c:tickLblPos val="nextTo"/>
        <c:crossAx val="100871552"/>
        <c:crosses val="autoZero"/>
        <c:crossBetween val="midCat"/>
        <c:majorUnit val="0.1"/>
      </c:valAx>
      <c:valAx>
        <c:axId val="100871552"/>
        <c:scaling>
          <c:logBase val="10"/>
          <c:orientation val="minMax"/>
          <c:min val="1000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39"/>
            </c:manualLayout>
          </c:layout>
        </c:title>
        <c:numFmt formatCode="General" sourceLinked="0"/>
        <c:tickLblPos val="nextTo"/>
        <c:crossAx val="100869248"/>
        <c:crossesAt val="1.0000000000000018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873283123296651"/>
          <c:y val="7.7261242344706924E-2"/>
          <c:w val="0.19275132110941579"/>
          <c:h val="0.27214418197725343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103"/>
          <c:y val="5.0322309711286102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101001088"/>
        <c:axId val="101068800"/>
      </c:scatterChart>
      <c:valAx>
        <c:axId val="101001088"/>
        <c:scaling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</c:title>
        <c:numFmt formatCode="General" sourceLinked="0"/>
        <c:tickLblPos val="nextTo"/>
        <c:crossAx val="101068800"/>
        <c:crosses val="autoZero"/>
        <c:crossBetween val="midCat"/>
        <c:majorUnit val="0.1"/>
      </c:valAx>
      <c:valAx>
        <c:axId val="101068800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5"/>
            </c:manualLayout>
          </c:layout>
        </c:title>
        <c:numFmt formatCode="0.0E+00" sourceLinked="0"/>
        <c:tickLblPos val="nextTo"/>
        <c:crossAx val="101001088"/>
        <c:crossesAt val="1.0000000000000025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136634659194155"/>
          <c:y val="7.2816797900262659E-2"/>
          <c:w val="0.20762436960727645"/>
          <c:h val="0.3210330708661418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07020816612818"/>
          <c:y val="5.3916760404949429E-2"/>
          <c:w val="0.78932373122781141"/>
          <c:h val="0.73934060165556315"/>
        </c:manualLayout>
      </c:layout>
      <c:scatterChart>
        <c:scatterStyle val="lineMarker"/>
        <c:ser>
          <c:idx val="0"/>
          <c:order val="0"/>
          <c:tx>
            <c:strRef>
              <c:f>'2'!$B$9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bg1"/>
              </a:solidFill>
              <a:ln w="19050"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41215939961322451"/>
                  <c:y val="5.144269466316709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i="1" baseline="0"/>
                      <a:t>y</a:t>
                    </a:r>
                    <a:r>
                      <a:rPr lang="en-US" baseline="0"/>
                      <a:t> = 0.5</a:t>
                    </a:r>
                    <a:r>
                      <a:rPr lang="en-US" i="1" baseline="0"/>
                      <a:t>x</a:t>
                    </a:r>
                    <a:r>
                      <a:rPr lang="en-US" baseline="0"/>
                      <a:t> + 5
</a:t>
                    </a:r>
                    <a:r>
                      <a:rPr lang="en-US" i="1" baseline="0"/>
                      <a:t>R</a:t>
                    </a:r>
                    <a:r>
                      <a:rPr lang="en-US" baseline="0"/>
                      <a:t>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</c:spPr>
            </c:trendlineLbl>
          </c:trendline>
          <c:xVal>
            <c:numRef>
              <c:f>'2'!$A$10:$A$20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'2'!$B$10:$B$20</c:f>
              <c:numCache>
                <c:formatCode>General</c:formatCode>
                <c:ptCount val="1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</c:numCache>
            </c:numRef>
          </c:yVal>
        </c:ser>
        <c:axId val="101106432"/>
        <c:axId val="101108352"/>
      </c:scatterChart>
      <c:valAx>
        <c:axId val="101106432"/>
        <c:scaling>
          <c:orientation val="minMax"/>
          <c:max val="12"/>
          <c:min val="0"/>
        </c:scaling>
        <c:axPos val="b"/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x</a:t>
                </a:r>
              </a:p>
            </c:rich>
          </c:tx>
        </c:title>
        <c:numFmt formatCode="General" sourceLinked="1"/>
        <c:tickLblPos val="nextTo"/>
        <c:crossAx val="101108352"/>
        <c:crosses val="autoZero"/>
        <c:crossBetween val="midCat"/>
        <c:majorUnit val="2"/>
        <c:minorUnit val="1"/>
      </c:valAx>
      <c:valAx>
        <c:axId val="101108352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01106432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67361510391110591"/>
          <c:y val="0.38856605424321988"/>
          <c:w val="0.23248820561452921"/>
          <c:h val="0.20064566929133859"/>
        </c:manualLayout>
      </c:layout>
      <c:spPr>
        <a:solidFill>
          <a:sysClr val="window" lastClr="FFFFFF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56"/>
          <c:y val="5.614036078618688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'3'!$B$5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'3'!$B$6:$B$16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'3'!$C$5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'3'!$C$6:$C$16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0.90000000000000013</c:v>
                </c:pt>
                <c:pt idx="3">
                  <c:v>1</c:v>
                </c:pt>
                <c:pt idx="4">
                  <c:v>0.60000000000000009</c:v>
                </c:pt>
                <c:pt idx="5">
                  <c:v>0</c:v>
                </c:pt>
                <c:pt idx="6">
                  <c:v>-0.5</c:v>
                </c:pt>
                <c:pt idx="7">
                  <c:v>-0.60000000000000009</c:v>
                </c:pt>
                <c:pt idx="8">
                  <c:v>0</c:v>
                </c:pt>
                <c:pt idx="9">
                  <c:v>1.6</c:v>
                </c:pt>
                <c:pt idx="10">
                  <c:v>4.5</c:v>
                </c:pt>
              </c:numCache>
            </c:numRef>
          </c:yVal>
          <c:smooth val="1"/>
        </c:ser>
        <c:axId val="88083840"/>
        <c:axId val="88094208"/>
      </c:scatterChart>
      <c:valAx>
        <c:axId val="88083840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6"/>
              <c:y val="0.89855157828827881"/>
            </c:manualLayout>
          </c:layout>
        </c:title>
        <c:numFmt formatCode="General" sourceLinked="1"/>
        <c:tickLblPos val="nextTo"/>
        <c:crossAx val="88094208"/>
        <c:crossesAt val="-100"/>
        <c:crossBetween val="midCat"/>
        <c:majorUnit val="1"/>
      </c:valAx>
      <c:valAx>
        <c:axId val="88094208"/>
        <c:scaling>
          <c:orientation val="minMax"/>
          <c:max val="5"/>
          <c:min val="-2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88083840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7225413402959094"/>
          <c:y val="0.1030285858619138"/>
          <c:w val="0.19067014795474313"/>
          <c:h val="0.19630870723258731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61"/>
          <c:y val="5.6140360786186859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'4'!$B$6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'4'!$B$7:$B$17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'4'!$C$6</c:f>
              <c:strCache>
                <c:ptCount val="1"/>
                <c:pt idx="0">
                  <c:v>h(x)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'4'!$C$7:$C$17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'4'!$D$6</c:f>
              <c:strCache>
                <c:ptCount val="1"/>
                <c:pt idx="0">
                  <c:v>g(x)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'4'!$D$7:$D$17</c:f>
              <c:numCache>
                <c:formatCode>General</c:formatCode>
                <c:ptCount val="11"/>
                <c:pt idx="0">
                  <c:v>0</c:v>
                </c:pt>
                <c:pt idx="1">
                  <c:v>1.6</c:v>
                </c:pt>
                <c:pt idx="2">
                  <c:v>2.8000000000000003</c:v>
                </c:pt>
                <c:pt idx="3">
                  <c:v>3.6000000000000005</c:v>
                </c:pt>
                <c:pt idx="4">
                  <c:v>4</c:v>
                </c:pt>
                <c:pt idx="5">
                  <c:v>4</c:v>
                </c:pt>
                <c:pt idx="6">
                  <c:v>3.6000000000000005</c:v>
                </c:pt>
                <c:pt idx="7">
                  <c:v>2.8000000000000003</c:v>
                </c:pt>
                <c:pt idx="8">
                  <c:v>1.6</c:v>
                </c:pt>
                <c:pt idx="9">
                  <c:v>0</c:v>
                </c:pt>
                <c:pt idx="10">
                  <c:v>-2</c:v>
                </c:pt>
              </c:numCache>
            </c:numRef>
          </c:yVal>
          <c:smooth val="1"/>
        </c:ser>
        <c:axId val="101097472"/>
        <c:axId val="88175744"/>
      </c:scatterChart>
      <c:valAx>
        <c:axId val="101097472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88175744"/>
        <c:crossesAt val="-100"/>
        <c:crossBetween val="midCat"/>
        <c:majorUnit val="1"/>
      </c:valAx>
      <c:valAx>
        <c:axId val="88175744"/>
        <c:scaling>
          <c:orientation val="minMax"/>
          <c:max val="5"/>
          <c:min val="-1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01097472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6178516482504934"/>
          <c:y val="6.7163083199324833E-2"/>
          <c:w val="0.59148903781321749"/>
          <c:h val="8.9516754360555423E-2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67"/>
          <c:y val="5.6140360786186845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'4'!$B$6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'4'!$B$7:$B$17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'4'!$E$6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'4'!$E$7:$E$17</c:f>
              <c:numCache>
                <c:formatCode>General</c:formatCode>
                <c:ptCount val="11"/>
                <c:pt idx="0">
                  <c:v>0</c:v>
                </c:pt>
                <c:pt idx="1">
                  <c:v>-1.1000000000000001</c:v>
                </c:pt>
                <c:pt idx="2">
                  <c:v>-1.8000000000000003</c:v>
                </c:pt>
                <c:pt idx="3">
                  <c:v>-2.1000000000000005</c:v>
                </c:pt>
                <c:pt idx="4">
                  <c:v>-2</c:v>
                </c:pt>
                <c:pt idx="5">
                  <c:v>-1.5</c:v>
                </c:pt>
                <c:pt idx="6">
                  <c:v>-0.60000000000000053</c:v>
                </c:pt>
                <c:pt idx="7">
                  <c:v>0.69999999999999973</c:v>
                </c:pt>
                <c:pt idx="8">
                  <c:v>2.4</c:v>
                </c:pt>
                <c:pt idx="9">
                  <c:v>4.5</c:v>
                </c:pt>
                <c:pt idx="10">
                  <c:v>7</c:v>
                </c:pt>
              </c:numCache>
            </c:numRef>
          </c:yVal>
          <c:smooth val="1"/>
        </c:ser>
        <c:axId val="88196608"/>
        <c:axId val="88198528"/>
      </c:scatterChart>
      <c:valAx>
        <c:axId val="88196608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88198528"/>
        <c:crossesAt val="-100"/>
        <c:crossBetween val="midCat"/>
        <c:majorUnit val="1"/>
      </c:valAx>
      <c:valAx>
        <c:axId val="88198528"/>
        <c:scaling>
          <c:orientation val="minMax"/>
          <c:max val="3"/>
          <c:min val="-3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88196608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6178516482504934"/>
          <c:y val="6.7163083199324833E-2"/>
          <c:w val="0.36461282653804417"/>
          <c:h val="8.9516754360555423E-2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61"/>
          <c:y val="8.5897077679974648E-2"/>
          <c:w val="0.77380344428225845"/>
          <c:h val="0.63158640815712064"/>
        </c:manualLayout>
      </c:layout>
      <c:scatterChart>
        <c:scatterStyle val="smoothMarker"/>
        <c:ser>
          <c:idx val="1"/>
          <c:order val="0"/>
          <c:tx>
            <c:strRef>
              <c:f>'5'!$B$5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'5'!$A$6:$A$16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'5'!$B$6:$B$16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'5'!$C$5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'5'!$C$6:$C$16</c:f>
              <c:numCache>
                <c:formatCode>General</c:formatCode>
                <c:ptCount val="11"/>
                <c:pt idx="0">
                  <c:v>1.3800000000000001</c:v>
                </c:pt>
                <c:pt idx="1">
                  <c:v>1.7150000000000001</c:v>
                </c:pt>
                <c:pt idx="2">
                  <c:v>1.3050000000000004</c:v>
                </c:pt>
                <c:pt idx="3">
                  <c:v>0.45000000000000018</c:v>
                </c:pt>
                <c:pt idx="4">
                  <c:v>-0.54999999999999982</c:v>
                </c:pt>
                <c:pt idx="5">
                  <c:v>-1.395</c:v>
                </c:pt>
                <c:pt idx="6">
                  <c:v>-1.7850000000000001</c:v>
                </c:pt>
                <c:pt idx="7">
                  <c:v>-1.42</c:v>
                </c:pt>
                <c:pt idx="8">
                  <c:v>0</c:v>
                </c:pt>
                <c:pt idx="9">
                  <c:v>2.7749999999999999</c:v>
                </c:pt>
                <c:pt idx="10">
                  <c:v>7.2050000000000001</c:v>
                </c:pt>
              </c:numCache>
            </c:numRef>
          </c:yVal>
          <c:smooth val="1"/>
        </c:ser>
        <c:ser>
          <c:idx val="2"/>
          <c:order val="2"/>
          <c:tx>
            <c:v>root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rgbClr val="7030A0"/>
                </a:solidFill>
              </a:ln>
            </c:spPr>
          </c:marker>
          <c:xVal>
            <c:numRef>
              <c:f>'5'!$A$18:$A$19</c:f>
              <c:numCache>
                <c:formatCode>General</c:formatCode>
                <c:ptCount val="2"/>
                <c:pt idx="0">
                  <c:v>3.45</c:v>
                </c:pt>
                <c:pt idx="1">
                  <c:v>8</c:v>
                </c:pt>
              </c:numCache>
            </c:numRef>
          </c:xVal>
          <c:yVal>
            <c:numRef>
              <c:f>'5'!$B$18:$B$19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x-f(x)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'5'!$A$21:$A$22</c:f>
              <c:numCache>
                <c:formatCode>General</c:formatCode>
                <c:ptCount val="2"/>
                <c:pt idx="0">
                  <c:v>3.5</c:v>
                </c:pt>
                <c:pt idx="1">
                  <c:v>3.5</c:v>
                </c:pt>
              </c:numCache>
            </c:numRef>
          </c:xVal>
          <c:yVal>
            <c:numRef>
              <c:f>'5'!$C$21:$C$22</c:f>
              <c:numCache>
                <c:formatCode>General</c:formatCode>
                <c:ptCount val="2"/>
                <c:pt idx="0">
                  <c:v>0</c:v>
                </c:pt>
                <c:pt idx="1">
                  <c:v>-5.0624999999999816E-2</c:v>
                </c:pt>
              </c:numCache>
            </c:numRef>
          </c:yVal>
          <c:smooth val="1"/>
        </c:ser>
        <c:axId val="100448512"/>
        <c:axId val="100446592"/>
      </c:scatterChart>
      <c:valAx>
        <c:axId val="100448512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100446592"/>
        <c:crossesAt val="-100"/>
        <c:crossBetween val="midCat"/>
        <c:majorUnit val="1"/>
      </c:valAx>
      <c:valAx>
        <c:axId val="100446592"/>
        <c:scaling>
          <c:orientation val="minMax"/>
          <c:max val="2"/>
          <c:min val="-2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  <c:layout/>
        </c:title>
        <c:numFmt formatCode="General" sourceLinked="1"/>
        <c:tickLblPos val="nextTo"/>
        <c:crossAx val="100448512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plotVisOnly val="1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67"/>
          <c:y val="8.5897077679974648E-2"/>
          <c:w val="0.77380344428225845"/>
          <c:h val="0.63158640815712053"/>
        </c:manualLayout>
      </c:layout>
      <c:scatterChart>
        <c:scatterStyle val="smoothMarker"/>
        <c:ser>
          <c:idx val="1"/>
          <c:order val="0"/>
          <c:tx>
            <c:strRef>
              <c:f>'5'!$B$5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'5'!$A$6:$A$16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'5'!$B$6:$B$16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'6'!$C$5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'6'!$C$6:$C$16</c:f>
              <c:numCache>
                <c:formatCode>General</c:formatCode>
                <c:ptCount val="11"/>
                <c:pt idx="0">
                  <c:v>0.52649999999999997</c:v>
                </c:pt>
                <c:pt idx="1">
                  <c:v>0.53599999999999992</c:v>
                </c:pt>
                <c:pt idx="2">
                  <c:v>0.17849999999999994</c:v>
                </c:pt>
                <c:pt idx="3">
                  <c:v>-0.39600000000000013</c:v>
                </c:pt>
                <c:pt idx="4">
                  <c:v>-1.0375000000000001</c:v>
                </c:pt>
                <c:pt idx="5">
                  <c:v>-1.5960000000000003</c:v>
                </c:pt>
                <c:pt idx="6">
                  <c:v>-1.9215000000000002</c:v>
                </c:pt>
                <c:pt idx="7">
                  <c:v>-1.8640000000000001</c:v>
                </c:pt>
                <c:pt idx="8">
                  <c:v>-1.2735000000000001</c:v>
                </c:pt>
                <c:pt idx="9">
                  <c:v>0</c:v>
                </c:pt>
                <c:pt idx="10">
                  <c:v>2.1065</c:v>
                </c:pt>
              </c:numCache>
            </c:numRef>
          </c:yVal>
          <c:smooth val="1"/>
        </c:ser>
        <c:ser>
          <c:idx val="2"/>
          <c:order val="2"/>
          <c:tx>
            <c:v>root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rgbClr val="7030A0"/>
                </a:solidFill>
              </a:ln>
            </c:spPr>
          </c:marker>
          <c:xVal>
            <c:numRef>
              <c:f>'6'!$A$18:$A$19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xVal>
          <c:yVal>
            <c:numRef>
              <c:f>'6'!$B$18:$B$19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x-f(x)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'6'!$A$21:$A$22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'6'!$C$21:$C$22</c:f>
              <c:numCache>
                <c:formatCode>General</c:formatCode>
                <c:ptCount val="2"/>
                <c:pt idx="0">
                  <c:v>0</c:v>
                </c:pt>
                <c:pt idx="1">
                  <c:v>0.53599999999999992</c:v>
                </c:pt>
              </c:numCache>
            </c:numRef>
          </c:yVal>
          <c:smooth val="1"/>
        </c:ser>
        <c:ser>
          <c:idx val="4"/>
          <c:order val="4"/>
          <c:tx>
            <c:v>x2-f(x2)</c:v>
          </c:tx>
          <c:marker>
            <c:symbol val="none"/>
          </c:marker>
          <c:xVal>
            <c:numRef>
              <c:f>'6'!$A$24:$A$25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'6'!$C$24:$C$25</c:f>
              <c:numCache>
                <c:formatCode>General</c:formatCode>
                <c:ptCount val="2"/>
                <c:pt idx="0">
                  <c:v>0</c:v>
                </c:pt>
                <c:pt idx="1">
                  <c:v>-1.2735000000000001</c:v>
                </c:pt>
              </c:numCache>
            </c:numRef>
          </c:yVal>
          <c:smooth val="1"/>
        </c:ser>
        <c:axId val="102555648"/>
        <c:axId val="102557568"/>
      </c:scatterChart>
      <c:valAx>
        <c:axId val="102555648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102557568"/>
        <c:crossesAt val="-100"/>
        <c:crossBetween val="midCat"/>
        <c:majorUnit val="1"/>
      </c:valAx>
      <c:valAx>
        <c:axId val="102557568"/>
        <c:scaling>
          <c:orientation val="minMax"/>
          <c:max val="2"/>
          <c:min val="-2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  <c:layout/>
        </c:title>
        <c:numFmt formatCode="General" sourceLinked="1"/>
        <c:tickLblPos val="nextTo"/>
        <c:crossAx val="102555648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plotVisOnly val="1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15</xdr:row>
      <xdr:rowOff>9525</xdr:rowOff>
    </xdr:from>
    <xdr:to>
      <xdr:col>8</xdr:col>
      <xdr:colOff>9524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31</xdr:row>
      <xdr:rowOff>9525</xdr:rowOff>
    </xdr:from>
    <xdr:to>
      <xdr:col>8</xdr:col>
      <xdr:colOff>28574</xdr:colOff>
      <xdr:row>46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7329</xdr:rowOff>
    </xdr:from>
    <xdr:to>
      <xdr:col>11</xdr:col>
      <xdr:colOff>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7329</xdr:rowOff>
    </xdr:from>
    <xdr:to>
      <xdr:col>11</xdr:col>
      <xdr:colOff>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0.49171</cdr:x>
      <cdr:y>0.12333</cdr:y>
    </cdr:from>
    <cdr:to>
      <cdr:x>0.56354</cdr:x>
      <cdr:y>0.22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0" y="3524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0.70442</cdr:x>
      <cdr:y>0.33</cdr:y>
    </cdr:from>
    <cdr:to>
      <cdr:x>0.77624</cdr:x>
      <cdr:y>0.42667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28875" y="94297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0.86188</cdr:x>
      <cdr:y>0.69333</cdr:y>
    </cdr:from>
    <cdr:to>
      <cdr:x>0.9337</cdr:x>
      <cdr:y>0.79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71800" y="19812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0.64917</cdr:x>
      <cdr:y>0.50667</cdr:y>
    </cdr:from>
    <cdr:to>
      <cdr:x>0.72099</cdr:x>
      <cdr:y>0.60333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238375" y="14478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0.62155</cdr:x>
      <cdr:y>0.27333</cdr:y>
    </cdr:from>
    <cdr:to>
      <cdr:x>0.68785</cdr:x>
      <cdr:y>0.33667</cdr:y>
    </cdr:to>
    <cdr:sp macro="" textlink="">
      <cdr:nvSpPr>
        <cdr:cNvPr id="7" name="Straight Arrow Connector 6"/>
        <cdr:cNvSpPr/>
      </cdr:nvSpPr>
      <cdr:spPr>
        <a:xfrm xmlns:a="http://schemas.openxmlformats.org/drawingml/2006/main">
          <a:off x="2143125" y="781050"/>
          <a:ext cx="228600" cy="1809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0.79834</cdr:x>
      <cdr:y>0.47333</cdr:y>
    </cdr:from>
    <cdr:to>
      <cdr:x>0.84807</cdr:x>
      <cdr:y>0.56</cdr:y>
    </cdr:to>
    <cdr:sp macro="" textlink="">
      <cdr:nvSpPr>
        <cdr:cNvPr id="9" name="Straight Arrow Connector 8"/>
        <cdr:cNvSpPr/>
      </cdr:nvSpPr>
      <cdr:spPr>
        <a:xfrm xmlns:a="http://schemas.openxmlformats.org/drawingml/2006/main" rot="16200000" flipH="1">
          <a:off x="2714627" y="1390653"/>
          <a:ext cx="247648" cy="17144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0.74586</cdr:x>
      <cdr:y>0.6</cdr:y>
    </cdr:from>
    <cdr:to>
      <cdr:x>0.81768</cdr:x>
      <cdr:y>0.67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0800000">
          <a:off x="2571750" y="1714500"/>
          <a:ext cx="247650" cy="2000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0.58287</cdr:x>
      <cdr:y>0.36333</cdr:y>
    </cdr:from>
    <cdr:to>
      <cdr:x>0.64365</cdr:x>
      <cdr:y>0.46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16200000" flipV="1">
          <a:off x="2009775" y="1038225"/>
          <a:ext cx="209551" cy="27622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0.3674</cdr:x>
      <cdr:y>0.05667</cdr:y>
    </cdr:from>
    <cdr:to>
      <cdr:x>0.43923</cdr:x>
      <cdr:y>0.15333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66825" y="1619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0.42541</cdr:x>
      <cdr:y>0.67</cdr:y>
    </cdr:from>
    <cdr:to>
      <cdr:x>0.49724</cdr:x>
      <cdr:y>0.76667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466850" y="1914525"/>
          <a:ext cx="247650" cy="2762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0.85635</cdr:x>
      <cdr:y>0.73333</cdr:y>
    </cdr:from>
    <cdr:to>
      <cdr:x>0.92818</cdr:x>
      <cdr:y>0.83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52750" y="20955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0.38122</cdr:x>
      <cdr:y>0.80333</cdr:y>
    </cdr:from>
    <cdr:to>
      <cdr:x>0.45304</cdr:x>
      <cdr:y>0.9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314450" y="22955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0.40055</cdr:x>
      <cdr:y>0.34667</cdr:y>
    </cdr:from>
    <cdr:to>
      <cdr:x>0.40332</cdr:x>
      <cdr:y>0.45333</cdr:y>
    </cdr:to>
    <cdr:sp macro="" textlink="">
      <cdr:nvSpPr>
        <cdr:cNvPr id="7" name="Straight Arrow Connector 6"/>
        <cdr:cNvSpPr/>
      </cdr:nvSpPr>
      <cdr:spPr>
        <a:xfrm xmlns:a="http://schemas.openxmlformats.org/drawingml/2006/main" rot="16200000" flipH="1">
          <a:off x="1381124" y="990599"/>
          <a:ext cx="9526" cy="3048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0.48343</cdr:x>
      <cdr:y>0.76</cdr:y>
    </cdr:from>
    <cdr:to>
      <cdr:x>0.55801</cdr:x>
      <cdr:y>0.79333</cdr:y>
    </cdr:to>
    <cdr:sp macro="" textlink="">
      <cdr:nvSpPr>
        <cdr:cNvPr id="9" name="Straight Arrow Connector 8"/>
        <cdr:cNvSpPr/>
      </cdr:nvSpPr>
      <cdr:spPr>
        <a:xfrm xmlns:a="http://schemas.openxmlformats.org/drawingml/2006/main">
          <a:off x="1666875" y="2171700"/>
          <a:ext cx="257175" cy="952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0.63812</cdr:x>
      <cdr:y>0.86333</cdr:y>
    </cdr:from>
    <cdr:to>
      <cdr:x>0.72652</cdr:x>
      <cdr:y>0.86667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0800000">
          <a:off x="2200275" y="2466976"/>
          <a:ext cx="304800" cy="95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0.3674</cdr:x>
      <cdr:y>0.73</cdr:y>
    </cdr:from>
    <cdr:to>
      <cdr:x>0.37569</cdr:x>
      <cdr:y>0.81333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16200000" flipV="1">
          <a:off x="1266826" y="2085975"/>
          <a:ext cx="28576" cy="2381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6</xdr:row>
      <xdr:rowOff>0</xdr:rowOff>
    </xdr:from>
    <xdr:to>
      <xdr:col>17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7328</xdr:rowOff>
    </xdr:from>
    <xdr:to>
      <xdr:col>11</xdr:col>
      <xdr:colOff>0</xdr:colOff>
      <xdr:row>17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0.2141</cdr:x>
      <cdr:y>0.55296</cdr:y>
    </cdr:from>
    <cdr:to>
      <cdr:x>0.23916</cdr:x>
      <cdr:y>0.58985</cdr:y>
    </cdr:to>
    <cdr:sp macro="" textlink="">
      <cdr:nvSpPr>
        <cdr:cNvPr id="2" name="Oval 1"/>
        <cdr:cNvSpPr/>
      </cdr:nvSpPr>
      <cdr:spPr>
        <a:xfrm xmlns:a="http://schemas.openxmlformats.org/drawingml/2006/main">
          <a:off x="781050" y="1370622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0.52567</cdr:x>
      <cdr:y>0.55592</cdr:y>
    </cdr:from>
    <cdr:to>
      <cdr:x>0.55074</cdr:x>
      <cdr:y>0.59281</cdr:y>
    </cdr:to>
    <cdr:sp macro="" textlink="">
      <cdr:nvSpPr>
        <cdr:cNvPr id="3" name="Oval 2"/>
        <cdr:cNvSpPr/>
      </cdr:nvSpPr>
      <cdr:spPr>
        <a:xfrm xmlns:a="http://schemas.openxmlformats.org/drawingml/2006/main">
          <a:off x="1917700" y="1377950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0.75718</cdr:x>
      <cdr:y>0.55592</cdr:y>
    </cdr:from>
    <cdr:to>
      <cdr:x>0.78225</cdr:x>
      <cdr:y>0.59281</cdr:y>
    </cdr:to>
    <cdr:sp macro="" textlink="">
      <cdr:nvSpPr>
        <cdr:cNvPr id="4" name="Oval 3"/>
        <cdr:cNvSpPr/>
      </cdr:nvSpPr>
      <cdr:spPr>
        <a:xfrm xmlns:a="http://schemas.openxmlformats.org/drawingml/2006/main">
          <a:off x="2762250" y="1377950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7328</xdr:rowOff>
    </xdr:from>
    <xdr:to>
      <xdr:col>11</xdr:col>
      <xdr:colOff>0</xdr:colOff>
      <xdr:row>18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5</xdr:row>
      <xdr:rowOff>9525</xdr:rowOff>
    </xdr:from>
    <xdr:to>
      <xdr:col>17</xdr:col>
      <xdr:colOff>590550</xdr:colOff>
      <xdr:row>18</xdr:row>
      <xdr:rowOff>11723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0.13838</cdr:x>
      <cdr:y>0.6375</cdr:y>
    </cdr:from>
    <cdr:to>
      <cdr:x>0.16344</cdr:x>
      <cdr:y>0.67439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04828" y="1580171"/>
          <a:ext cx="91421" cy="9143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0.64445</cdr:x>
      <cdr:y>0.2485</cdr:y>
    </cdr:from>
    <cdr:to>
      <cdr:x>0.66952</cdr:x>
      <cdr:y>0.28539</cdr:y>
    </cdr:to>
    <cdr:sp macro="" textlink="">
      <cdr:nvSpPr>
        <cdr:cNvPr id="3" name="Oval 2"/>
        <cdr:cNvSpPr/>
      </cdr:nvSpPr>
      <cdr:spPr>
        <a:xfrm xmlns:a="http://schemas.openxmlformats.org/drawingml/2006/main">
          <a:off x="2345351" y="615958"/>
          <a:ext cx="91237" cy="91439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0.13576</cdr:x>
      <cdr:y>0.40309</cdr:y>
    </cdr:from>
    <cdr:to>
      <cdr:x>0.16082</cdr:x>
      <cdr:y>0.43998</cdr:y>
    </cdr:to>
    <cdr:sp macro="" textlink="">
      <cdr:nvSpPr>
        <cdr:cNvPr id="2" name="Oval 1"/>
        <cdr:cNvSpPr/>
      </cdr:nvSpPr>
      <cdr:spPr>
        <a:xfrm xmlns:a="http://schemas.openxmlformats.org/drawingml/2006/main">
          <a:off x="493978" y="999145"/>
          <a:ext cx="91182" cy="9143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0.63921</cdr:x>
      <cdr:y>0.39837</cdr:y>
    </cdr:from>
    <cdr:to>
      <cdr:x>0.66428</cdr:x>
      <cdr:y>0.43526</cdr:y>
    </cdr:to>
    <cdr:sp macro="" textlink="">
      <cdr:nvSpPr>
        <cdr:cNvPr id="3" name="Oval 2"/>
        <cdr:cNvSpPr/>
      </cdr:nvSpPr>
      <cdr:spPr>
        <a:xfrm xmlns:a="http://schemas.openxmlformats.org/drawingml/2006/main">
          <a:off x="2325814" y="987431"/>
          <a:ext cx="91218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21" sqref="A21"/>
    </sheetView>
  </sheetViews>
  <sheetFormatPr defaultRowHeight="15"/>
  <cols>
    <col min="3" max="3" width="10.5703125" bestFit="1" customWidth="1"/>
    <col min="7" max="7" width="1.42578125" customWidth="1"/>
    <col min="10" max="10" width="10.28515625" bestFit="1" customWidth="1"/>
  </cols>
  <sheetData>
    <row r="1" spans="1:12">
      <c r="A1" t="s">
        <v>16</v>
      </c>
    </row>
    <row r="2" spans="1:12">
      <c r="A2" t="s">
        <v>0</v>
      </c>
      <c r="B2" t="s">
        <v>1</v>
      </c>
    </row>
    <row r="3" spans="1:12">
      <c r="A3">
        <v>0.1</v>
      </c>
      <c r="B3">
        <f>A3*1000000</f>
        <v>100000</v>
      </c>
    </row>
    <row r="6" spans="1:12">
      <c r="A6" t="s">
        <v>2</v>
      </c>
      <c r="B6" t="s">
        <v>3</v>
      </c>
      <c r="C6">
        <v>8.3140000000000001</v>
      </c>
      <c r="F6">
        <f>2/C6</f>
        <v>0.24055809477988935</v>
      </c>
      <c r="H6" t="s">
        <v>2</v>
      </c>
      <c r="I6" t="s">
        <v>3</v>
      </c>
      <c r="J6">
        <v>8.3140000000000001</v>
      </c>
    </row>
    <row r="7" spans="1:12">
      <c r="A7" t="s">
        <v>6</v>
      </c>
      <c r="B7" t="s">
        <v>7</v>
      </c>
      <c r="C7">
        <v>0.24049999999999999</v>
      </c>
      <c r="D7">
        <f>2/C6</f>
        <v>0.24055809477988935</v>
      </c>
      <c r="H7" t="s">
        <v>6</v>
      </c>
      <c r="I7" t="s">
        <v>7</v>
      </c>
      <c r="J7">
        <v>1.2027000000000001</v>
      </c>
    </row>
    <row r="9" spans="1:12">
      <c r="B9" t="s">
        <v>4</v>
      </c>
      <c r="C9" t="s">
        <v>12</v>
      </c>
      <c r="D9" t="s">
        <v>14</v>
      </c>
    </row>
    <row r="10" spans="1:12">
      <c r="A10" t="s">
        <v>9</v>
      </c>
      <c r="B10" t="s">
        <v>10</v>
      </c>
      <c r="C10" t="s">
        <v>11</v>
      </c>
      <c r="D10" t="s">
        <v>13</v>
      </c>
      <c r="E10" t="s">
        <v>15</v>
      </c>
      <c r="H10" t="s">
        <v>9</v>
      </c>
      <c r="I10" t="s">
        <v>10</v>
      </c>
      <c r="J10" t="s">
        <v>11</v>
      </c>
      <c r="K10" t="s">
        <v>13</v>
      </c>
      <c r="L10" t="s">
        <v>15</v>
      </c>
    </row>
    <row r="11" spans="1:12">
      <c r="A11">
        <v>1</v>
      </c>
      <c r="B11" s="1">
        <v>100000</v>
      </c>
      <c r="C11" s="1">
        <v>0.01</v>
      </c>
      <c r="D11">
        <v>500</v>
      </c>
      <c r="E11">
        <f>(B11*C11)/($C$7*$C$6*D11)</f>
        <v>1.0002415583363382</v>
      </c>
      <c r="H11">
        <v>1</v>
      </c>
      <c r="I11" s="1">
        <v>200000</v>
      </c>
      <c r="J11" s="1">
        <v>0.02</v>
      </c>
      <c r="K11">
        <v>400</v>
      </c>
      <c r="L11">
        <f>(I11*J11)/($J$7*$J$6*K11)</f>
        <v>1.000075225658474</v>
      </c>
    </row>
    <row r="12" spans="1:12">
      <c r="A12">
        <v>2</v>
      </c>
      <c r="B12" s="1">
        <f>C7*C6*D12/C12</f>
        <v>49987.925000000003</v>
      </c>
      <c r="C12" s="1">
        <f>2*C11</f>
        <v>0.02</v>
      </c>
      <c r="D12">
        <v>500</v>
      </c>
      <c r="H12">
        <v>2</v>
      </c>
      <c r="I12" s="1">
        <v>400000</v>
      </c>
      <c r="J12" s="1">
        <v>0.01</v>
      </c>
      <c r="K12">
        <v>400</v>
      </c>
      <c r="L12">
        <f>(I12*J12)/($J$7*$J$6*K12)</f>
        <v>1.000075225658474</v>
      </c>
    </row>
    <row r="13" spans="1:12">
      <c r="B13" s="1">
        <v>50000</v>
      </c>
      <c r="C13">
        <v>0.02</v>
      </c>
      <c r="D13">
        <v>500</v>
      </c>
      <c r="E13">
        <f>(B13*C13)/($C$7*$C$6*D13)</f>
        <v>1.0002415583363382</v>
      </c>
    </row>
    <row r="16" spans="1:12">
      <c r="C16" t="s">
        <v>8</v>
      </c>
      <c r="D16">
        <f>(100000*0.01)/(0.2405*8.314)</f>
        <v>500.12077916816912</v>
      </c>
    </row>
    <row r="17" spans="2:10">
      <c r="C17" t="s">
        <v>5</v>
      </c>
      <c r="D17">
        <f>(0.2405*8.314*500)/0.02</f>
        <v>49987.925000000003</v>
      </c>
    </row>
    <row r="18" spans="2:10">
      <c r="J18" s="1"/>
    </row>
    <row r="19" spans="2:10">
      <c r="B19" t="s">
        <v>17</v>
      </c>
      <c r="C19" s="3">
        <f>C7*C6*D12*LN(C12/C11)</f>
        <v>692.97978551584004</v>
      </c>
      <c r="I19" t="s">
        <v>17</v>
      </c>
      <c r="J19" s="2">
        <f>J7*J6*K12*LN(J12/J11)</f>
        <v>-2772.3801681160944</v>
      </c>
    </row>
    <row r="20" spans="2:10">
      <c r="J20">
        <f>1.2027 * 8.314 * 400 * LN(0.01/0.02)</f>
        <v>-2772.3801681160944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7"/>
  <sheetViews>
    <sheetView workbookViewId="0">
      <selection activeCell="E11" sqref="E11:G14"/>
    </sheetView>
  </sheetViews>
  <sheetFormatPr defaultRowHeight="15"/>
  <cols>
    <col min="1" max="1" width="11.42578125" customWidth="1"/>
    <col min="2" max="2" width="8.5703125" customWidth="1"/>
    <col min="3" max="3" width="1.42578125" customWidth="1"/>
    <col min="4" max="4" width="8.5703125" customWidth="1"/>
    <col min="5" max="5" width="11.42578125" customWidth="1"/>
    <col min="6" max="8" width="10" customWidth="1"/>
    <col min="12" max="15" width="12.85546875" customWidth="1"/>
  </cols>
  <sheetData>
    <row r="1" spans="1:15">
      <c r="A1" t="s">
        <v>18</v>
      </c>
    </row>
    <row r="2" spans="1:15">
      <c r="E2" s="10"/>
      <c r="F2" s="10"/>
      <c r="G2" s="10"/>
      <c r="H2" s="11" t="s">
        <v>31</v>
      </c>
      <c r="I2" s="10"/>
      <c r="L2" s="14" t="s">
        <v>27</v>
      </c>
      <c r="M2" s="14"/>
      <c r="N2" s="14"/>
      <c r="O2" s="14"/>
    </row>
    <row r="3" spans="1:15">
      <c r="A3" t="s">
        <v>22</v>
      </c>
      <c r="B3">
        <v>8.3140000000000001</v>
      </c>
      <c r="D3" t="s">
        <v>26</v>
      </c>
      <c r="E3" t="s">
        <v>27</v>
      </c>
      <c r="F3" t="s">
        <v>28</v>
      </c>
      <c r="G3" t="s">
        <v>29</v>
      </c>
      <c r="H3" t="s">
        <v>15</v>
      </c>
      <c r="I3" t="s">
        <v>30</v>
      </c>
      <c r="K3" t="s">
        <v>28</v>
      </c>
      <c r="L3" t="s">
        <v>33</v>
      </c>
      <c r="M3" t="s">
        <v>34</v>
      </c>
      <c r="N3" t="s">
        <v>35</v>
      </c>
      <c r="O3" t="s">
        <v>36</v>
      </c>
    </row>
    <row r="4" spans="1:15">
      <c r="A4" t="s">
        <v>19</v>
      </c>
      <c r="B4">
        <v>2000</v>
      </c>
      <c r="D4">
        <v>1</v>
      </c>
      <c r="E4" s="5">
        <v>1250000</v>
      </c>
      <c r="F4" s="5">
        <f>0.2^3</f>
        <v>8.0000000000000019E-3</v>
      </c>
      <c r="G4">
        <f>B4</f>
        <v>2000</v>
      </c>
      <c r="H4">
        <f>(E4*F4)/($B$6*$B$3*G4)</f>
        <v>1.0000000000000004</v>
      </c>
      <c r="I4">
        <f>($B$6*$B$3*G4)/(F4^(1-$B$9))</f>
        <v>400</v>
      </c>
      <c r="K4" s="6">
        <f>$F$4</f>
        <v>8.0000000000000019E-3</v>
      </c>
      <c r="L4" s="3">
        <f>($B$6*$B$3*$B$4)/$K4</f>
        <v>1249999.9999999995</v>
      </c>
      <c r="O4" s="3">
        <f t="shared" ref="O4:O10" si="0">$I$7/$K4^$B$9</f>
        <v>1249999.9999999993</v>
      </c>
    </row>
    <row r="5" spans="1:15">
      <c r="A5" t="s">
        <v>20</v>
      </c>
      <c r="B5">
        <v>500</v>
      </c>
      <c r="D5">
        <v>2</v>
      </c>
      <c r="E5" s="9">
        <f>E4/8</f>
        <v>156250</v>
      </c>
      <c r="F5" s="5">
        <f>0.4^3</f>
        <v>6.4000000000000015E-2</v>
      </c>
      <c r="G5">
        <f>G4</f>
        <v>2000</v>
      </c>
      <c r="H5">
        <f>(E5*F5)/($B$6*$B$3*G5)</f>
        <v>1.0000000000000004</v>
      </c>
      <c r="I5">
        <f>($B$6*$B$3*G5)/(F5^(1-$B$9))</f>
        <v>1599.9999999999995</v>
      </c>
      <c r="K5" s="6">
        <f>K4+$B$11</f>
        <v>1.6000000000000004E-2</v>
      </c>
      <c r="L5" s="3">
        <f t="shared" ref="L5:L11" si="1">($B$6*$B$3*$B$4)/$K5</f>
        <v>624999.99999999977</v>
      </c>
      <c r="O5" s="3">
        <f t="shared" si="0"/>
        <v>393725.32809214748</v>
      </c>
    </row>
    <row r="6" spans="1:15">
      <c r="A6" t="s">
        <v>21</v>
      </c>
      <c r="B6">
        <f>5/B3</f>
        <v>0.6013952369497233</v>
      </c>
      <c r="D6">
        <v>3</v>
      </c>
      <c r="E6" s="7">
        <f>E5/32</f>
        <v>4882.8125</v>
      </c>
      <c r="F6">
        <f>8*F5</f>
        <v>0.51200000000000012</v>
      </c>
      <c r="G6">
        <f>B5</f>
        <v>500</v>
      </c>
      <c r="H6">
        <f>(E6*F6)/($B$6*$B$3*G6)</f>
        <v>1.0000000000000004</v>
      </c>
      <c r="I6">
        <f>($B$6*$B$3*G6)/(F6^(1-$B$9))</f>
        <v>1599.9999999999998</v>
      </c>
      <c r="K6" s="6">
        <f t="shared" ref="K6:K67" si="2">K5+$B$11</f>
        <v>2.4000000000000007E-2</v>
      </c>
      <c r="L6" s="3">
        <f t="shared" si="1"/>
        <v>416666.66666666645</v>
      </c>
      <c r="O6" s="3">
        <f t="shared" si="0"/>
        <v>200312.44032047316</v>
      </c>
    </row>
    <row r="7" spans="1:15">
      <c r="A7" t="s">
        <v>23</v>
      </c>
      <c r="B7">
        <f>(5/2)*B3</f>
        <v>20.785</v>
      </c>
      <c r="D7">
        <v>4</v>
      </c>
      <c r="E7" s="8">
        <f>8*E6</f>
        <v>39062.5</v>
      </c>
      <c r="F7">
        <f>1*F5</f>
        <v>6.4000000000000015E-2</v>
      </c>
      <c r="G7">
        <f>G6</f>
        <v>500</v>
      </c>
      <c r="H7">
        <f>(E7*F7)/($B$6*$B$3*G7)</f>
        <v>1.0000000000000004</v>
      </c>
      <c r="I7">
        <f>($B$6*$B$3*G7)/(F7^(1-$B$9))</f>
        <v>399.99999999999989</v>
      </c>
      <c r="K7" s="6">
        <f t="shared" si="2"/>
        <v>3.2000000000000008E-2</v>
      </c>
      <c r="L7" s="3">
        <f t="shared" si="1"/>
        <v>312499.99999999988</v>
      </c>
      <c r="O7" s="3">
        <f t="shared" si="0"/>
        <v>124015.70718501553</v>
      </c>
    </row>
    <row r="8" spans="1:15">
      <c r="A8" t="s">
        <v>24</v>
      </c>
      <c r="B8">
        <f>(3/2)*B3</f>
        <v>12.471</v>
      </c>
      <c r="K8" s="6">
        <f t="shared" si="2"/>
        <v>4.0000000000000008E-2</v>
      </c>
      <c r="L8" s="3">
        <f t="shared" si="1"/>
        <v>249999.99999999991</v>
      </c>
      <c r="O8" s="3">
        <f t="shared" si="0"/>
        <v>85498.797333834809</v>
      </c>
    </row>
    <row r="9" spans="1:15">
      <c r="A9" s="4" t="s">
        <v>25</v>
      </c>
      <c r="B9">
        <f>B7/B8</f>
        <v>1.6666666666666667</v>
      </c>
      <c r="E9" s="10"/>
      <c r="F9" s="10"/>
      <c r="G9" s="10"/>
      <c r="H9" s="11" t="s">
        <v>32</v>
      </c>
      <c r="I9" s="10"/>
      <c r="K9" s="6">
        <f t="shared" si="2"/>
        <v>4.8000000000000008E-2</v>
      </c>
      <c r="L9" s="3">
        <f t="shared" si="1"/>
        <v>208333.33333333326</v>
      </c>
      <c r="O9" s="3">
        <f t="shared" si="0"/>
        <v>63094.465028893763</v>
      </c>
    </row>
    <row r="10" spans="1:15">
      <c r="D10" t="s">
        <v>26</v>
      </c>
      <c r="E10" t="s">
        <v>27</v>
      </c>
      <c r="F10" t="s">
        <v>28</v>
      </c>
      <c r="G10" t="s">
        <v>29</v>
      </c>
      <c r="H10" t="s">
        <v>15</v>
      </c>
      <c r="I10" t="s">
        <v>30</v>
      </c>
      <c r="K10" s="6">
        <f t="shared" si="2"/>
        <v>5.6000000000000008E-2</v>
      </c>
      <c r="L10" s="3">
        <f t="shared" si="1"/>
        <v>178571.42857142852</v>
      </c>
      <c r="O10" s="3">
        <f t="shared" si="0"/>
        <v>48799.264866642559</v>
      </c>
    </row>
    <row r="11" spans="1:15">
      <c r="A11" s="4" t="s">
        <v>37</v>
      </c>
      <c r="B11">
        <f>F4</f>
        <v>8.0000000000000019E-3</v>
      </c>
      <c r="D11">
        <v>1</v>
      </c>
      <c r="E11">
        <v>1250000</v>
      </c>
      <c r="F11">
        <v>8.0000000000000019E-3</v>
      </c>
      <c r="G11">
        <v>2000</v>
      </c>
      <c r="H11">
        <f>(E11*F11)/($B$6*$B$3*G11)</f>
        <v>1.0000000000000004</v>
      </c>
      <c r="I11">
        <f>($B$6*$B$3*G11)/(F11^(1-$B$9))</f>
        <v>400</v>
      </c>
      <c r="K11" s="6">
        <f t="shared" si="2"/>
        <v>6.4000000000000015E-2</v>
      </c>
      <c r="L11" s="3">
        <f t="shared" si="1"/>
        <v>156249.99999999994</v>
      </c>
      <c r="M11" s="3">
        <f>$I$5/$K11^$B$9</f>
        <v>156249.99999999983</v>
      </c>
      <c r="N11" s="3">
        <f>($B$6*$B$3*$B$5)/$K11</f>
        <v>39062.499999999985</v>
      </c>
      <c r="O11" s="3">
        <f>$I$7/$K11^$B$9</f>
        <v>39062.499999999956</v>
      </c>
    </row>
    <row r="12" spans="1:15">
      <c r="D12">
        <v>2</v>
      </c>
      <c r="E12">
        <v>156250</v>
      </c>
      <c r="F12">
        <v>6.4000000000000015E-2</v>
      </c>
      <c r="G12">
        <v>2000</v>
      </c>
      <c r="H12">
        <f>(E12*F12)/($B$6*$B$3*G12)</f>
        <v>1.0000000000000004</v>
      </c>
      <c r="I12">
        <f>($B$6*$B$3*G12)/(F12^(1-$B$9))</f>
        <v>1599.9999999999995</v>
      </c>
      <c r="K12" s="6">
        <f t="shared" si="2"/>
        <v>7.2000000000000022E-2</v>
      </c>
      <c r="M12" s="3">
        <f t="shared" ref="M12:M67" si="3">$I$5/$K12^$B$9</f>
        <v>128400.23599085819</v>
      </c>
      <c r="N12" s="3">
        <f t="shared" ref="N12:N67" si="4">($B$6*$B$3*$B$5)/$K12</f>
        <v>34722.222222222204</v>
      </c>
    </row>
    <row r="13" spans="1:15">
      <c r="D13">
        <v>3</v>
      </c>
      <c r="E13">
        <v>4883</v>
      </c>
      <c r="F13">
        <v>0.51200000000000012</v>
      </c>
      <c r="G13">
        <v>500</v>
      </c>
      <c r="H13">
        <f>(E13*F13)/($B$6*$B$3*G13)</f>
        <v>1.0000384000000004</v>
      </c>
      <c r="I13">
        <f>($B$6*$B$3*G13)/(F13^(1-$B$9))</f>
        <v>1599.9999999999998</v>
      </c>
      <c r="K13" s="6">
        <f t="shared" si="2"/>
        <v>8.0000000000000029E-2</v>
      </c>
      <c r="M13" s="3">
        <f t="shared" si="3"/>
        <v>107721.7345015941</v>
      </c>
      <c r="N13" s="3">
        <f t="shared" si="4"/>
        <v>31249.999999999982</v>
      </c>
    </row>
    <row r="14" spans="1:15">
      <c r="D14">
        <v>4</v>
      </c>
      <c r="E14">
        <v>39063</v>
      </c>
      <c r="F14">
        <v>6.4000000000000015E-2</v>
      </c>
      <c r="G14">
        <v>500</v>
      </c>
      <c r="H14">
        <f>(E14*F14)/($B$6*$B$3*G14)</f>
        <v>1.0000128000000004</v>
      </c>
      <c r="I14">
        <f>($B$6*$B$3*G14)/(F14^(1-$B$9))</f>
        <v>399.99999999999989</v>
      </c>
      <c r="K14" s="6">
        <f t="shared" si="2"/>
        <v>8.8000000000000037E-2</v>
      </c>
      <c r="M14" s="3">
        <f t="shared" si="3"/>
        <v>91900.003742533576</v>
      </c>
      <c r="N14" s="3">
        <f t="shared" si="4"/>
        <v>28409.090909090894</v>
      </c>
    </row>
    <row r="15" spans="1:15">
      <c r="K15" s="6">
        <f t="shared" si="2"/>
        <v>9.6000000000000044E-2</v>
      </c>
      <c r="M15" s="3">
        <f t="shared" si="3"/>
        <v>79494.04462175908</v>
      </c>
      <c r="N15" s="3">
        <f t="shared" si="4"/>
        <v>26041.66666666665</v>
      </c>
    </row>
    <row r="16" spans="1:15">
      <c r="K16" s="6">
        <f t="shared" si="2"/>
        <v>0.10400000000000005</v>
      </c>
      <c r="M16" s="3">
        <f t="shared" si="3"/>
        <v>69566.115021324134</v>
      </c>
      <c r="N16" s="3">
        <f t="shared" si="4"/>
        <v>24038.461538461521</v>
      </c>
    </row>
    <row r="17" spans="11:14">
      <c r="K17" s="6">
        <f t="shared" si="2"/>
        <v>0.11200000000000006</v>
      </c>
      <c r="M17" s="3">
        <f t="shared" si="3"/>
        <v>61483.221024878228</v>
      </c>
      <c r="N17" s="3">
        <f t="shared" si="4"/>
        <v>22321.428571428554</v>
      </c>
    </row>
    <row r="18" spans="11:14">
      <c r="K18" s="6">
        <f t="shared" si="2"/>
        <v>0.12000000000000006</v>
      </c>
      <c r="M18" s="3">
        <f t="shared" si="3"/>
        <v>54804.712762899282</v>
      </c>
      <c r="N18" s="3">
        <f t="shared" si="4"/>
        <v>20833.333333333318</v>
      </c>
    </row>
    <row r="19" spans="11:14">
      <c r="K19" s="6">
        <f t="shared" si="2"/>
        <v>0.12800000000000006</v>
      </c>
      <c r="M19" s="3">
        <f t="shared" si="3"/>
        <v>49215.666011518435</v>
      </c>
      <c r="N19" s="3">
        <f t="shared" si="4"/>
        <v>19531.249999999989</v>
      </c>
    </row>
    <row r="20" spans="11:14">
      <c r="K20" s="6">
        <f t="shared" si="2"/>
        <v>0.13600000000000007</v>
      </c>
      <c r="M20" s="3">
        <f t="shared" si="3"/>
        <v>44485.84066882755</v>
      </c>
      <c r="N20" s="3">
        <f t="shared" si="4"/>
        <v>18382.352941176458</v>
      </c>
    </row>
    <row r="21" spans="11:14">
      <c r="K21" s="6">
        <f t="shared" si="2"/>
        <v>0.14400000000000007</v>
      </c>
      <c r="M21" s="3">
        <f t="shared" si="3"/>
        <v>40443.540034087862</v>
      </c>
      <c r="N21" s="3">
        <f t="shared" si="4"/>
        <v>17361.111111111099</v>
      </c>
    </row>
    <row r="22" spans="11:14">
      <c r="K22" s="6">
        <f t="shared" si="2"/>
        <v>0.15200000000000008</v>
      </c>
      <c r="M22" s="3">
        <f t="shared" si="3"/>
        <v>36958.471588946566</v>
      </c>
      <c r="N22" s="3">
        <f t="shared" si="4"/>
        <v>16447.368421052619</v>
      </c>
    </row>
    <row r="23" spans="11:14">
      <c r="K23" s="6">
        <f t="shared" si="2"/>
        <v>0.16000000000000009</v>
      </c>
      <c r="M23" s="3">
        <f t="shared" si="3"/>
        <v>33930.220207436287</v>
      </c>
      <c r="N23" s="3">
        <f t="shared" si="4"/>
        <v>15624.999999999989</v>
      </c>
    </row>
    <row r="24" spans="11:14">
      <c r="K24" s="6">
        <f t="shared" si="2"/>
        <v>0.16800000000000009</v>
      </c>
      <c r="M24" s="3">
        <f t="shared" si="3"/>
        <v>31280.319460103376</v>
      </c>
      <c r="N24" s="3">
        <f t="shared" si="4"/>
        <v>14880.952380952371</v>
      </c>
    </row>
    <row r="25" spans="11:14">
      <c r="K25" s="6">
        <f t="shared" si="2"/>
        <v>0.1760000000000001</v>
      </c>
      <c r="M25" s="3">
        <f t="shared" si="3"/>
        <v>28946.687300158934</v>
      </c>
      <c r="N25" s="3">
        <f t="shared" si="4"/>
        <v>14204.545454545443</v>
      </c>
    </row>
    <row r="26" spans="11:14">
      <c r="K26" s="6">
        <f t="shared" si="2"/>
        <v>0.18400000000000011</v>
      </c>
      <c r="M26" s="3">
        <f t="shared" si="3"/>
        <v>26879.650093114964</v>
      </c>
      <c r="N26" s="3">
        <f t="shared" si="4"/>
        <v>13586.956521739119</v>
      </c>
    </row>
    <row r="27" spans="11:14">
      <c r="K27" s="6">
        <f t="shared" si="2"/>
        <v>0.19200000000000012</v>
      </c>
      <c r="M27" s="3">
        <f t="shared" si="3"/>
        <v>25039.055040059146</v>
      </c>
      <c r="N27" s="3">
        <f t="shared" si="4"/>
        <v>13020.833333333323</v>
      </c>
    </row>
    <row r="28" spans="11:14">
      <c r="K28" s="6">
        <f t="shared" si="2"/>
        <v>0.20000000000000012</v>
      </c>
      <c r="M28" s="3">
        <f t="shared" si="3"/>
        <v>23392.141905702902</v>
      </c>
      <c r="N28" s="3">
        <f t="shared" si="4"/>
        <v>12499.999999999991</v>
      </c>
    </row>
    <row r="29" spans="11:14">
      <c r="K29" s="6">
        <f t="shared" si="2"/>
        <v>0.20800000000000013</v>
      </c>
      <c r="M29" s="3">
        <f t="shared" si="3"/>
        <v>21911.953168693541</v>
      </c>
      <c r="N29" s="3">
        <f t="shared" si="4"/>
        <v>12019.23076923076</v>
      </c>
    </row>
    <row r="30" spans="11:14">
      <c r="K30" s="6">
        <f t="shared" si="2"/>
        <v>0.21600000000000014</v>
      </c>
      <c r="M30" s="3">
        <f t="shared" si="3"/>
        <v>20576.131687242774</v>
      </c>
      <c r="N30" s="3">
        <f t="shared" si="4"/>
        <v>11574.074074074064</v>
      </c>
    </row>
    <row r="31" spans="11:14">
      <c r="K31" s="6">
        <f t="shared" si="2"/>
        <v>0.22400000000000014</v>
      </c>
      <c r="M31" s="3">
        <f t="shared" si="3"/>
        <v>19366.001096145781</v>
      </c>
      <c r="N31" s="3">
        <f t="shared" si="4"/>
        <v>11160.714285714277</v>
      </c>
    </row>
    <row r="32" spans="11:14">
      <c r="K32" s="6">
        <f t="shared" si="2"/>
        <v>0.23200000000000015</v>
      </c>
      <c r="M32" s="3">
        <f t="shared" si="3"/>
        <v>18265.855087311793</v>
      </c>
      <c r="N32" s="3">
        <f t="shared" si="4"/>
        <v>10775.862068965509</v>
      </c>
    </row>
    <row r="33" spans="11:14">
      <c r="K33" s="6">
        <f t="shared" si="2"/>
        <v>0.24000000000000016</v>
      </c>
      <c r="M33" s="3">
        <f t="shared" si="3"/>
        <v>17262.402810854754</v>
      </c>
      <c r="N33" s="3">
        <f t="shared" si="4"/>
        <v>10416.666666666659</v>
      </c>
    </row>
    <row r="34" spans="11:14">
      <c r="K34" s="6">
        <f t="shared" si="2"/>
        <v>0.24800000000000016</v>
      </c>
      <c r="M34" s="3">
        <f t="shared" si="3"/>
        <v>16344.332218477566</v>
      </c>
      <c r="N34" s="3">
        <f t="shared" si="4"/>
        <v>10080.645161290315</v>
      </c>
    </row>
    <row r="35" spans="11:14">
      <c r="K35" s="6">
        <f t="shared" si="2"/>
        <v>0.25600000000000017</v>
      </c>
      <c r="M35" s="3">
        <f t="shared" si="3"/>
        <v>15501.963398126927</v>
      </c>
      <c r="N35" s="3">
        <f t="shared" si="4"/>
        <v>9765.6249999999909</v>
      </c>
    </row>
    <row r="36" spans="11:14">
      <c r="K36" s="6">
        <f t="shared" si="2"/>
        <v>0.26400000000000018</v>
      </c>
      <c r="M36" s="3">
        <f t="shared" si="3"/>
        <v>14726.971212102029</v>
      </c>
      <c r="N36" s="3">
        <f t="shared" si="4"/>
        <v>9469.6969696969609</v>
      </c>
    </row>
    <row r="37" spans="11:14">
      <c r="K37" s="6">
        <f t="shared" si="2"/>
        <v>0.27200000000000019</v>
      </c>
      <c r="M37" s="3">
        <f t="shared" si="3"/>
        <v>14012.161770231311</v>
      </c>
      <c r="N37" s="3">
        <f t="shared" si="4"/>
        <v>9191.1764705882269</v>
      </c>
    </row>
    <row r="38" spans="11:14">
      <c r="K38" s="6">
        <f t="shared" si="2"/>
        <v>0.28000000000000019</v>
      </c>
      <c r="M38" s="3">
        <f t="shared" si="3"/>
        <v>13351.291061994227</v>
      </c>
      <c r="N38" s="3">
        <f t="shared" si="4"/>
        <v>8928.5714285714203</v>
      </c>
    </row>
    <row r="39" spans="11:14">
      <c r="K39" s="6">
        <f t="shared" si="2"/>
        <v>0.2880000000000002</v>
      </c>
      <c r="M39" s="3">
        <f t="shared" si="3"/>
        <v>12738.916855303329</v>
      </c>
      <c r="N39" s="3">
        <f t="shared" si="4"/>
        <v>8680.5555555555475</v>
      </c>
    </row>
    <row r="40" spans="11:14">
      <c r="K40" s="6">
        <f t="shared" si="2"/>
        <v>0.29600000000000021</v>
      </c>
      <c r="M40" s="3">
        <f t="shared" si="3"/>
        <v>12170.277033038526</v>
      </c>
      <c r="N40" s="3">
        <f t="shared" si="4"/>
        <v>8445.9459459459376</v>
      </c>
    </row>
    <row r="41" spans="11:14">
      <c r="K41" s="6">
        <f t="shared" si="2"/>
        <v>0.30400000000000021</v>
      </c>
      <c r="M41" s="3">
        <f t="shared" si="3"/>
        <v>11641.189081713848</v>
      </c>
      <c r="N41" s="3">
        <f t="shared" si="4"/>
        <v>8223.6842105263077</v>
      </c>
    </row>
    <row r="42" spans="11:14">
      <c r="K42" s="6">
        <f t="shared" si="2"/>
        <v>0.31200000000000022</v>
      </c>
      <c r="M42" s="3">
        <f t="shared" si="3"/>
        <v>11147.966610828933</v>
      </c>
      <c r="N42" s="3">
        <f t="shared" si="4"/>
        <v>8012.8205128205054</v>
      </c>
    </row>
    <row r="43" spans="11:14">
      <c r="K43" s="6">
        <f t="shared" si="2"/>
        <v>0.32000000000000023</v>
      </c>
      <c r="M43" s="3">
        <f t="shared" si="3"/>
        <v>10687.349666729342</v>
      </c>
      <c r="N43" s="3">
        <f t="shared" si="4"/>
        <v>7812.4999999999927</v>
      </c>
    </row>
    <row r="44" spans="11:14">
      <c r="K44" s="6">
        <f t="shared" si="2"/>
        <v>0.32800000000000024</v>
      </c>
      <c r="M44" s="3">
        <f t="shared" si="3"/>
        <v>10256.446283113402</v>
      </c>
      <c r="N44" s="3">
        <f t="shared" si="4"/>
        <v>7621.9512195121879</v>
      </c>
    </row>
    <row r="45" spans="11:14">
      <c r="K45" s="6">
        <f t="shared" si="2"/>
        <v>0.33600000000000024</v>
      </c>
      <c r="M45" s="3">
        <f t="shared" si="3"/>
        <v>9852.6832338051136</v>
      </c>
      <c r="N45" s="3">
        <f t="shared" si="4"/>
        <v>7440.4761904761835</v>
      </c>
    </row>
    <row r="46" spans="11:14">
      <c r="K46" s="6">
        <f t="shared" si="2"/>
        <v>0.34400000000000025</v>
      </c>
      <c r="M46" s="3">
        <f t="shared" si="3"/>
        <v>9473.7643601587861</v>
      </c>
      <c r="N46" s="3">
        <f t="shared" si="4"/>
        <v>7267.44186046511</v>
      </c>
    </row>
    <row r="47" spans="11:14">
      <c r="K47" s="6">
        <f t="shared" si="2"/>
        <v>0.35200000000000026</v>
      </c>
      <c r="M47" s="3">
        <f t="shared" si="3"/>
        <v>9117.6351635487026</v>
      </c>
      <c r="N47" s="3">
        <f t="shared" si="4"/>
        <v>7102.2727272727207</v>
      </c>
    </row>
    <row r="48" spans="11:14">
      <c r="K48" s="6">
        <f t="shared" si="2"/>
        <v>0.36000000000000026</v>
      </c>
      <c r="M48" s="3">
        <f t="shared" si="3"/>
        <v>8782.452603679154</v>
      </c>
      <c r="N48" s="3">
        <f t="shared" si="4"/>
        <v>6944.444444444438</v>
      </c>
    </row>
    <row r="49" spans="11:14">
      <c r="K49" s="6">
        <f t="shared" si="2"/>
        <v>0.36800000000000027</v>
      </c>
      <c r="M49" s="3">
        <f t="shared" si="3"/>
        <v>8466.559241531053</v>
      </c>
      <c r="N49" s="3">
        <f t="shared" si="4"/>
        <v>6793.4782608695587</v>
      </c>
    </row>
    <row r="50" spans="11:14">
      <c r="K50" s="6">
        <f t="shared" si="2"/>
        <v>0.37600000000000028</v>
      </c>
      <c r="M50" s="3">
        <f t="shared" si="3"/>
        <v>8168.4610234012889</v>
      </c>
      <c r="N50" s="3">
        <f t="shared" si="4"/>
        <v>6648.9361702127599</v>
      </c>
    </row>
    <row r="51" spans="11:14">
      <c r="K51" s="6">
        <f t="shared" si="2"/>
        <v>0.38400000000000029</v>
      </c>
      <c r="M51" s="3">
        <f t="shared" si="3"/>
        <v>7886.8081286117058</v>
      </c>
      <c r="N51" s="3">
        <f t="shared" si="4"/>
        <v>6510.4166666666606</v>
      </c>
    </row>
    <row r="52" spans="11:14">
      <c r="K52" s="6">
        <f t="shared" si="2"/>
        <v>0.39200000000000029</v>
      </c>
      <c r="M52" s="3">
        <f t="shared" si="3"/>
        <v>7620.3784048791467</v>
      </c>
      <c r="N52" s="3">
        <f t="shared" si="4"/>
        <v>6377.5510204081575</v>
      </c>
    </row>
    <row r="53" spans="11:14">
      <c r="K53" s="6">
        <f t="shared" si="2"/>
        <v>0.4000000000000003</v>
      </c>
      <c r="M53" s="3">
        <f t="shared" si="3"/>
        <v>7368.0629972807628</v>
      </c>
      <c r="N53" s="3">
        <f t="shared" si="4"/>
        <v>6249.9999999999945</v>
      </c>
    </row>
    <row r="54" spans="11:14">
      <c r="K54" s="6">
        <f t="shared" si="2"/>
        <v>0.40800000000000031</v>
      </c>
      <c r="M54" s="3">
        <f t="shared" si="3"/>
        <v>7128.8538432644818</v>
      </c>
      <c r="N54" s="3">
        <f t="shared" si="4"/>
        <v>6127.450980392151</v>
      </c>
    </row>
    <row r="55" spans="11:14">
      <c r="K55" s="6">
        <f t="shared" si="2"/>
        <v>0.41600000000000031</v>
      </c>
      <c r="M55" s="3">
        <f t="shared" si="3"/>
        <v>6901.8327603869138</v>
      </c>
      <c r="N55" s="3">
        <f t="shared" si="4"/>
        <v>6009.6153846153793</v>
      </c>
    </row>
    <row r="56" spans="11:14">
      <c r="K56" s="6">
        <f t="shared" si="2"/>
        <v>0.42400000000000032</v>
      </c>
      <c r="M56" s="3">
        <f t="shared" si="3"/>
        <v>6686.1618978659071</v>
      </c>
      <c r="N56" s="3">
        <f t="shared" si="4"/>
        <v>5896.2264150943338</v>
      </c>
    </row>
    <row r="57" spans="11:14">
      <c r="K57" s="6">
        <f t="shared" si="2"/>
        <v>0.43200000000000033</v>
      </c>
      <c r="M57" s="3">
        <f t="shared" si="3"/>
        <v>6481.075359541519</v>
      </c>
      <c r="N57" s="3">
        <f t="shared" si="4"/>
        <v>5787.037037037032</v>
      </c>
    </row>
    <row r="58" spans="11:14">
      <c r="K58" s="6">
        <f t="shared" si="2"/>
        <v>0.44000000000000034</v>
      </c>
      <c r="M58" s="3">
        <f t="shared" si="3"/>
        <v>6285.8718359692321</v>
      </c>
      <c r="N58" s="3">
        <f t="shared" si="4"/>
        <v>5681.8181818181765</v>
      </c>
    </row>
    <row r="59" spans="11:14">
      <c r="K59" s="6">
        <f t="shared" si="2"/>
        <v>0.44800000000000034</v>
      </c>
      <c r="M59" s="3">
        <f t="shared" si="3"/>
        <v>6099.9081083303126</v>
      </c>
      <c r="N59" s="3">
        <f t="shared" si="4"/>
        <v>5580.3571428571377</v>
      </c>
    </row>
    <row r="60" spans="11:14">
      <c r="K60" s="6">
        <f t="shared" si="2"/>
        <v>0.45600000000000035</v>
      </c>
      <c r="M60" s="3">
        <f t="shared" si="3"/>
        <v>5922.5933075974135</v>
      </c>
      <c r="N60" s="3">
        <f t="shared" si="4"/>
        <v>5482.4561403508724</v>
      </c>
    </row>
    <row r="61" spans="11:14">
      <c r="K61" s="6">
        <f t="shared" si="2"/>
        <v>0.46400000000000036</v>
      </c>
      <c r="M61" s="3">
        <f t="shared" si="3"/>
        <v>5753.3838297083694</v>
      </c>
      <c r="N61" s="3">
        <f t="shared" si="4"/>
        <v>5387.9310344827536</v>
      </c>
    </row>
    <row r="62" spans="11:14">
      <c r="K62" s="6">
        <f t="shared" si="2"/>
        <v>0.47200000000000036</v>
      </c>
      <c r="M62" s="3">
        <f t="shared" si="3"/>
        <v>5591.7788219954818</v>
      </c>
      <c r="N62" s="3">
        <f t="shared" si="4"/>
        <v>5296.6101694915205</v>
      </c>
    </row>
    <row r="63" spans="11:14">
      <c r="K63" s="6">
        <f t="shared" si="2"/>
        <v>0.48000000000000037</v>
      </c>
      <c r="M63" s="3">
        <f t="shared" si="3"/>
        <v>5437.3161682900791</v>
      </c>
      <c r="N63" s="3">
        <f t="shared" si="4"/>
        <v>5208.3333333333285</v>
      </c>
    </row>
    <row r="64" spans="11:14">
      <c r="K64" s="6">
        <f t="shared" si="2"/>
        <v>0.48800000000000038</v>
      </c>
      <c r="M64" s="3">
        <f t="shared" si="3"/>
        <v>5289.568910376468</v>
      </c>
      <c r="N64" s="3">
        <f t="shared" si="4"/>
        <v>5122.9508196721263</v>
      </c>
    </row>
    <row r="65" spans="11:14">
      <c r="K65" s="6">
        <f t="shared" si="2"/>
        <v>0.49600000000000039</v>
      </c>
      <c r="M65" s="3">
        <f t="shared" si="3"/>
        <v>5148.142052133715</v>
      </c>
      <c r="N65" s="3">
        <f t="shared" si="4"/>
        <v>5040.3225806451564</v>
      </c>
    </row>
    <row r="66" spans="11:14">
      <c r="K66" s="6">
        <f t="shared" si="2"/>
        <v>0.50400000000000034</v>
      </c>
      <c r="M66" s="3">
        <f t="shared" si="3"/>
        <v>5012.6697000458371</v>
      </c>
      <c r="N66" s="3">
        <f t="shared" si="4"/>
        <v>4960.3174603174557</v>
      </c>
    </row>
    <row r="67" spans="11:14">
      <c r="K67" s="6">
        <f t="shared" si="2"/>
        <v>0.51200000000000034</v>
      </c>
      <c r="M67" s="3">
        <f t="shared" si="3"/>
        <v>4882.8124999999936</v>
      </c>
      <c r="N67" s="3">
        <f t="shared" si="4"/>
        <v>4882.8124999999955</v>
      </c>
    </row>
  </sheetData>
  <mergeCells count="1">
    <mergeCell ref="L2:O2"/>
  </mergeCells>
  <pageMargins left="0.7" right="0.7" top="0.75" bottom="0.75" header="0.3" footer="0.3"/>
  <pageSetup orientation="portrait" r:id="rId1"/>
  <ignoredErrors>
    <ignoredError sqref="G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S18" sqref="S18"/>
    </sheetView>
  </sheetViews>
  <sheetFormatPr defaultRowHeight="15"/>
  <cols>
    <col min="1" max="2" width="7.140625" customWidth="1"/>
    <col min="3" max="3" width="1.5703125" customWidth="1"/>
    <col min="4" max="6" width="7.140625" customWidth="1"/>
    <col min="7" max="7" width="1.42578125" customWidth="1"/>
    <col min="8" max="9" width="7.140625" customWidth="1"/>
    <col min="10" max="10" width="1.42578125" customWidth="1"/>
    <col min="11" max="12" width="7.140625" customWidth="1"/>
    <col min="13" max="13" width="1.42578125" customWidth="1"/>
  </cols>
  <sheetData>
    <row r="1" spans="1:15">
      <c r="A1" t="s">
        <v>60</v>
      </c>
      <c r="B1" t="s">
        <v>61</v>
      </c>
    </row>
    <row r="2" spans="1:15">
      <c r="A2" t="s">
        <v>58</v>
      </c>
      <c r="B2" t="s">
        <v>59</v>
      </c>
    </row>
    <row r="3" spans="1:15">
      <c r="A3" t="s">
        <v>40</v>
      </c>
      <c r="B3" t="s">
        <v>41</v>
      </c>
      <c r="E3" s="12" t="s">
        <v>44</v>
      </c>
      <c r="F3">
        <f>SUM(A10:A20)</f>
        <v>55</v>
      </c>
      <c r="H3" s="12" t="s">
        <v>50</v>
      </c>
      <c r="I3">
        <f>SUM(D10:D20)</f>
        <v>385</v>
      </c>
      <c r="K3" s="12" t="s">
        <v>55</v>
      </c>
      <c r="L3">
        <f>F3^2</f>
        <v>3025</v>
      </c>
    </row>
    <row r="4" spans="1:15">
      <c r="A4" t="s">
        <v>42</v>
      </c>
      <c r="B4">
        <v>5</v>
      </c>
      <c r="E4" s="12" t="s">
        <v>45</v>
      </c>
      <c r="F4">
        <f>SUM(B10:B20)</f>
        <v>82.5</v>
      </c>
      <c r="H4" s="12" t="s">
        <v>46</v>
      </c>
      <c r="I4">
        <f>SUM(E10:E20)</f>
        <v>467.5</v>
      </c>
      <c r="K4" s="12" t="s">
        <v>56</v>
      </c>
      <c r="L4">
        <f>F3*F4</f>
        <v>4537.5</v>
      </c>
      <c r="N4" t="s">
        <v>42</v>
      </c>
      <c r="O4">
        <f>(F4*I3-F3*I4)/(F5*I3-L3)</f>
        <v>5</v>
      </c>
    </row>
    <row r="5" spans="1:15">
      <c r="A5" t="s">
        <v>43</v>
      </c>
      <c r="B5">
        <v>0.5</v>
      </c>
      <c r="E5" t="s">
        <v>53</v>
      </c>
      <c r="F5">
        <f>COUNT(A10:A20)</f>
        <v>11</v>
      </c>
      <c r="H5" s="12" t="s">
        <v>51</v>
      </c>
      <c r="I5">
        <f>SUM(F10:F20)</f>
        <v>646.25</v>
      </c>
      <c r="K5" s="12" t="s">
        <v>57</v>
      </c>
      <c r="L5">
        <f>F4^2</f>
        <v>6806.25</v>
      </c>
      <c r="N5" t="s">
        <v>43</v>
      </c>
      <c r="O5">
        <f>(F5*I4-F3*F4)/(F5*I3-L3)</f>
        <v>0.5</v>
      </c>
    </row>
    <row r="6" spans="1:15">
      <c r="E6" t="s">
        <v>52</v>
      </c>
      <c r="F6">
        <f>F3/$F$5</f>
        <v>5</v>
      </c>
      <c r="N6" t="s">
        <v>2</v>
      </c>
      <c r="O6">
        <f>(F5*I4-F3*F4)/SQRT((F5*I3-L3)*(F5*I5-L5))</f>
        <v>1</v>
      </c>
    </row>
    <row r="7" spans="1:15">
      <c r="E7" t="s">
        <v>54</v>
      </c>
      <c r="F7">
        <f>F4/$F$5</f>
        <v>7.5</v>
      </c>
    </row>
    <row r="9" spans="1:15">
      <c r="A9" t="s">
        <v>38</v>
      </c>
      <c r="B9" t="s">
        <v>39</v>
      </c>
      <c r="D9" t="s">
        <v>47</v>
      </c>
      <c r="E9" t="s">
        <v>48</v>
      </c>
      <c r="F9" t="s">
        <v>49</v>
      </c>
    </row>
    <row r="10" spans="1:15">
      <c r="A10">
        <v>0</v>
      </c>
      <c r="B10">
        <f>$B$4+$B$5*A10</f>
        <v>5</v>
      </c>
      <c r="D10">
        <f>A10^2</f>
        <v>0</v>
      </c>
      <c r="E10">
        <f>A10*B10</f>
        <v>0</v>
      </c>
      <c r="F10">
        <f>B10^2</f>
        <v>25</v>
      </c>
    </row>
    <row r="11" spans="1:15">
      <c r="A11">
        <v>1</v>
      </c>
      <c r="B11">
        <f t="shared" ref="B11:B20" si="0">$B$4+$B$5*A11</f>
        <v>5.5</v>
      </c>
      <c r="D11">
        <f t="shared" ref="D11:D20" si="1">A11^2</f>
        <v>1</v>
      </c>
      <c r="E11">
        <f t="shared" ref="E11:E20" si="2">A11*B11</f>
        <v>5.5</v>
      </c>
      <c r="F11">
        <f t="shared" ref="F11:F20" si="3">B11^2</f>
        <v>30.25</v>
      </c>
    </row>
    <row r="12" spans="1:15">
      <c r="A12">
        <v>2</v>
      </c>
      <c r="B12">
        <f t="shared" si="0"/>
        <v>6</v>
      </c>
      <c r="D12">
        <f t="shared" si="1"/>
        <v>4</v>
      </c>
      <c r="E12">
        <f t="shared" si="2"/>
        <v>12</v>
      </c>
      <c r="F12">
        <f t="shared" si="3"/>
        <v>36</v>
      </c>
    </row>
    <row r="13" spans="1:15">
      <c r="A13">
        <v>3</v>
      </c>
      <c r="B13">
        <f t="shared" si="0"/>
        <v>6.5</v>
      </c>
      <c r="D13">
        <f t="shared" si="1"/>
        <v>9</v>
      </c>
      <c r="E13">
        <f t="shared" si="2"/>
        <v>19.5</v>
      </c>
      <c r="F13">
        <f t="shared" si="3"/>
        <v>42.25</v>
      </c>
    </row>
    <row r="14" spans="1:15">
      <c r="A14">
        <v>4</v>
      </c>
      <c r="B14">
        <f t="shared" si="0"/>
        <v>7</v>
      </c>
      <c r="D14">
        <f t="shared" si="1"/>
        <v>16</v>
      </c>
      <c r="E14">
        <f t="shared" si="2"/>
        <v>28</v>
      </c>
      <c r="F14">
        <f t="shared" si="3"/>
        <v>49</v>
      </c>
    </row>
    <row r="15" spans="1:15">
      <c r="A15">
        <v>5</v>
      </c>
      <c r="B15">
        <f t="shared" si="0"/>
        <v>7.5</v>
      </c>
      <c r="D15">
        <f t="shared" si="1"/>
        <v>25</v>
      </c>
      <c r="E15">
        <f t="shared" si="2"/>
        <v>37.5</v>
      </c>
      <c r="F15">
        <f t="shared" si="3"/>
        <v>56.25</v>
      </c>
    </row>
    <row r="16" spans="1:15">
      <c r="A16">
        <v>6</v>
      </c>
      <c r="B16">
        <f t="shared" si="0"/>
        <v>8</v>
      </c>
      <c r="D16">
        <f t="shared" si="1"/>
        <v>36</v>
      </c>
      <c r="E16">
        <f t="shared" si="2"/>
        <v>48</v>
      </c>
      <c r="F16">
        <f t="shared" si="3"/>
        <v>64</v>
      </c>
    </row>
    <row r="17" spans="1:6">
      <c r="A17">
        <v>7</v>
      </c>
      <c r="B17">
        <f t="shared" si="0"/>
        <v>8.5</v>
      </c>
      <c r="D17">
        <f t="shared" si="1"/>
        <v>49</v>
      </c>
      <c r="E17">
        <f t="shared" si="2"/>
        <v>59.5</v>
      </c>
      <c r="F17">
        <f t="shared" si="3"/>
        <v>72.25</v>
      </c>
    </row>
    <row r="18" spans="1:6">
      <c r="A18">
        <v>8</v>
      </c>
      <c r="B18">
        <f t="shared" si="0"/>
        <v>9</v>
      </c>
      <c r="D18">
        <f t="shared" si="1"/>
        <v>64</v>
      </c>
      <c r="E18">
        <f t="shared" si="2"/>
        <v>72</v>
      </c>
      <c r="F18">
        <f t="shared" si="3"/>
        <v>81</v>
      </c>
    </row>
    <row r="19" spans="1:6">
      <c r="A19">
        <v>9</v>
      </c>
      <c r="B19">
        <f t="shared" si="0"/>
        <v>9.5</v>
      </c>
      <c r="D19">
        <f t="shared" si="1"/>
        <v>81</v>
      </c>
      <c r="E19">
        <f t="shared" si="2"/>
        <v>85.5</v>
      </c>
      <c r="F19">
        <f t="shared" si="3"/>
        <v>90.25</v>
      </c>
    </row>
    <row r="20" spans="1:6">
      <c r="A20">
        <v>10</v>
      </c>
      <c r="B20">
        <f t="shared" si="0"/>
        <v>10</v>
      </c>
      <c r="D20">
        <f t="shared" si="1"/>
        <v>100</v>
      </c>
      <c r="E20">
        <f t="shared" si="2"/>
        <v>100</v>
      </c>
      <c r="F20">
        <f t="shared" si="3"/>
        <v>100</v>
      </c>
    </row>
    <row r="22" spans="1:6">
      <c r="A22" t="s">
        <v>60</v>
      </c>
      <c r="B22" t="s">
        <v>62</v>
      </c>
    </row>
    <row r="23" spans="1:6">
      <c r="C23" s="1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D22" sqref="D22"/>
    </sheetView>
  </sheetViews>
  <sheetFormatPr defaultRowHeight="15"/>
  <sheetData>
    <row r="1" spans="1:5">
      <c r="A1" t="s">
        <v>42</v>
      </c>
      <c r="B1">
        <v>0.05</v>
      </c>
      <c r="E1" s="13" t="s">
        <v>68</v>
      </c>
    </row>
    <row r="2" spans="1:5">
      <c r="A2" t="s">
        <v>64</v>
      </c>
      <c r="B2">
        <v>1</v>
      </c>
    </row>
    <row r="3" spans="1:5">
      <c r="A3" t="s">
        <v>65</v>
      </c>
      <c r="B3">
        <v>5</v>
      </c>
    </row>
    <row r="4" spans="1:5">
      <c r="A4" t="s">
        <v>66</v>
      </c>
      <c r="B4">
        <v>8</v>
      </c>
    </row>
    <row r="5" spans="1:5">
      <c r="A5" t="s">
        <v>38</v>
      </c>
      <c r="B5" t="s">
        <v>67</v>
      </c>
      <c r="C5" t="s">
        <v>63</v>
      </c>
    </row>
    <row r="6" spans="1:5">
      <c r="A6">
        <v>0</v>
      </c>
      <c r="B6">
        <v>0</v>
      </c>
      <c r="C6">
        <f>$B$1*($A6-$B$2)*($A6-$B$3)*($A6-$B$4)</f>
        <v>-2</v>
      </c>
    </row>
    <row r="7" spans="1:5">
      <c r="A7">
        <v>1</v>
      </c>
      <c r="B7">
        <v>0</v>
      </c>
      <c r="C7">
        <f t="shared" ref="C7:C16" si="0">$B$1*($A7-$B$2)*($A7-$B$3)*($A7-$B$4)</f>
        <v>0</v>
      </c>
    </row>
    <row r="8" spans="1:5">
      <c r="A8">
        <v>2</v>
      </c>
      <c r="B8">
        <v>0</v>
      </c>
      <c r="C8">
        <f t="shared" si="0"/>
        <v>0.90000000000000013</v>
      </c>
    </row>
    <row r="9" spans="1:5">
      <c r="A9">
        <v>3</v>
      </c>
      <c r="B9">
        <v>0</v>
      </c>
      <c r="C9">
        <f t="shared" si="0"/>
        <v>1</v>
      </c>
    </row>
    <row r="10" spans="1:5">
      <c r="A10">
        <v>4</v>
      </c>
      <c r="B10">
        <v>0</v>
      </c>
      <c r="C10">
        <f t="shared" si="0"/>
        <v>0.60000000000000009</v>
      </c>
    </row>
    <row r="11" spans="1:5">
      <c r="A11">
        <v>5</v>
      </c>
      <c r="B11">
        <v>0</v>
      </c>
      <c r="C11">
        <f t="shared" si="0"/>
        <v>0</v>
      </c>
    </row>
    <row r="12" spans="1:5">
      <c r="A12">
        <v>6</v>
      </c>
      <c r="B12">
        <v>0</v>
      </c>
      <c r="C12">
        <f t="shared" si="0"/>
        <v>-0.5</v>
      </c>
    </row>
    <row r="13" spans="1:5">
      <c r="A13">
        <v>7</v>
      </c>
      <c r="B13">
        <v>0</v>
      </c>
      <c r="C13">
        <f t="shared" si="0"/>
        <v>-0.60000000000000009</v>
      </c>
    </row>
    <row r="14" spans="1:5">
      <c r="A14">
        <v>8</v>
      </c>
      <c r="B14">
        <v>0</v>
      </c>
      <c r="C14">
        <f t="shared" si="0"/>
        <v>0</v>
      </c>
    </row>
    <row r="15" spans="1:5">
      <c r="A15">
        <v>9</v>
      </c>
      <c r="B15">
        <v>0</v>
      </c>
      <c r="C15">
        <f t="shared" si="0"/>
        <v>1.6</v>
      </c>
    </row>
    <row r="16" spans="1:5">
      <c r="A16">
        <v>10</v>
      </c>
      <c r="B16">
        <v>0</v>
      </c>
      <c r="C16">
        <f t="shared" si="0"/>
        <v>4.5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M4" sqref="M4"/>
    </sheetView>
  </sheetViews>
  <sheetFormatPr defaultRowHeight="15"/>
  <cols>
    <col min="12" max="12" width="4.28515625" customWidth="1"/>
  </cols>
  <sheetData>
    <row r="1" spans="1:5">
      <c r="A1" t="s">
        <v>71</v>
      </c>
      <c r="B1">
        <v>0.5</v>
      </c>
      <c r="E1" s="13" t="s">
        <v>68</v>
      </c>
    </row>
    <row r="2" spans="1:5">
      <c r="A2" t="s">
        <v>72</v>
      </c>
      <c r="B2">
        <v>0</v>
      </c>
    </row>
    <row r="3" spans="1:5">
      <c r="A3" t="s">
        <v>73</v>
      </c>
      <c r="B3">
        <v>-0.2</v>
      </c>
    </row>
    <row r="4" spans="1:5">
      <c r="A4" t="s">
        <v>74</v>
      </c>
      <c r="B4">
        <v>0</v>
      </c>
    </row>
    <row r="5" spans="1:5">
      <c r="A5" t="s">
        <v>75</v>
      </c>
      <c r="B5">
        <v>9</v>
      </c>
    </row>
    <row r="6" spans="1:5">
      <c r="A6" t="s">
        <v>38</v>
      </c>
      <c r="B6" t="s">
        <v>67</v>
      </c>
      <c r="C6" t="s">
        <v>70</v>
      </c>
      <c r="D6" t="s">
        <v>69</v>
      </c>
      <c r="E6" t="s">
        <v>63</v>
      </c>
    </row>
    <row r="7" spans="1:5">
      <c r="A7">
        <v>0</v>
      </c>
      <c r="B7">
        <v>0</v>
      </c>
      <c r="C7">
        <f>$B$1*$A7+$B$2</f>
        <v>0</v>
      </c>
      <c r="D7">
        <f>$B$3*($A7-$B$4)*($A7-$B$5)</f>
        <v>0</v>
      </c>
      <c r="E7">
        <f>C7-D7</f>
        <v>0</v>
      </c>
    </row>
    <row r="8" spans="1:5">
      <c r="A8">
        <v>1</v>
      </c>
      <c r="B8">
        <v>0</v>
      </c>
      <c r="C8">
        <f t="shared" ref="C8:C17" si="0">$B$1*$A8+$B$2</f>
        <v>0.5</v>
      </c>
      <c r="D8">
        <f t="shared" ref="D8:D17" si="1">$B$3*($A8-$B$4)*($A8-$B$5)</f>
        <v>1.6</v>
      </c>
      <c r="E8">
        <f t="shared" ref="E8:E17" si="2">C8-D8</f>
        <v>-1.1000000000000001</v>
      </c>
    </row>
    <row r="9" spans="1:5">
      <c r="A9">
        <v>2</v>
      </c>
      <c r="B9">
        <v>0</v>
      </c>
      <c r="C9">
        <f t="shared" si="0"/>
        <v>1</v>
      </c>
      <c r="D9">
        <f t="shared" si="1"/>
        <v>2.8000000000000003</v>
      </c>
      <c r="E9">
        <f t="shared" si="2"/>
        <v>-1.8000000000000003</v>
      </c>
    </row>
    <row r="10" spans="1:5">
      <c r="A10">
        <v>3</v>
      </c>
      <c r="B10">
        <v>0</v>
      </c>
      <c r="C10">
        <f t="shared" si="0"/>
        <v>1.5</v>
      </c>
      <c r="D10">
        <f t="shared" si="1"/>
        <v>3.6000000000000005</v>
      </c>
      <c r="E10">
        <f t="shared" si="2"/>
        <v>-2.1000000000000005</v>
      </c>
    </row>
    <row r="11" spans="1:5">
      <c r="A11">
        <v>4</v>
      </c>
      <c r="B11">
        <v>0</v>
      </c>
      <c r="C11">
        <f t="shared" si="0"/>
        <v>2</v>
      </c>
      <c r="D11">
        <f t="shared" si="1"/>
        <v>4</v>
      </c>
      <c r="E11">
        <f t="shared" si="2"/>
        <v>-2</v>
      </c>
    </row>
    <row r="12" spans="1:5">
      <c r="A12">
        <v>5</v>
      </c>
      <c r="B12">
        <v>0</v>
      </c>
      <c r="C12">
        <f t="shared" si="0"/>
        <v>2.5</v>
      </c>
      <c r="D12">
        <f t="shared" si="1"/>
        <v>4</v>
      </c>
      <c r="E12">
        <f t="shared" si="2"/>
        <v>-1.5</v>
      </c>
    </row>
    <row r="13" spans="1:5">
      <c r="A13">
        <v>6</v>
      </c>
      <c r="B13">
        <v>0</v>
      </c>
      <c r="C13">
        <f t="shared" si="0"/>
        <v>3</v>
      </c>
      <c r="D13">
        <f t="shared" si="1"/>
        <v>3.6000000000000005</v>
      </c>
      <c r="E13">
        <f t="shared" si="2"/>
        <v>-0.60000000000000053</v>
      </c>
    </row>
    <row r="14" spans="1:5">
      <c r="A14">
        <v>7</v>
      </c>
      <c r="B14">
        <v>0</v>
      </c>
      <c r="C14">
        <f t="shared" si="0"/>
        <v>3.5</v>
      </c>
      <c r="D14">
        <f t="shared" si="1"/>
        <v>2.8000000000000003</v>
      </c>
      <c r="E14">
        <f t="shared" si="2"/>
        <v>0.69999999999999973</v>
      </c>
    </row>
    <row r="15" spans="1:5">
      <c r="A15">
        <v>8</v>
      </c>
      <c r="B15">
        <v>0</v>
      </c>
      <c r="C15">
        <f t="shared" si="0"/>
        <v>4</v>
      </c>
      <c r="D15">
        <f t="shared" si="1"/>
        <v>1.6</v>
      </c>
      <c r="E15">
        <f t="shared" si="2"/>
        <v>2.4</v>
      </c>
    </row>
    <row r="16" spans="1:5">
      <c r="A16">
        <v>9</v>
      </c>
      <c r="B16">
        <v>0</v>
      </c>
      <c r="C16">
        <f t="shared" si="0"/>
        <v>4.5</v>
      </c>
      <c r="D16">
        <f t="shared" si="1"/>
        <v>0</v>
      </c>
      <c r="E16">
        <f t="shared" si="2"/>
        <v>4.5</v>
      </c>
    </row>
    <row r="17" spans="1:16">
      <c r="A17">
        <v>10</v>
      </c>
      <c r="B17">
        <v>0</v>
      </c>
      <c r="C17">
        <f t="shared" si="0"/>
        <v>5</v>
      </c>
      <c r="D17">
        <f t="shared" si="1"/>
        <v>-2</v>
      </c>
      <c r="E17">
        <f t="shared" si="2"/>
        <v>7</v>
      </c>
    </row>
    <row r="21" spans="1:16">
      <c r="P21" t="s">
        <v>76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H22" sqref="H22"/>
    </sheetView>
  </sheetViews>
  <sheetFormatPr defaultRowHeight="15"/>
  <sheetData>
    <row r="1" spans="1:5">
      <c r="A1" t="s">
        <v>42</v>
      </c>
      <c r="B1">
        <v>0.05</v>
      </c>
      <c r="E1" s="13" t="s">
        <v>68</v>
      </c>
    </row>
    <row r="2" spans="1:5">
      <c r="A2" t="s">
        <v>64</v>
      </c>
      <c r="B2">
        <v>-1</v>
      </c>
    </row>
    <row r="3" spans="1:5">
      <c r="A3" t="s">
        <v>65</v>
      </c>
      <c r="B3">
        <v>3.45</v>
      </c>
    </row>
    <row r="4" spans="1:5">
      <c r="A4" t="s">
        <v>66</v>
      </c>
      <c r="B4">
        <v>8</v>
      </c>
    </row>
    <row r="5" spans="1:5">
      <c r="A5" t="s">
        <v>38</v>
      </c>
      <c r="B5" t="s">
        <v>67</v>
      </c>
      <c r="C5" t="s">
        <v>63</v>
      </c>
    </row>
    <row r="6" spans="1:5">
      <c r="A6">
        <v>0</v>
      </c>
      <c r="B6">
        <v>0</v>
      </c>
      <c r="C6">
        <f>$B$1*($A6-$B$2)*($A6-$B$3)*($A6-$B$4)</f>
        <v>1.3800000000000001</v>
      </c>
    </row>
    <row r="7" spans="1:5">
      <c r="A7">
        <v>1</v>
      </c>
      <c r="B7">
        <v>0</v>
      </c>
      <c r="C7">
        <f t="shared" ref="C7:C16" si="0">$B$1*($A7-$B$2)*($A7-$B$3)*($A7-$B$4)</f>
        <v>1.7150000000000001</v>
      </c>
    </row>
    <row r="8" spans="1:5">
      <c r="A8">
        <v>2</v>
      </c>
      <c r="B8">
        <v>0</v>
      </c>
      <c r="C8">
        <f t="shared" si="0"/>
        <v>1.3050000000000004</v>
      </c>
    </row>
    <row r="9" spans="1:5">
      <c r="A9">
        <v>3</v>
      </c>
      <c r="B9">
        <v>0</v>
      </c>
      <c r="C9">
        <f t="shared" si="0"/>
        <v>0.45000000000000018</v>
      </c>
    </row>
    <row r="10" spans="1:5">
      <c r="A10">
        <v>4</v>
      </c>
      <c r="B10">
        <v>0</v>
      </c>
      <c r="C10">
        <f t="shared" si="0"/>
        <v>-0.54999999999999982</v>
      </c>
    </row>
    <row r="11" spans="1:5">
      <c r="A11">
        <v>5</v>
      </c>
      <c r="B11">
        <v>0</v>
      </c>
      <c r="C11">
        <f t="shared" si="0"/>
        <v>-1.395</v>
      </c>
    </row>
    <row r="12" spans="1:5">
      <c r="A12">
        <v>6</v>
      </c>
      <c r="B12">
        <v>0</v>
      </c>
      <c r="C12">
        <f t="shared" si="0"/>
        <v>-1.7850000000000001</v>
      </c>
    </row>
    <row r="13" spans="1:5">
      <c r="A13">
        <v>7</v>
      </c>
      <c r="B13">
        <v>0</v>
      </c>
      <c r="C13">
        <f t="shared" si="0"/>
        <v>-1.42</v>
      </c>
    </row>
    <row r="14" spans="1:5">
      <c r="A14">
        <v>8</v>
      </c>
      <c r="B14">
        <v>0</v>
      </c>
      <c r="C14">
        <f t="shared" si="0"/>
        <v>0</v>
      </c>
    </row>
    <row r="15" spans="1:5">
      <c r="A15">
        <v>9</v>
      </c>
      <c r="B15">
        <v>0</v>
      </c>
      <c r="C15">
        <f t="shared" si="0"/>
        <v>2.7749999999999999</v>
      </c>
    </row>
    <row r="16" spans="1:5">
      <c r="A16">
        <v>10</v>
      </c>
      <c r="B16">
        <v>0</v>
      </c>
      <c r="C16">
        <f t="shared" si="0"/>
        <v>7.2050000000000001</v>
      </c>
    </row>
    <row r="18" spans="1:3">
      <c r="A18">
        <v>3.45</v>
      </c>
      <c r="B18">
        <v>0</v>
      </c>
    </row>
    <row r="19" spans="1:3">
      <c r="A19">
        <v>8</v>
      </c>
      <c r="B19">
        <v>0</v>
      </c>
    </row>
    <row r="21" spans="1:3">
      <c r="A21">
        <v>3.5</v>
      </c>
      <c r="C21">
        <v>0</v>
      </c>
    </row>
    <row r="22" spans="1:3">
      <c r="A22">
        <f>A21</f>
        <v>3.5</v>
      </c>
      <c r="C22">
        <f>$B$1*($A22-$B$2)*($A22-$B$3)*($A22-$B$4)</f>
        <v>-5.0624999999999816E-2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G3" sqref="G3"/>
    </sheetView>
  </sheetViews>
  <sheetFormatPr defaultRowHeight="15"/>
  <sheetData>
    <row r="1" spans="1:8">
      <c r="A1" t="s">
        <v>42</v>
      </c>
      <c r="B1">
        <v>2.5000000000000001E-2</v>
      </c>
      <c r="E1" s="13" t="s">
        <v>68</v>
      </c>
    </row>
    <row r="2" spans="1:8">
      <c r="A2" t="s">
        <v>64</v>
      </c>
      <c r="B2">
        <v>-1</v>
      </c>
      <c r="E2" t="s">
        <v>77</v>
      </c>
      <c r="F2" t="s">
        <v>78</v>
      </c>
      <c r="G2" t="s">
        <v>79</v>
      </c>
      <c r="H2" t="s">
        <v>30</v>
      </c>
    </row>
    <row r="3" spans="1:8">
      <c r="A3" t="s">
        <v>65</v>
      </c>
      <c r="B3">
        <v>2.34</v>
      </c>
      <c r="E3">
        <f>$B$1</f>
        <v>2.5000000000000001E-2</v>
      </c>
      <c r="F3">
        <f>$B$1*(-$B$2-$B$3-$B$4)</f>
        <v>-0.25850000000000001</v>
      </c>
      <c r="G3">
        <f>$B$1*(-$B$2*-$B$3-$B$3*-$B$4-$B$2*-$B$4)</f>
        <v>0.24299999999999999</v>
      </c>
      <c r="H3">
        <f>$B$1*-$B$2*-$B$3*-$B$4</f>
        <v>0.52649999999999997</v>
      </c>
    </row>
    <row r="4" spans="1:8">
      <c r="A4" t="s">
        <v>66</v>
      </c>
      <c r="B4">
        <v>9</v>
      </c>
    </row>
    <row r="5" spans="1:8">
      <c r="A5" t="s">
        <v>38</v>
      </c>
      <c r="B5" t="s">
        <v>67</v>
      </c>
      <c r="C5" t="s">
        <v>63</v>
      </c>
    </row>
    <row r="6" spans="1:8">
      <c r="A6">
        <v>0</v>
      </c>
      <c r="B6">
        <v>0</v>
      </c>
      <c r="C6">
        <f>$B$1*($A6-$B$2)*($A6-$B$3)*($A6-$B$4)</f>
        <v>0.52649999999999997</v>
      </c>
      <c r="D6">
        <f>$E$3*$A6^3+$F$3*$A6^2+$G$3*$A6+$H$3</f>
        <v>0.52649999999999997</v>
      </c>
    </row>
    <row r="7" spans="1:8">
      <c r="A7">
        <v>1</v>
      </c>
      <c r="B7">
        <v>0</v>
      </c>
      <c r="C7">
        <f t="shared" ref="C7:C16" si="0">$B$1*($A7-$B$2)*($A7-$B$3)*($A7-$B$4)</f>
        <v>0.53599999999999992</v>
      </c>
      <c r="D7">
        <f t="shared" ref="D7:D16" si="1">$E$3*$A7^3+$F$3*$A7^2+$G$3*$A7+$H$3</f>
        <v>0.53599999999999992</v>
      </c>
    </row>
    <row r="8" spans="1:8">
      <c r="A8">
        <v>2</v>
      </c>
      <c r="B8">
        <v>0</v>
      </c>
      <c r="C8">
        <f t="shared" si="0"/>
        <v>0.17849999999999994</v>
      </c>
      <c r="D8">
        <f t="shared" si="1"/>
        <v>0.17849999999999988</v>
      </c>
    </row>
    <row r="9" spans="1:8">
      <c r="A9">
        <v>3</v>
      </c>
      <c r="B9">
        <v>0</v>
      </c>
      <c r="C9">
        <f t="shared" si="0"/>
        <v>-0.39600000000000013</v>
      </c>
      <c r="D9">
        <f t="shared" si="1"/>
        <v>-0.39600000000000024</v>
      </c>
    </row>
    <row r="10" spans="1:8">
      <c r="A10">
        <v>4</v>
      </c>
      <c r="B10">
        <v>0</v>
      </c>
      <c r="C10">
        <f t="shared" si="0"/>
        <v>-1.0375000000000001</v>
      </c>
      <c r="D10">
        <f t="shared" si="1"/>
        <v>-1.0375000000000001</v>
      </c>
    </row>
    <row r="11" spans="1:8">
      <c r="A11">
        <v>5</v>
      </c>
      <c r="B11">
        <v>0</v>
      </c>
      <c r="C11">
        <f t="shared" si="0"/>
        <v>-1.5960000000000003</v>
      </c>
      <c r="D11">
        <f t="shared" si="1"/>
        <v>-1.5960000000000005</v>
      </c>
    </row>
    <row r="12" spans="1:8">
      <c r="A12">
        <v>6</v>
      </c>
      <c r="B12">
        <v>0</v>
      </c>
      <c r="C12">
        <f t="shared" si="0"/>
        <v>-1.9215000000000002</v>
      </c>
      <c r="D12">
        <f t="shared" si="1"/>
        <v>-1.9215000000000004</v>
      </c>
    </row>
    <row r="13" spans="1:8">
      <c r="A13">
        <v>7</v>
      </c>
      <c r="B13">
        <v>0</v>
      </c>
      <c r="C13">
        <f t="shared" si="0"/>
        <v>-1.8640000000000001</v>
      </c>
      <c r="D13">
        <f t="shared" si="1"/>
        <v>-1.8639999999999999</v>
      </c>
    </row>
    <row r="14" spans="1:8">
      <c r="A14">
        <v>8</v>
      </c>
      <c r="B14">
        <v>0</v>
      </c>
      <c r="C14">
        <f t="shared" si="0"/>
        <v>-1.2735000000000001</v>
      </c>
      <c r="D14">
        <f t="shared" si="1"/>
        <v>-1.2734999999999999</v>
      </c>
    </row>
    <row r="15" spans="1:8">
      <c r="A15">
        <v>9</v>
      </c>
      <c r="B15">
        <v>0</v>
      </c>
      <c r="C15">
        <f t="shared" si="0"/>
        <v>0</v>
      </c>
      <c r="D15">
        <f t="shared" si="1"/>
        <v>0</v>
      </c>
    </row>
    <row r="16" spans="1:8">
      <c r="A16">
        <v>10</v>
      </c>
      <c r="B16">
        <v>0</v>
      </c>
      <c r="C16">
        <f t="shared" si="0"/>
        <v>2.1065</v>
      </c>
      <c r="D16">
        <f t="shared" si="1"/>
        <v>2.1064999999999983</v>
      </c>
    </row>
    <row r="18" spans="1:3">
      <c r="A18">
        <v>1</v>
      </c>
      <c r="B18">
        <v>0</v>
      </c>
    </row>
    <row r="19" spans="1:3">
      <c r="A19">
        <v>8</v>
      </c>
      <c r="B19">
        <v>0</v>
      </c>
    </row>
    <row r="21" spans="1:3">
      <c r="A21">
        <v>1</v>
      </c>
      <c r="C21">
        <v>0</v>
      </c>
    </row>
    <row r="22" spans="1:3">
      <c r="A22">
        <f>A21</f>
        <v>1</v>
      </c>
      <c r="C22">
        <f>$B$1*($A22-$B$2)*($A22-$B$3)*($A22-$B$4)</f>
        <v>0.53599999999999992</v>
      </c>
    </row>
    <row r="24" spans="1:3">
      <c r="A24">
        <v>8</v>
      </c>
      <c r="C24">
        <v>0</v>
      </c>
    </row>
    <row r="25" spans="1:3">
      <c r="A25">
        <f>A24</f>
        <v>8</v>
      </c>
      <c r="C25">
        <f>$B$1*($A25-$B$2)*($A25-$B$3)*($A25-$B$4)</f>
        <v>-1.2735000000000001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2021-01-29T23:22:39Z</dcterms:modified>
</cp:coreProperties>
</file>