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livecsbsju-my.sharepoint.com/personal/akapinos001_csbsju_edu/Documents/Documents/STFC/"/>
    </mc:Choice>
  </mc:AlternateContent>
  <xr:revisionPtr revIDLastSave="2" documentId="8_{EB0A88E5-FFC9-44FF-AD8D-D7603C3341EB}" xr6:coauthVersionLast="47" xr6:coauthVersionMax="47" xr10:uidLastSave="{A56AE10B-F0B3-4FD7-9F5C-0F63AF7F4590}"/>
  <bookViews>
    <workbookView xWindow="-120" yWindow="-120" windowWidth="29040" windowHeight="17520" activeTab="1" xr2:uid="{00000000-000D-0000-FFFF-FFFF00000000}"/>
  </bookViews>
  <sheets>
    <sheet name="Impulse Calculator" sheetId="1" r:id="rId1"/>
    <sheet name="All Ships filtered" sheetId="2" r:id="rId2"/>
    <sheet name="Ship BP costs" sheetId="3" r:id="rId3"/>
  </sheets>
  <definedNames>
    <definedName name="_xlnm._FilterDatabase" localSheetId="1" hidden="1">'All Ships filtered'!$A$2:$G$75</definedName>
    <definedName name="_xlnm._FilterDatabase" localSheetId="2" hidden="1">'Ship BP costs'!$A$3:$AA$78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" i="3" l="1"/>
  <c r="L77" i="3"/>
  <c r="L76" i="3"/>
  <c r="L75" i="3"/>
  <c r="L74" i="3"/>
  <c r="L73" i="3"/>
  <c r="L72" i="3"/>
  <c r="L71" i="3"/>
  <c r="L70" i="3"/>
  <c r="L69" i="3"/>
  <c r="L68" i="3"/>
  <c r="L67" i="3"/>
  <c r="L66" i="3"/>
  <c r="I66" i="3"/>
  <c r="L65" i="3"/>
  <c r="I65" i="3"/>
  <c r="L64" i="3"/>
  <c r="I64" i="3"/>
  <c r="L63" i="3"/>
  <c r="I63" i="3"/>
  <c r="L62" i="3"/>
  <c r="I62" i="3"/>
  <c r="L61" i="3"/>
  <c r="I61" i="3"/>
  <c r="L60" i="3"/>
  <c r="J60" i="3"/>
  <c r="I60" i="3"/>
  <c r="H60" i="3"/>
  <c r="L59" i="3"/>
  <c r="J59" i="3"/>
  <c r="I59" i="3"/>
  <c r="H59" i="3"/>
  <c r="L58" i="3"/>
  <c r="J58" i="3"/>
  <c r="I58" i="3"/>
  <c r="H58" i="3"/>
  <c r="L57" i="3"/>
  <c r="J57" i="3"/>
  <c r="I57" i="3"/>
  <c r="H57" i="3"/>
  <c r="L56" i="3"/>
  <c r="J56" i="3"/>
  <c r="I56" i="3"/>
  <c r="H56" i="3"/>
  <c r="L55" i="3"/>
  <c r="J55" i="3"/>
  <c r="I55" i="3"/>
  <c r="H55" i="3"/>
  <c r="AB54" i="3"/>
  <c r="Z54" i="3"/>
  <c r="X54" i="3"/>
  <c r="W54" i="3"/>
  <c r="V54" i="3"/>
  <c r="T54" i="3"/>
  <c r="S54" i="3"/>
  <c r="R54" i="3"/>
  <c r="L54" i="3"/>
  <c r="J54" i="3"/>
  <c r="I54" i="3"/>
  <c r="H54" i="3"/>
  <c r="AB53" i="3"/>
  <c r="Z53" i="3"/>
  <c r="X53" i="3"/>
  <c r="W53" i="3"/>
  <c r="V53" i="3"/>
  <c r="T53" i="3"/>
  <c r="S53" i="3"/>
  <c r="R53" i="3"/>
  <c r="L53" i="3"/>
  <c r="J53" i="3"/>
  <c r="I53" i="3"/>
  <c r="H53" i="3"/>
  <c r="AB52" i="3"/>
  <c r="Z52" i="3"/>
  <c r="X52" i="3"/>
  <c r="W52" i="3"/>
  <c r="V52" i="3"/>
  <c r="T52" i="3"/>
  <c r="S52" i="3"/>
  <c r="R52" i="3"/>
  <c r="L52" i="3"/>
  <c r="J52" i="3"/>
  <c r="I52" i="3"/>
  <c r="H52" i="3"/>
  <c r="AB51" i="3"/>
  <c r="Z51" i="3"/>
  <c r="X51" i="3"/>
  <c r="W51" i="3"/>
  <c r="V51" i="3"/>
  <c r="T51" i="3"/>
  <c r="S51" i="3"/>
  <c r="R51" i="3"/>
  <c r="L51" i="3"/>
  <c r="J51" i="3"/>
  <c r="I51" i="3"/>
  <c r="H51" i="3"/>
  <c r="AB50" i="3"/>
  <c r="Z50" i="3"/>
  <c r="X50" i="3"/>
  <c r="W50" i="3"/>
  <c r="V50" i="3"/>
  <c r="T50" i="3"/>
  <c r="S50" i="3"/>
  <c r="R50" i="3"/>
  <c r="L50" i="3"/>
  <c r="J50" i="3"/>
  <c r="I50" i="3"/>
  <c r="H50" i="3"/>
  <c r="AB49" i="3"/>
  <c r="Z49" i="3"/>
  <c r="X49" i="3"/>
  <c r="W49" i="3"/>
  <c r="V49" i="3"/>
  <c r="T49" i="3"/>
  <c r="S49" i="3"/>
  <c r="R49" i="3"/>
  <c r="L49" i="3"/>
  <c r="J49" i="3"/>
  <c r="I49" i="3"/>
  <c r="H49" i="3"/>
  <c r="AB48" i="3"/>
  <c r="Z48" i="3"/>
  <c r="X48" i="3"/>
  <c r="W48" i="3"/>
  <c r="V48" i="3"/>
  <c r="T48" i="3"/>
  <c r="S48" i="3"/>
  <c r="R48" i="3"/>
  <c r="L48" i="3"/>
  <c r="J48" i="3"/>
  <c r="I48" i="3"/>
  <c r="H48" i="3"/>
  <c r="AB47" i="3"/>
  <c r="Z47" i="3"/>
  <c r="X47" i="3"/>
  <c r="W47" i="3"/>
  <c r="V47" i="3"/>
  <c r="T47" i="3"/>
  <c r="S47" i="3"/>
  <c r="R47" i="3"/>
  <c r="L47" i="3"/>
  <c r="J47" i="3"/>
  <c r="I47" i="3"/>
  <c r="H47" i="3"/>
  <c r="AB46" i="3"/>
  <c r="Z46" i="3"/>
  <c r="X46" i="3"/>
  <c r="W46" i="3"/>
  <c r="V46" i="3"/>
  <c r="T46" i="3"/>
  <c r="S46" i="3"/>
  <c r="R46" i="3"/>
  <c r="L46" i="3"/>
  <c r="J46" i="3"/>
  <c r="I46" i="3"/>
  <c r="H46" i="3"/>
  <c r="AB45" i="3"/>
  <c r="Z45" i="3"/>
  <c r="X45" i="3"/>
  <c r="W45" i="3"/>
  <c r="V45" i="3"/>
  <c r="T45" i="3"/>
  <c r="S45" i="3"/>
  <c r="R45" i="3"/>
  <c r="L45" i="3"/>
  <c r="J45" i="3"/>
  <c r="I45" i="3"/>
  <c r="H45" i="3"/>
  <c r="AB44" i="3"/>
  <c r="Z44" i="3"/>
  <c r="X44" i="3"/>
  <c r="W44" i="3"/>
  <c r="V44" i="3"/>
  <c r="T44" i="3"/>
  <c r="S44" i="3"/>
  <c r="R44" i="3"/>
  <c r="L44" i="3"/>
  <c r="J44" i="3"/>
  <c r="I44" i="3"/>
  <c r="H44" i="3"/>
  <c r="AB43" i="3"/>
  <c r="Z43" i="3"/>
  <c r="X43" i="3"/>
  <c r="W43" i="3"/>
  <c r="V43" i="3"/>
  <c r="T43" i="3"/>
  <c r="S43" i="3"/>
  <c r="R43" i="3"/>
  <c r="L43" i="3"/>
  <c r="J43" i="3"/>
  <c r="I43" i="3"/>
  <c r="H43" i="3"/>
  <c r="AB42" i="3"/>
  <c r="Z42" i="3"/>
  <c r="X42" i="3"/>
  <c r="W42" i="3"/>
  <c r="V42" i="3"/>
  <c r="T42" i="3"/>
  <c r="S42" i="3"/>
  <c r="R42" i="3"/>
  <c r="L42" i="3"/>
  <c r="J42" i="3"/>
  <c r="I42" i="3"/>
  <c r="H42" i="3"/>
  <c r="AB41" i="3"/>
  <c r="Z41" i="3"/>
  <c r="X41" i="3"/>
  <c r="W41" i="3"/>
  <c r="V41" i="3"/>
  <c r="T41" i="3"/>
  <c r="S41" i="3"/>
  <c r="R41" i="3"/>
  <c r="L41" i="3"/>
  <c r="J41" i="3"/>
  <c r="I41" i="3"/>
  <c r="H41" i="3"/>
  <c r="AB40" i="3"/>
  <c r="Z40" i="3"/>
  <c r="X40" i="3"/>
  <c r="W40" i="3"/>
  <c r="V40" i="3"/>
  <c r="T40" i="3"/>
  <c r="S40" i="3"/>
  <c r="R40" i="3"/>
  <c r="L40" i="3"/>
  <c r="J40" i="3"/>
  <c r="I40" i="3"/>
  <c r="H40" i="3"/>
  <c r="AB39" i="3"/>
  <c r="Z39" i="3"/>
  <c r="X39" i="3"/>
  <c r="W39" i="3"/>
  <c r="V39" i="3"/>
  <c r="T39" i="3"/>
  <c r="S39" i="3"/>
  <c r="R39" i="3"/>
  <c r="L39" i="3"/>
  <c r="J39" i="3"/>
  <c r="I39" i="3"/>
  <c r="H39" i="3"/>
  <c r="AB38" i="3"/>
  <c r="Z38" i="3"/>
  <c r="X38" i="3"/>
  <c r="W38" i="3"/>
  <c r="V38" i="3"/>
  <c r="T38" i="3"/>
  <c r="S38" i="3"/>
  <c r="R38" i="3"/>
  <c r="L38" i="3"/>
  <c r="J38" i="3"/>
  <c r="I38" i="3"/>
  <c r="H38" i="3"/>
  <c r="AB37" i="3"/>
  <c r="Z37" i="3"/>
  <c r="X37" i="3"/>
  <c r="W37" i="3"/>
  <c r="V37" i="3"/>
  <c r="T37" i="3"/>
  <c r="S37" i="3"/>
  <c r="R37" i="3"/>
  <c r="L37" i="3"/>
  <c r="J37" i="3"/>
  <c r="I37" i="3"/>
  <c r="H37" i="3"/>
  <c r="AB36" i="3"/>
  <c r="Z36" i="3"/>
  <c r="X36" i="3"/>
  <c r="W36" i="3"/>
  <c r="V36" i="3"/>
  <c r="T36" i="3"/>
  <c r="S36" i="3"/>
  <c r="R36" i="3"/>
  <c r="L36" i="3"/>
  <c r="H36" i="3"/>
  <c r="F36" i="3"/>
  <c r="J36" i="3" s="1"/>
  <c r="AB35" i="3"/>
  <c r="Z35" i="3"/>
  <c r="X35" i="3"/>
  <c r="W35" i="3"/>
  <c r="V35" i="3"/>
  <c r="T35" i="3"/>
  <c r="S35" i="3"/>
  <c r="R35" i="3"/>
  <c r="L35" i="3"/>
  <c r="J35" i="3"/>
  <c r="I35" i="3"/>
  <c r="H35" i="3"/>
  <c r="F35" i="3"/>
  <c r="AB34" i="3"/>
  <c r="Z34" i="3"/>
  <c r="X34" i="3"/>
  <c r="W34" i="3"/>
  <c r="V34" i="3"/>
  <c r="T34" i="3"/>
  <c r="S34" i="3"/>
  <c r="R34" i="3"/>
  <c r="L34" i="3"/>
  <c r="H34" i="3"/>
  <c r="F34" i="3"/>
  <c r="I34" i="3" s="1"/>
  <c r="AB33" i="3"/>
  <c r="Z33" i="3"/>
  <c r="X33" i="3"/>
  <c r="W33" i="3"/>
  <c r="V33" i="3"/>
  <c r="T33" i="3"/>
  <c r="S33" i="3"/>
  <c r="R33" i="3"/>
  <c r="L33" i="3"/>
  <c r="H33" i="3"/>
  <c r="F33" i="3"/>
  <c r="J33" i="3" s="1"/>
  <c r="AB32" i="3"/>
  <c r="Z32" i="3"/>
  <c r="X32" i="3"/>
  <c r="W32" i="3"/>
  <c r="V32" i="3"/>
  <c r="T32" i="3"/>
  <c r="S32" i="3"/>
  <c r="R32" i="3"/>
  <c r="L32" i="3"/>
  <c r="H32" i="3"/>
  <c r="F32" i="3"/>
  <c r="J32" i="3" s="1"/>
  <c r="AB31" i="3"/>
  <c r="Z31" i="3"/>
  <c r="X31" i="3"/>
  <c r="W31" i="3"/>
  <c r="V31" i="3"/>
  <c r="T31" i="3"/>
  <c r="S31" i="3"/>
  <c r="R31" i="3"/>
  <c r="L31" i="3"/>
  <c r="H31" i="3"/>
  <c r="F31" i="3"/>
  <c r="J31" i="3" s="1"/>
  <c r="AB30" i="3"/>
  <c r="Z30" i="3"/>
  <c r="X30" i="3"/>
  <c r="W30" i="3"/>
  <c r="V30" i="3"/>
  <c r="T30" i="3"/>
  <c r="S30" i="3"/>
  <c r="R30" i="3"/>
  <c r="L30" i="3"/>
  <c r="H30" i="3"/>
  <c r="F30" i="3"/>
  <c r="J30" i="3" s="1"/>
  <c r="AB29" i="3"/>
  <c r="Z29" i="3"/>
  <c r="X29" i="3"/>
  <c r="W29" i="3"/>
  <c r="V29" i="3"/>
  <c r="T29" i="3"/>
  <c r="S29" i="3"/>
  <c r="R29" i="3"/>
  <c r="L29" i="3"/>
  <c r="H29" i="3"/>
  <c r="F29" i="3"/>
  <c r="J29" i="3" s="1"/>
  <c r="AB28" i="3"/>
  <c r="Z28" i="3"/>
  <c r="X28" i="3"/>
  <c r="W28" i="3"/>
  <c r="V28" i="3"/>
  <c r="T28" i="3"/>
  <c r="S28" i="3"/>
  <c r="R28" i="3"/>
  <c r="L28" i="3"/>
  <c r="H28" i="3"/>
  <c r="F28" i="3"/>
  <c r="J28" i="3" s="1"/>
  <c r="N27" i="3"/>
  <c r="M27" i="3"/>
  <c r="O27" i="3" s="1"/>
  <c r="P27" i="3" s="1"/>
  <c r="L27" i="3"/>
  <c r="H27" i="3"/>
  <c r="F27" i="3"/>
  <c r="J27" i="3" s="1"/>
  <c r="L26" i="3"/>
  <c r="J26" i="3"/>
  <c r="H26" i="3"/>
  <c r="L25" i="3"/>
  <c r="L24" i="3"/>
  <c r="H24" i="3"/>
  <c r="F24" i="3"/>
  <c r="J24" i="3" s="1"/>
  <c r="L23" i="3"/>
  <c r="J23" i="3"/>
  <c r="H23" i="3"/>
  <c r="L22" i="3"/>
  <c r="J22" i="3"/>
  <c r="H22" i="3"/>
  <c r="L21" i="3"/>
  <c r="H21" i="3"/>
  <c r="F21" i="3"/>
  <c r="J21" i="3" s="1"/>
  <c r="L20" i="3"/>
  <c r="J20" i="3"/>
  <c r="H20" i="3"/>
  <c r="L19" i="3"/>
  <c r="L18" i="3"/>
  <c r="J18" i="3"/>
  <c r="H18" i="3"/>
  <c r="M17" i="3"/>
  <c r="O17" i="3" s="1"/>
  <c r="P17" i="3" s="1"/>
  <c r="L17" i="3"/>
  <c r="J17" i="3"/>
  <c r="H17" i="3"/>
  <c r="L16" i="3"/>
  <c r="H16" i="3"/>
  <c r="F16" i="3"/>
  <c r="J16" i="3" s="1"/>
  <c r="L15" i="3"/>
  <c r="J15" i="3"/>
  <c r="H15" i="3"/>
  <c r="L14" i="3"/>
  <c r="J14" i="3"/>
  <c r="H14" i="3"/>
  <c r="L13" i="3"/>
  <c r="H13" i="3"/>
  <c r="F13" i="3"/>
  <c r="J13" i="3" s="1"/>
  <c r="L12" i="3"/>
  <c r="J12" i="3"/>
  <c r="H12" i="3"/>
  <c r="L11" i="3"/>
  <c r="H11" i="3"/>
  <c r="F11" i="3"/>
  <c r="J11" i="3" s="1"/>
  <c r="P10" i="3"/>
  <c r="L10" i="3"/>
  <c r="H10" i="3"/>
  <c r="F10" i="3"/>
  <c r="J10" i="3" s="1"/>
  <c r="L9" i="3"/>
  <c r="H9" i="3"/>
  <c r="F9" i="3"/>
  <c r="J9" i="3" s="1"/>
  <c r="O8" i="3"/>
  <c r="P8" i="3" s="1"/>
  <c r="L8" i="3"/>
  <c r="H8" i="3"/>
  <c r="F8" i="3"/>
  <c r="J8" i="3" s="1"/>
  <c r="L7" i="3"/>
  <c r="H7" i="3"/>
  <c r="F7" i="3"/>
  <c r="J7" i="3" s="1"/>
  <c r="L6" i="3"/>
  <c r="H6" i="3"/>
  <c r="F6" i="3"/>
  <c r="J6" i="3" s="1"/>
  <c r="P5" i="3"/>
  <c r="M5" i="3"/>
  <c r="L5" i="3"/>
  <c r="H5" i="3"/>
  <c r="F5" i="3"/>
  <c r="J5" i="3" s="1"/>
  <c r="L4" i="3"/>
  <c r="H4" i="3"/>
  <c r="F4" i="3"/>
  <c r="J4" i="3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E62" i="2"/>
  <c r="F62" i="2" s="1"/>
  <c r="G62" i="2" s="1"/>
  <c r="E61" i="2"/>
  <c r="F61" i="2" s="1"/>
  <c r="G61" i="2" s="1"/>
  <c r="E60" i="2"/>
  <c r="F60" i="2" s="1"/>
  <c r="G60" i="2" s="1"/>
  <c r="F59" i="2"/>
  <c r="G59" i="2" s="1"/>
  <c r="F58" i="2"/>
  <c r="G58" i="2" s="1"/>
  <c r="E57" i="2"/>
  <c r="F57" i="2" s="1"/>
  <c r="G57" i="2" s="1"/>
  <c r="E56" i="2"/>
  <c r="F56" i="2" s="1"/>
  <c r="G56" i="2" s="1"/>
  <c r="E55" i="2"/>
  <c r="F55" i="2" s="1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E48" i="2"/>
  <c r="F48" i="2" s="1"/>
  <c r="G48" i="2" s="1"/>
  <c r="E47" i="2"/>
  <c r="F47" i="2" s="1"/>
  <c r="G47" i="2" s="1"/>
  <c r="F46" i="2"/>
  <c r="G46" i="2" s="1"/>
  <c r="E46" i="2"/>
  <c r="E45" i="2"/>
  <c r="F45" i="2" s="1"/>
  <c r="G45" i="2" s="1"/>
  <c r="E44" i="2"/>
  <c r="F44" i="2" s="1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E29" i="2"/>
  <c r="F29" i="2" s="1"/>
  <c r="G29" i="2" s="1"/>
  <c r="E28" i="2"/>
  <c r="F28" i="2" s="1"/>
  <c r="G28" i="2" s="1"/>
  <c r="E27" i="2"/>
  <c r="F27" i="2" s="1"/>
  <c r="G27" i="2" s="1"/>
  <c r="F26" i="2"/>
  <c r="G26" i="2" s="1"/>
  <c r="F25" i="2"/>
  <c r="G25" i="2" s="1"/>
  <c r="F24" i="2"/>
  <c r="G24" i="2" s="1"/>
  <c r="E23" i="2"/>
  <c r="F23" i="2" s="1"/>
  <c r="G23" i="2" s="1"/>
  <c r="E22" i="2"/>
  <c r="F22" i="2" s="1"/>
  <c r="G22" i="2" s="1"/>
  <c r="E21" i="2"/>
  <c r="F21" i="2" s="1"/>
  <c r="G21" i="2" s="1"/>
  <c r="F20" i="2"/>
  <c r="G20" i="2" s="1"/>
  <c r="F19" i="2"/>
  <c r="G19" i="2" s="1"/>
  <c r="E18" i="2"/>
  <c r="F18" i="2" s="1"/>
  <c r="G18" i="2" s="1"/>
  <c r="F17" i="2"/>
  <c r="G17" i="2" s="1"/>
  <c r="F16" i="2"/>
  <c r="G16" i="2" s="1"/>
  <c r="F15" i="2"/>
  <c r="G15" i="2" s="1"/>
  <c r="E14" i="2"/>
  <c r="F14" i="2" s="1"/>
  <c r="G14" i="2" s="1"/>
  <c r="E13" i="2"/>
  <c r="F13" i="2" s="1"/>
  <c r="G13" i="2" s="1"/>
  <c r="G12" i="2"/>
  <c r="F12" i="2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E5" i="2"/>
  <c r="F5" i="2" s="1"/>
  <c r="G5" i="2" s="1"/>
  <c r="E4" i="2"/>
  <c r="F4" i="2" s="1"/>
  <c r="G4" i="2" s="1"/>
  <c r="F3" i="2"/>
  <c r="G3" i="2" s="1"/>
  <c r="AY76" i="1"/>
  <c r="AZ76" i="1" s="1"/>
  <c r="AY75" i="1"/>
  <c r="AZ75" i="1" s="1"/>
  <c r="AY74" i="1"/>
  <c r="AZ74" i="1" s="1"/>
  <c r="AY73" i="1"/>
  <c r="AZ73" i="1" s="1"/>
  <c r="AY72" i="1"/>
  <c r="AZ72" i="1" s="1"/>
  <c r="AY71" i="1"/>
  <c r="AZ71" i="1" s="1"/>
  <c r="AY70" i="1"/>
  <c r="AZ70" i="1" s="1"/>
  <c r="AY69" i="1"/>
  <c r="AZ69" i="1" s="1"/>
  <c r="AY68" i="1"/>
  <c r="AZ68" i="1" s="1"/>
  <c r="AY67" i="1"/>
  <c r="AZ67" i="1" s="1"/>
  <c r="AY66" i="1"/>
  <c r="AZ66" i="1" s="1"/>
  <c r="AY65" i="1"/>
  <c r="AZ65" i="1" s="1"/>
  <c r="AX64" i="1"/>
  <c r="AY64" i="1" s="1"/>
  <c r="AZ64" i="1" s="1"/>
  <c r="AX63" i="1"/>
  <c r="AY63" i="1" s="1"/>
  <c r="AZ63" i="1" s="1"/>
  <c r="AX62" i="1"/>
  <c r="AY62" i="1" s="1"/>
  <c r="AZ62" i="1" s="1"/>
  <c r="AX61" i="1"/>
  <c r="AY61" i="1" s="1"/>
  <c r="AZ61" i="1" s="1"/>
  <c r="AX60" i="1"/>
  <c r="AY60" i="1" s="1"/>
  <c r="AZ60" i="1" s="1"/>
  <c r="AX59" i="1"/>
  <c r="AY59" i="1" s="1"/>
  <c r="AZ59" i="1" s="1"/>
  <c r="AX58" i="1"/>
  <c r="AY58" i="1" s="1"/>
  <c r="AZ58" i="1" s="1"/>
  <c r="AX57" i="1"/>
  <c r="AY57" i="1" s="1"/>
  <c r="AZ57" i="1" s="1"/>
  <c r="AX56" i="1"/>
  <c r="AY56" i="1" s="1"/>
  <c r="AZ56" i="1" s="1"/>
  <c r="AX55" i="1"/>
  <c r="AY55" i="1" s="1"/>
  <c r="AZ55" i="1" s="1"/>
  <c r="AX54" i="1"/>
  <c r="AY54" i="1" s="1"/>
  <c r="AZ54" i="1" s="1"/>
  <c r="AX53" i="1"/>
  <c r="AY53" i="1" s="1"/>
  <c r="AZ53" i="1" s="1"/>
  <c r="AX52" i="1"/>
  <c r="AY52" i="1" s="1"/>
  <c r="AZ52" i="1" s="1"/>
  <c r="AX51" i="1"/>
  <c r="AY51" i="1" s="1"/>
  <c r="AZ51" i="1" s="1"/>
  <c r="AX50" i="1"/>
  <c r="AY50" i="1" s="1"/>
  <c r="AZ50" i="1" s="1"/>
  <c r="AX49" i="1"/>
  <c r="AY49" i="1" s="1"/>
  <c r="AZ49" i="1" s="1"/>
  <c r="AX48" i="1"/>
  <c r="AY48" i="1" s="1"/>
  <c r="AZ48" i="1" s="1"/>
  <c r="AX47" i="1"/>
  <c r="AY47" i="1" s="1"/>
  <c r="AZ47" i="1" s="1"/>
  <c r="AX46" i="1"/>
  <c r="AY46" i="1" s="1"/>
  <c r="AZ46" i="1" s="1"/>
  <c r="AY45" i="1"/>
  <c r="AZ45" i="1" s="1"/>
  <c r="AX45" i="1"/>
  <c r="AX44" i="1"/>
  <c r="AY44" i="1" s="1"/>
  <c r="AZ44" i="1" s="1"/>
  <c r="AY43" i="1"/>
  <c r="AZ43" i="1" s="1"/>
  <c r="AY42" i="1"/>
  <c r="AZ42" i="1" s="1"/>
  <c r="AY41" i="1"/>
  <c r="AZ41" i="1" s="1"/>
  <c r="AX40" i="1"/>
  <c r="AY40" i="1" s="1"/>
  <c r="AZ40" i="1" s="1"/>
  <c r="AY39" i="1"/>
  <c r="AZ39" i="1" s="1"/>
  <c r="AY38" i="1"/>
  <c r="AZ38" i="1" s="1"/>
  <c r="AY37" i="1"/>
  <c r="AZ37" i="1" s="1"/>
  <c r="AY36" i="1"/>
  <c r="AZ36" i="1" s="1"/>
  <c r="AY35" i="1"/>
  <c r="AZ35" i="1" s="1"/>
  <c r="AY34" i="1"/>
  <c r="AZ34" i="1" s="1"/>
  <c r="E34" i="1"/>
  <c r="AY33" i="1"/>
  <c r="AZ33" i="1" s="1"/>
  <c r="AY32" i="1"/>
  <c r="AZ32" i="1" s="1"/>
  <c r="AY31" i="1"/>
  <c r="AZ31" i="1" s="1"/>
  <c r="D31" i="1"/>
  <c r="AY30" i="1"/>
  <c r="AZ30" i="1" s="1"/>
  <c r="AY29" i="1"/>
  <c r="AZ29" i="1" s="1"/>
  <c r="AY28" i="1"/>
  <c r="AZ28" i="1" s="1"/>
  <c r="F28" i="1"/>
  <c r="D28" i="1"/>
  <c r="AY27" i="1"/>
  <c r="AZ27" i="1" s="1"/>
  <c r="F27" i="1"/>
  <c r="D27" i="1"/>
  <c r="AY26" i="1"/>
  <c r="AZ26" i="1" s="1"/>
  <c r="F26" i="1"/>
  <c r="D26" i="1"/>
  <c r="AY25" i="1"/>
  <c r="AZ25" i="1" s="1"/>
  <c r="D25" i="1"/>
  <c r="AZ24" i="1"/>
  <c r="AY24" i="1"/>
  <c r="F24" i="1"/>
  <c r="D24" i="1"/>
  <c r="AY23" i="1"/>
  <c r="AZ23" i="1" s="1"/>
  <c r="F23" i="1"/>
  <c r="D23" i="1"/>
  <c r="AY22" i="1"/>
  <c r="AZ22" i="1" s="1"/>
  <c r="F22" i="1"/>
  <c r="D22" i="1"/>
  <c r="AY21" i="1"/>
  <c r="AZ21" i="1" s="1"/>
  <c r="F21" i="1"/>
  <c r="E21" i="1"/>
  <c r="D21" i="1"/>
  <c r="AY20" i="1"/>
  <c r="AZ20" i="1" s="1"/>
  <c r="F20" i="1"/>
  <c r="E20" i="1"/>
  <c r="D20" i="1"/>
  <c r="AY19" i="1"/>
  <c r="AZ19" i="1" s="1"/>
  <c r="F19" i="1"/>
  <c r="D19" i="1"/>
  <c r="AY18" i="1"/>
  <c r="AZ18" i="1" s="1"/>
  <c r="F18" i="1"/>
  <c r="D18" i="1"/>
  <c r="AY17" i="1"/>
  <c r="AZ17" i="1" s="1"/>
  <c r="F17" i="1"/>
  <c r="E17" i="1"/>
  <c r="D17" i="1"/>
  <c r="AY16" i="1"/>
  <c r="AZ16" i="1" s="1"/>
  <c r="AY15" i="1"/>
  <c r="AZ15" i="1" s="1"/>
  <c r="AY14" i="1"/>
  <c r="AZ14" i="1" s="1"/>
  <c r="AZ13" i="1"/>
  <c r="AY13" i="1"/>
  <c r="D13" i="1"/>
  <c r="AY12" i="1"/>
  <c r="AZ12" i="1" s="1"/>
  <c r="D12" i="1"/>
  <c r="AY11" i="1"/>
  <c r="AZ11" i="1" s="1"/>
  <c r="D11" i="1"/>
  <c r="AY10" i="1"/>
  <c r="AZ10" i="1" s="1"/>
  <c r="G10" i="1"/>
  <c r="AY9" i="1"/>
  <c r="AZ9" i="1" s="1"/>
  <c r="AY8" i="1"/>
  <c r="AZ8" i="1" s="1"/>
  <c r="AY7" i="1"/>
  <c r="AZ7" i="1" s="1"/>
  <c r="G7" i="1"/>
  <c r="B7" i="1"/>
  <c r="AY6" i="1"/>
  <c r="AZ6" i="1" s="1"/>
  <c r="F6" i="1"/>
  <c r="D6" i="1"/>
  <c r="C6" i="1"/>
  <c r="AY5" i="1"/>
  <c r="AZ5" i="1" s="1"/>
  <c r="AY4" i="1"/>
  <c r="AZ4" i="1" s="1"/>
  <c r="G8" i="1" s="1"/>
  <c r="F7" i="1" l="1"/>
  <c r="D37" i="1" s="1"/>
  <c r="J34" i="3"/>
  <c r="I36" i="3"/>
  <c r="C48" i="1"/>
  <c r="C43" i="1"/>
  <c r="D40" i="1"/>
  <c r="F8" i="1"/>
  <c r="C38" i="1"/>
  <c r="D48" i="1"/>
  <c r="C34" i="1"/>
  <c r="C40" i="1"/>
  <c r="C37" i="1"/>
  <c r="C41" i="1"/>
  <c r="D45" i="1"/>
  <c r="C44" i="1"/>
  <c r="C45" i="1"/>
  <c r="D42" i="1"/>
  <c r="C49" i="1"/>
  <c r="D47" i="1"/>
  <c r="C42" i="1"/>
  <c r="D39" i="1"/>
  <c r="D44" i="1"/>
  <c r="C47" i="1"/>
  <c r="C39" i="1"/>
  <c r="C36" i="1"/>
  <c r="D49" i="1"/>
  <c r="D38" i="1"/>
  <c r="D41" i="1"/>
  <c r="C46" i="1"/>
  <c r="D43" i="1"/>
  <c r="D46" i="1"/>
  <c r="I28" i="3"/>
  <c r="I29" i="3"/>
  <c r="G6" i="1"/>
  <c r="I30" i="3"/>
  <c r="I31" i="3"/>
  <c r="I32" i="3"/>
  <c r="I33" i="3"/>
  <c r="D36" i="1" l="1"/>
</calcChain>
</file>

<file path=xl/sharedStrings.xml><?xml version="1.0" encoding="utf-8"?>
<sst xmlns="http://schemas.openxmlformats.org/spreadsheetml/2006/main" count="525" uniqueCount="207">
  <si>
    <t xml:space="preserve">Impulse Speeeeeeed Calculator </t>
  </si>
  <si>
    <t>Description: Use this Calculator the discover the Impulse potential of your ship based on officer tier and research. See a complete list of ships and their base impulse + impulse potential. And a short compliation of fastest ships in the game. Created by JulesVern with data from Stfc.space. First created on 2/24/2023.</t>
  </si>
  <si>
    <t>Officers</t>
  </si>
  <si>
    <t>Applies to All</t>
  </si>
  <si>
    <t>G4+</t>
  </si>
  <si>
    <t>Ship Specific</t>
  </si>
  <si>
    <t>G5</t>
  </si>
  <si>
    <t>Kuron</t>
  </si>
  <si>
    <t>"Take Us Out" FC Kirk skill</t>
  </si>
  <si>
    <t>Full Impulse (Territory tree)</t>
  </si>
  <si>
    <t>G4 Impulse</t>
  </si>
  <si>
    <t>Mantis Impulse Speed</t>
  </si>
  <si>
    <t>USS Discovery Impulse Speed</t>
  </si>
  <si>
    <t>USS Franklin Impulse Speed</t>
  </si>
  <si>
    <t>Augmented Impulse (botany bay)</t>
  </si>
  <si>
    <t>Boosted Battleship</t>
  </si>
  <si>
    <t>Ships</t>
  </si>
  <si>
    <t>Ops</t>
  </si>
  <si>
    <t>Grade</t>
  </si>
  <si>
    <t>Base</t>
  </si>
  <si>
    <t>Research &amp; exo</t>
  </si>
  <si>
    <t>Max Flat</t>
  </si>
  <si>
    <t>Max Crew</t>
  </si>
  <si>
    <t>Variables in green cells. Use dropdown menu to select value or backspace to clear the field.</t>
  </si>
  <si>
    <t>Tier</t>
  </si>
  <si>
    <t>Value</t>
  </si>
  <si>
    <t>Level</t>
  </si>
  <si>
    <t>Total</t>
  </si>
  <si>
    <t>Command Center</t>
  </si>
  <si>
    <t>R&amp;D</t>
  </si>
  <si>
    <t>Engine Technology Lab</t>
  </si>
  <si>
    <t>Foundry</t>
  </si>
  <si>
    <t>Realta</t>
  </si>
  <si>
    <t>Ship</t>
  </si>
  <si>
    <t>Shipyard</t>
  </si>
  <si>
    <t>Your:</t>
  </si>
  <si>
    <t>Current</t>
  </si>
  <si>
    <t>Maxed</t>
  </si>
  <si>
    <t>^ Raw Data hidden ^</t>
  </si>
  <si>
    <t>Corvette</t>
  </si>
  <si>
    <t>Base Impulse</t>
  </si>
  <si>
    <t>Fortunate</t>
  </si>
  <si>
    <t>w/ research &amp; exo</t>
  </si>
  <si>
    <t>Phindra</t>
  </si>
  <si>
    <t>Klaa, Kuron, SNW Una</t>
  </si>
  <si>
    <t>Turas</t>
  </si>
  <si>
    <t>Realta Swift Refit</t>
  </si>
  <si>
    <t>Jellyfish</t>
  </si>
  <si>
    <t>Officer Abilities</t>
  </si>
  <si>
    <t>Captain abilities</t>
  </si>
  <si>
    <t>Yes</t>
  </si>
  <si>
    <t>Talla</t>
  </si>
  <si>
    <t>Pan</t>
  </si>
  <si>
    <t>Hugh</t>
  </si>
  <si>
    <t>No</t>
  </si>
  <si>
    <t>Boosted Interceptor</t>
  </si>
  <si>
    <t>Envoy</t>
  </si>
  <si>
    <t>Klaa</t>
  </si>
  <si>
    <t>USS Franklin</t>
  </si>
  <si>
    <t>SNW Una</t>
  </si>
  <si>
    <t>Burnham</t>
  </si>
  <si>
    <t>Botany Bay</t>
  </si>
  <si>
    <t>92+30%</t>
  </si>
  <si>
    <t>TOS Chekov</t>
  </si>
  <si>
    <t>North Star</t>
  </si>
  <si>
    <t>Kehra</t>
  </si>
  <si>
    <t>Research</t>
  </si>
  <si>
    <t>Req Building Level</t>
  </si>
  <si>
    <t>Notes</t>
  </si>
  <si>
    <t>Sub-light Maneuvers</t>
  </si>
  <si>
    <t>Discovery</t>
  </si>
  <si>
    <t>All, FC/CC Dependent</t>
  </si>
  <si>
    <t>R+D</t>
  </si>
  <si>
    <t>Vahklas</t>
  </si>
  <si>
    <t>All ships</t>
  </si>
  <si>
    <t>D'vor</t>
  </si>
  <si>
    <t>Boosted Explorer</t>
  </si>
  <si>
    <t>Kumari</t>
  </si>
  <si>
    <t>Science Lab</t>
  </si>
  <si>
    <t>Meridian</t>
  </si>
  <si>
    <t>ship specific</t>
  </si>
  <si>
    <t>Vi'dar</t>
  </si>
  <si>
    <t>Alliance Exocomp</t>
  </si>
  <si>
    <t>Horizon</t>
  </si>
  <si>
    <t>ops 1-9</t>
  </si>
  <si>
    <t>D3</t>
  </si>
  <si>
    <t>ops 10-19</t>
  </si>
  <si>
    <t>Hijacked D3</t>
  </si>
  <si>
    <t>Earned in events</t>
  </si>
  <si>
    <t>20-29</t>
  </si>
  <si>
    <t>Separatist D3</t>
  </si>
  <si>
    <t>G5+</t>
  </si>
  <si>
    <t>30-39</t>
  </si>
  <si>
    <t>Mayflower</t>
  </si>
  <si>
    <t>40-50</t>
  </si>
  <si>
    <t>Hijacked Mayflower</t>
  </si>
  <si>
    <t>51-60</t>
  </si>
  <si>
    <t>Legionary</t>
  </si>
  <si>
    <t>Stella</t>
  </si>
  <si>
    <t>Saladin</t>
  </si>
  <si>
    <t>Your Ops</t>
  </si>
  <si>
    <t>Available for ops 51+ through ATA mission</t>
  </si>
  <si>
    <t>Centurion</t>
  </si>
  <si>
    <t>Alliance Exocomp Active?</t>
  </si>
  <si>
    <t>Sarcophagus</t>
  </si>
  <si>
    <t>Created by: @JulesVern, with data from STFC.space</t>
  </si>
  <si>
    <t>Updated: 6/13/2023</t>
  </si>
  <si>
    <t>Antarres</t>
  </si>
  <si>
    <t>Ship's impulse w/ your research:</t>
  </si>
  <si>
    <t xml:space="preserve">For the: </t>
  </si>
  <si>
    <t>Valkis</t>
  </si>
  <si>
    <t>Crew Combinations</t>
  </si>
  <si>
    <t>Your Tier</t>
  </si>
  <si>
    <t>Max Tier</t>
  </si>
  <si>
    <t>K'vort</t>
  </si>
  <si>
    <t>Max Speed</t>
  </si>
  <si>
    <t>Amalgam</t>
  </si>
  <si>
    <t>Pan + Synergy, Kuron</t>
  </si>
  <si>
    <t>some combat</t>
  </si>
  <si>
    <t>Gladius</t>
  </si>
  <si>
    <t>Burnham, SNW Una, Kuron</t>
  </si>
  <si>
    <t>meh</t>
  </si>
  <si>
    <t>B'rel</t>
  </si>
  <si>
    <t>Klaa + Synergy, Kuron</t>
  </si>
  <si>
    <t>Intrepid</t>
  </si>
  <si>
    <t>Pan + Synergy, SNW Una</t>
  </si>
  <si>
    <t>some combat, no warm up needed</t>
  </si>
  <si>
    <t>Mantis</t>
  </si>
  <si>
    <t>Klaa + synergy, SNW Una</t>
  </si>
  <si>
    <t>no warm up needed</t>
  </si>
  <si>
    <t>D4</t>
  </si>
  <si>
    <t>SNW Una, Kuron</t>
  </si>
  <si>
    <t>hostile speed grinding</t>
  </si>
  <si>
    <t>Enterprise</t>
  </si>
  <si>
    <t>Pan Full Synergy</t>
  </si>
  <si>
    <t>2nd compliment to Max Speed</t>
  </si>
  <si>
    <t>Augur</t>
  </si>
  <si>
    <t>Mantis speed grind</t>
  </si>
  <si>
    <t>USS Voyager</t>
  </si>
  <si>
    <t>Klaa Full Synergy</t>
  </si>
  <si>
    <t>Vidar Talios</t>
  </si>
  <si>
    <t xml:space="preserve">SNW Una </t>
  </si>
  <si>
    <t>general hostile grind</t>
  </si>
  <si>
    <t>D'vor Feesha</t>
  </si>
  <si>
    <t>Burham Full Synergy</t>
  </si>
  <si>
    <t>scraping the bottom of the barrel</t>
  </si>
  <si>
    <t>USS Franklin-A</t>
  </si>
  <si>
    <t>TOS Chekov Full Synergy</t>
  </si>
  <si>
    <t>Explorers only</t>
  </si>
  <si>
    <t>Defiant</t>
  </si>
  <si>
    <t>Hugh (why?!)</t>
  </si>
  <si>
    <t>A misuse of a BDO. please no.</t>
  </si>
  <si>
    <t>Cerritos</t>
  </si>
  <si>
    <t>USS Titan-A</t>
  </si>
  <si>
    <t>ISS Jellyfish</t>
  </si>
  <si>
    <t>y</t>
  </si>
  <si>
    <t>Hydra</t>
  </si>
  <si>
    <t>Vorta Vor</t>
  </si>
  <si>
    <t>B'chor</t>
  </si>
  <si>
    <t>Kelvin</t>
  </si>
  <si>
    <t>Valdore</t>
  </si>
  <si>
    <t>K'tinga</t>
  </si>
  <si>
    <t>Pilum</t>
  </si>
  <si>
    <t>Korinar</t>
  </si>
  <si>
    <t>Newton</t>
  </si>
  <si>
    <t>Hegh'ta</t>
  </si>
  <si>
    <t>Ent-A</t>
  </si>
  <si>
    <t>Tribune</t>
  </si>
  <si>
    <t>Nova</t>
  </si>
  <si>
    <t>Northcutt</t>
  </si>
  <si>
    <t>Corvus</t>
  </si>
  <si>
    <t>Vor'cha</t>
  </si>
  <si>
    <t>Sanctus</t>
  </si>
  <si>
    <t>Quv Sempek</t>
  </si>
  <si>
    <t>Crozier</t>
  </si>
  <si>
    <t>Beatty</t>
  </si>
  <si>
    <t>Vrax</t>
  </si>
  <si>
    <t>Mow'ga</t>
  </si>
  <si>
    <t>Rotarran</t>
  </si>
  <si>
    <t>Ent-D</t>
  </si>
  <si>
    <t>D'deridex</t>
  </si>
  <si>
    <t>Fastest Possible Impulse By Ship</t>
  </si>
  <si>
    <t>Costs to Obtain</t>
  </si>
  <si>
    <t>ATA Store</t>
  </si>
  <si>
    <t>Event Store</t>
  </si>
  <si>
    <t>Faction Credits</t>
  </si>
  <si>
    <t>Cosmic Clean up</t>
  </si>
  <si>
    <t>cost/bp</t>
  </si>
  <si>
    <t>Type</t>
  </si>
  <si>
    <t>Bps needed</t>
  </si>
  <si>
    <t>bp limit</t>
  </si>
  <si>
    <t>% of bps</t>
  </si>
  <si>
    <t>Loot/Cred</t>
  </si>
  <si>
    <t>total loot</t>
  </si>
  <si>
    <t>total credits</t>
  </si>
  <si>
    <t>days to acquire</t>
  </si>
  <si>
    <t>1 chest</t>
  </si>
  <si>
    <t>Total cost</t>
  </si>
  <si>
    <t>ATA/Cred</t>
  </si>
  <si>
    <t>2 chest</t>
  </si>
  <si>
    <t>3 chest</t>
  </si>
  <si>
    <t>Specialty</t>
  </si>
  <si>
    <t>Hijacked Legionary</t>
  </si>
  <si>
    <t>Faction</t>
  </si>
  <si>
    <t>Bortas</t>
  </si>
  <si>
    <t>Quv Sompek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</si>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</sst>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sz val="10"/>
      <color rgb="FFFFFFFF"/>
      <name val="Roboto"/>
    </font>
    <font>
      <b/>
      <i/>
      <sz val="14"/>
      <color rgb="FFFFFFFF"/>
      <name val="Roboto"/>
    </font>
    <font>
      <sz val="10"/>
      <color theme="1"/>
      <name val="Roboto"/>
    </font>
    <font>
      <i/>
      <sz val="10"/>
      <color rgb="FFFFFFFF"/>
      <name val="Roboto"/>
    </font>
    <font>
      <sz val="10"/>
      <color rgb="FF999999"/>
      <name val="Roboto"/>
    </font>
    <font>
      <sz val="11"/>
      <color rgb="FFFFFFFF"/>
      <name val="Roboto"/>
    </font>
    <font>
      <b/>
      <sz val="10"/>
      <color rgb="FFFFFFFF"/>
      <name val="Roboto"/>
    </font>
    <font>
      <sz val="11"/>
      <color rgb="FF1F1F1F"/>
      <name val="&quot;Google Sans&quot;"/>
    </font>
    <font>
      <b/>
      <sz val="10"/>
      <color theme="1"/>
      <name val="Roboto"/>
    </font>
    <font>
      <sz val="10"/>
      <color rgb="FFCCCCCC"/>
      <name val="Roboto"/>
    </font>
    <font>
      <sz val="10"/>
      <color theme="1"/>
      <name val="Arial"/>
      <scheme val="minor"/>
    </font>
    <font>
      <sz val="10"/>
      <color theme="1"/>
      <name val="Arial"/>
    </font>
    <font>
      <i/>
      <sz val="10"/>
      <color rgb="FF999999"/>
      <name val="Roboto"/>
    </font>
    <font>
      <b/>
      <i/>
      <sz val="10"/>
      <color rgb="FFFFFFFF"/>
      <name val="Roboto"/>
    </font>
    <font>
      <sz val="14"/>
      <color theme="1"/>
      <name val="Arial"/>
      <scheme val="minor"/>
    </font>
    <font>
      <b/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354F5C"/>
        <bgColor rgb="FF354F5C"/>
      </patternFill>
    </fill>
    <fill>
      <patternFill patternType="solid">
        <fgColor rgb="FF274E13"/>
        <bgColor rgb="FF274E1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F9000"/>
        <bgColor rgb="FFBF9000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6AA84F"/>
      </left>
      <right style="medium">
        <color rgb="FF6AA84F"/>
      </right>
      <top style="medium">
        <color rgb="FF6AA84F"/>
      </top>
      <bottom style="medium">
        <color rgb="FF6AA84F"/>
      </bottom>
      <diagonal/>
    </border>
    <border>
      <left style="medium">
        <color rgb="FF45818E"/>
      </left>
      <right/>
      <top style="medium">
        <color rgb="FF45818E"/>
      </top>
      <bottom style="hair">
        <color rgb="FFCCCCCC"/>
      </bottom>
      <diagonal/>
    </border>
    <border>
      <left/>
      <right/>
      <top style="medium">
        <color rgb="FF45818E"/>
      </top>
      <bottom style="hair">
        <color rgb="FFCCCCCC"/>
      </bottom>
      <diagonal/>
    </border>
    <border>
      <left/>
      <right style="medium">
        <color rgb="FF45818E"/>
      </right>
      <top style="medium">
        <color rgb="FF45818E"/>
      </top>
      <bottom style="hair">
        <color rgb="FFCCCCCC"/>
      </bottom>
      <diagonal/>
    </border>
    <border>
      <left style="medium">
        <color rgb="FF45818E"/>
      </left>
      <right/>
      <top style="hair">
        <color rgb="FFCCCCCC"/>
      </top>
      <bottom style="hair">
        <color rgb="FFCCCCCC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/>
      <right style="medium">
        <color rgb="FF45818E"/>
      </right>
      <top style="hair">
        <color rgb="FFCCCCCC"/>
      </top>
      <bottom style="hair">
        <color rgb="FFCCCCCC"/>
      </bottom>
      <diagonal/>
    </border>
    <border>
      <left style="medium">
        <color rgb="FF45818E"/>
      </left>
      <right/>
      <top style="hair">
        <color rgb="FFCCCCCC"/>
      </top>
      <bottom style="medium">
        <color rgb="FF45818E"/>
      </bottom>
      <diagonal/>
    </border>
    <border>
      <left/>
      <right/>
      <top style="hair">
        <color rgb="FFCCCCCC"/>
      </top>
      <bottom style="medium">
        <color rgb="FF45818E"/>
      </bottom>
      <diagonal/>
    </border>
    <border>
      <left/>
      <right style="medium">
        <color rgb="FF45818E"/>
      </right>
      <top style="hair">
        <color rgb="FFCCCCCC"/>
      </top>
      <bottom style="medium">
        <color rgb="FF45818E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hair">
        <color rgb="FFCCCCCC"/>
      </bottom>
      <diagonal/>
    </border>
    <border>
      <left style="medium">
        <color rgb="FF6AA84F"/>
      </left>
      <right style="medium">
        <color rgb="FF6AA84F"/>
      </right>
      <top style="medium">
        <color rgb="FF6AA84F"/>
      </top>
      <bottom style="hair">
        <color rgb="FFCCCCCC"/>
      </bottom>
      <diagonal/>
    </border>
    <border>
      <left style="thin">
        <color rgb="FF000000"/>
      </left>
      <right/>
      <top/>
      <bottom style="hair">
        <color rgb="FFCCCCCC"/>
      </bottom>
      <diagonal/>
    </border>
    <border>
      <left style="medium">
        <color rgb="FF6AA84F"/>
      </left>
      <right style="medium">
        <color rgb="FF6AA84F"/>
      </right>
      <top style="hair">
        <color rgb="FFCCCCCC"/>
      </top>
      <bottom style="hair">
        <color rgb="FFCCCCCC"/>
      </bottom>
      <diagonal/>
    </border>
    <border>
      <left style="thin">
        <color rgb="FF000000"/>
      </left>
      <right/>
      <top style="hair">
        <color rgb="FFCCCCCC"/>
      </top>
      <bottom style="hair">
        <color rgb="FFCCCCCC"/>
      </bottom>
      <diagonal/>
    </border>
    <border>
      <left/>
      <right/>
      <top style="hair">
        <color rgb="FFCCCCCC"/>
      </top>
      <bottom/>
      <diagonal/>
    </border>
    <border>
      <left style="medium">
        <color rgb="FF6AA84F"/>
      </left>
      <right style="medium">
        <color rgb="FF6AA84F"/>
      </right>
      <top style="hair">
        <color rgb="FFCCCCCC"/>
      </top>
      <bottom style="medium">
        <color rgb="FF6AA84F"/>
      </bottom>
      <diagonal/>
    </border>
    <border>
      <left/>
      <right/>
      <top/>
      <bottom style="thin">
        <color rgb="FFFFFFFF"/>
      </bottom>
      <diagonal/>
    </border>
    <border>
      <left/>
      <right style="hair">
        <color rgb="FF000000"/>
      </right>
      <top/>
      <bottom/>
      <diagonal/>
    </border>
    <border>
      <left/>
      <right/>
      <top/>
      <bottom style="hair">
        <color rgb="FFD9D9D9"/>
      </bottom>
      <diagonal/>
    </border>
    <border>
      <left style="medium">
        <color rgb="FF6AA84F"/>
      </left>
      <right style="medium">
        <color rgb="FF6AA84F"/>
      </right>
      <top style="medium">
        <color rgb="FF6AA84F"/>
      </top>
      <bottom style="hair">
        <color rgb="FFD9D9D9"/>
      </bottom>
      <diagonal/>
    </border>
    <border>
      <left style="medium">
        <color rgb="FF6AA84F"/>
      </left>
      <right style="medium">
        <color rgb="FF6AA84F"/>
      </right>
      <top/>
      <bottom style="medium">
        <color rgb="FF6AA84F"/>
      </bottom>
      <diagonal/>
    </border>
    <border>
      <left style="medium">
        <color rgb="FFBF9000"/>
      </left>
      <right style="medium">
        <color rgb="FFBF9000"/>
      </right>
      <top style="medium">
        <color rgb="FFBF9000"/>
      </top>
      <bottom style="medium">
        <color rgb="FFBF9000"/>
      </bottom>
      <diagonal/>
    </border>
    <border>
      <left style="medium">
        <color rgb="FF45818E"/>
      </left>
      <right style="medium">
        <color rgb="FF45818E"/>
      </right>
      <top style="medium">
        <color rgb="FF45818E"/>
      </top>
      <bottom style="medium">
        <color rgb="FF45818E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/>
      <top/>
      <bottom style="hair">
        <color rgb="FFCCCCCC"/>
      </bottom>
      <diagonal/>
    </border>
    <border>
      <left style="hair">
        <color rgb="FF000000"/>
      </left>
      <right/>
      <top style="hair">
        <color rgb="FFCCCCCC"/>
      </top>
      <bottom style="hair">
        <color rgb="FFCCCCCC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0" xfId="0" applyFont="1" applyFill="1"/>
    <xf numFmtId="0" fontId="3" fillId="0" borderId="0" xfId="0" applyFont="1"/>
    <xf numFmtId="1" fontId="3" fillId="0" borderId="0" xfId="0" applyNumberFormat="1" applyFont="1"/>
    <xf numFmtId="0" fontId="1" fillId="3" borderId="0" xfId="0" applyFont="1" applyFill="1"/>
    <xf numFmtId="0" fontId="1" fillId="3" borderId="1" xfId="0" applyFont="1" applyFill="1" applyBorder="1"/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1" fillId="4" borderId="2" xfId="0" applyFont="1" applyFill="1" applyBorder="1"/>
    <xf numFmtId="0" fontId="6" fillId="3" borderId="0" xfId="0" applyFont="1" applyFill="1"/>
    <xf numFmtId="0" fontId="1" fillId="3" borderId="3" xfId="0" applyFont="1" applyFill="1" applyBorder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/>
    <xf numFmtId="1" fontId="7" fillId="3" borderId="10" xfId="0" applyNumberFormat="1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8" fillId="5" borderId="0" xfId="0" applyFont="1" applyFill="1"/>
    <xf numFmtId="0" fontId="1" fillId="3" borderId="12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3" xfId="0" applyFont="1" applyFill="1" applyBorder="1"/>
    <xf numFmtId="0" fontId="1" fillId="4" borderId="14" xfId="0" applyFont="1" applyFill="1" applyBorder="1"/>
    <xf numFmtId="9" fontId="1" fillId="3" borderId="13" xfId="0" applyNumberFormat="1" applyFont="1" applyFill="1" applyBorder="1"/>
    <xf numFmtId="0" fontId="1" fillId="3" borderId="15" xfId="0" applyFont="1" applyFill="1" applyBorder="1"/>
    <xf numFmtId="9" fontId="1" fillId="3" borderId="13" xfId="0" applyNumberFormat="1" applyFont="1" applyFill="1" applyBorder="1" applyAlignment="1">
      <alignment horizontal="center"/>
    </xf>
    <xf numFmtId="0" fontId="1" fillId="3" borderId="7" xfId="0" applyFont="1" applyFill="1" applyBorder="1"/>
    <xf numFmtId="0" fontId="1" fillId="4" borderId="16" xfId="0" applyFont="1" applyFill="1" applyBorder="1"/>
    <xf numFmtId="9" fontId="1" fillId="3" borderId="7" xfId="0" applyNumberFormat="1" applyFont="1" applyFill="1" applyBorder="1"/>
    <xf numFmtId="0" fontId="1" fillId="3" borderId="17" xfId="0" applyFont="1" applyFill="1" applyBorder="1"/>
    <xf numFmtId="9" fontId="1" fillId="3" borderId="7" xfId="0" applyNumberFormat="1" applyFont="1" applyFill="1" applyBorder="1" applyAlignment="1">
      <alignment horizontal="center"/>
    </xf>
    <xf numFmtId="0" fontId="9" fillId="0" borderId="0" xfId="0" applyFont="1"/>
    <xf numFmtId="0" fontId="1" fillId="3" borderId="18" xfId="0" applyFont="1" applyFill="1" applyBorder="1"/>
    <xf numFmtId="0" fontId="1" fillId="4" borderId="19" xfId="0" applyFont="1" applyFill="1" applyBorder="1"/>
    <xf numFmtId="0" fontId="10" fillId="2" borderId="0" xfId="0" applyFont="1" applyFill="1" applyAlignment="1">
      <alignment horizontal="center" vertical="center" textRotation="180"/>
    </xf>
    <xf numFmtId="0" fontId="1" fillId="3" borderId="18" xfId="0" applyFont="1" applyFill="1" applyBorder="1" applyAlignment="1">
      <alignment horizontal="center"/>
    </xf>
    <xf numFmtId="3" fontId="3" fillId="0" borderId="0" xfId="0" applyNumberFormat="1" applyFont="1" applyAlignment="1">
      <alignment horizontal="left" vertical="center"/>
    </xf>
    <xf numFmtId="3" fontId="3" fillId="0" borderId="20" xfId="0" applyNumberFormat="1" applyFont="1" applyBorder="1"/>
    <xf numFmtId="3" fontId="3" fillId="0" borderId="0" xfId="0" applyNumberFormat="1" applyFont="1"/>
    <xf numFmtId="3" fontId="1" fillId="3" borderId="7" xfId="0" applyNumberFormat="1" applyFont="1" applyFill="1" applyBorder="1"/>
    <xf numFmtId="0" fontId="11" fillId="0" borderId="0" xfId="0" applyFont="1"/>
    <xf numFmtId="0" fontId="11" fillId="0" borderId="21" xfId="0" applyFont="1" applyBorder="1"/>
    <xf numFmtId="1" fontId="11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right"/>
    </xf>
    <xf numFmtId="3" fontId="1" fillId="2" borderId="0" xfId="0" applyNumberFormat="1" applyFont="1" applyFill="1"/>
    <xf numFmtId="0" fontId="1" fillId="4" borderId="0" xfId="0" applyFont="1" applyFill="1"/>
    <xf numFmtId="0" fontId="9" fillId="6" borderId="0" xfId="0" applyFont="1" applyFill="1"/>
    <xf numFmtId="0" fontId="1" fillId="3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3" fontId="13" fillId="2" borderId="0" xfId="0" applyNumberFormat="1" applyFont="1" applyFill="1"/>
    <xf numFmtId="0" fontId="13" fillId="2" borderId="0" xfId="0" applyFont="1" applyFill="1"/>
    <xf numFmtId="0" fontId="7" fillId="7" borderId="25" xfId="0" applyFont="1" applyFill="1" applyBorder="1"/>
    <xf numFmtId="0" fontId="14" fillId="3" borderId="26" xfId="0" applyFont="1" applyFill="1" applyBorder="1" applyAlignment="1">
      <alignment horizontal="center"/>
    </xf>
    <xf numFmtId="0" fontId="1" fillId="3" borderId="27" xfId="0" applyFont="1" applyFill="1" applyBorder="1"/>
    <xf numFmtId="0" fontId="1" fillId="2" borderId="1" xfId="0" applyFont="1" applyFill="1" applyBorder="1"/>
    <xf numFmtId="0" fontId="1" fillId="2" borderId="0" xfId="0" applyFont="1" applyFill="1" applyAlignment="1">
      <alignment vertical="center"/>
    </xf>
    <xf numFmtId="0" fontId="1" fillId="3" borderId="13" xfId="0" applyFont="1" applyFill="1" applyBorder="1" applyAlignment="1">
      <alignment vertical="center"/>
    </xf>
    <xf numFmtId="1" fontId="1" fillId="3" borderId="13" xfId="0" applyNumberFormat="1" applyFont="1" applyFill="1" applyBorder="1" applyAlignment="1">
      <alignment vertical="center"/>
    </xf>
    <xf numFmtId="1" fontId="1" fillId="3" borderId="28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1" fontId="1" fillId="3" borderId="7" xfId="0" applyNumberFormat="1" applyFont="1" applyFill="1" applyBorder="1" applyAlignment="1">
      <alignment vertical="center"/>
    </xf>
    <xf numFmtId="1" fontId="1" fillId="3" borderId="29" xfId="0" applyNumberFormat="1" applyFont="1" applyFill="1" applyBorder="1" applyAlignment="1">
      <alignment vertical="center"/>
    </xf>
    <xf numFmtId="1" fontId="3" fillId="0" borderId="0" xfId="0" applyNumberFormat="1" applyFont="1" applyAlignment="1">
      <alignment horizontal="right"/>
    </xf>
    <xf numFmtId="0" fontId="1" fillId="3" borderId="18" xfId="0" applyFont="1" applyFill="1" applyBorder="1" applyAlignment="1">
      <alignment vertical="center"/>
    </xf>
    <xf numFmtId="0" fontId="1" fillId="3" borderId="29" xfId="0" applyFont="1" applyFill="1" applyBorder="1" applyAlignment="1">
      <alignment vertical="center"/>
    </xf>
    <xf numFmtId="0" fontId="1" fillId="0" borderId="0" xfId="0" applyFont="1"/>
    <xf numFmtId="0" fontId="15" fillId="0" borderId="0" xfId="0" applyFont="1" applyAlignment="1">
      <alignment horizontal="center" vertical="center"/>
    </xf>
    <xf numFmtId="0" fontId="11" fillId="0" borderId="1" xfId="0" applyFont="1" applyBorder="1"/>
    <xf numFmtId="0" fontId="11" fillId="0" borderId="27" xfId="0" applyFont="1" applyBorder="1"/>
    <xf numFmtId="0" fontId="11" fillId="0" borderId="30" xfId="0" applyFont="1" applyBorder="1"/>
    <xf numFmtId="1" fontId="11" fillId="0" borderId="1" xfId="0" applyNumberFormat="1" applyFont="1" applyBorder="1"/>
    <xf numFmtId="0" fontId="3" fillId="0" borderId="21" xfId="0" applyFont="1" applyBorder="1"/>
    <xf numFmtId="3" fontId="15" fillId="0" borderId="0" xfId="0" applyNumberFormat="1" applyFont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3" fontId="11" fillId="0" borderId="0" xfId="0" applyNumberFormat="1" applyFont="1"/>
    <xf numFmtId="3" fontId="11" fillId="0" borderId="1" xfId="0" applyNumberFormat="1" applyFont="1" applyBorder="1"/>
    <xf numFmtId="3" fontId="11" fillId="0" borderId="27" xfId="0" applyNumberFormat="1" applyFont="1" applyBorder="1"/>
    <xf numFmtId="9" fontId="11" fillId="0" borderId="1" xfId="0" applyNumberFormat="1" applyFont="1" applyBorder="1"/>
    <xf numFmtId="3" fontId="11" fillId="0" borderId="30" xfId="0" applyNumberFormat="1" applyFont="1" applyBorder="1"/>
    <xf numFmtId="3" fontId="11" fillId="0" borderId="31" xfId="0" applyNumberFormat="1" applyFont="1" applyBorder="1"/>
    <xf numFmtId="9" fontId="11" fillId="0" borderId="0" xfId="0" applyNumberFormat="1" applyFont="1"/>
    <xf numFmtId="3" fontId="11" fillId="0" borderId="21" xfId="0" applyNumberFormat="1" applyFont="1" applyBorder="1"/>
    <xf numFmtId="3" fontId="16" fillId="0" borderId="31" xfId="0" applyNumberFormat="1" applyFont="1" applyBorder="1"/>
    <xf numFmtId="3" fontId="16" fillId="6" borderId="0" xfId="0" applyNumberFormat="1" applyFont="1" applyFill="1"/>
    <xf numFmtId="0" fontId="4" fillId="2" borderId="0" xfId="0" applyFont="1" applyFill="1" applyAlignment="1">
      <alignment horizontal="center"/>
    </xf>
    <xf numFmtId="0" fontId="0" fillId="0" borderId="0" xfId="0"/>
    <xf numFmtId="0" fontId="5" fillId="2" borderId="0" xfId="0" applyFont="1" applyFill="1" applyAlignment="1">
      <alignment horizontal="center" vertical="center" textRotation="180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15" fillId="0" borderId="0" xfId="0" applyFont="1" applyAlignment="1">
      <alignment horizontal="center" vertical="center"/>
    </xf>
    <xf numFmtId="3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lang="en-US" b="0">
                <a:solidFill>
                  <a:srgbClr val="FFFFFF"/>
                </a:solidFill>
                <a:latin typeface="+mn-lt"/>
              </a:rPr>
              <a:t>Fastest Ship by Max Impulse (w/ research and crew)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1"/>
        <c:ser>
          <c:idx val="0"/>
          <c:order val="0"/>
          <c:tx>
            <c:strRef>
              <c:f>'All Ships filtered'!$D$2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'All Ships filtered'!$A$3:$A$75</c:f>
              <c:strCache>
                <c:ptCount val="73"/>
                <c:pt idx="0">
                  <c:v>Realta</c:v>
                </c:pt>
                <c:pt idx="1">
                  <c:v>Mantis</c:v>
                </c:pt>
                <c:pt idx="2">
                  <c:v>Vidar Talios</c:v>
                </c:pt>
                <c:pt idx="3">
                  <c:v>Northcutt</c:v>
                </c:pt>
                <c:pt idx="4">
                  <c:v>Sanctus</c:v>
                </c:pt>
                <c:pt idx="5">
                  <c:v>Rotarran</c:v>
                </c:pt>
                <c:pt idx="6">
                  <c:v>Beatty</c:v>
                </c:pt>
                <c:pt idx="7">
                  <c:v>Vrax</c:v>
                </c:pt>
                <c:pt idx="8">
                  <c:v>Mow'ga</c:v>
                </c:pt>
                <c:pt idx="9">
                  <c:v>Botany Bay</c:v>
                </c:pt>
                <c:pt idx="10">
                  <c:v>USS Voyager</c:v>
                </c:pt>
                <c:pt idx="11">
                  <c:v>USS Titan-A</c:v>
                </c:pt>
                <c:pt idx="12">
                  <c:v>Corvus</c:v>
                </c:pt>
                <c:pt idx="13">
                  <c:v>Quv Sempek</c:v>
                </c:pt>
                <c:pt idx="14">
                  <c:v>Ent-D</c:v>
                </c:pt>
                <c:pt idx="15">
                  <c:v>D'vor Feesha</c:v>
                </c:pt>
                <c:pt idx="16">
                  <c:v>Phindra</c:v>
                </c:pt>
                <c:pt idx="17">
                  <c:v>Stella</c:v>
                </c:pt>
                <c:pt idx="18">
                  <c:v>USS Franklin-A</c:v>
                </c:pt>
                <c:pt idx="19">
                  <c:v>Defiant</c:v>
                </c:pt>
                <c:pt idx="20">
                  <c:v>Nova</c:v>
                </c:pt>
                <c:pt idx="21">
                  <c:v>Vor'cha</c:v>
                </c:pt>
                <c:pt idx="22">
                  <c:v>Crozier</c:v>
                </c:pt>
                <c:pt idx="23">
                  <c:v>D'deridex</c:v>
                </c:pt>
                <c:pt idx="24">
                  <c:v>Kelvin</c:v>
                </c:pt>
                <c:pt idx="25">
                  <c:v>Pilum</c:v>
                </c:pt>
                <c:pt idx="26">
                  <c:v>Hegh'ta</c:v>
                </c:pt>
                <c:pt idx="27">
                  <c:v>USS Franklin</c:v>
                </c:pt>
                <c:pt idx="28">
                  <c:v>Vi'dar</c:v>
                </c:pt>
                <c:pt idx="29">
                  <c:v>Corvette</c:v>
                </c:pt>
                <c:pt idx="30">
                  <c:v>Kehra</c:v>
                </c:pt>
                <c:pt idx="31">
                  <c:v>D3</c:v>
                </c:pt>
                <c:pt idx="32">
                  <c:v>Hijacked D3</c:v>
                </c:pt>
                <c:pt idx="33">
                  <c:v>Separatist D3</c:v>
                </c:pt>
                <c:pt idx="34">
                  <c:v>Saladin</c:v>
                </c:pt>
                <c:pt idx="35">
                  <c:v>Gladius</c:v>
                </c:pt>
                <c:pt idx="36">
                  <c:v>D4</c:v>
                </c:pt>
                <c:pt idx="37">
                  <c:v>Turas</c:v>
                </c:pt>
                <c:pt idx="38">
                  <c:v>Jellyfish</c:v>
                </c:pt>
                <c:pt idx="39">
                  <c:v>North Star</c:v>
                </c:pt>
                <c:pt idx="40">
                  <c:v>Discovery</c:v>
                </c:pt>
                <c:pt idx="41">
                  <c:v>Cerritos</c:v>
                </c:pt>
                <c:pt idx="42">
                  <c:v>ISS Jellyfish</c:v>
                </c:pt>
                <c:pt idx="43">
                  <c:v>Valdore</c:v>
                </c:pt>
                <c:pt idx="44">
                  <c:v>Korinar</c:v>
                </c:pt>
                <c:pt idx="45">
                  <c:v>Ent-A</c:v>
                </c:pt>
                <c:pt idx="46">
                  <c:v>Vahklas</c:v>
                </c:pt>
                <c:pt idx="47">
                  <c:v>Mayflower</c:v>
                </c:pt>
                <c:pt idx="48">
                  <c:v>Hijacked Mayflower</c:v>
                </c:pt>
                <c:pt idx="49">
                  <c:v>Centurion</c:v>
                </c:pt>
                <c:pt idx="50">
                  <c:v>B'rel</c:v>
                </c:pt>
                <c:pt idx="51">
                  <c:v>Enterprise</c:v>
                </c:pt>
                <c:pt idx="52">
                  <c:v>K'tinga</c:v>
                </c:pt>
                <c:pt idx="53">
                  <c:v>Newton</c:v>
                </c:pt>
                <c:pt idx="54">
                  <c:v>Tribune</c:v>
                </c:pt>
                <c:pt idx="55">
                  <c:v>Fortunate</c:v>
                </c:pt>
                <c:pt idx="56">
                  <c:v>Talla</c:v>
                </c:pt>
                <c:pt idx="57">
                  <c:v>Hydra</c:v>
                </c:pt>
                <c:pt idx="58">
                  <c:v>Vorta Vor</c:v>
                </c:pt>
                <c:pt idx="59">
                  <c:v>B'chor</c:v>
                </c:pt>
                <c:pt idx="60">
                  <c:v>D'vor</c:v>
                </c:pt>
                <c:pt idx="61">
                  <c:v>Kumari</c:v>
                </c:pt>
                <c:pt idx="62">
                  <c:v>Legionary</c:v>
                </c:pt>
                <c:pt idx="63">
                  <c:v>Intrepid</c:v>
                </c:pt>
                <c:pt idx="64">
                  <c:v>Augur</c:v>
                </c:pt>
                <c:pt idx="65">
                  <c:v>Envoy</c:v>
                </c:pt>
                <c:pt idx="66">
                  <c:v>Sarcophagus</c:v>
                </c:pt>
                <c:pt idx="67">
                  <c:v>Meridian</c:v>
                </c:pt>
                <c:pt idx="68">
                  <c:v>Horizon</c:v>
                </c:pt>
                <c:pt idx="69">
                  <c:v>Antarres</c:v>
                </c:pt>
                <c:pt idx="70">
                  <c:v>Valkis</c:v>
                </c:pt>
                <c:pt idx="71">
                  <c:v>K'vort</c:v>
                </c:pt>
                <c:pt idx="72">
                  <c:v>Amalgam</c:v>
                </c:pt>
              </c:strCache>
            </c:strRef>
          </c:cat>
          <c:val>
            <c:numRef>
              <c:f>'All Ships filtered'!$D$3:$D$75</c:f>
              <c:numCache>
                <c:formatCode>General</c:formatCode>
                <c:ptCount val="73"/>
                <c:pt idx="0">
                  <c:v>150</c:v>
                </c:pt>
                <c:pt idx="1">
                  <c:v>85</c:v>
                </c:pt>
                <c:pt idx="2">
                  <c:v>125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105</c:v>
                </c:pt>
                <c:pt idx="16">
                  <c:v>127</c:v>
                </c:pt>
                <c:pt idx="17">
                  <c:v>125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100</c:v>
                </c:pt>
                <c:pt idx="28">
                  <c:v>120</c:v>
                </c:pt>
                <c:pt idx="29">
                  <c:v>115</c:v>
                </c:pt>
                <c:pt idx="30">
                  <c:v>115</c:v>
                </c:pt>
                <c:pt idx="31">
                  <c:v>115</c:v>
                </c:pt>
                <c:pt idx="32">
                  <c:v>115</c:v>
                </c:pt>
                <c:pt idx="33">
                  <c:v>115</c:v>
                </c:pt>
                <c:pt idx="34">
                  <c:v>115</c:v>
                </c:pt>
                <c:pt idx="35">
                  <c:v>115</c:v>
                </c:pt>
                <c:pt idx="36">
                  <c:v>115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94</c:v>
                </c:pt>
                <c:pt idx="56">
                  <c:v>94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  <c:pt idx="60">
                  <c:v>90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83</c:v>
                </c:pt>
                <c:pt idx="66">
                  <c:v>80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6C2-424F-8D00-61B5D04D6E74}"/>
            </c:ext>
          </c:extLst>
        </c:ser>
        <c:ser>
          <c:idx val="1"/>
          <c:order val="1"/>
          <c:tx>
            <c:strRef>
              <c:f>'All Ships filtered'!$F$2</c:f>
              <c:strCache>
                <c:ptCount val="1"/>
                <c:pt idx="0">
                  <c:v>Max Flat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'All Ships filtered'!$A$3:$A$75</c:f>
              <c:strCache>
                <c:ptCount val="73"/>
                <c:pt idx="0">
                  <c:v>Realta</c:v>
                </c:pt>
                <c:pt idx="1">
                  <c:v>Mantis</c:v>
                </c:pt>
                <c:pt idx="2">
                  <c:v>Vidar Talios</c:v>
                </c:pt>
                <c:pt idx="3">
                  <c:v>Northcutt</c:v>
                </c:pt>
                <c:pt idx="4">
                  <c:v>Sanctus</c:v>
                </c:pt>
                <c:pt idx="5">
                  <c:v>Rotarran</c:v>
                </c:pt>
                <c:pt idx="6">
                  <c:v>Beatty</c:v>
                </c:pt>
                <c:pt idx="7">
                  <c:v>Vrax</c:v>
                </c:pt>
                <c:pt idx="8">
                  <c:v>Mow'ga</c:v>
                </c:pt>
                <c:pt idx="9">
                  <c:v>Botany Bay</c:v>
                </c:pt>
                <c:pt idx="10">
                  <c:v>USS Voyager</c:v>
                </c:pt>
                <c:pt idx="11">
                  <c:v>USS Titan-A</c:v>
                </c:pt>
                <c:pt idx="12">
                  <c:v>Corvus</c:v>
                </c:pt>
                <c:pt idx="13">
                  <c:v>Quv Sempek</c:v>
                </c:pt>
                <c:pt idx="14">
                  <c:v>Ent-D</c:v>
                </c:pt>
                <c:pt idx="15">
                  <c:v>D'vor Feesha</c:v>
                </c:pt>
                <c:pt idx="16">
                  <c:v>Phindra</c:v>
                </c:pt>
                <c:pt idx="17">
                  <c:v>Stella</c:v>
                </c:pt>
                <c:pt idx="18">
                  <c:v>USS Franklin-A</c:v>
                </c:pt>
                <c:pt idx="19">
                  <c:v>Defiant</c:v>
                </c:pt>
                <c:pt idx="20">
                  <c:v>Nova</c:v>
                </c:pt>
                <c:pt idx="21">
                  <c:v>Vor'cha</c:v>
                </c:pt>
                <c:pt idx="22">
                  <c:v>Crozier</c:v>
                </c:pt>
                <c:pt idx="23">
                  <c:v>D'deridex</c:v>
                </c:pt>
                <c:pt idx="24">
                  <c:v>Kelvin</c:v>
                </c:pt>
                <c:pt idx="25">
                  <c:v>Pilum</c:v>
                </c:pt>
                <c:pt idx="26">
                  <c:v>Hegh'ta</c:v>
                </c:pt>
                <c:pt idx="27">
                  <c:v>USS Franklin</c:v>
                </c:pt>
                <c:pt idx="28">
                  <c:v>Vi'dar</c:v>
                </c:pt>
                <c:pt idx="29">
                  <c:v>Corvette</c:v>
                </c:pt>
                <c:pt idx="30">
                  <c:v>Kehra</c:v>
                </c:pt>
                <c:pt idx="31">
                  <c:v>D3</c:v>
                </c:pt>
                <c:pt idx="32">
                  <c:v>Hijacked D3</c:v>
                </c:pt>
                <c:pt idx="33">
                  <c:v>Separatist D3</c:v>
                </c:pt>
                <c:pt idx="34">
                  <c:v>Saladin</c:v>
                </c:pt>
                <c:pt idx="35">
                  <c:v>Gladius</c:v>
                </c:pt>
                <c:pt idx="36">
                  <c:v>D4</c:v>
                </c:pt>
                <c:pt idx="37">
                  <c:v>Turas</c:v>
                </c:pt>
                <c:pt idx="38">
                  <c:v>Jellyfish</c:v>
                </c:pt>
                <c:pt idx="39">
                  <c:v>North Star</c:v>
                </c:pt>
                <c:pt idx="40">
                  <c:v>Discovery</c:v>
                </c:pt>
                <c:pt idx="41">
                  <c:v>Cerritos</c:v>
                </c:pt>
                <c:pt idx="42">
                  <c:v>ISS Jellyfish</c:v>
                </c:pt>
                <c:pt idx="43">
                  <c:v>Valdore</c:v>
                </c:pt>
                <c:pt idx="44">
                  <c:v>Korinar</c:v>
                </c:pt>
                <c:pt idx="45">
                  <c:v>Ent-A</c:v>
                </c:pt>
                <c:pt idx="46">
                  <c:v>Vahklas</c:v>
                </c:pt>
                <c:pt idx="47">
                  <c:v>Mayflower</c:v>
                </c:pt>
                <c:pt idx="48">
                  <c:v>Hijacked Mayflower</c:v>
                </c:pt>
                <c:pt idx="49">
                  <c:v>Centurion</c:v>
                </c:pt>
                <c:pt idx="50">
                  <c:v>B'rel</c:v>
                </c:pt>
                <c:pt idx="51">
                  <c:v>Enterprise</c:v>
                </c:pt>
                <c:pt idx="52">
                  <c:v>K'tinga</c:v>
                </c:pt>
                <c:pt idx="53">
                  <c:v>Newton</c:v>
                </c:pt>
                <c:pt idx="54">
                  <c:v>Tribune</c:v>
                </c:pt>
                <c:pt idx="55">
                  <c:v>Fortunate</c:v>
                </c:pt>
                <c:pt idx="56">
                  <c:v>Talla</c:v>
                </c:pt>
                <c:pt idx="57">
                  <c:v>Hydra</c:v>
                </c:pt>
                <c:pt idx="58">
                  <c:v>Vorta Vor</c:v>
                </c:pt>
                <c:pt idx="59">
                  <c:v>B'chor</c:v>
                </c:pt>
                <c:pt idx="60">
                  <c:v>D'vor</c:v>
                </c:pt>
                <c:pt idx="61">
                  <c:v>Kumari</c:v>
                </c:pt>
                <c:pt idx="62">
                  <c:v>Legionary</c:v>
                </c:pt>
                <c:pt idx="63">
                  <c:v>Intrepid</c:v>
                </c:pt>
                <c:pt idx="64">
                  <c:v>Augur</c:v>
                </c:pt>
                <c:pt idx="65">
                  <c:v>Envoy</c:v>
                </c:pt>
                <c:pt idx="66">
                  <c:v>Sarcophagus</c:v>
                </c:pt>
                <c:pt idx="67">
                  <c:v>Meridian</c:v>
                </c:pt>
                <c:pt idx="68">
                  <c:v>Horizon</c:v>
                </c:pt>
                <c:pt idx="69">
                  <c:v>Antarres</c:v>
                </c:pt>
                <c:pt idx="70">
                  <c:v>Valkis</c:v>
                </c:pt>
                <c:pt idx="71">
                  <c:v>K'vort</c:v>
                </c:pt>
                <c:pt idx="72">
                  <c:v>Amalgam</c:v>
                </c:pt>
              </c:strCache>
            </c:strRef>
          </c:cat>
          <c:val>
            <c:numRef>
              <c:f>'All Ships filtered'!$F$3:$F$75</c:f>
              <c:numCache>
                <c:formatCode>General</c:formatCode>
                <c:ptCount val="73"/>
                <c:pt idx="0">
                  <c:v>262</c:v>
                </c:pt>
                <c:pt idx="1">
                  <c:v>242</c:v>
                </c:pt>
                <c:pt idx="2">
                  <c:v>242</c:v>
                </c:pt>
                <c:pt idx="3">
                  <c:v>237</c:v>
                </c:pt>
                <c:pt idx="4">
                  <c:v>237</c:v>
                </c:pt>
                <c:pt idx="5">
                  <c:v>237</c:v>
                </c:pt>
                <c:pt idx="6">
                  <c:v>232</c:v>
                </c:pt>
                <c:pt idx="7">
                  <c:v>232</c:v>
                </c:pt>
                <c:pt idx="8">
                  <c:v>232</c:v>
                </c:pt>
                <c:pt idx="9">
                  <c:v>262.60000000000002</c:v>
                </c:pt>
                <c:pt idx="10">
                  <c:v>227</c:v>
                </c:pt>
                <c:pt idx="11">
                  <c:v>227</c:v>
                </c:pt>
                <c:pt idx="12">
                  <c:v>227</c:v>
                </c:pt>
                <c:pt idx="13">
                  <c:v>227</c:v>
                </c:pt>
                <c:pt idx="14">
                  <c:v>227</c:v>
                </c:pt>
                <c:pt idx="15">
                  <c:v>222</c:v>
                </c:pt>
                <c:pt idx="16">
                  <c:v>219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217</c:v>
                </c:pt>
                <c:pt idx="22">
                  <c:v>217</c:v>
                </c:pt>
                <c:pt idx="23">
                  <c:v>217</c:v>
                </c:pt>
                <c:pt idx="24">
                  <c:v>215</c:v>
                </c:pt>
                <c:pt idx="25">
                  <c:v>215</c:v>
                </c:pt>
                <c:pt idx="26">
                  <c:v>215</c:v>
                </c:pt>
                <c:pt idx="27">
                  <c:v>212</c:v>
                </c:pt>
                <c:pt idx="28">
                  <c:v>212</c:v>
                </c:pt>
                <c:pt idx="29">
                  <c:v>207</c:v>
                </c:pt>
                <c:pt idx="30">
                  <c:v>207</c:v>
                </c:pt>
                <c:pt idx="31">
                  <c:v>207</c:v>
                </c:pt>
                <c:pt idx="32">
                  <c:v>207</c:v>
                </c:pt>
                <c:pt idx="33">
                  <c:v>207</c:v>
                </c:pt>
                <c:pt idx="34">
                  <c:v>207</c:v>
                </c:pt>
                <c:pt idx="35">
                  <c:v>207</c:v>
                </c:pt>
                <c:pt idx="36">
                  <c:v>207</c:v>
                </c:pt>
                <c:pt idx="37">
                  <c:v>202</c:v>
                </c:pt>
                <c:pt idx="38">
                  <c:v>202</c:v>
                </c:pt>
                <c:pt idx="39">
                  <c:v>202</c:v>
                </c:pt>
                <c:pt idx="40">
                  <c:v>202</c:v>
                </c:pt>
                <c:pt idx="41">
                  <c:v>202</c:v>
                </c:pt>
                <c:pt idx="42">
                  <c:v>202</c:v>
                </c:pt>
                <c:pt idx="43">
                  <c:v>202</c:v>
                </c:pt>
                <c:pt idx="44">
                  <c:v>202</c:v>
                </c:pt>
                <c:pt idx="45">
                  <c:v>202</c:v>
                </c:pt>
                <c:pt idx="46">
                  <c:v>192</c:v>
                </c:pt>
                <c:pt idx="47">
                  <c:v>192</c:v>
                </c:pt>
                <c:pt idx="48">
                  <c:v>192</c:v>
                </c:pt>
                <c:pt idx="49">
                  <c:v>192</c:v>
                </c:pt>
                <c:pt idx="50">
                  <c:v>192</c:v>
                </c:pt>
                <c:pt idx="51">
                  <c:v>192</c:v>
                </c:pt>
                <c:pt idx="52">
                  <c:v>189</c:v>
                </c:pt>
                <c:pt idx="53">
                  <c:v>189</c:v>
                </c:pt>
                <c:pt idx="54">
                  <c:v>189</c:v>
                </c:pt>
                <c:pt idx="55">
                  <c:v>186</c:v>
                </c:pt>
                <c:pt idx="56">
                  <c:v>186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182</c:v>
                </c:pt>
                <c:pt idx="61">
                  <c:v>177</c:v>
                </c:pt>
                <c:pt idx="62">
                  <c:v>177</c:v>
                </c:pt>
                <c:pt idx="63">
                  <c:v>177</c:v>
                </c:pt>
                <c:pt idx="64">
                  <c:v>177</c:v>
                </c:pt>
                <c:pt idx="65">
                  <c:v>175</c:v>
                </c:pt>
                <c:pt idx="66">
                  <c:v>172</c:v>
                </c:pt>
                <c:pt idx="67">
                  <c:v>167</c:v>
                </c:pt>
                <c:pt idx="68">
                  <c:v>167</c:v>
                </c:pt>
                <c:pt idx="69">
                  <c:v>167</c:v>
                </c:pt>
                <c:pt idx="70">
                  <c:v>167</c:v>
                </c:pt>
                <c:pt idx="71">
                  <c:v>167</c:v>
                </c:pt>
                <c:pt idx="72">
                  <c:v>162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6C2-424F-8D00-61B5D04D6E74}"/>
            </c:ext>
          </c:extLst>
        </c:ser>
        <c:ser>
          <c:idx val="2"/>
          <c:order val="2"/>
          <c:tx>
            <c:strRef>
              <c:f>'All Ships filtered'!$G$2</c:f>
              <c:strCache>
                <c:ptCount val="1"/>
                <c:pt idx="0">
                  <c:v>Max Crew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'All Ships filtered'!$A$3:$A$75</c:f>
              <c:strCache>
                <c:ptCount val="73"/>
                <c:pt idx="0">
                  <c:v>Realta</c:v>
                </c:pt>
                <c:pt idx="1">
                  <c:v>Mantis</c:v>
                </c:pt>
                <c:pt idx="2">
                  <c:v>Vidar Talios</c:v>
                </c:pt>
                <c:pt idx="3">
                  <c:v>Northcutt</c:v>
                </c:pt>
                <c:pt idx="4">
                  <c:v>Sanctus</c:v>
                </c:pt>
                <c:pt idx="5">
                  <c:v>Rotarran</c:v>
                </c:pt>
                <c:pt idx="6">
                  <c:v>Beatty</c:v>
                </c:pt>
                <c:pt idx="7">
                  <c:v>Vrax</c:v>
                </c:pt>
                <c:pt idx="8">
                  <c:v>Mow'ga</c:v>
                </c:pt>
                <c:pt idx="9">
                  <c:v>Botany Bay</c:v>
                </c:pt>
                <c:pt idx="10">
                  <c:v>USS Voyager</c:v>
                </c:pt>
                <c:pt idx="11">
                  <c:v>USS Titan-A</c:v>
                </c:pt>
                <c:pt idx="12">
                  <c:v>Corvus</c:v>
                </c:pt>
                <c:pt idx="13">
                  <c:v>Quv Sempek</c:v>
                </c:pt>
                <c:pt idx="14">
                  <c:v>Ent-D</c:v>
                </c:pt>
                <c:pt idx="15">
                  <c:v>D'vor Feesha</c:v>
                </c:pt>
                <c:pt idx="16">
                  <c:v>Phindra</c:v>
                </c:pt>
                <c:pt idx="17">
                  <c:v>Stella</c:v>
                </c:pt>
                <c:pt idx="18">
                  <c:v>USS Franklin-A</c:v>
                </c:pt>
                <c:pt idx="19">
                  <c:v>Defiant</c:v>
                </c:pt>
                <c:pt idx="20">
                  <c:v>Nova</c:v>
                </c:pt>
                <c:pt idx="21">
                  <c:v>Vor'cha</c:v>
                </c:pt>
                <c:pt idx="22">
                  <c:v>Crozier</c:v>
                </c:pt>
                <c:pt idx="23">
                  <c:v>D'deridex</c:v>
                </c:pt>
                <c:pt idx="24">
                  <c:v>Kelvin</c:v>
                </c:pt>
                <c:pt idx="25">
                  <c:v>Pilum</c:v>
                </c:pt>
                <c:pt idx="26">
                  <c:v>Hegh'ta</c:v>
                </c:pt>
                <c:pt idx="27">
                  <c:v>USS Franklin</c:v>
                </c:pt>
                <c:pt idx="28">
                  <c:v>Vi'dar</c:v>
                </c:pt>
                <c:pt idx="29">
                  <c:v>Corvette</c:v>
                </c:pt>
                <c:pt idx="30">
                  <c:v>Kehra</c:v>
                </c:pt>
                <c:pt idx="31">
                  <c:v>D3</c:v>
                </c:pt>
                <c:pt idx="32">
                  <c:v>Hijacked D3</c:v>
                </c:pt>
                <c:pt idx="33">
                  <c:v>Separatist D3</c:v>
                </c:pt>
                <c:pt idx="34">
                  <c:v>Saladin</c:v>
                </c:pt>
                <c:pt idx="35">
                  <c:v>Gladius</c:v>
                </c:pt>
                <c:pt idx="36">
                  <c:v>D4</c:v>
                </c:pt>
                <c:pt idx="37">
                  <c:v>Turas</c:v>
                </c:pt>
                <c:pt idx="38">
                  <c:v>Jellyfish</c:v>
                </c:pt>
                <c:pt idx="39">
                  <c:v>North Star</c:v>
                </c:pt>
                <c:pt idx="40">
                  <c:v>Discovery</c:v>
                </c:pt>
                <c:pt idx="41">
                  <c:v>Cerritos</c:v>
                </c:pt>
                <c:pt idx="42">
                  <c:v>ISS Jellyfish</c:v>
                </c:pt>
                <c:pt idx="43">
                  <c:v>Valdore</c:v>
                </c:pt>
                <c:pt idx="44">
                  <c:v>Korinar</c:v>
                </c:pt>
                <c:pt idx="45">
                  <c:v>Ent-A</c:v>
                </c:pt>
                <c:pt idx="46">
                  <c:v>Vahklas</c:v>
                </c:pt>
                <c:pt idx="47">
                  <c:v>Mayflower</c:v>
                </c:pt>
                <c:pt idx="48">
                  <c:v>Hijacked Mayflower</c:v>
                </c:pt>
                <c:pt idx="49">
                  <c:v>Centurion</c:v>
                </c:pt>
                <c:pt idx="50">
                  <c:v>B'rel</c:v>
                </c:pt>
                <c:pt idx="51">
                  <c:v>Enterprise</c:v>
                </c:pt>
                <c:pt idx="52">
                  <c:v>K'tinga</c:v>
                </c:pt>
                <c:pt idx="53">
                  <c:v>Newton</c:v>
                </c:pt>
                <c:pt idx="54">
                  <c:v>Tribune</c:v>
                </c:pt>
                <c:pt idx="55">
                  <c:v>Fortunate</c:v>
                </c:pt>
                <c:pt idx="56">
                  <c:v>Talla</c:v>
                </c:pt>
                <c:pt idx="57">
                  <c:v>Hydra</c:v>
                </c:pt>
                <c:pt idx="58">
                  <c:v>Vorta Vor</c:v>
                </c:pt>
                <c:pt idx="59">
                  <c:v>B'chor</c:v>
                </c:pt>
                <c:pt idx="60">
                  <c:v>D'vor</c:v>
                </c:pt>
                <c:pt idx="61">
                  <c:v>Kumari</c:v>
                </c:pt>
                <c:pt idx="62">
                  <c:v>Legionary</c:v>
                </c:pt>
                <c:pt idx="63">
                  <c:v>Intrepid</c:v>
                </c:pt>
                <c:pt idx="64">
                  <c:v>Augur</c:v>
                </c:pt>
                <c:pt idx="65">
                  <c:v>Envoy</c:v>
                </c:pt>
                <c:pt idx="66">
                  <c:v>Sarcophagus</c:v>
                </c:pt>
                <c:pt idx="67">
                  <c:v>Meridian</c:v>
                </c:pt>
                <c:pt idx="68">
                  <c:v>Horizon</c:v>
                </c:pt>
                <c:pt idx="69">
                  <c:v>Antarres</c:v>
                </c:pt>
                <c:pt idx="70">
                  <c:v>Valkis</c:v>
                </c:pt>
                <c:pt idx="71">
                  <c:v>K'vort</c:v>
                </c:pt>
                <c:pt idx="72">
                  <c:v>Amalgam</c:v>
                </c:pt>
              </c:strCache>
            </c:strRef>
          </c:cat>
          <c:val>
            <c:numRef>
              <c:f>'All Ships filtered'!$G$3:$G$75</c:f>
              <c:numCache>
                <c:formatCode>0</c:formatCode>
                <c:ptCount val="73"/>
                <c:pt idx="0">
                  <c:v>546</c:v>
                </c:pt>
                <c:pt idx="1">
                  <c:v>511</c:v>
                </c:pt>
                <c:pt idx="2">
                  <c:v>511</c:v>
                </c:pt>
                <c:pt idx="3">
                  <c:v>502.25</c:v>
                </c:pt>
                <c:pt idx="4">
                  <c:v>502.25</c:v>
                </c:pt>
                <c:pt idx="5">
                  <c:v>502.25</c:v>
                </c:pt>
                <c:pt idx="6">
                  <c:v>493.5</c:v>
                </c:pt>
                <c:pt idx="7">
                  <c:v>493.5</c:v>
                </c:pt>
                <c:pt idx="8">
                  <c:v>493.5</c:v>
                </c:pt>
                <c:pt idx="9">
                  <c:v>491.99999999999994</c:v>
                </c:pt>
                <c:pt idx="10">
                  <c:v>484.75</c:v>
                </c:pt>
                <c:pt idx="11">
                  <c:v>484.75</c:v>
                </c:pt>
                <c:pt idx="12">
                  <c:v>484.75</c:v>
                </c:pt>
                <c:pt idx="13">
                  <c:v>484.75</c:v>
                </c:pt>
                <c:pt idx="14">
                  <c:v>484.75</c:v>
                </c:pt>
                <c:pt idx="15">
                  <c:v>476</c:v>
                </c:pt>
                <c:pt idx="16">
                  <c:v>470.75</c:v>
                </c:pt>
                <c:pt idx="17">
                  <c:v>467.25</c:v>
                </c:pt>
                <c:pt idx="18">
                  <c:v>467.25</c:v>
                </c:pt>
                <c:pt idx="19">
                  <c:v>467.25</c:v>
                </c:pt>
                <c:pt idx="20">
                  <c:v>467.25</c:v>
                </c:pt>
                <c:pt idx="21">
                  <c:v>467.25</c:v>
                </c:pt>
                <c:pt idx="22">
                  <c:v>467.25</c:v>
                </c:pt>
                <c:pt idx="23">
                  <c:v>467.25</c:v>
                </c:pt>
                <c:pt idx="24">
                  <c:v>463.75</c:v>
                </c:pt>
                <c:pt idx="25">
                  <c:v>463.75</c:v>
                </c:pt>
                <c:pt idx="26">
                  <c:v>463.75</c:v>
                </c:pt>
                <c:pt idx="27">
                  <c:v>458.5</c:v>
                </c:pt>
                <c:pt idx="28">
                  <c:v>458.5</c:v>
                </c:pt>
                <c:pt idx="29">
                  <c:v>449.75</c:v>
                </c:pt>
                <c:pt idx="30">
                  <c:v>449.75</c:v>
                </c:pt>
                <c:pt idx="31">
                  <c:v>449.75</c:v>
                </c:pt>
                <c:pt idx="32">
                  <c:v>449.75</c:v>
                </c:pt>
                <c:pt idx="33">
                  <c:v>449.75</c:v>
                </c:pt>
                <c:pt idx="34">
                  <c:v>449.75</c:v>
                </c:pt>
                <c:pt idx="35">
                  <c:v>449.75</c:v>
                </c:pt>
                <c:pt idx="36">
                  <c:v>449.75</c:v>
                </c:pt>
                <c:pt idx="37">
                  <c:v>441</c:v>
                </c:pt>
                <c:pt idx="38">
                  <c:v>441</c:v>
                </c:pt>
                <c:pt idx="39">
                  <c:v>441</c:v>
                </c:pt>
                <c:pt idx="40">
                  <c:v>441</c:v>
                </c:pt>
                <c:pt idx="41">
                  <c:v>441</c:v>
                </c:pt>
                <c:pt idx="42">
                  <c:v>441</c:v>
                </c:pt>
                <c:pt idx="43">
                  <c:v>441</c:v>
                </c:pt>
                <c:pt idx="44">
                  <c:v>441</c:v>
                </c:pt>
                <c:pt idx="45">
                  <c:v>441</c:v>
                </c:pt>
                <c:pt idx="46">
                  <c:v>423.5</c:v>
                </c:pt>
                <c:pt idx="47">
                  <c:v>423.5</c:v>
                </c:pt>
                <c:pt idx="48">
                  <c:v>423.5</c:v>
                </c:pt>
                <c:pt idx="49">
                  <c:v>423.5</c:v>
                </c:pt>
                <c:pt idx="50">
                  <c:v>423.5</c:v>
                </c:pt>
                <c:pt idx="51">
                  <c:v>423.5</c:v>
                </c:pt>
                <c:pt idx="52">
                  <c:v>418.25</c:v>
                </c:pt>
                <c:pt idx="53">
                  <c:v>418.25</c:v>
                </c:pt>
                <c:pt idx="54">
                  <c:v>418.25</c:v>
                </c:pt>
                <c:pt idx="55">
                  <c:v>413</c:v>
                </c:pt>
                <c:pt idx="56">
                  <c:v>413</c:v>
                </c:pt>
                <c:pt idx="57">
                  <c:v>411.25</c:v>
                </c:pt>
                <c:pt idx="58">
                  <c:v>411.25</c:v>
                </c:pt>
                <c:pt idx="59">
                  <c:v>411.25</c:v>
                </c:pt>
                <c:pt idx="60">
                  <c:v>406</c:v>
                </c:pt>
                <c:pt idx="61">
                  <c:v>397.25</c:v>
                </c:pt>
                <c:pt idx="62">
                  <c:v>397.25</c:v>
                </c:pt>
                <c:pt idx="63">
                  <c:v>397.25</c:v>
                </c:pt>
                <c:pt idx="64">
                  <c:v>397.25</c:v>
                </c:pt>
                <c:pt idx="65">
                  <c:v>393.75</c:v>
                </c:pt>
                <c:pt idx="66">
                  <c:v>388.5</c:v>
                </c:pt>
                <c:pt idx="67">
                  <c:v>379.75</c:v>
                </c:pt>
                <c:pt idx="68">
                  <c:v>379.75</c:v>
                </c:pt>
                <c:pt idx="69">
                  <c:v>379.75</c:v>
                </c:pt>
                <c:pt idx="70">
                  <c:v>379.75</c:v>
                </c:pt>
                <c:pt idx="71">
                  <c:v>379.75</c:v>
                </c:pt>
                <c:pt idx="72">
                  <c:v>371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6C2-424F-8D00-61B5D04D6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0991280"/>
        <c:axId val="2057758381"/>
        <c:axId val="0"/>
      </c:bar3DChart>
      <c:catAx>
        <c:axId val="12009912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2057758381"/>
        <c:crosses val="autoZero"/>
        <c:auto val="1"/>
        <c:lblAlgn val="ctr"/>
        <c:lblOffset val="100"/>
        <c:noMultiLvlLbl val="1"/>
      </c:catAx>
      <c:valAx>
        <c:axId val="20577583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20099128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354F5C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25</xdr:row>
      <xdr:rowOff>190500</xdr:rowOff>
    </xdr:from>
    <xdr:ext cx="619125" cy="752475"/>
    <xdr:pic>
      <xdr:nvPicPr>
        <xdr:cNvPr id="2" name="image1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35</xdr:row>
      <xdr:rowOff>0</xdr:rowOff>
    </xdr:from>
    <xdr:ext cx="1438275" cy="333375"/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36</xdr:row>
      <xdr:rowOff>0</xdr:rowOff>
    </xdr:from>
    <xdr:ext cx="1438275" cy="333375"/>
    <xdr:pic>
      <xdr:nvPicPr>
        <xdr:cNvPr id="4" name="image1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37</xdr:row>
      <xdr:rowOff>0</xdr:rowOff>
    </xdr:from>
    <xdr:ext cx="1438275" cy="342900"/>
    <xdr:pic>
      <xdr:nvPicPr>
        <xdr:cNvPr id="5" name="image5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38</xdr:row>
      <xdr:rowOff>0</xdr:rowOff>
    </xdr:from>
    <xdr:ext cx="1438275" cy="323850"/>
    <xdr:pic>
      <xdr:nvPicPr>
        <xdr:cNvPr id="6" name="image14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39</xdr:row>
      <xdr:rowOff>0</xdr:rowOff>
    </xdr:from>
    <xdr:ext cx="1438275" cy="323850"/>
    <xdr:pic>
      <xdr:nvPicPr>
        <xdr:cNvPr id="7" name="image10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40</xdr:row>
      <xdr:rowOff>0</xdr:rowOff>
    </xdr:from>
    <xdr:ext cx="1438275" cy="31432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41</xdr:row>
      <xdr:rowOff>0</xdr:rowOff>
    </xdr:from>
    <xdr:ext cx="1438275" cy="314325"/>
    <xdr:pic>
      <xdr:nvPicPr>
        <xdr:cNvPr id="9" name="image9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42</xdr:row>
      <xdr:rowOff>0</xdr:rowOff>
    </xdr:from>
    <xdr:ext cx="1438275" cy="342900"/>
    <xdr:pic>
      <xdr:nvPicPr>
        <xdr:cNvPr id="10" name="image15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43</xdr:row>
      <xdr:rowOff>0</xdr:rowOff>
    </xdr:from>
    <xdr:ext cx="1438275" cy="314325"/>
    <xdr:pic>
      <xdr:nvPicPr>
        <xdr:cNvPr id="11" name="image2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44</xdr:row>
      <xdr:rowOff>0</xdr:rowOff>
    </xdr:from>
    <xdr:ext cx="1438275" cy="323850"/>
    <xdr:pic>
      <xdr:nvPicPr>
        <xdr:cNvPr id="12" name="image4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45</xdr:row>
      <xdr:rowOff>0</xdr:rowOff>
    </xdr:from>
    <xdr:ext cx="1438275" cy="323850"/>
    <xdr:pic>
      <xdr:nvPicPr>
        <xdr:cNvPr id="13" name="image3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46</xdr:row>
      <xdr:rowOff>0</xdr:rowOff>
    </xdr:from>
    <xdr:ext cx="1438275" cy="333375"/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47</xdr:row>
      <xdr:rowOff>0</xdr:rowOff>
    </xdr:from>
    <xdr:ext cx="1400175" cy="342900"/>
    <xdr:pic>
      <xdr:nvPicPr>
        <xdr:cNvPr id="15" name="image1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48</xdr:row>
      <xdr:rowOff>0</xdr:rowOff>
    </xdr:from>
    <xdr:ext cx="857250" cy="200025"/>
    <xdr:pic>
      <xdr:nvPicPr>
        <xdr:cNvPr id="16" name="image8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47625</xdr:colOff>
      <xdr:row>0</xdr:row>
      <xdr:rowOff>0</xdr:rowOff>
    </xdr:from>
    <xdr:ext cx="9715500" cy="118110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82"/>
  <sheetViews>
    <sheetView showGridLines="0" workbookViewId="0">
      <selection sqref="A1:XFD1048576"/>
    </sheetView>
  </sheetViews>
  <sheetFormatPr defaultColWidth="12.5703125" defaultRowHeight="15.75" customHeight="1"/>
  <cols>
    <col min="1" max="1" width="1.85546875" customWidth="1"/>
    <col min="2" max="2" width="25.28515625" customWidth="1"/>
    <col min="3" max="3" width="8.42578125" customWidth="1"/>
    <col min="4" max="4" width="7" customWidth="1"/>
    <col min="5" max="5" width="18.85546875" customWidth="1"/>
    <col min="6" max="6" width="7" customWidth="1"/>
    <col min="7" max="7" width="21.42578125" customWidth="1"/>
    <col min="8" max="8" width="17.5703125" customWidth="1"/>
    <col min="9" max="9" width="2" customWidth="1"/>
    <col min="10" max="15" width="7" hidden="1" customWidth="1"/>
    <col min="16" max="16" width="1.85546875" hidden="1" customWidth="1"/>
    <col min="17" max="19" width="7" hidden="1" customWidth="1"/>
    <col min="20" max="20" width="1.85546875" hidden="1" customWidth="1"/>
    <col min="21" max="23" width="7" hidden="1" customWidth="1"/>
    <col min="24" max="24" width="1.85546875" hidden="1" customWidth="1"/>
    <col min="25" max="27" width="7" hidden="1" customWidth="1"/>
    <col min="28" max="28" width="1.85546875" hidden="1" customWidth="1"/>
    <col min="29" max="31" width="7" hidden="1" customWidth="1"/>
    <col min="32" max="32" width="1.85546875" hidden="1" customWidth="1"/>
    <col min="33" max="35" width="7" hidden="1" customWidth="1"/>
    <col min="36" max="36" width="1.85546875" hidden="1" customWidth="1"/>
    <col min="37" max="39" width="7" hidden="1" customWidth="1"/>
    <col min="40" max="40" width="1.85546875" hidden="1" customWidth="1"/>
    <col min="41" max="43" width="7" hidden="1" customWidth="1"/>
    <col min="44" max="44" width="1.85546875" hidden="1" customWidth="1"/>
    <col min="45" max="45" width="7" hidden="1" customWidth="1"/>
    <col min="46" max="46" width="13.28515625" hidden="1" customWidth="1"/>
    <col min="47" max="47" width="7" hidden="1" customWidth="1"/>
    <col min="48" max="48" width="6.140625" hidden="1" customWidth="1"/>
    <col min="49" max="52" width="7" hidden="1" customWidth="1"/>
  </cols>
  <sheetData>
    <row r="1" spans="1:52" ht="12.75">
      <c r="A1" s="1"/>
      <c r="B1" s="93" t="s">
        <v>0</v>
      </c>
      <c r="C1" s="90"/>
      <c r="D1" s="90"/>
      <c r="E1" s="90"/>
      <c r="F1" s="90"/>
      <c r="G1" s="90"/>
      <c r="H1" s="90"/>
      <c r="I1" s="1"/>
      <c r="J1" s="2" t="s">
        <v>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2.75">
      <c r="A2" s="1"/>
      <c r="B2" s="90"/>
      <c r="C2" s="90"/>
      <c r="D2" s="90"/>
      <c r="E2" s="90"/>
      <c r="F2" s="90"/>
      <c r="G2" s="90"/>
      <c r="H2" s="90"/>
      <c r="I2" s="1"/>
      <c r="J2" s="2" t="s">
        <v>2</v>
      </c>
      <c r="K2" s="2"/>
      <c r="L2" s="2"/>
      <c r="M2" s="94" t="s">
        <v>3</v>
      </c>
      <c r="N2" s="90"/>
      <c r="O2" s="90"/>
      <c r="P2" s="90"/>
      <c r="Q2" s="90"/>
      <c r="R2" s="90"/>
      <c r="S2" s="90"/>
      <c r="T2" s="90"/>
      <c r="U2" s="94" t="s">
        <v>4</v>
      </c>
      <c r="V2" s="90"/>
      <c r="W2" s="90"/>
      <c r="X2" s="2"/>
      <c r="Y2" s="94" t="s">
        <v>5</v>
      </c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4" t="s">
        <v>6</v>
      </c>
      <c r="AP2" s="90"/>
      <c r="AQ2" s="90"/>
      <c r="AR2" s="90"/>
      <c r="AS2" s="2"/>
      <c r="AT2" s="2"/>
      <c r="AU2" s="2"/>
      <c r="AV2" s="2"/>
      <c r="AW2" s="2"/>
      <c r="AX2" s="2"/>
      <c r="AY2" s="2"/>
      <c r="AZ2" s="2"/>
    </row>
    <row r="3" spans="1:52" ht="12.75">
      <c r="A3" s="1"/>
      <c r="B3" s="90"/>
      <c r="C3" s="90"/>
      <c r="D3" s="90"/>
      <c r="E3" s="90"/>
      <c r="F3" s="90"/>
      <c r="G3" s="90"/>
      <c r="H3" s="90"/>
      <c r="I3" s="1"/>
      <c r="J3" s="2" t="s">
        <v>7</v>
      </c>
      <c r="K3" s="2"/>
      <c r="L3" s="2"/>
      <c r="M3" s="2" t="s">
        <v>8</v>
      </c>
      <c r="N3" s="2"/>
      <c r="O3" s="2"/>
      <c r="P3" s="2"/>
      <c r="Q3" s="2" t="s">
        <v>9</v>
      </c>
      <c r="R3" s="2"/>
      <c r="S3" s="2"/>
      <c r="T3" s="2"/>
      <c r="U3" s="2" t="s">
        <v>10</v>
      </c>
      <c r="V3" s="2"/>
      <c r="W3" s="2"/>
      <c r="X3" s="2"/>
      <c r="Y3" s="2" t="s">
        <v>11</v>
      </c>
      <c r="Z3" s="2"/>
      <c r="AA3" s="2"/>
      <c r="AB3" s="2"/>
      <c r="AC3" s="2" t="s">
        <v>12</v>
      </c>
      <c r="AD3" s="2"/>
      <c r="AE3" s="2"/>
      <c r="AF3" s="2"/>
      <c r="AG3" s="2" t="s">
        <v>13</v>
      </c>
      <c r="AH3" s="2"/>
      <c r="AI3" s="2"/>
      <c r="AJ3" s="2"/>
      <c r="AK3" s="2" t="s">
        <v>14</v>
      </c>
      <c r="AL3" s="2"/>
      <c r="AM3" s="2"/>
      <c r="AN3" s="2"/>
      <c r="AO3" s="2" t="s">
        <v>15</v>
      </c>
      <c r="AP3" s="2"/>
      <c r="AQ3" s="2"/>
      <c r="AR3" s="2"/>
      <c r="AS3" s="2"/>
      <c r="AT3" s="2" t="s">
        <v>16</v>
      </c>
      <c r="AU3" s="2" t="s">
        <v>17</v>
      </c>
      <c r="AV3" s="2" t="s">
        <v>18</v>
      </c>
      <c r="AW3" s="2" t="s">
        <v>19</v>
      </c>
      <c r="AX3" s="2" t="s">
        <v>20</v>
      </c>
      <c r="AY3" s="2" t="s">
        <v>21</v>
      </c>
      <c r="AZ3" s="3" t="s">
        <v>22</v>
      </c>
    </row>
    <row r="4" spans="1:52" ht="12.75">
      <c r="A4" s="1"/>
      <c r="B4" s="89" t="s">
        <v>23</v>
      </c>
      <c r="C4" s="90"/>
      <c r="D4" s="90"/>
      <c r="E4" s="90"/>
      <c r="F4" s="90"/>
      <c r="G4" s="90"/>
      <c r="H4" s="90"/>
      <c r="I4" s="1"/>
      <c r="J4" s="2" t="s">
        <v>24</v>
      </c>
      <c r="K4" s="2" t="s">
        <v>25</v>
      </c>
      <c r="L4" s="2"/>
      <c r="M4" s="2" t="s">
        <v>26</v>
      </c>
      <c r="N4" s="2" t="s">
        <v>27</v>
      </c>
      <c r="O4" s="2" t="s">
        <v>28</v>
      </c>
      <c r="P4" s="2"/>
      <c r="Q4" s="2" t="s">
        <v>26</v>
      </c>
      <c r="R4" s="2" t="s">
        <v>27</v>
      </c>
      <c r="S4" s="2" t="s">
        <v>29</v>
      </c>
      <c r="T4" s="2"/>
      <c r="U4" s="2" t="s">
        <v>26</v>
      </c>
      <c r="V4" s="2" t="s">
        <v>27</v>
      </c>
      <c r="W4" s="2" t="s">
        <v>30</v>
      </c>
      <c r="X4" s="2"/>
      <c r="Y4" s="2" t="s">
        <v>26</v>
      </c>
      <c r="Z4" s="2" t="s">
        <v>27</v>
      </c>
      <c r="AA4" s="2" t="s">
        <v>31</v>
      </c>
      <c r="AB4" s="2"/>
      <c r="AC4" s="2" t="s">
        <v>26</v>
      </c>
      <c r="AD4" s="2" t="s">
        <v>27</v>
      </c>
      <c r="AE4" s="2" t="s">
        <v>29</v>
      </c>
      <c r="AF4" s="2"/>
      <c r="AG4" s="2" t="s">
        <v>26</v>
      </c>
      <c r="AH4" s="2" t="s">
        <v>27</v>
      </c>
      <c r="AI4" s="2" t="s">
        <v>29</v>
      </c>
      <c r="AJ4" s="2"/>
      <c r="AK4" s="2" t="s">
        <v>26</v>
      </c>
      <c r="AL4" s="2" t="s">
        <v>27</v>
      </c>
      <c r="AM4" s="2" t="s">
        <v>29</v>
      </c>
      <c r="AN4" s="2"/>
      <c r="AO4" s="2" t="s">
        <v>26</v>
      </c>
      <c r="AP4" s="2" t="s">
        <v>27</v>
      </c>
      <c r="AQ4" s="2" t="s">
        <v>31</v>
      </c>
      <c r="AR4" s="2"/>
      <c r="AS4" s="2"/>
      <c r="AT4" s="2" t="s">
        <v>32</v>
      </c>
      <c r="AU4" s="2">
        <v>1</v>
      </c>
      <c r="AV4" s="2">
        <v>1</v>
      </c>
      <c r="AW4" s="2">
        <v>150</v>
      </c>
      <c r="AX4" s="2">
        <v>92</v>
      </c>
      <c r="AY4" s="2">
        <f t="shared" ref="AY4:AY12" si="0">AW4+AX4</f>
        <v>242</v>
      </c>
      <c r="AZ4" s="3">
        <f t="shared" ref="AZ4:AZ12" si="1">(AY4+50)*(1+0.25+0.5)</f>
        <v>511</v>
      </c>
    </row>
    <row r="5" spans="1:52" ht="12.75">
      <c r="A5" s="1"/>
      <c r="B5" s="4" t="s">
        <v>33</v>
      </c>
      <c r="C5" s="5" t="s">
        <v>34</v>
      </c>
      <c r="D5" s="5" t="s">
        <v>18</v>
      </c>
      <c r="E5" s="6" t="s">
        <v>35</v>
      </c>
      <c r="F5" s="6" t="s">
        <v>36</v>
      </c>
      <c r="G5" s="6" t="s">
        <v>37</v>
      </c>
      <c r="H5" s="4"/>
      <c r="I5" s="91" t="s">
        <v>38</v>
      </c>
      <c r="J5" s="2">
        <v>1</v>
      </c>
      <c r="K5" s="2">
        <v>0.25</v>
      </c>
      <c r="L5" s="2"/>
      <c r="M5" s="7">
        <v>1</v>
      </c>
      <c r="N5" s="8">
        <v>5</v>
      </c>
      <c r="O5" s="9">
        <v>1</v>
      </c>
      <c r="P5" s="2"/>
      <c r="Q5" s="7">
        <v>1</v>
      </c>
      <c r="R5" s="2">
        <v>2</v>
      </c>
      <c r="S5" s="2">
        <v>35</v>
      </c>
      <c r="T5" s="2"/>
      <c r="U5" s="7">
        <v>1</v>
      </c>
      <c r="V5" s="2">
        <v>3</v>
      </c>
      <c r="W5" s="2">
        <v>42</v>
      </c>
      <c r="X5" s="2"/>
      <c r="Y5" s="7">
        <v>1</v>
      </c>
      <c r="Z5" s="8">
        <v>10</v>
      </c>
      <c r="AA5" s="9">
        <v>33</v>
      </c>
      <c r="AB5" s="2"/>
      <c r="AC5" s="2">
        <v>1</v>
      </c>
      <c r="AD5" s="2">
        <v>6</v>
      </c>
      <c r="AE5" s="2">
        <v>24</v>
      </c>
      <c r="AF5" s="2"/>
      <c r="AG5" s="2">
        <v>1</v>
      </c>
      <c r="AH5" s="2">
        <v>4</v>
      </c>
      <c r="AI5" s="2">
        <v>24</v>
      </c>
      <c r="AJ5" s="2"/>
      <c r="AK5" s="2">
        <v>1</v>
      </c>
      <c r="AL5" s="2">
        <v>0.1</v>
      </c>
      <c r="AM5" s="2">
        <v>26</v>
      </c>
      <c r="AN5" s="2"/>
      <c r="AO5" s="2">
        <v>1</v>
      </c>
      <c r="AP5" s="2">
        <v>3</v>
      </c>
      <c r="AQ5" s="2">
        <v>56</v>
      </c>
      <c r="AR5" s="2"/>
      <c r="AS5" s="2"/>
      <c r="AT5" s="2" t="s">
        <v>39</v>
      </c>
      <c r="AU5" s="2">
        <v>5</v>
      </c>
      <c r="AV5" s="2">
        <v>1</v>
      </c>
      <c r="AW5" s="2">
        <v>115</v>
      </c>
      <c r="AX5" s="2">
        <v>92</v>
      </c>
      <c r="AY5" s="2">
        <f t="shared" si="0"/>
        <v>207</v>
      </c>
      <c r="AZ5" s="3">
        <f t="shared" si="1"/>
        <v>449.75</v>
      </c>
    </row>
    <row r="6" spans="1:52" ht="15">
      <c r="A6" s="1"/>
      <c r="B6" s="10" t="s">
        <v>32</v>
      </c>
      <c r="C6" s="4" t="e">
        <f ca="1">_xludf.IFNA(VLOOKUP(B6,AT4:AW76,2,FALSE),0)</f>
        <v>#NAME?</v>
      </c>
      <c r="D6" s="11" t="e">
        <f ca="1">_xludf.IFNA(VLOOKUP(B6,AT4:AW76,3,FALSE),0)</f>
        <v>#NAME?</v>
      </c>
      <c r="E6" s="12" t="s">
        <v>40</v>
      </c>
      <c r="F6" s="13" t="e">
        <f ca="1">_xludf.IFNA(VLOOKUP(B6,AT4:AW76,4,FALSE),0)</f>
        <v>#NAME?</v>
      </c>
      <c r="G6" s="14" t="e">
        <f ca="1">F6</f>
        <v>#NAME?</v>
      </c>
      <c r="H6" s="4"/>
      <c r="I6" s="90"/>
      <c r="J6" s="2">
        <v>2</v>
      </c>
      <c r="K6" s="2">
        <v>0.3</v>
      </c>
      <c r="L6" s="2"/>
      <c r="M6" s="7">
        <v>2</v>
      </c>
      <c r="N6" s="9">
        <v>6</v>
      </c>
      <c r="O6" s="9">
        <v>1</v>
      </c>
      <c r="P6" s="2"/>
      <c r="Q6" s="7">
        <v>2</v>
      </c>
      <c r="R6" s="2">
        <v>4</v>
      </c>
      <c r="S6" s="2">
        <v>36</v>
      </c>
      <c r="T6" s="2"/>
      <c r="U6" s="7">
        <v>2</v>
      </c>
      <c r="V6" s="2">
        <v>5</v>
      </c>
      <c r="W6" s="2">
        <v>43</v>
      </c>
      <c r="X6" s="2"/>
      <c r="Y6" s="7">
        <v>2</v>
      </c>
      <c r="Z6" s="9">
        <v>11</v>
      </c>
      <c r="AA6" s="9">
        <v>33</v>
      </c>
      <c r="AB6" s="2"/>
      <c r="AC6" s="2">
        <v>2</v>
      </c>
      <c r="AD6" s="2">
        <v>13</v>
      </c>
      <c r="AE6" s="2">
        <v>27</v>
      </c>
      <c r="AF6" s="2"/>
      <c r="AG6" s="2">
        <v>2</v>
      </c>
      <c r="AH6" s="2">
        <v>8</v>
      </c>
      <c r="AI6" s="2">
        <v>24</v>
      </c>
      <c r="AJ6" s="2"/>
      <c r="AK6" s="2">
        <v>2</v>
      </c>
      <c r="AL6" s="2">
        <v>0.15</v>
      </c>
      <c r="AM6" s="2">
        <v>28</v>
      </c>
      <c r="AN6" s="2"/>
      <c r="AO6" s="2">
        <v>2</v>
      </c>
      <c r="AP6" s="2">
        <v>6</v>
      </c>
      <c r="AQ6" s="2">
        <v>57</v>
      </c>
      <c r="AR6" s="2"/>
      <c r="AS6" s="2"/>
      <c r="AT6" s="2" t="s">
        <v>41</v>
      </c>
      <c r="AU6" s="2">
        <v>7</v>
      </c>
      <c r="AV6" s="2">
        <v>1</v>
      </c>
      <c r="AW6" s="2">
        <v>94</v>
      </c>
      <c r="AX6" s="2">
        <v>92</v>
      </c>
      <c r="AY6" s="2">
        <f t="shared" si="0"/>
        <v>186</v>
      </c>
      <c r="AZ6" s="3">
        <f t="shared" si="1"/>
        <v>413</v>
      </c>
    </row>
    <row r="7" spans="1:52" ht="12.75">
      <c r="A7" s="1"/>
      <c r="B7" s="92" t="e">
        <f ca="1">_xludf.IFNA(IF(B6="Stella","NOTE: Stella Impulse increases with tier of component."," ")," ")</f>
        <v>#NAME?</v>
      </c>
      <c r="C7" s="90"/>
      <c r="D7" s="90"/>
      <c r="E7" s="15" t="s">
        <v>42</v>
      </c>
      <c r="F7" s="16" t="e">
        <f ca="1">(F6+D17+D18+D19+D31+IF(D6=4,D20,0)+IF(D6=5,D20,0)+IF(B6="Mantis",D21,0)+IF(B6="Discovery",D22,0)+IF(B6="Realta",D25,0)+IF(B6="USS Franklin",D23,0)+IF(B6="Vor'cha",D26,0)+IF(B6="D'deridex",D26,0)+IF(B6="Crozier",D26,0)+IF(B6="Northcutt",D27,0)+IF(B6="Sanctus",D27,0)+IF(B6="Rotarran",D27,0)+IF(B6="Corvus",D28,0)+IF(B6="Ent-D",D28,0)+IF(B6="Quv Sempek",D28,0))*(1+IF(B6="Botany Bay",D24,0))</f>
        <v>#NAME?</v>
      </c>
      <c r="G7" s="17" t="e">
        <f ca="1">_xludf.IFNA(VLOOKUP(B6,AT4:AZ76,6,FALSE),0)</f>
        <v>#NAME?</v>
      </c>
      <c r="H7" s="4"/>
      <c r="I7" s="90"/>
      <c r="J7" s="2">
        <v>3</v>
      </c>
      <c r="K7" s="2">
        <v>0.35</v>
      </c>
      <c r="L7" s="2"/>
      <c r="M7" s="7">
        <v>3</v>
      </c>
      <c r="N7" s="9">
        <v>7</v>
      </c>
      <c r="O7" s="9">
        <v>1</v>
      </c>
      <c r="P7" s="2"/>
      <c r="Q7" s="7">
        <v>3</v>
      </c>
      <c r="R7" s="2">
        <v>6</v>
      </c>
      <c r="S7" s="2">
        <v>37</v>
      </c>
      <c r="T7" s="2"/>
      <c r="U7" s="7">
        <v>3</v>
      </c>
      <c r="V7" s="2">
        <v>8</v>
      </c>
      <c r="W7" s="2">
        <v>44</v>
      </c>
      <c r="X7" s="2"/>
      <c r="Y7" s="7">
        <v>3</v>
      </c>
      <c r="Z7" s="9">
        <v>12</v>
      </c>
      <c r="AA7" s="9">
        <v>40</v>
      </c>
      <c r="AB7" s="2"/>
      <c r="AC7" s="2">
        <v>3</v>
      </c>
      <c r="AD7" s="2">
        <v>20</v>
      </c>
      <c r="AE7" s="2">
        <v>30</v>
      </c>
      <c r="AF7" s="2"/>
      <c r="AG7" s="2">
        <v>3</v>
      </c>
      <c r="AH7" s="2">
        <v>12</v>
      </c>
      <c r="AI7" s="2">
        <v>26</v>
      </c>
      <c r="AJ7" s="2"/>
      <c r="AK7" s="2">
        <v>3</v>
      </c>
      <c r="AL7" s="2">
        <v>0.2</v>
      </c>
      <c r="AM7" s="2">
        <v>29</v>
      </c>
      <c r="AN7" s="2"/>
      <c r="AO7" s="2">
        <v>3</v>
      </c>
      <c r="AP7" s="2">
        <v>9</v>
      </c>
      <c r="AQ7" s="2">
        <v>58</v>
      </c>
      <c r="AR7" s="2"/>
      <c r="AS7" s="2"/>
      <c r="AT7" s="2" t="s">
        <v>43</v>
      </c>
      <c r="AU7" s="2">
        <v>10</v>
      </c>
      <c r="AV7" s="2">
        <v>2</v>
      </c>
      <c r="AW7" s="2">
        <v>127</v>
      </c>
      <c r="AX7" s="2">
        <v>92</v>
      </c>
      <c r="AY7" s="2">
        <f t="shared" si="0"/>
        <v>219</v>
      </c>
      <c r="AZ7" s="3">
        <f t="shared" si="1"/>
        <v>470.75</v>
      </c>
    </row>
    <row r="8" spans="1:52" ht="12.75">
      <c r="A8" s="1"/>
      <c r="B8" s="90"/>
      <c r="C8" s="90"/>
      <c r="D8" s="90"/>
      <c r="E8" s="18" t="s">
        <v>44</v>
      </c>
      <c r="F8" s="19" t="e">
        <f ca="1">IF(B6="Botany Bay",(F6+D13+D18+D17+D31)*(1+F12+D11+D24),(F7+D13)*(1+F12+D11))</f>
        <v>#NAME?</v>
      </c>
      <c r="G8" s="20" t="e">
        <f ca="1">_xludf.IFNA(VLOOKUP(B6,AT4:AZ76,7,FALSE),0)</f>
        <v>#NAME?</v>
      </c>
      <c r="H8" s="4"/>
      <c r="I8" s="90"/>
      <c r="J8" s="2">
        <v>4</v>
      </c>
      <c r="K8" s="2">
        <v>0.4</v>
      </c>
      <c r="L8" s="2"/>
      <c r="M8" s="7">
        <v>4</v>
      </c>
      <c r="N8" s="9">
        <v>8</v>
      </c>
      <c r="O8" s="9">
        <v>1</v>
      </c>
      <c r="P8" s="2"/>
      <c r="Q8" s="7">
        <v>4</v>
      </c>
      <c r="R8" s="2">
        <v>8</v>
      </c>
      <c r="S8" s="2">
        <v>38</v>
      </c>
      <c r="T8" s="2"/>
      <c r="U8" s="7">
        <v>4</v>
      </c>
      <c r="V8" s="2">
        <v>10</v>
      </c>
      <c r="W8" s="2">
        <v>45</v>
      </c>
      <c r="X8" s="2"/>
      <c r="Y8" s="7">
        <v>4</v>
      </c>
      <c r="Z8" s="9">
        <v>13</v>
      </c>
      <c r="AA8" s="9">
        <v>41</v>
      </c>
      <c r="AB8" s="2"/>
      <c r="AC8" s="2"/>
      <c r="AD8" s="2"/>
      <c r="AE8" s="2"/>
      <c r="AF8" s="2"/>
      <c r="AG8" s="2">
        <v>4</v>
      </c>
      <c r="AH8" s="2">
        <v>16</v>
      </c>
      <c r="AI8" s="2">
        <v>26</v>
      </c>
      <c r="AJ8" s="2"/>
      <c r="AK8" s="2">
        <v>4</v>
      </c>
      <c r="AL8" s="2">
        <v>0.25</v>
      </c>
      <c r="AM8" s="2">
        <v>30</v>
      </c>
      <c r="AN8" s="2"/>
      <c r="AO8" s="2">
        <v>4</v>
      </c>
      <c r="AP8" s="2">
        <v>12</v>
      </c>
      <c r="AQ8" s="2">
        <v>59</v>
      </c>
      <c r="AR8" s="2"/>
      <c r="AS8" s="2"/>
      <c r="AT8" s="2" t="s">
        <v>45</v>
      </c>
      <c r="AU8" s="2">
        <v>12</v>
      </c>
      <c r="AV8" s="2">
        <v>2</v>
      </c>
      <c r="AW8" s="2">
        <v>110</v>
      </c>
      <c r="AX8" s="2">
        <v>92</v>
      </c>
      <c r="AY8" s="2">
        <f t="shared" si="0"/>
        <v>202</v>
      </c>
      <c r="AZ8" s="3">
        <f t="shared" si="1"/>
        <v>441</v>
      </c>
    </row>
    <row r="9" spans="1:52" ht="14.25">
      <c r="A9" s="1"/>
      <c r="B9" s="4"/>
      <c r="C9" s="4"/>
      <c r="D9" s="4"/>
      <c r="E9" s="4"/>
      <c r="F9" s="6"/>
      <c r="G9" s="6"/>
      <c r="H9" s="4"/>
      <c r="I9" s="90"/>
      <c r="J9" s="2">
        <v>5</v>
      </c>
      <c r="K9" s="2">
        <v>0.5</v>
      </c>
      <c r="L9" s="2"/>
      <c r="M9" s="7">
        <v>5</v>
      </c>
      <c r="N9" s="9">
        <v>10</v>
      </c>
      <c r="O9" s="9">
        <v>10</v>
      </c>
      <c r="P9" s="2"/>
      <c r="Q9" s="7">
        <v>5</v>
      </c>
      <c r="R9" s="2">
        <v>10</v>
      </c>
      <c r="S9" s="2">
        <v>39</v>
      </c>
      <c r="T9" s="2"/>
      <c r="U9" s="7">
        <v>5</v>
      </c>
      <c r="V9" s="2">
        <v>13</v>
      </c>
      <c r="W9" s="2">
        <v>46</v>
      </c>
      <c r="X9" s="2"/>
      <c r="Y9" s="7">
        <v>5</v>
      </c>
      <c r="Z9" s="9">
        <v>14</v>
      </c>
      <c r="AA9" s="9">
        <v>41</v>
      </c>
      <c r="AB9" s="2"/>
      <c r="AC9" s="21" t="s">
        <v>46</v>
      </c>
      <c r="AD9" s="2"/>
      <c r="AE9" s="2"/>
      <c r="AF9" s="2"/>
      <c r="AG9" s="2">
        <v>5</v>
      </c>
      <c r="AH9" s="2">
        <v>20</v>
      </c>
      <c r="AI9" s="2">
        <v>27</v>
      </c>
      <c r="AJ9" s="2"/>
      <c r="AK9" s="2">
        <v>5</v>
      </c>
      <c r="AL9" s="2">
        <v>0.3</v>
      </c>
      <c r="AM9" s="2">
        <v>31</v>
      </c>
      <c r="AN9" s="2"/>
      <c r="AO9" s="2">
        <v>5</v>
      </c>
      <c r="AP9" s="2">
        <v>15</v>
      </c>
      <c r="AQ9" s="2">
        <v>60</v>
      </c>
      <c r="AR9" s="2"/>
      <c r="AS9" s="2"/>
      <c r="AT9" s="2" t="s">
        <v>47</v>
      </c>
      <c r="AU9" s="2">
        <v>12</v>
      </c>
      <c r="AV9" s="2">
        <v>2</v>
      </c>
      <c r="AW9" s="2">
        <v>110</v>
      </c>
      <c r="AX9" s="2">
        <v>92</v>
      </c>
      <c r="AY9" s="2">
        <f t="shared" si="0"/>
        <v>202</v>
      </c>
      <c r="AZ9" s="3">
        <f t="shared" si="1"/>
        <v>441</v>
      </c>
    </row>
    <row r="10" spans="1:52" ht="12.75">
      <c r="A10" s="1"/>
      <c r="B10" s="5" t="s">
        <v>48</v>
      </c>
      <c r="C10" s="4" t="s">
        <v>24</v>
      </c>
      <c r="D10" s="5" t="s">
        <v>25</v>
      </c>
      <c r="E10" s="22" t="s">
        <v>49</v>
      </c>
      <c r="F10" s="23" t="s">
        <v>25</v>
      </c>
      <c r="G10" s="23" t="str">
        <f>"+synergy"</f>
        <v>+synergy</v>
      </c>
      <c r="H10" s="4"/>
      <c r="I10" s="90"/>
      <c r="J10" s="2"/>
      <c r="K10" s="2"/>
      <c r="L10" s="2"/>
      <c r="M10" s="7">
        <v>6</v>
      </c>
      <c r="N10" s="9">
        <v>12</v>
      </c>
      <c r="O10" s="9">
        <v>10</v>
      </c>
      <c r="P10" s="2"/>
      <c r="Q10" s="7">
        <v>6</v>
      </c>
      <c r="R10" s="2">
        <v>12</v>
      </c>
      <c r="S10" s="2">
        <v>40</v>
      </c>
      <c r="T10" s="2"/>
      <c r="U10" s="7">
        <v>6</v>
      </c>
      <c r="V10" s="2">
        <v>15</v>
      </c>
      <c r="W10" s="2">
        <v>47</v>
      </c>
      <c r="X10" s="2"/>
      <c r="Y10" s="7">
        <v>6</v>
      </c>
      <c r="Z10" s="9">
        <v>15</v>
      </c>
      <c r="AA10" s="9">
        <v>42</v>
      </c>
      <c r="AB10" s="2"/>
      <c r="AC10" s="2" t="s">
        <v>50</v>
      </c>
      <c r="AD10" s="2">
        <v>20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 t="s">
        <v>51</v>
      </c>
      <c r="AU10" s="2">
        <v>14</v>
      </c>
      <c r="AV10" s="2">
        <v>2</v>
      </c>
      <c r="AW10" s="2">
        <v>94</v>
      </c>
      <c r="AX10" s="2">
        <v>92</v>
      </c>
      <c r="AY10" s="2">
        <f t="shared" si="0"/>
        <v>186</v>
      </c>
      <c r="AZ10" s="3">
        <f t="shared" si="1"/>
        <v>413</v>
      </c>
    </row>
    <row r="11" spans="1:52" ht="12.75">
      <c r="A11" s="1"/>
      <c r="B11" s="24" t="s">
        <v>7</v>
      </c>
      <c r="C11" s="25">
        <v>4</v>
      </c>
      <c r="D11" s="26" t="e">
        <f ca="1">_xludf.IFNA(VLOOKUP(C11,J5:K9,2,FALSE),0)</f>
        <v>#NAME?</v>
      </c>
      <c r="E11" s="27" t="s">
        <v>52</v>
      </c>
      <c r="F11" s="28">
        <v>0.2</v>
      </c>
      <c r="G11" s="28">
        <v>0.15</v>
      </c>
      <c r="H11" s="4"/>
      <c r="I11" s="90"/>
      <c r="J11" s="2" t="s">
        <v>53</v>
      </c>
      <c r="K11" s="2"/>
      <c r="L11" s="2"/>
      <c r="M11" s="7">
        <v>7</v>
      </c>
      <c r="N11" s="9">
        <v>14</v>
      </c>
      <c r="O11" s="9">
        <v>10</v>
      </c>
      <c r="P11" s="2"/>
      <c r="Q11" s="7">
        <v>7</v>
      </c>
      <c r="R11" s="2">
        <v>14</v>
      </c>
      <c r="S11" s="2">
        <v>41</v>
      </c>
      <c r="T11" s="2"/>
      <c r="U11" s="7">
        <v>7</v>
      </c>
      <c r="V11" s="2">
        <v>18</v>
      </c>
      <c r="W11" s="2">
        <v>47</v>
      </c>
      <c r="X11" s="2"/>
      <c r="Y11" s="7">
        <v>7</v>
      </c>
      <c r="Z11" s="9">
        <v>16</v>
      </c>
      <c r="AA11" s="9">
        <v>42</v>
      </c>
      <c r="AB11" s="2"/>
      <c r="AC11" s="2" t="s">
        <v>54</v>
      </c>
      <c r="AD11" s="2">
        <v>0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 t="s">
        <v>55</v>
      </c>
      <c r="AP11" s="2"/>
      <c r="AQ11" s="2"/>
      <c r="AR11" s="2"/>
      <c r="AS11" s="2"/>
      <c r="AT11" s="2" t="s">
        <v>56</v>
      </c>
      <c r="AU11" s="2">
        <v>16</v>
      </c>
      <c r="AV11" s="2">
        <v>2</v>
      </c>
      <c r="AW11" s="2">
        <v>83</v>
      </c>
      <c r="AX11" s="2">
        <v>92</v>
      </c>
      <c r="AY11" s="2">
        <f t="shared" si="0"/>
        <v>175</v>
      </c>
      <c r="AZ11" s="3">
        <f t="shared" si="1"/>
        <v>393.75</v>
      </c>
    </row>
    <row r="12" spans="1:52" ht="12.75">
      <c r="A12" s="1"/>
      <c r="B12" s="29" t="s">
        <v>53</v>
      </c>
      <c r="C12" s="30">
        <v>5</v>
      </c>
      <c r="D12" s="31" t="e">
        <f ca="1">_xludf.IFNA(VLOOKUP(C12,J13:K17,2,FALSE),0)</f>
        <v>#NAME?</v>
      </c>
      <c r="E12" s="32" t="s">
        <v>57</v>
      </c>
      <c r="F12" s="33">
        <v>0.25</v>
      </c>
      <c r="G12" s="33">
        <v>0.05</v>
      </c>
      <c r="H12" s="4"/>
      <c r="I12" s="90"/>
      <c r="J12" s="2" t="s">
        <v>24</v>
      </c>
      <c r="K12" s="2" t="s">
        <v>25</v>
      </c>
      <c r="L12" s="2"/>
      <c r="M12" s="7">
        <v>8</v>
      </c>
      <c r="N12" s="9">
        <v>16</v>
      </c>
      <c r="O12" s="9">
        <v>10</v>
      </c>
      <c r="P12" s="2"/>
      <c r="Q12" s="7">
        <v>8</v>
      </c>
      <c r="R12" s="2">
        <v>16</v>
      </c>
      <c r="S12" s="2">
        <v>42</v>
      </c>
      <c r="T12" s="2"/>
      <c r="U12" s="7">
        <v>8</v>
      </c>
      <c r="V12" s="2">
        <v>20</v>
      </c>
      <c r="W12" s="2">
        <v>48</v>
      </c>
      <c r="X12" s="2"/>
      <c r="Y12" s="7">
        <v>8</v>
      </c>
      <c r="Z12" s="9">
        <v>18</v>
      </c>
      <c r="AA12" s="9">
        <v>44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 t="s">
        <v>26</v>
      </c>
      <c r="AP12" s="2" t="s">
        <v>27</v>
      </c>
      <c r="AQ12" s="2" t="s">
        <v>30</v>
      </c>
      <c r="AR12" s="2"/>
      <c r="AS12" s="2"/>
      <c r="AT12" s="2" t="s">
        <v>58</v>
      </c>
      <c r="AU12" s="2">
        <v>17</v>
      </c>
      <c r="AV12" s="2">
        <v>3</v>
      </c>
      <c r="AW12" s="2">
        <v>100</v>
      </c>
      <c r="AX12" s="34">
        <v>112</v>
      </c>
      <c r="AY12" s="2">
        <f t="shared" si="0"/>
        <v>212</v>
      </c>
      <c r="AZ12" s="3">
        <f t="shared" si="1"/>
        <v>458.5</v>
      </c>
    </row>
    <row r="13" spans="1:52" ht="12.75">
      <c r="A13" s="1"/>
      <c r="B13" s="35" t="s">
        <v>59</v>
      </c>
      <c r="C13" s="36">
        <v>2</v>
      </c>
      <c r="D13" s="35" t="e">
        <f ca="1">_xludf.IFNA(VLOOKUP(C13,J21:K25,2,FALSE),0)</f>
        <v>#NAME?</v>
      </c>
      <c r="E13" s="32" t="s">
        <v>60</v>
      </c>
      <c r="F13" s="16">
        <v>15</v>
      </c>
      <c r="G13" s="16">
        <v>10</v>
      </c>
      <c r="H13" s="4"/>
      <c r="I13" s="37"/>
      <c r="J13" s="2">
        <v>1</v>
      </c>
      <c r="K13" s="2">
        <v>0.05</v>
      </c>
      <c r="L13" s="2"/>
      <c r="M13" s="7">
        <v>9</v>
      </c>
      <c r="N13" s="9">
        <v>18</v>
      </c>
      <c r="O13" s="9">
        <v>10</v>
      </c>
      <c r="P13" s="2"/>
      <c r="Q13" s="7">
        <v>9</v>
      </c>
      <c r="R13" s="2">
        <v>18</v>
      </c>
      <c r="S13" s="2">
        <v>43</v>
      </c>
      <c r="T13" s="2"/>
      <c r="U13" s="7">
        <v>9</v>
      </c>
      <c r="V13" s="2">
        <v>23</v>
      </c>
      <c r="W13" s="2">
        <v>48</v>
      </c>
      <c r="X13" s="2"/>
      <c r="Y13" s="7">
        <v>9</v>
      </c>
      <c r="Z13" s="9">
        <v>20</v>
      </c>
      <c r="AA13" s="9">
        <v>44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>
        <v>1</v>
      </c>
      <c r="AP13" s="2">
        <v>3</v>
      </c>
      <c r="AQ13" s="2">
        <v>56</v>
      </c>
      <c r="AR13" s="2"/>
      <c r="AS13" s="2"/>
      <c r="AT13" s="2" t="s">
        <v>61</v>
      </c>
      <c r="AU13" s="2">
        <v>18</v>
      </c>
      <c r="AV13" s="2">
        <v>3</v>
      </c>
      <c r="AW13" s="2">
        <v>110</v>
      </c>
      <c r="AX13" s="34" t="s">
        <v>62</v>
      </c>
      <c r="AY13" s="2">
        <f>(AW13+92)*(1+0.3)</f>
        <v>262.60000000000002</v>
      </c>
      <c r="AZ13" s="3">
        <f>(AW13+80+50)*(1+0.25+0.5+0.3)</f>
        <v>491.99999999999994</v>
      </c>
    </row>
    <row r="14" spans="1:52" ht="12.75">
      <c r="A14" s="1"/>
      <c r="B14" s="4"/>
      <c r="C14" s="4"/>
      <c r="D14" s="4"/>
      <c r="E14" s="35" t="s">
        <v>63</v>
      </c>
      <c r="F14" s="38">
        <v>10</v>
      </c>
      <c r="G14" s="38">
        <v>10</v>
      </c>
      <c r="H14" s="4"/>
      <c r="I14" s="37"/>
      <c r="J14" s="2">
        <v>2</v>
      </c>
      <c r="K14" s="2">
        <v>7.0000000000000007E-2</v>
      </c>
      <c r="L14" s="2"/>
      <c r="M14" s="7">
        <v>10</v>
      </c>
      <c r="N14" s="9">
        <v>20</v>
      </c>
      <c r="O14" s="9">
        <v>30</v>
      </c>
      <c r="P14" s="2"/>
      <c r="Q14" s="7">
        <v>10</v>
      </c>
      <c r="R14" s="2">
        <v>20</v>
      </c>
      <c r="S14" s="2">
        <v>44</v>
      </c>
      <c r="T14" s="2"/>
      <c r="U14" s="7">
        <v>10</v>
      </c>
      <c r="V14" s="2">
        <v>25</v>
      </c>
      <c r="W14" s="2">
        <v>49</v>
      </c>
      <c r="X14" s="2"/>
      <c r="Y14" s="7">
        <v>10</v>
      </c>
      <c r="Z14" s="9">
        <v>22</v>
      </c>
      <c r="AA14" s="9">
        <v>44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>
        <v>2</v>
      </c>
      <c r="AP14" s="2">
        <v>6</v>
      </c>
      <c r="AQ14" s="2">
        <v>57</v>
      </c>
      <c r="AR14" s="2"/>
      <c r="AS14" s="2"/>
      <c r="AT14" s="2" t="s">
        <v>64</v>
      </c>
      <c r="AU14" s="2">
        <v>18</v>
      </c>
      <c r="AV14" s="2">
        <v>3</v>
      </c>
      <c r="AW14" s="2">
        <v>110</v>
      </c>
      <c r="AX14" s="2">
        <v>92</v>
      </c>
      <c r="AY14" s="2">
        <f t="shared" ref="AY14:AY76" si="2">AW14+AX14</f>
        <v>202</v>
      </c>
      <c r="AZ14" s="3">
        <f t="shared" ref="AZ14:AZ76" si="3">(AY14+50)*(1+0.25+0.5)</f>
        <v>441</v>
      </c>
    </row>
    <row r="15" spans="1:52" ht="12.75">
      <c r="A15" s="1"/>
      <c r="B15" s="4"/>
      <c r="C15" s="4"/>
      <c r="D15" s="4"/>
      <c r="E15" s="4"/>
      <c r="F15" s="4"/>
      <c r="G15" s="4"/>
      <c r="H15" s="4"/>
      <c r="I15" s="37"/>
      <c r="J15" s="2">
        <v>3</v>
      </c>
      <c r="K15" s="2">
        <v>0.09</v>
      </c>
      <c r="L15" s="2"/>
      <c r="M15" s="7">
        <v>11</v>
      </c>
      <c r="N15" s="9">
        <v>23</v>
      </c>
      <c r="O15" s="9">
        <v>30</v>
      </c>
      <c r="P15" s="2"/>
      <c r="Q15" s="2"/>
      <c r="R15" s="2"/>
      <c r="S15" s="2"/>
      <c r="T15" s="2"/>
      <c r="U15" s="2"/>
      <c r="V15" s="2"/>
      <c r="W15" s="2"/>
      <c r="X15" s="2"/>
      <c r="Y15" s="7">
        <v>11</v>
      </c>
      <c r="Z15" s="9">
        <v>24</v>
      </c>
      <c r="AA15" s="9">
        <v>45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>
        <v>3</v>
      </c>
      <c r="AP15" s="2">
        <v>9</v>
      </c>
      <c r="AQ15" s="2">
        <v>58</v>
      </c>
      <c r="AR15" s="2"/>
      <c r="AS15" s="2"/>
      <c r="AT15" s="2" t="s">
        <v>65</v>
      </c>
      <c r="AU15" s="2">
        <v>20</v>
      </c>
      <c r="AV15" s="2">
        <v>3</v>
      </c>
      <c r="AW15" s="2">
        <v>115</v>
      </c>
      <c r="AX15" s="2">
        <v>92</v>
      </c>
      <c r="AY15" s="2">
        <f t="shared" si="2"/>
        <v>207</v>
      </c>
      <c r="AZ15" s="3">
        <f t="shared" si="3"/>
        <v>449.75</v>
      </c>
    </row>
    <row r="16" spans="1:52" ht="12.75">
      <c r="A16" s="1"/>
      <c r="B16" s="5" t="s">
        <v>66</v>
      </c>
      <c r="C16" s="4" t="s">
        <v>26</v>
      </c>
      <c r="D16" s="5" t="s">
        <v>25</v>
      </c>
      <c r="E16" s="5" t="s">
        <v>67</v>
      </c>
      <c r="F16" s="5"/>
      <c r="G16" s="5" t="s">
        <v>68</v>
      </c>
      <c r="H16" s="5"/>
      <c r="I16" s="37"/>
      <c r="J16" s="2">
        <v>4</v>
      </c>
      <c r="K16" s="2">
        <v>0.12</v>
      </c>
      <c r="L16" s="2"/>
      <c r="M16" s="7">
        <v>12</v>
      </c>
      <c r="N16" s="9">
        <v>26</v>
      </c>
      <c r="O16" s="9">
        <v>30</v>
      </c>
      <c r="P16" s="2"/>
      <c r="Q16" s="39" t="s">
        <v>69</v>
      </c>
      <c r="R16" s="2"/>
      <c r="S16" s="2"/>
      <c r="T16" s="2"/>
      <c r="U16" s="2"/>
      <c r="V16" s="2"/>
      <c r="W16" s="2"/>
      <c r="X16" s="2"/>
      <c r="Y16" s="7">
        <v>12</v>
      </c>
      <c r="Z16" s="9">
        <v>26</v>
      </c>
      <c r="AA16" s="9">
        <v>46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>
        <v>4</v>
      </c>
      <c r="AP16" s="2">
        <v>12</v>
      </c>
      <c r="AQ16" s="2">
        <v>59</v>
      </c>
      <c r="AR16" s="2"/>
      <c r="AS16" s="2"/>
      <c r="AT16" s="2" t="s">
        <v>70</v>
      </c>
      <c r="AU16" s="2">
        <v>21</v>
      </c>
      <c r="AV16" s="2">
        <v>3</v>
      </c>
      <c r="AW16" s="2">
        <v>110</v>
      </c>
      <c r="AX16" s="34">
        <v>92</v>
      </c>
      <c r="AY16" s="2">
        <f t="shared" si="2"/>
        <v>202</v>
      </c>
      <c r="AZ16" s="3">
        <f t="shared" si="3"/>
        <v>441</v>
      </c>
    </row>
    <row r="17" spans="1:52" ht="12.75">
      <c r="A17" s="1"/>
      <c r="B17" s="24" t="s">
        <v>8</v>
      </c>
      <c r="C17" s="25">
        <v>14</v>
      </c>
      <c r="D17" s="24" t="e">
        <f ca="1">_xludf.IFNA(VLOOKUP(C17,M5:O19,2,FALSE),0)</f>
        <v>#NAME?</v>
      </c>
      <c r="E17" s="24" t="str">
        <f>O4</f>
        <v>Command Center</v>
      </c>
      <c r="F17" s="24" t="e">
        <f ca="1">_xludf.IFNA(VLOOKUP(C17,M5:O19,3,FALSE),0)</f>
        <v>#NAME?</v>
      </c>
      <c r="G17" s="24" t="s">
        <v>71</v>
      </c>
      <c r="H17" s="24"/>
      <c r="I17" s="1"/>
      <c r="J17" s="2">
        <v>5</v>
      </c>
      <c r="K17" s="2">
        <v>0.15</v>
      </c>
      <c r="L17" s="2"/>
      <c r="M17" s="7">
        <v>13</v>
      </c>
      <c r="N17" s="9">
        <v>29</v>
      </c>
      <c r="O17" s="9">
        <v>30</v>
      </c>
      <c r="P17" s="2"/>
      <c r="Q17" s="2" t="s">
        <v>26</v>
      </c>
      <c r="R17" s="2" t="s">
        <v>27</v>
      </c>
      <c r="S17" s="40" t="s">
        <v>72</v>
      </c>
      <c r="T17" s="2"/>
      <c r="U17" s="2"/>
      <c r="V17" s="2"/>
      <c r="W17" s="2"/>
      <c r="X17" s="2"/>
      <c r="Y17" s="7">
        <v>13</v>
      </c>
      <c r="Z17" s="9">
        <v>28</v>
      </c>
      <c r="AA17" s="9">
        <v>46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>
        <v>5</v>
      </c>
      <c r="AP17" s="2">
        <v>15</v>
      </c>
      <c r="AQ17" s="2">
        <v>60</v>
      </c>
      <c r="AR17" s="2"/>
      <c r="AS17" s="2"/>
      <c r="AT17" s="2" t="s">
        <v>73</v>
      </c>
      <c r="AU17" s="2">
        <v>22</v>
      </c>
      <c r="AV17" s="2">
        <v>3</v>
      </c>
      <c r="AW17" s="2">
        <v>100</v>
      </c>
      <c r="AX17" s="2">
        <v>92</v>
      </c>
      <c r="AY17" s="2">
        <f t="shared" si="2"/>
        <v>192</v>
      </c>
      <c r="AZ17" s="3">
        <f t="shared" si="3"/>
        <v>423.5</v>
      </c>
    </row>
    <row r="18" spans="1:52" ht="12.75">
      <c r="A18" s="1"/>
      <c r="B18" s="29" t="s">
        <v>9</v>
      </c>
      <c r="C18" s="30">
        <v>10</v>
      </c>
      <c r="D18" s="29" t="e">
        <f ca="1">_xludf.IFNA(VLOOKUP(C18,Q5:S14,2,FALSE),0)</f>
        <v>#NAME?</v>
      </c>
      <c r="E18" s="29" t="s">
        <v>29</v>
      </c>
      <c r="F18" s="29" t="e">
        <f ca="1">_xludf.IFNA(VLOOKUP(C18,Q5:S14,3,FALSE),0)</f>
        <v>#NAME?</v>
      </c>
      <c r="G18" s="29" t="s">
        <v>74</v>
      </c>
      <c r="H18" s="29"/>
      <c r="I18" s="1"/>
      <c r="J18" s="2"/>
      <c r="K18" s="2"/>
      <c r="L18" s="2"/>
      <c r="M18" s="7">
        <v>14</v>
      </c>
      <c r="N18" s="9">
        <v>33</v>
      </c>
      <c r="O18" s="9">
        <v>30</v>
      </c>
      <c r="P18" s="2"/>
      <c r="Q18" s="41">
        <v>1</v>
      </c>
      <c r="R18" s="41">
        <v>3</v>
      </c>
      <c r="S18" s="8">
        <v>34</v>
      </c>
      <c r="T18" s="2"/>
      <c r="U18" s="2"/>
      <c r="V18" s="2"/>
      <c r="W18" s="2"/>
      <c r="X18" s="2"/>
      <c r="Y18" s="7">
        <v>14</v>
      </c>
      <c r="Z18" s="9">
        <v>29</v>
      </c>
      <c r="AA18" s="9">
        <v>47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 t="s">
        <v>75</v>
      </c>
      <c r="AU18" s="2">
        <v>23</v>
      </c>
      <c r="AV18" s="2">
        <v>3</v>
      </c>
      <c r="AW18" s="2">
        <v>90</v>
      </c>
      <c r="AX18" s="2">
        <v>92</v>
      </c>
      <c r="AY18" s="2">
        <f t="shared" si="2"/>
        <v>182</v>
      </c>
      <c r="AZ18" s="3">
        <f t="shared" si="3"/>
        <v>406</v>
      </c>
    </row>
    <row r="19" spans="1:52" ht="12.75">
      <c r="A19" s="1"/>
      <c r="B19" s="42" t="s">
        <v>69</v>
      </c>
      <c r="C19" s="30">
        <v>8</v>
      </c>
      <c r="D19" s="29" t="e">
        <f ca="1">_xludf.IFNA(VLOOKUP(C19,Q18:S27,2,FALSE),0)</f>
        <v>#NAME?</v>
      </c>
      <c r="E19" s="29" t="s">
        <v>29</v>
      </c>
      <c r="F19" s="29" t="e">
        <f ca="1">_xludf.IFNA(VLOOKUP(C19,Q18:S27,3,FALSE),0)</f>
        <v>#NAME?</v>
      </c>
      <c r="G19" s="29" t="s">
        <v>74</v>
      </c>
      <c r="H19" s="29"/>
      <c r="I19" s="1"/>
      <c r="J19" s="2" t="s">
        <v>59</v>
      </c>
      <c r="K19" s="2"/>
      <c r="L19" s="2"/>
      <c r="M19" s="7">
        <v>15</v>
      </c>
      <c r="N19" s="9">
        <v>40</v>
      </c>
      <c r="O19" s="9">
        <v>45</v>
      </c>
      <c r="P19" s="2"/>
      <c r="Q19" s="41">
        <v>2</v>
      </c>
      <c r="R19" s="41">
        <v>4</v>
      </c>
      <c r="S19" s="8">
        <v>35</v>
      </c>
      <c r="T19" s="2"/>
      <c r="U19" s="2"/>
      <c r="V19" s="2"/>
      <c r="W19" s="2"/>
      <c r="X19" s="2"/>
      <c r="Y19" s="7">
        <v>15</v>
      </c>
      <c r="Z19" s="9">
        <v>30</v>
      </c>
      <c r="AA19" s="9">
        <v>48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 t="s">
        <v>76</v>
      </c>
      <c r="AP19" s="2"/>
      <c r="AQ19" s="2"/>
      <c r="AR19" s="2"/>
      <c r="AS19" s="2"/>
      <c r="AT19" s="2" t="s">
        <v>77</v>
      </c>
      <c r="AU19" s="2">
        <v>24</v>
      </c>
      <c r="AV19" s="2">
        <v>3</v>
      </c>
      <c r="AW19" s="2">
        <v>85</v>
      </c>
      <c r="AX19" s="2">
        <v>92</v>
      </c>
      <c r="AY19" s="2">
        <f t="shared" si="2"/>
        <v>177</v>
      </c>
      <c r="AZ19" s="3">
        <f t="shared" si="3"/>
        <v>397.25</v>
      </c>
    </row>
    <row r="20" spans="1:52" ht="12.75">
      <c r="A20" s="1"/>
      <c r="B20" s="29" t="s">
        <v>10</v>
      </c>
      <c r="C20" s="30">
        <v>10</v>
      </c>
      <c r="D20" s="29" t="e">
        <f ca="1">_xludf.IFNA(VLOOKUP(C20,U5:W14,2,FALSE),0)</f>
        <v>#NAME?</v>
      </c>
      <c r="E20" s="29" t="str">
        <f>W4</f>
        <v>Engine Technology Lab</v>
      </c>
      <c r="F20" s="29" t="e">
        <f ca="1">_xludf.IFNA(VLOOKUP(C20,U5:W14,3,FALSE),0)</f>
        <v>#NAME?</v>
      </c>
      <c r="G20" s="29" t="s">
        <v>4</v>
      </c>
      <c r="H20" s="29"/>
      <c r="I20" s="1"/>
      <c r="J20" s="2" t="s">
        <v>24</v>
      </c>
      <c r="K20" s="2" t="s">
        <v>25</v>
      </c>
      <c r="L20" s="41"/>
      <c r="M20" s="2"/>
      <c r="N20" s="2"/>
      <c r="O20" s="2"/>
      <c r="P20" s="2"/>
      <c r="Q20" s="41">
        <v>3</v>
      </c>
      <c r="R20" s="41">
        <v>5</v>
      </c>
      <c r="S20" s="8">
        <v>40</v>
      </c>
      <c r="T20" s="2"/>
      <c r="U20" s="2"/>
      <c r="V20" s="2"/>
      <c r="W20" s="2"/>
      <c r="X20" s="2"/>
      <c r="Y20" s="7">
        <v>16</v>
      </c>
      <c r="Z20" s="9">
        <v>32</v>
      </c>
      <c r="AA20" s="9">
        <v>48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 t="s">
        <v>26</v>
      </c>
      <c r="AP20" s="2" t="s">
        <v>27</v>
      </c>
      <c r="AQ20" s="2" t="s">
        <v>78</v>
      </c>
      <c r="AR20" s="2"/>
      <c r="AS20" s="2"/>
      <c r="AT20" s="2" t="s">
        <v>79</v>
      </c>
      <c r="AU20" s="2">
        <v>25</v>
      </c>
      <c r="AV20" s="2">
        <v>3</v>
      </c>
      <c r="AW20" s="2">
        <v>75</v>
      </c>
      <c r="AX20" s="2">
        <v>92</v>
      </c>
      <c r="AY20" s="2">
        <f t="shared" si="2"/>
        <v>167</v>
      </c>
      <c r="AZ20" s="3">
        <f t="shared" si="3"/>
        <v>379.75</v>
      </c>
    </row>
    <row r="21" spans="1:52" ht="12.75">
      <c r="A21" s="1"/>
      <c r="B21" s="29" t="s">
        <v>11</v>
      </c>
      <c r="C21" s="30">
        <v>13</v>
      </c>
      <c r="D21" s="29" t="e">
        <f ca="1">_xludf.IFNA(VLOOKUP(C21,Y5:AA24,2,FALSE),0)</f>
        <v>#NAME?</v>
      </c>
      <c r="E21" s="29" t="str">
        <f>AA4</f>
        <v>Foundry</v>
      </c>
      <c r="F21" s="29" t="e">
        <f ca="1">_xludf.IFNA(VLOOKUP(C21,Y5:AA24,3,FALSE),0)</f>
        <v>#NAME?</v>
      </c>
      <c r="G21" s="29" t="s">
        <v>80</v>
      </c>
      <c r="H21" s="29"/>
      <c r="I21" s="1"/>
      <c r="J21" s="2">
        <v>1</v>
      </c>
      <c r="K21" s="2">
        <v>15</v>
      </c>
      <c r="L21" s="41"/>
      <c r="M21" s="2"/>
      <c r="N21" s="2"/>
      <c r="O21" s="2"/>
      <c r="P21" s="2"/>
      <c r="Q21" s="41">
        <v>4</v>
      </c>
      <c r="R21" s="41">
        <v>6</v>
      </c>
      <c r="S21" s="8">
        <v>40</v>
      </c>
      <c r="T21" s="2"/>
      <c r="U21" s="2"/>
      <c r="V21" s="2"/>
      <c r="W21" s="2"/>
      <c r="X21" s="2"/>
      <c r="Y21" s="7">
        <v>17</v>
      </c>
      <c r="Z21" s="9">
        <v>34</v>
      </c>
      <c r="AA21" s="9">
        <v>49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>
        <v>1</v>
      </c>
      <c r="AP21" s="2">
        <v>3</v>
      </c>
      <c r="AQ21" s="2">
        <v>56</v>
      </c>
      <c r="AR21" s="2"/>
      <c r="AS21" s="2"/>
      <c r="AT21" s="2" t="s">
        <v>81</v>
      </c>
      <c r="AU21" s="2">
        <v>25</v>
      </c>
      <c r="AV21" s="2">
        <v>3</v>
      </c>
      <c r="AW21" s="2">
        <v>120</v>
      </c>
      <c r="AX21" s="2">
        <v>92</v>
      </c>
      <c r="AY21" s="2">
        <f t="shared" si="2"/>
        <v>212</v>
      </c>
      <c r="AZ21" s="3">
        <f t="shared" si="3"/>
        <v>458.5</v>
      </c>
    </row>
    <row r="22" spans="1:52" ht="12.75">
      <c r="A22" s="1"/>
      <c r="B22" s="29" t="s">
        <v>12</v>
      </c>
      <c r="C22" s="30">
        <v>3</v>
      </c>
      <c r="D22" s="29" t="e">
        <f ca="1">_xludf.IFNA(VLOOKUP(C22,AC5:AE7,2,FALSE),0)</f>
        <v>#NAME?</v>
      </c>
      <c r="E22" s="29" t="s">
        <v>29</v>
      </c>
      <c r="F22" s="29" t="e">
        <f ca="1">_xludf.IFNA(VLOOKUP(C22,AC5:AE7,3,FALSE),0)</f>
        <v>#NAME?</v>
      </c>
      <c r="G22" s="29" t="s">
        <v>80</v>
      </c>
      <c r="H22" s="29"/>
      <c r="I22" s="1"/>
      <c r="J22" s="2">
        <v>2</v>
      </c>
      <c r="K22" s="2">
        <v>20</v>
      </c>
      <c r="L22" s="2"/>
      <c r="M22" s="2" t="s">
        <v>82</v>
      </c>
      <c r="N22" s="2"/>
      <c r="O22" s="2"/>
      <c r="P22" s="2"/>
      <c r="Q22" s="41">
        <v>5</v>
      </c>
      <c r="R22" s="41">
        <v>7</v>
      </c>
      <c r="S22" s="8">
        <v>40</v>
      </c>
      <c r="T22" s="2"/>
      <c r="U22" s="2"/>
      <c r="V22" s="2"/>
      <c r="W22" s="2"/>
      <c r="X22" s="2"/>
      <c r="Y22" s="7">
        <v>18</v>
      </c>
      <c r="Z22" s="9">
        <v>36</v>
      </c>
      <c r="AA22" s="9">
        <v>50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>
        <v>2</v>
      </c>
      <c r="AP22" s="2">
        <v>6</v>
      </c>
      <c r="AQ22" s="2">
        <v>57</v>
      </c>
      <c r="AR22" s="2"/>
      <c r="AS22" s="2"/>
      <c r="AT22" s="43" t="s">
        <v>83</v>
      </c>
      <c r="AU22" s="43">
        <v>26</v>
      </c>
      <c r="AV22" s="43">
        <v>3</v>
      </c>
      <c r="AW22" s="43">
        <v>75</v>
      </c>
      <c r="AX22" s="2">
        <v>92</v>
      </c>
      <c r="AY22" s="44">
        <f t="shared" si="2"/>
        <v>167</v>
      </c>
      <c r="AZ22" s="45">
        <f t="shared" si="3"/>
        <v>379.75</v>
      </c>
    </row>
    <row r="23" spans="1:52" ht="12.75">
      <c r="A23" s="1"/>
      <c r="B23" s="29" t="s">
        <v>13</v>
      </c>
      <c r="C23" s="30">
        <v>5</v>
      </c>
      <c r="D23" s="29" t="e">
        <f ca="1">_xludf.IFNA(VLOOKUP(C23,AG5:AI9,2,FALSE),0)</f>
        <v>#NAME?</v>
      </c>
      <c r="E23" s="29" t="s">
        <v>29</v>
      </c>
      <c r="F23" s="29" t="e">
        <f ca="1">_xludf.IFNA(VLOOKUP(C23,AG5:AI9,3,FALSE),0)</f>
        <v>#NAME?</v>
      </c>
      <c r="G23" s="29" t="s">
        <v>80</v>
      </c>
      <c r="H23" s="29"/>
      <c r="I23" s="1"/>
      <c r="J23" s="2">
        <v>3</v>
      </c>
      <c r="K23" s="2">
        <v>30</v>
      </c>
      <c r="L23" s="2"/>
      <c r="M23" s="46" t="s">
        <v>84</v>
      </c>
      <c r="N23" s="47">
        <v>5</v>
      </c>
      <c r="O23" s="2"/>
      <c r="P23" s="2"/>
      <c r="Q23" s="41">
        <v>6</v>
      </c>
      <c r="R23" s="41">
        <v>8</v>
      </c>
      <c r="S23" s="8">
        <v>40</v>
      </c>
      <c r="T23" s="2"/>
      <c r="U23" s="2"/>
      <c r="V23" s="2"/>
      <c r="W23" s="2"/>
      <c r="X23" s="2"/>
      <c r="Y23" s="7">
        <v>19</v>
      </c>
      <c r="Z23" s="9">
        <v>38</v>
      </c>
      <c r="AA23" s="9">
        <v>50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>
        <v>3</v>
      </c>
      <c r="AP23" s="2">
        <v>9</v>
      </c>
      <c r="AQ23" s="2">
        <v>58</v>
      </c>
      <c r="AR23" s="2"/>
      <c r="AS23" s="2"/>
      <c r="AT23" s="2" t="s">
        <v>85</v>
      </c>
      <c r="AU23" s="2">
        <v>26</v>
      </c>
      <c r="AV23" s="2">
        <v>3</v>
      </c>
      <c r="AW23" s="2">
        <v>115</v>
      </c>
      <c r="AX23" s="2">
        <v>92</v>
      </c>
      <c r="AY23" s="2">
        <f t="shared" si="2"/>
        <v>207</v>
      </c>
      <c r="AZ23" s="3">
        <f t="shared" si="3"/>
        <v>449.75</v>
      </c>
    </row>
    <row r="24" spans="1:52" ht="12.75">
      <c r="A24" s="1"/>
      <c r="B24" s="29" t="s">
        <v>14</v>
      </c>
      <c r="C24" s="30">
        <v>5</v>
      </c>
      <c r="D24" s="31" t="e">
        <f ca="1">_xludf.IFNA(VLOOKUP(C24,AK5:AM9,2,FALSE),0)</f>
        <v>#NAME?</v>
      </c>
      <c r="E24" s="29" t="s">
        <v>29</v>
      </c>
      <c r="F24" s="29" t="e">
        <f ca="1">_xludf.IFNA(VLOOKUP(C24,AK5:AM9,3,FALSE),0)</f>
        <v>#NAME?</v>
      </c>
      <c r="G24" s="29" t="s">
        <v>80</v>
      </c>
      <c r="H24" s="29"/>
      <c r="I24" s="48"/>
      <c r="J24" s="2">
        <v>4</v>
      </c>
      <c r="K24" s="2">
        <v>40</v>
      </c>
      <c r="L24" s="2"/>
      <c r="M24" s="46" t="s">
        <v>86</v>
      </c>
      <c r="N24" s="47">
        <v>5</v>
      </c>
      <c r="O24" s="2"/>
      <c r="P24" s="2"/>
      <c r="Q24" s="41">
        <v>7</v>
      </c>
      <c r="R24" s="41">
        <v>9</v>
      </c>
      <c r="S24" s="8">
        <v>51</v>
      </c>
      <c r="T24" s="2"/>
      <c r="U24" s="2"/>
      <c r="V24" s="2"/>
      <c r="W24" s="2"/>
      <c r="X24" s="2"/>
      <c r="Y24" s="7">
        <v>20</v>
      </c>
      <c r="Z24" s="9">
        <v>40</v>
      </c>
      <c r="AA24" s="9">
        <v>51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>
        <v>4</v>
      </c>
      <c r="AP24" s="2">
        <v>12</v>
      </c>
      <c r="AQ24" s="2">
        <v>59</v>
      </c>
      <c r="AR24" s="2"/>
      <c r="AS24" s="2"/>
      <c r="AT24" s="2" t="s">
        <v>87</v>
      </c>
      <c r="AU24" s="2">
        <v>26</v>
      </c>
      <c r="AV24" s="2">
        <v>3</v>
      </c>
      <c r="AW24" s="2">
        <v>115</v>
      </c>
      <c r="AX24" s="2">
        <v>92</v>
      </c>
      <c r="AY24" s="2">
        <f t="shared" si="2"/>
        <v>207</v>
      </c>
      <c r="AZ24" s="3">
        <f t="shared" si="3"/>
        <v>449.75</v>
      </c>
    </row>
    <row r="25" spans="1:52" ht="12.75">
      <c r="A25" s="1"/>
      <c r="B25" s="29" t="s">
        <v>46</v>
      </c>
      <c r="C25" s="30" t="s">
        <v>50</v>
      </c>
      <c r="D25" s="29" t="e">
        <f ca="1">_xludf.IFNA(VLOOKUP(C25,AC10:AD11,2,FALSE),0)</f>
        <v>#NAME?</v>
      </c>
      <c r="E25" s="29" t="s">
        <v>88</v>
      </c>
      <c r="F25" s="29"/>
      <c r="G25" s="29" t="s">
        <v>80</v>
      </c>
      <c r="H25" s="29"/>
      <c r="I25" s="48"/>
      <c r="J25" s="2">
        <v>5</v>
      </c>
      <c r="K25" s="2">
        <v>50</v>
      </c>
      <c r="L25" s="2"/>
      <c r="M25" s="46" t="s">
        <v>89</v>
      </c>
      <c r="N25" s="47">
        <v>10</v>
      </c>
      <c r="O25" s="2"/>
      <c r="P25" s="2"/>
      <c r="Q25" s="41">
        <v>8</v>
      </c>
      <c r="R25" s="41">
        <v>10</v>
      </c>
      <c r="S25" s="8">
        <v>51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>
        <v>5</v>
      </c>
      <c r="AP25" s="2">
        <v>15</v>
      </c>
      <c r="AQ25" s="2">
        <v>60</v>
      </c>
      <c r="AR25" s="2"/>
      <c r="AS25" s="2"/>
      <c r="AT25" s="2" t="s">
        <v>90</v>
      </c>
      <c r="AU25" s="2">
        <v>26</v>
      </c>
      <c r="AV25" s="2">
        <v>3</v>
      </c>
      <c r="AW25" s="2">
        <v>115</v>
      </c>
      <c r="AX25" s="2">
        <v>92</v>
      </c>
      <c r="AY25" s="2">
        <f t="shared" si="2"/>
        <v>207</v>
      </c>
      <c r="AZ25" s="3">
        <f t="shared" si="3"/>
        <v>449.75</v>
      </c>
    </row>
    <row r="26" spans="1:52" ht="12.75">
      <c r="A26" s="1"/>
      <c r="B26" s="29" t="s">
        <v>15</v>
      </c>
      <c r="C26" s="30"/>
      <c r="D26" s="29" t="e">
        <f ca="1">_xludf.IFNA(VLOOKUP(C26,AO5:AQ9,2,FALSE),0)</f>
        <v>#NAME?</v>
      </c>
      <c r="E26" s="29" t="s">
        <v>31</v>
      </c>
      <c r="F26" s="29" t="e">
        <f ca="1">_xludf.IFNA(VLOOKUP(C26,AO5:AQ9,3,FALSE),0)</f>
        <v>#NAME?</v>
      </c>
      <c r="G26" s="29" t="s">
        <v>91</v>
      </c>
      <c r="H26" s="29"/>
      <c r="I26" s="48"/>
      <c r="J26" s="2"/>
      <c r="K26" s="2"/>
      <c r="L26" s="2"/>
      <c r="M26" s="46" t="s">
        <v>92</v>
      </c>
      <c r="N26" s="47">
        <v>10</v>
      </c>
      <c r="O26" s="2"/>
      <c r="P26" s="2"/>
      <c r="Q26" s="41">
        <v>9</v>
      </c>
      <c r="R26" s="41">
        <v>11</v>
      </c>
      <c r="S26" s="8">
        <v>55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 t="s">
        <v>93</v>
      </c>
      <c r="AU26" s="2">
        <v>26</v>
      </c>
      <c r="AV26" s="2">
        <v>3</v>
      </c>
      <c r="AW26" s="2">
        <v>100</v>
      </c>
      <c r="AX26" s="2">
        <v>92</v>
      </c>
      <c r="AY26" s="2">
        <f t="shared" si="2"/>
        <v>192</v>
      </c>
      <c r="AZ26" s="3">
        <f t="shared" si="3"/>
        <v>423.5</v>
      </c>
    </row>
    <row r="27" spans="1:52" ht="12.75">
      <c r="A27" s="1"/>
      <c r="B27" s="29" t="s">
        <v>55</v>
      </c>
      <c r="C27" s="30"/>
      <c r="D27" s="29" t="e">
        <f ca="1">_xludf.IFNA(VLOOKUP(C27,AO13:AQ17,2,FALSE),0)</f>
        <v>#NAME?</v>
      </c>
      <c r="E27" s="29" t="s">
        <v>30</v>
      </c>
      <c r="F27" s="29" t="e">
        <f ca="1">_xludf.IFNA(VLOOKUP(C27,AO13:AQ17,3,FALSE),0)</f>
        <v>#NAME?</v>
      </c>
      <c r="G27" s="29" t="s">
        <v>91</v>
      </c>
      <c r="H27" s="29"/>
      <c r="I27" s="1"/>
      <c r="J27" s="2"/>
      <c r="K27" s="2"/>
      <c r="L27" s="2"/>
      <c r="M27" s="46" t="s">
        <v>94</v>
      </c>
      <c r="N27" s="47">
        <v>15</v>
      </c>
      <c r="O27" s="2"/>
      <c r="P27" s="2"/>
      <c r="Q27" s="41">
        <v>10</v>
      </c>
      <c r="R27" s="41">
        <v>12</v>
      </c>
      <c r="S27" s="8">
        <v>55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 t="s">
        <v>95</v>
      </c>
      <c r="AU27" s="2">
        <v>26</v>
      </c>
      <c r="AV27" s="2">
        <v>3</v>
      </c>
      <c r="AW27" s="2">
        <v>100</v>
      </c>
      <c r="AX27" s="2">
        <v>92</v>
      </c>
      <c r="AY27" s="2">
        <f t="shared" si="2"/>
        <v>192</v>
      </c>
      <c r="AZ27" s="3">
        <f t="shared" si="3"/>
        <v>423.5</v>
      </c>
    </row>
    <row r="28" spans="1:52" ht="12.75">
      <c r="A28" s="1"/>
      <c r="B28" s="35" t="s">
        <v>76</v>
      </c>
      <c r="C28" s="30"/>
      <c r="D28" s="35" t="e">
        <f ca="1">_xludf.IFNA(VLOOKUP(C28,AO21:AQ25,2,FALSE),0)</f>
        <v>#NAME?</v>
      </c>
      <c r="E28" s="35" t="s">
        <v>78</v>
      </c>
      <c r="F28" s="35" t="e">
        <f ca="1">_xludf.IFNA(VLOOKUP(C28,AO21:AQ25,3,FALSE),0)</f>
        <v>#NAME?</v>
      </c>
      <c r="G28" s="35" t="s">
        <v>91</v>
      </c>
      <c r="H28" s="35"/>
      <c r="I28" s="1"/>
      <c r="J28" s="2"/>
      <c r="K28" s="2"/>
      <c r="L28" s="2"/>
      <c r="M28" s="46" t="s">
        <v>96</v>
      </c>
      <c r="N28" s="47">
        <v>20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 t="s">
        <v>97</v>
      </c>
      <c r="AU28" s="2">
        <v>26</v>
      </c>
      <c r="AV28" s="2">
        <v>3</v>
      </c>
      <c r="AW28" s="2">
        <v>85</v>
      </c>
      <c r="AX28" s="2">
        <v>92</v>
      </c>
      <c r="AY28" s="2">
        <f t="shared" si="2"/>
        <v>177</v>
      </c>
      <c r="AZ28" s="3">
        <f t="shared" si="3"/>
        <v>397.25</v>
      </c>
    </row>
    <row r="29" spans="1:52" ht="12.75">
      <c r="A29" s="1"/>
      <c r="B29" s="4"/>
      <c r="C29" s="49"/>
      <c r="D29" s="4"/>
      <c r="E29" s="4"/>
      <c r="F29" s="4"/>
      <c r="G29" s="4"/>
      <c r="H29" s="4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 t="s">
        <v>98</v>
      </c>
      <c r="AU29" s="2">
        <v>27</v>
      </c>
      <c r="AV29" s="50">
        <v>3</v>
      </c>
      <c r="AW29" s="50">
        <v>125</v>
      </c>
      <c r="AX29" s="2">
        <v>92</v>
      </c>
      <c r="AY29" s="2">
        <f t="shared" si="2"/>
        <v>217</v>
      </c>
      <c r="AZ29" s="3">
        <f t="shared" si="3"/>
        <v>467.25</v>
      </c>
    </row>
    <row r="30" spans="1:52" ht="12.75">
      <c r="A30" s="1"/>
      <c r="B30" s="5" t="s">
        <v>82</v>
      </c>
      <c r="C30" s="49"/>
      <c r="D30" s="5"/>
      <c r="E30" s="5"/>
      <c r="F30" s="5"/>
      <c r="G30" s="5"/>
      <c r="H30" s="5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 t="s">
        <v>99</v>
      </c>
      <c r="AU30" s="2">
        <v>28</v>
      </c>
      <c r="AV30" s="2">
        <v>3</v>
      </c>
      <c r="AW30" s="2">
        <v>115</v>
      </c>
      <c r="AX30" s="2">
        <v>92</v>
      </c>
      <c r="AY30" s="2">
        <f t="shared" si="2"/>
        <v>207</v>
      </c>
      <c r="AZ30" s="3">
        <f t="shared" si="3"/>
        <v>449.75</v>
      </c>
    </row>
    <row r="31" spans="1:52" ht="17.25" customHeight="1">
      <c r="A31" s="1"/>
      <c r="B31" s="51" t="s">
        <v>100</v>
      </c>
      <c r="C31" s="52" t="s">
        <v>96</v>
      </c>
      <c r="D31" s="51" t="e">
        <f ca="1">_xludf.IFNA(IF(C32="Yes",VLOOKUP(C31,M23:N28,2,FALSE),0),0)</f>
        <v>#NAME?</v>
      </c>
      <c r="E31" s="51" t="s">
        <v>101</v>
      </c>
      <c r="F31" s="51"/>
      <c r="G31" s="51"/>
      <c r="H31" s="5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 t="s">
        <v>102</v>
      </c>
      <c r="AU31" s="2">
        <v>28</v>
      </c>
      <c r="AV31" s="2">
        <v>3</v>
      </c>
      <c r="AW31" s="2">
        <v>100</v>
      </c>
      <c r="AX31" s="2">
        <v>92</v>
      </c>
      <c r="AY31" s="2">
        <f t="shared" si="2"/>
        <v>192</v>
      </c>
      <c r="AZ31" s="3">
        <f t="shared" si="3"/>
        <v>423.5</v>
      </c>
    </row>
    <row r="32" spans="1:52" ht="27.75" customHeight="1">
      <c r="A32" s="1"/>
      <c r="B32" s="4" t="s">
        <v>103</v>
      </c>
      <c r="C32" s="53" t="s">
        <v>54</v>
      </c>
      <c r="D32" s="4"/>
      <c r="E32" s="4"/>
      <c r="F32" s="4"/>
      <c r="G32" s="4"/>
      <c r="H32" s="4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 t="s">
        <v>104</v>
      </c>
      <c r="AU32" s="2">
        <v>30</v>
      </c>
      <c r="AV32" s="2">
        <v>3</v>
      </c>
      <c r="AW32" s="2">
        <v>80</v>
      </c>
      <c r="AX32" s="2">
        <v>92</v>
      </c>
      <c r="AY32" s="2">
        <f t="shared" si="2"/>
        <v>172</v>
      </c>
      <c r="AZ32" s="3">
        <f t="shared" si="3"/>
        <v>388.5</v>
      </c>
    </row>
    <row r="33" spans="1:52" ht="27.75" customHeight="1">
      <c r="A33" s="1"/>
      <c r="B33" s="54" t="s">
        <v>105</v>
      </c>
      <c r="C33" s="1"/>
      <c r="D33" s="1"/>
      <c r="E33" s="1"/>
      <c r="F33" s="1"/>
      <c r="G33" s="1"/>
      <c r="H33" s="55" t="s">
        <v>106</v>
      </c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 t="s">
        <v>107</v>
      </c>
      <c r="AU33" s="2">
        <v>30</v>
      </c>
      <c r="AV33" s="2">
        <v>3</v>
      </c>
      <c r="AW33" s="2">
        <v>75</v>
      </c>
      <c r="AX33" s="2">
        <v>92</v>
      </c>
      <c r="AY33" s="2">
        <f t="shared" si="2"/>
        <v>167</v>
      </c>
      <c r="AZ33" s="3">
        <f t="shared" si="3"/>
        <v>379.75</v>
      </c>
    </row>
    <row r="34" spans="1:52" ht="27.75" customHeight="1">
      <c r="A34" s="1"/>
      <c r="B34" s="4" t="s">
        <v>108</v>
      </c>
      <c r="C34" s="56" t="e">
        <f ca="1">F7</f>
        <v>#NAME?</v>
      </c>
      <c r="D34" s="4" t="s">
        <v>109</v>
      </c>
      <c r="E34" s="57" t="str">
        <f>B6</f>
        <v>Realta</v>
      </c>
      <c r="F34" s="4"/>
      <c r="G34" s="4"/>
      <c r="H34" s="4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 t="s">
        <v>110</v>
      </c>
      <c r="AU34" s="2">
        <v>30</v>
      </c>
      <c r="AV34" s="2">
        <v>3</v>
      </c>
      <c r="AW34" s="2">
        <v>75</v>
      </c>
      <c r="AX34" s="2">
        <v>92</v>
      </c>
      <c r="AY34" s="2">
        <f t="shared" si="2"/>
        <v>167</v>
      </c>
      <c r="AZ34" s="3">
        <f t="shared" si="3"/>
        <v>379.75</v>
      </c>
    </row>
    <row r="35" spans="1:52" ht="27.75" customHeight="1">
      <c r="A35" s="1"/>
      <c r="B35" s="5" t="s">
        <v>111</v>
      </c>
      <c r="C35" s="5" t="s">
        <v>112</v>
      </c>
      <c r="D35" s="58" t="s">
        <v>113</v>
      </c>
      <c r="E35" s="5"/>
      <c r="F35" s="5" t="s">
        <v>68</v>
      </c>
      <c r="G35" s="5"/>
      <c r="H35" s="5"/>
      <c r="I35" s="5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 t="s">
        <v>114</v>
      </c>
      <c r="AU35" s="2">
        <v>30</v>
      </c>
      <c r="AV35" s="2">
        <v>3</v>
      </c>
      <c r="AW35" s="2">
        <v>75</v>
      </c>
      <c r="AX35" s="2">
        <v>92</v>
      </c>
      <c r="AY35" s="2">
        <f t="shared" si="2"/>
        <v>167</v>
      </c>
      <c r="AZ35" s="3">
        <f t="shared" si="3"/>
        <v>379.75</v>
      </c>
    </row>
    <row r="36" spans="1:52" ht="27.75" customHeight="1">
      <c r="A36" s="60"/>
      <c r="B36" s="61" t="s">
        <v>44</v>
      </c>
      <c r="C36" s="62" t="e">
        <f ca="1">IF(B6="Botany Bay",(F6+D13+D18+D17)*(1+F12+D11+D24),(F7+D13)*(1+F12+D11))</f>
        <v>#NAME?</v>
      </c>
      <c r="D36" s="63" t="e">
        <f ca="1">IF(B6="Botany Bay",(F6+K25+D18+D17)*(1+F12+K9+D24),(F7+D13)*(1+F12+K9))</f>
        <v>#NAME?</v>
      </c>
      <c r="E36" s="61"/>
      <c r="F36" s="61" t="s">
        <v>115</v>
      </c>
      <c r="G36" s="61"/>
      <c r="H36" s="61"/>
      <c r="I36" s="60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 t="s">
        <v>116</v>
      </c>
      <c r="AU36" s="2">
        <v>31</v>
      </c>
      <c r="AV36" s="2">
        <v>3</v>
      </c>
      <c r="AW36" s="2">
        <v>70</v>
      </c>
      <c r="AX36" s="2">
        <v>92</v>
      </c>
      <c r="AY36" s="2">
        <f t="shared" si="2"/>
        <v>162</v>
      </c>
      <c r="AZ36" s="3">
        <f t="shared" si="3"/>
        <v>371</v>
      </c>
    </row>
    <row r="37" spans="1:52" ht="27.75" customHeight="1">
      <c r="A37" s="60"/>
      <c r="B37" s="64" t="s">
        <v>117</v>
      </c>
      <c r="C37" s="65" t="e">
        <f ca="1">IF(B6="Botany Bay",(F6+D18+D17)*(1+D11+F11+G11+D24),(F7)*(1+D11+F11+G11))</f>
        <v>#NAME?</v>
      </c>
      <c r="D37" s="66" t="e">
        <f ca="1">IF(B6="Botany Bay",(F6+D18+D17)*(1+K9+F11+G11+D24),(F7)*(1+K9+F11+G11))</f>
        <v>#NAME?</v>
      </c>
      <c r="E37" s="64"/>
      <c r="F37" s="64" t="s">
        <v>118</v>
      </c>
      <c r="G37" s="64"/>
      <c r="H37" s="64"/>
      <c r="I37" s="6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 t="s">
        <v>119</v>
      </c>
      <c r="AU37" s="2">
        <v>32</v>
      </c>
      <c r="AV37" s="2">
        <v>3</v>
      </c>
      <c r="AW37" s="2">
        <v>115</v>
      </c>
      <c r="AX37" s="2">
        <v>92</v>
      </c>
      <c r="AY37" s="2">
        <f t="shared" si="2"/>
        <v>207</v>
      </c>
      <c r="AZ37" s="3">
        <f t="shared" si="3"/>
        <v>449.75</v>
      </c>
    </row>
    <row r="38" spans="1:52" ht="27.75" customHeight="1">
      <c r="A38" s="60"/>
      <c r="B38" s="64" t="s">
        <v>120</v>
      </c>
      <c r="C38" s="65" t="e">
        <f ca="1">IF(B6="Botany Bay",(F6+D13+D18+D17+F13)*(1+D11+D24),(F7+D13+F13)*(1+D11))</f>
        <v>#NAME?</v>
      </c>
      <c r="D38" s="66" t="e">
        <f ca="1">IF(B6="Botany Bay",(F6+K25+D18+D17+F13)*(1+K9+D24),(F7+D13+F13)*(1+K9))</f>
        <v>#NAME?</v>
      </c>
      <c r="E38" s="64"/>
      <c r="F38" s="64" t="s">
        <v>121</v>
      </c>
      <c r="G38" s="64"/>
      <c r="H38" s="64"/>
      <c r="I38" s="6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 t="s">
        <v>122</v>
      </c>
      <c r="AU38" s="2">
        <v>32</v>
      </c>
      <c r="AV38" s="2">
        <v>3</v>
      </c>
      <c r="AW38" s="2">
        <v>100</v>
      </c>
      <c r="AX38" s="2">
        <v>92</v>
      </c>
      <c r="AY38" s="2">
        <f t="shared" si="2"/>
        <v>192</v>
      </c>
      <c r="AZ38" s="3">
        <f t="shared" si="3"/>
        <v>423.5</v>
      </c>
    </row>
    <row r="39" spans="1:52" ht="27.75" customHeight="1">
      <c r="A39" s="60"/>
      <c r="B39" s="64" t="s">
        <v>123</v>
      </c>
      <c r="C39" s="65" t="e">
        <f ca="1">IF(B6="Botany Bay",(F6+D18+D17)*(1+F12+G12+D11+D24),(F7)*(1+F12+G12+D11))</f>
        <v>#NAME?</v>
      </c>
      <c r="D39" s="66" t="e">
        <f ca="1">IF(B6="Botany Bay",(F6+D18+D17)*(1+F12+G12+K9+D24),(F7)*(1+F12+G12+K9))</f>
        <v>#NAME?</v>
      </c>
      <c r="E39" s="64"/>
      <c r="F39" s="64" t="s">
        <v>121</v>
      </c>
      <c r="G39" s="64"/>
      <c r="H39" s="64"/>
      <c r="I39" s="60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 t="s">
        <v>124</v>
      </c>
      <c r="AU39" s="2">
        <v>32</v>
      </c>
      <c r="AV39" s="2">
        <v>3</v>
      </c>
      <c r="AW39" s="2">
        <v>85</v>
      </c>
      <c r="AX39" s="2">
        <v>92</v>
      </c>
      <c r="AY39" s="2">
        <f t="shared" si="2"/>
        <v>177</v>
      </c>
      <c r="AZ39" s="3">
        <f t="shared" si="3"/>
        <v>397.25</v>
      </c>
    </row>
    <row r="40" spans="1:52" ht="27.75" customHeight="1">
      <c r="A40" s="60"/>
      <c r="B40" s="64" t="s">
        <v>125</v>
      </c>
      <c r="C40" s="65" t="e">
        <f ca="1">IF(B6="Botany Bay",(F6+D13+D18+D17)*(1+F11+G11+D24),(F7+D13)*(1+F11+G11))</f>
        <v>#NAME?</v>
      </c>
      <c r="D40" s="66" t="e">
        <f ca="1">IF(B6="Botany Bay",(F6+K25+D18+D17)*(1+F11+G11+D24),(F7+K25)*(1+F11+G11))</f>
        <v>#NAME?</v>
      </c>
      <c r="E40" s="64"/>
      <c r="F40" s="64" t="s">
        <v>126</v>
      </c>
      <c r="G40" s="64"/>
      <c r="H40" s="64"/>
      <c r="I40" s="6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 t="s">
        <v>127</v>
      </c>
      <c r="AU40" s="2">
        <v>33</v>
      </c>
      <c r="AV40" s="2">
        <v>4</v>
      </c>
      <c r="AW40" s="2">
        <v>85</v>
      </c>
      <c r="AX40" s="34">
        <f>145+12</f>
        <v>157</v>
      </c>
      <c r="AY40" s="2">
        <f t="shared" si="2"/>
        <v>242</v>
      </c>
      <c r="AZ40" s="3">
        <f t="shared" si="3"/>
        <v>511</v>
      </c>
    </row>
    <row r="41" spans="1:52" ht="27.75" customHeight="1">
      <c r="A41" s="60"/>
      <c r="B41" s="64" t="s">
        <v>128</v>
      </c>
      <c r="C41" s="65" t="e">
        <f ca="1">IF(B6="Botany Bay",(F6+D13+D18+D17)*(1+F12+G12+D24),(F7+D13)*(1+F12+G12))</f>
        <v>#NAME?</v>
      </c>
      <c r="D41" s="66" t="e">
        <f ca="1">IF(B6="Botany Bay",(F6+K25+D18+D17)*(1+F12+G12+D24),(F7+K25)*(1+F12+G12))</f>
        <v>#NAME?</v>
      </c>
      <c r="E41" s="64"/>
      <c r="F41" s="64" t="s">
        <v>129</v>
      </c>
      <c r="G41" s="64"/>
      <c r="H41" s="64"/>
      <c r="I41" s="6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 t="s">
        <v>130</v>
      </c>
      <c r="AU41" s="2">
        <v>34</v>
      </c>
      <c r="AV41" s="2">
        <v>3</v>
      </c>
      <c r="AW41" s="2">
        <v>115</v>
      </c>
      <c r="AX41" s="2">
        <v>92</v>
      </c>
      <c r="AY41" s="2">
        <f t="shared" si="2"/>
        <v>207</v>
      </c>
      <c r="AZ41" s="3">
        <f t="shared" si="3"/>
        <v>449.75</v>
      </c>
    </row>
    <row r="42" spans="1:52" ht="27.75" customHeight="1">
      <c r="A42" s="60"/>
      <c r="B42" s="64" t="s">
        <v>131</v>
      </c>
      <c r="C42" s="65" t="e">
        <f ca="1">IF(B6="Botany Bay",(F6+D13+D18+D17)*(1+D11+D24),(F7+D13)*(1+D11))</f>
        <v>#NAME?</v>
      </c>
      <c r="D42" s="66" t="e">
        <f ca="1">IF(B6="Botany Bay",(F6+K25+D18+D17)*(1+K9+D24),(F7+D13)*(1+K9))</f>
        <v>#NAME?</v>
      </c>
      <c r="E42" s="64"/>
      <c r="F42" s="64" t="s">
        <v>132</v>
      </c>
      <c r="G42" s="64"/>
      <c r="H42" s="64"/>
      <c r="I42" s="6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 t="s">
        <v>133</v>
      </c>
      <c r="AU42" s="2">
        <v>34</v>
      </c>
      <c r="AV42" s="2">
        <v>3</v>
      </c>
      <c r="AW42" s="2">
        <v>100</v>
      </c>
      <c r="AX42" s="2">
        <v>92</v>
      </c>
      <c r="AY42" s="2">
        <f t="shared" si="2"/>
        <v>192</v>
      </c>
      <c r="AZ42" s="3">
        <f t="shared" si="3"/>
        <v>423.5</v>
      </c>
    </row>
    <row r="43" spans="1:52" ht="27.75" customHeight="1">
      <c r="A43" s="60"/>
      <c r="B43" s="64" t="s">
        <v>134</v>
      </c>
      <c r="C43" s="65" t="e">
        <f ca="1">IF(B6="Botany Bay",(F6+D18+D17)*(1+F11+G11*2+D24),(F7)*(1+F11+G11*2))</f>
        <v>#NAME?</v>
      </c>
      <c r="D43" s="66" t="e">
        <f ca="1">IF(B6="Botany Bay",(F6+D18+D17)*(1+F11+G11*2+D24),(F7)*(1+F11+G11*2))</f>
        <v>#NAME?</v>
      </c>
      <c r="E43" s="64"/>
      <c r="F43" s="64" t="s">
        <v>135</v>
      </c>
      <c r="G43" s="64"/>
      <c r="H43" s="64"/>
      <c r="I43" s="6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 t="s">
        <v>136</v>
      </c>
      <c r="AU43" s="2">
        <v>34</v>
      </c>
      <c r="AV43" s="2">
        <v>3</v>
      </c>
      <c r="AW43" s="2">
        <v>85</v>
      </c>
      <c r="AX43" s="2">
        <v>92</v>
      </c>
      <c r="AY43" s="2">
        <f t="shared" si="2"/>
        <v>177</v>
      </c>
      <c r="AZ43" s="3">
        <f t="shared" si="3"/>
        <v>397.25</v>
      </c>
    </row>
    <row r="44" spans="1:52" ht="28.5" customHeight="1">
      <c r="A44" s="60"/>
      <c r="B44" s="64" t="s">
        <v>7</v>
      </c>
      <c r="C44" s="65" t="e">
        <f ca="1">IF(B6="Botany Bay",(F6+D18+D17)*(1+D11+D24),(F7)*(1+D11))</f>
        <v>#NAME?</v>
      </c>
      <c r="D44" s="66" t="e">
        <f ca="1">IF(B6="Botany Bay",(F6+D18+D17)*(1+K9+D24),(F7)*(1+K9))</f>
        <v>#NAME?</v>
      </c>
      <c r="E44" s="64"/>
      <c r="F44" s="64" t="s">
        <v>137</v>
      </c>
      <c r="G44" s="64"/>
      <c r="H44" s="64"/>
      <c r="I44" s="6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46" t="s">
        <v>138</v>
      </c>
      <c r="AU44" s="47">
        <v>34</v>
      </c>
      <c r="AV44" s="47">
        <v>4</v>
      </c>
      <c r="AW44" s="47">
        <v>110</v>
      </c>
      <c r="AX44" s="7">
        <f t="shared" ref="AX44:AX64" si="4">105+12</f>
        <v>117</v>
      </c>
      <c r="AY44" s="7">
        <f t="shared" si="2"/>
        <v>227</v>
      </c>
      <c r="AZ44" s="67">
        <f t="shared" si="3"/>
        <v>484.75</v>
      </c>
    </row>
    <row r="45" spans="1:52" ht="28.5" customHeight="1">
      <c r="A45" s="60"/>
      <c r="B45" s="64" t="s">
        <v>139</v>
      </c>
      <c r="C45" s="65" t="e">
        <f ca="1">IF(B6="Botany Bay",(F6+D18+D17)*(1+F12+G12*2+D24),(F7)*(1+F12+G12*2))</f>
        <v>#NAME?</v>
      </c>
      <c r="D45" s="66" t="e">
        <f ca="1">IF(B6="Botany Bay",(F6+D18+D17)*(1+F12+G12*2+D24),(F7)*(1+F12+G12*2))</f>
        <v>#NAME?</v>
      </c>
      <c r="E45" s="64"/>
      <c r="F45" s="64" t="s">
        <v>121</v>
      </c>
      <c r="G45" s="64"/>
      <c r="H45" s="64"/>
      <c r="I45" s="6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 t="s">
        <v>140</v>
      </c>
      <c r="AU45" s="2">
        <v>35</v>
      </c>
      <c r="AV45" s="2">
        <v>4</v>
      </c>
      <c r="AW45" s="2">
        <v>125</v>
      </c>
      <c r="AX45" s="2">
        <f t="shared" si="4"/>
        <v>117</v>
      </c>
      <c r="AY45" s="2">
        <f t="shared" si="2"/>
        <v>242</v>
      </c>
      <c r="AZ45" s="3">
        <f t="shared" si="3"/>
        <v>511</v>
      </c>
    </row>
    <row r="46" spans="1:52" ht="27.75" customHeight="1">
      <c r="A46" s="60"/>
      <c r="B46" s="64" t="s">
        <v>141</v>
      </c>
      <c r="C46" s="65" t="e">
        <f ca="1">IF(B6="Botany Bay",(F6+D13+D18+D17)*(1+D24),(F7+D13))</f>
        <v>#NAME?</v>
      </c>
      <c r="D46" s="66" t="e">
        <f ca="1">IF(B6="Botany Bay",(F6+K25+D18+D17)*(1+D24),(F7+K25))</f>
        <v>#NAME?</v>
      </c>
      <c r="E46" s="64"/>
      <c r="F46" s="64" t="s">
        <v>142</v>
      </c>
      <c r="G46" s="64"/>
      <c r="H46" s="64"/>
      <c r="I46" s="6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 t="s">
        <v>143</v>
      </c>
      <c r="AU46" s="2">
        <v>35</v>
      </c>
      <c r="AV46" s="2">
        <v>4</v>
      </c>
      <c r="AW46" s="2">
        <v>105</v>
      </c>
      <c r="AX46" s="2">
        <f t="shared" si="4"/>
        <v>117</v>
      </c>
      <c r="AY46" s="2">
        <f t="shared" si="2"/>
        <v>222</v>
      </c>
      <c r="AZ46" s="3">
        <f t="shared" si="3"/>
        <v>476</v>
      </c>
    </row>
    <row r="47" spans="1:52" ht="27.75" customHeight="1">
      <c r="A47" s="60"/>
      <c r="B47" s="64" t="s">
        <v>144</v>
      </c>
      <c r="C47" s="65" t="e">
        <f ca="1">IF(B6="Botany Bay",(F6+D18+F13+G13*2+D17)*(1+D24),(F7+F13+G13*2))</f>
        <v>#NAME?</v>
      </c>
      <c r="D47" s="66" t="e">
        <f ca="1">IF(B6="Botany Bay",(F6+D18+F13+G13*2+D17)*(1+D24),(F7+F13+G13*2))</f>
        <v>#NAME?</v>
      </c>
      <c r="E47" s="64"/>
      <c r="F47" s="64" t="s">
        <v>145</v>
      </c>
      <c r="G47" s="64"/>
      <c r="H47" s="64"/>
      <c r="I47" s="6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 t="s">
        <v>146</v>
      </c>
      <c r="AU47" s="2">
        <v>35</v>
      </c>
      <c r="AV47" s="2">
        <v>4</v>
      </c>
      <c r="AW47" s="2">
        <v>100</v>
      </c>
      <c r="AX47" s="2">
        <f t="shared" si="4"/>
        <v>117</v>
      </c>
      <c r="AY47" s="2">
        <f t="shared" si="2"/>
        <v>217</v>
      </c>
      <c r="AZ47" s="3">
        <f t="shared" si="3"/>
        <v>467.25</v>
      </c>
    </row>
    <row r="48" spans="1:52" ht="27" customHeight="1">
      <c r="A48" s="60"/>
      <c r="B48" s="68" t="s">
        <v>147</v>
      </c>
      <c r="C48" s="68" t="e">
        <f ca="1">IF(B6="Botany Bay",(F6+D18+F14+G14*2+D17)*(1+D24),(F7+F14+G14*2))</f>
        <v>#NAME?</v>
      </c>
      <c r="D48" s="68" t="e">
        <f ca="1">IF(B6="Botany Bay",(F6+D18+F14+G14*2+D17)*(1+D24),(F7+F14+G14*2))</f>
        <v>#NAME?</v>
      </c>
      <c r="E48" s="68"/>
      <c r="F48" s="68" t="s">
        <v>148</v>
      </c>
      <c r="G48" s="68"/>
      <c r="H48" s="68"/>
      <c r="I48" s="6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 t="s">
        <v>149</v>
      </c>
      <c r="AU48" s="2">
        <v>35</v>
      </c>
      <c r="AV48" s="2">
        <v>4</v>
      </c>
      <c r="AW48" s="2">
        <v>100</v>
      </c>
      <c r="AX48" s="2">
        <f t="shared" si="4"/>
        <v>117</v>
      </c>
      <c r="AY48" s="2">
        <f t="shared" si="2"/>
        <v>217</v>
      </c>
      <c r="AZ48" s="3">
        <f t="shared" si="3"/>
        <v>467.25</v>
      </c>
    </row>
    <row r="49" spans="1:52" ht="12.75">
      <c r="A49" s="60"/>
      <c r="B49" s="64" t="s">
        <v>150</v>
      </c>
      <c r="C49" s="64" t="e">
        <f ca="1">IF(B6="Botany Bay",(F6+D18+D17)*(1+D12+D24),(F7)*(1+D12))</f>
        <v>#NAME?</v>
      </c>
      <c r="D49" s="69" t="e">
        <f ca="1">IF(B6="Botany Bay",(F6+D18+D17)*(1+K17+D24),(F7)*(1+K17))</f>
        <v>#NAME?</v>
      </c>
      <c r="E49" s="64"/>
      <c r="F49" s="64" t="s">
        <v>151</v>
      </c>
      <c r="G49" s="64"/>
      <c r="H49" s="64"/>
      <c r="I49" s="6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 t="s">
        <v>152</v>
      </c>
      <c r="AU49" s="2">
        <v>36</v>
      </c>
      <c r="AV49" s="2">
        <v>4</v>
      </c>
      <c r="AW49" s="2">
        <v>85</v>
      </c>
      <c r="AX49" s="2">
        <f t="shared" si="4"/>
        <v>117</v>
      </c>
      <c r="AY49" s="2">
        <f t="shared" si="2"/>
        <v>202</v>
      </c>
      <c r="AZ49" s="3">
        <f t="shared" si="3"/>
        <v>441</v>
      </c>
    </row>
    <row r="50" spans="1:52" ht="12.75" hidden="1">
      <c r="A50" s="60"/>
      <c r="B50" s="54" t="s">
        <v>105</v>
      </c>
      <c r="C50" s="1"/>
      <c r="D50" s="1"/>
      <c r="E50" s="1"/>
      <c r="F50" s="1"/>
      <c r="G50" s="1"/>
      <c r="H50" s="55" t="s">
        <v>106</v>
      </c>
      <c r="I50" s="6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43" t="s">
        <v>153</v>
      </c>
      <c r="AU50" s="43">
        <v>37</v>
      </c>
      <c r="AV50" s="43">
        <v>4</v>
      </c>
      <c r="AW50" s="43">
        <v>110</v>
      </c>
      <c r="AX50" s="2">
        <f t="shared" si="4"/>
        <v>117</v>
      </c>
      <c r="AY50" s="2">
        <f t="shared" si="2"/>
        <v>227</v>
      </c>
      <c r="AZ50" s="3">
        <f t="shared" si="3"/>
        <v>484.75</v>
      </c>
    </row>
    <row r="51" spans="1:52" ht="12.75" hidden="1">
      <c r="A51" s="70"/>
      <c r="B51" s="70"/>
      <c r="C51" s="70"/>
      <c r="D51" s="70"/>
      <c r="E51" s="70"/>
      <c r="F51" s="70"/>
      <c r="G51" s="70"/>
      <c r="H51" s="70"/>
      <c r="I51" s="7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 t="s">
        <v>154</v>
      </c>
      <c r="AU51" s="2">
        <v>39</v>
      </c>
      <c r="AV51" s="2">
        <v>4</v>
      </c>
      <c r="AW51" s="2">
        <v>85</v>
      </c>
      <c r="AX51" s="2">
        <f t="shared" si="4"/>
        <v>117</v>
      </c>
      <c r="AY51" s="2">
        <f t="shared" si="2"/>
        <v>202</v>
      </c>
      <c r="AZ51" s="3">
        <f t="shared" si="3"/>
        <v>441</v>
      </c>
    </row>
    <row r="52" spans="1:52" ht="12.75" hidden="1">
      <c r="A52" s="70"/>
      <c r="B52" s="70"/>
      <c r="C52" s="70"/>
      <c r="D52" s="70"/>
      <c r="E52" s="70"/>
      <c r="F52" s="70"/>
      <c r="G52" s="70"/>
      <c r="H52" s="70" t="s">
        <v>155</v>
      </c>
      <c r="I52" s="7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 t="s">
        <v>156</v>
      </c>
      <c r="AU52" s="2">
        <v>41</v>
      </c>
      <c r="AV52" s="2">
        <v>4</v>
      </c>
      <c r="AW52" s="2">
        <v>68</v>
      </c>
      <c r="AX52" s="2">
        <f t="shared" si="4"/>
        <v>117</v>
      </c>
      <c r="AY52" s="2">
        <f t="shared" si="2"/>
        <v>185</v>
      </c>
      <c r="AZ52" s="3">
        <f t="shared" si="3"/>
        <v>411.25</v>
      </c>
    </row>
    <row r="53" spans="1:52" ht="12.75" hidden="1">
      <c r="A53" s="70"/>
      <c r="B53" s="70"/>
      <c r="C53" s="70"/>
      <c r="D53" s="70"/>
      <c r="E53" s="70"/>
      <c r="F53" s="70"/>
      <c r="G53" s="70"/>
      <c r="H53" s="70"/>
      <c r="I53" s="7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 t="s">
        <v>157</v>
      </c>
      <c r="AU53" s="2">
        <v>41</v>
      </c>
      <c r="AV53" s="2">
        <v>4</v>
      </c>
      <c r="AW53" s="2">
        <v>68</v>
      </c>
      <c r="AX53" s="2">
        <f t="shared" si="4"/>
        <v>117</v>
      </c>
      <c r="AY53" s="2">
        <f t="shared" si="2"/>
        <v>185</v>
      </c>
      <c r="AZ53" s="3">
        <f t="shared" si="3"/>
        <v>411.25</v>
      </c>
    </row>
    <row r="54" spans="1:52" ht="12.75" hidden="1">
      <c r="A54" s="70"/>
      <c r="B54" s="70"/>
      <c r="C54" s="70"/>
      <c r="D54" s="70"/>
      <c r="E54" s="70"/>
      <c r="F54" s="70"/>
      <c r="G54" s="70"/>
      <c r="H54" s="70"/>
      <c r="I54" s="7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 t="s">
        <v>158</v>
      </c>
      <c r="AU54" s="2">
        <v>41</v>
      </c>
      <c r="AV54" s="2">
        <v>4</v>
      </c>
      <c r="AW54" s="2">
        <v>68</v>
      </c>
      <c r="AX54" s="2">
        <f t="shared" si="4"/>
        <v>117</v>
      </c>
      <c r="AY54" s="2">
        <f t="shared" si="2"/>
        <v>185</v>
      </c>
      <c r="AZ54" s="3">
        <f t="shared" si="3"/>
        <v>411.25</v>
      </c>
    </row>
    <row r="55" spans="1:52" ht="12.75" hidden="1">
      <c r="A55" s="70"/>
      <c r="B55" s="70"/>
      <c r="C55" s="70"/>
      <c r="D55" s="70"/>
      <c r="E55" s="70"/>
      <c r="F55" s="70"/>
      <c r="G55" s="70"/>
      <c r="H55" s="70"/>
      <c r="I55" s="7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 t="s">
        <v>159</v>
      </c>
      <c r="AU55" s="2">
        <v>42</v>
      </c>
      <c r="AV55" s="2">
        <v>4</v>
      </c>
      <c r="AW55" s="2">
        <v>98</v>
      </c>
      <c r="AX55" s="2">
        <f t="shared" si="4"/>
        <v>117</v>
      </c>
      <c r="AY55" s="2">
        <f t="shared" si="2"/>
        <v>215</v>
      </c>
      <c r="AZ55" s="3">
        <f t="shared" si="3"/>
        <v>463.75</v>
      </c>
    </row>
    <row r="56" spans="1:52" ht="12.75" hidden="1">
      <c r="A56" s="70"/>
      <c r="B56" s="70"/>
      <c r="C56" s="70"/>
      <c r="D56" s="70"/>
      <c r="E56" s="70"/>
      <c r="F56" s="70"/>
      <c r="G56" s="70"/>
      <c r="H56" s="70"/>
      <c r="I56" s="7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 t="s">
        <v>160</v>
      </c>
      <c r="AU56" s="2">
        <v>42</v>
      </c>
      <c r="AV56" s="2">
        <v>4</v>
      </c>
      <c r="AW56" s="2">
        <v>85</v>
      </c>
      <c r="AX56" s="2">
        <f t="shared" si="4"/>
        <v>117</v>
      </c>
      <c r="AY56" s="2">
        <f t="shared" si="2"/>
        <v>202</v>
      </c>
      <c r="AZ56" s="3">
        <f t="shared" si="3"/>
        <v>441</v>
      </c>
    </row>
    <row r="57" spans="1:52" ht="12.75" hidden="1">
      <c r="A57" s="70"/>
      <c r="B57" s="70"/>
      <c r="C57" s="70"/>
      <c r="D57" s="70"/>
      <c r="E57" s="70"/>
      <c r="F57" s="70"/>
      <c r="G57" s="70"/>
      <c r="H57" s="70"/>
      <c r="I57" s="70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 t="s">
        <v>161</v>
      </c>
      <c r="AU57" s="2">
        <v>42</v>
      </c>
      <c r="AV57" s="2">
        <v>4</v>
      </c>
      <c r="AW57" s="2">
        <v>72</v>
      </c>
      <c r="AX57" s="2">
        <f t="shared" si="4"/>
        <v>117</v>
      </c>
      <c r="AY57" s="2">
        <f t="shared" si="2"/>
        <v>189</v>
      </c>
      <c r="AZ57" s="3">
        <f t="shared" si="3"/>
        <v>418.25</v>
      </c>
    </row>
    <row r="58" spans="1:52" ht="12.75" hidden="1">
      <c r="A58" s="70"/>
      <c r="B58" s="70"/>
      <c r="C58" s="70"/>
      <c r="D58" s="70"/>
      <c r="E58" s="70"/>
      <c r="F58" s="70"/>
      <c r="G58" s="70"/>
      <c r="H58" s="70"/>
      <c r="I58" s="70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 t="s">
        <v>162</v>
      </c>
      <c r="AU58" s="2">
        <v>46</v>
      </c>
      <c r="AV58" s="2">
        <v>4</v>
      </c>
      <c r="AW58" s="2">
        <v>98</v>
      </c>
      <c r="AX58" s="2">
        <f t="shared" si="4"/>
        <v>117</v>
      </c>
      <c r="AY58" s="2">
        <f t="shared" si="2"/>
        <v>215</v>
      </c>
      <c r="AZ58" s="3">
        <f t="shared" si="3"/>
        <v>463.75</v>
      </c>
    </row>
    <row r="59" spans="1:52" ht="12.75" hidden="1">
      <c r="A59" s="70"/>
      <c r="B59" s="70"/>
      <c r="C59" s="70"/>
      <c r="D59" s="70"/>
      <c r="E59" s="70"/>
      <c r="F59" s="70"/>
      <c r="G59" s="70"/>
      <c r="H59" s="70"/>
      <c r="I59" s="70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 t="s">
        <v>163</v>
      </c>
      <c r="AU59" s="2">
        <v>46</v>
      </c>
      <c r="AV59" s="2">
        <v>4</v>
      </c>
      <c r="AW59" s="2">
        <v>85</v>
      </c>
      <c r="AX59" s="2">
        <f t="shared" si="4"/>
        <v>117</v>
      </c>
      <c r="AY59" s="2">
        <f t="shared" si="2"/>
        <v>202</v>
      </c>
      <c r="AZ59" s="3">
        <f t="shared" si="3"/>
        <v>441</v>
      </c>
    </row>
    <row r="60" spans="1:52" ht="12.75" hidden="1">
      <c r="A60" s="70"/>
      <c r="B60" s="70"/>
      <c r="C60" s="70"/>
      <c r="D60" s="70"/>
      <c r="E60" s="70"/>
      <c r="F60" s="70"/>
      <c r="G60" s="70"/>
      <c r="H60" s="70"/>
      <c r="I60" s="70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 t="s">
        <v>164</v>
      </c>
      <c r="AU60" s="2">
        <v>46</v>
      </c>
      <c r="AV60" s="2">
        <v>4</v>
      </c>
      <c r="AW60" s="2">
        <v>72</v>
      </c>
      <c r="AX60" s="2">
        <f t="shared" si="4"/>
        <v>117</v>
      </c>
      <c r="AY60" s="2">
        <f t="shared" si="2"/>
        <v>189</v>
      </c>
      <c r="AZ60" s="3">
        <f t="shared" si="3"/>
        <v>418.25</v>
      </c>
    </row>
    <row r="61" spans="1:52" ht="12.75" hidden="1">
      <c r="A61" s="70"/>
      <c r="B61" s="70"/>
      <c r="C61" s="70"/>
      <c r="D61" s="70"/>
      <c r="E61" s="70"/>
      <c r="F61" s="70"/>
      <c r="G61" s="70"/>
      <c r="H61" s="70"/>
      <c r="I61" s="70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 t="s">
        <v>165</v>
      </c>
      <c r="AU61" s="2">
        <v>50</v>
      </c>
      <c r="AV61" s="2">
        <v>4</v>
      </c>
      <c r="AW61" s="2">
        <v>98</v>
      </c>
      <c r="AX61" s="2">
        <f t="shared" si="4"/>
        <v>117</v>
      </c>
      <c r="AY61" s="2">
        <f t="shared" si="2"/>
        <v>215</v>
      </c>
      <c r="AZ61" s="3">
        <f t="shared" si="3"/>
        <v>463.75</v>
      </c>
    </row>
    <row r="62" spans="1:52" ht="12.75" hidden="1">
      <c r="A62" s="70"/>
      <c r="B62" s="70"/>
      <c r="C62" s="70"/>
      <c r="D62" s="70"/>
      <c r="E62" s="70"/>
      <c r="F62" s="70"/>
      <c r="G62" s="70"/>
      <c r="H62" s="70"/>
      <c r="I62" s="70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 t="s">
        <v>166</v>
      </c>
      <c r="AU62" s="2">
        <v>50</v>
      </c>
      <c r="AV62" s="2">
        <v>4</v>
      </c>
      <c r="AW62" s="2">
        <v>85</v>
      </c>
      <c r="AX62" s="2">
        <f t="shared" si="4"/>
        <v>117</v>
      </c>
      <c r="AY62" s="2">
        <f t="shared" si="2"/>
        <v>202</v>
      </c>
      <c r="AZ62" s="3">
        <f t="shared" si="3"/>
        <v>441</v>
      </c>
    </row>
    <row r="63" spans="1:52" ht="12.75" hidden="1">
      <c r="A63" s="70"/>
      <c r="B63" s="70"/>
      <c r="C63" s="70"/>
      <c r="D63" s="70"/>
      <c r="E63" s="70"/>
      <c r="F63" s="70"/>
      <c r="G63" s="70"/>
      <c r="H63" s="70"/>
      <c r="I63" s="70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 t="s">
        <v>167</v>
      </c>
      <c r="AU63" s="2">
        <v>50</v>
      </c>
      <c r="AV63" s="2">
        <v>4</v>
      </c>
      <c r="AW63" s="2">
        <v>72</v>
      </c>
      <c r="AX63" s="2">
        <f t="shared" si="4"/>
        <v>117</v>
      </c>
      <c r="AY63" s="2">
        <f t="shared" si="2"/>
        <v>189</v>
      </c>
      <c r="AZ63" s="3">
        <f t="shared" si="3"/>
        <v>418.25</v>
      </c>
    </row>
    <row r="64" spans="1:52" ht="12.75" hidden="1">
      <c r="A64" s="70"/>
      <c r="B64" s="70"/>
      <c r="C64" s="70"/>
      <c r="D64" s="70"/>
      <c r="E64" s="70"/>
      <c r="F64" s="70"/>
      <c r="G64" s="70"/>
      <c r="H64" s="70"/>
      <c r="I64" s="70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 t="s">
        <v>168</v>
      </c>
      <c r="AU64" s="2">
        <v>52</v>
      </c>
      <c r="AV64" s="2">
        <v>5</v>
      </c>
      <c r="AW64" s="2">
        <v>100</v>
      </c>
      <c r="AX64" s="2">
        <f t="shared" si="4"/>
        <v>117</v>
      </c>
      <c r="AY64" s="2">
        <f t="shared" si="2"/>
        <v>217</v>
      </c>
      <c r="AZ64" s="3">
        <f t="shared" si="3"/>
        <v>467.25</v>
      </c>
    </row>
    <row r="65" spans="1:52" ht="12.75" hidden="1">
      <c r="A65" s="70"/>
      <c r="B65" s="70"/>
      <c r="C65" s="70"/>
      <c r="D65" s="70"/>
      <c r="E65" s="70"/>
      <c r="F65" s="70"/>
      <c r="G65" s="70"/>
      <c r="H65" s="70"/>
      <c r="I65" s="70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 t="s">
        <v>169</v>
      </c>
      <c r="AU65" s="2">
        <v>53</v>
      </c>
      <c r="AV65" s="2">
        <v>5</v>
      </c>
      <c r="AW65" s="2">
        <v>105</v>
      </c>
      <c r="AX65" s="2">
        <v>132</v>
      </c>
      <c r="AY65" s="2">
        <f t="shared" si="2"/>
        <v>237</v>
      </c>
      <c r="AZ65" s="3">
        <f t="shared" si="3"/>
        <v>502.25</v>
      </c>
    </row>
    <row r="66" spans="1:52" ht="12.75" hidden="1">
      <c r="A66" s="70"/>
      <c r="B66" s="70"/>
      <c r="C66" s="70"/>
      <c r="D66" s="70"/>
      <c r="E66" s="70"/>
      <c r="F66" s="70"/>
      <c r="G66" s="70"/>
      <c r="H66" s="70"/>
      <c r="I66" s="70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 t="s">
        <v>170</v>
      </c>
      <c r="AU66" s="2">
        <v>53</v>
      </c>
      <c r="AV66" s="2">
        <v>5</v>
      </c>
      <c r="AW66" s="2">
        <v>95</v>
      </c>
      <c r="AX66" s="2">
        <v>132</v>
      </c>
      <c r="AY66" s="2">
        <f t="shared" si="2"/>
        <v>227</v>
      </c>
      <c r="AZ66" s="3">
        <f t="shared" si="3"/>
        <v>484.75</v>
      </c>
    </row>
    <row r="67" spans="1:52" ht="12.75" hidden="1">
      <c r="A67" s="70"/>
      <c r="B67" s="70"/>
      <c r="C67" s="70"/>
      <c r="D67" s="70"/>
      <c r="E67" s="70"/>
      <c r="F67" s="70"/>
      <c r="G67" s="70"/>
      <c r="H67" s="70"/>
      <c r="I67" s="70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 t="s">
        <v>171</v>
      </c>
      <c r="AU67" s="2">
        <v>53</v>
      </c>
      <c r="AV67" s="2">
        <v>5</v>
      </c>
      <c r="AW67" s="2">
        <v>85</v>
      </c>
      <c r="AX67" s="2">
        <v>132</v>
      </c>
      <c r="AY67" s="2">
        <f t="shared" si="2"/>
        <v>217</v>
      </c>
      <c r="AZ67" s="3">
        <f t="shared" si="3"/>
        <v>467.25</v>
      </c>
    </row>
    <row r="68" spans="1:52" ht="12.75" hidden="1">
      <c r="A68" s="70"/>
      <c r="B68" s="70"/>
      <c r="C68" s="70"/>
      <c r="D68" s="70"/>
      <c r="E68" s="70"/>
      <c r="F68" s="70"/>
      <c r="G68" s="70"/>
      <c r="H68" s="70"/>
      <c r="I68" s="70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 t="s">
        <v>172</v>
      </c>
      <c r="AU68" s="2">
        <v>56</v>
      </c>
      <c r="AV68" s="2">
        <v>5</v>
      </c>
      <c r="AW68" s="2">
        <v>105</v>
      </c>
      <c r="AX68" s="2">
        <v>132</v>
      </c>
      <c r="AY68" s="2">
        <f t="shared" si="2"/>
        <v>237</v>
      </c>
      <c r="AZ68" s="3">
        <f t="shared" si="3"/>
        <v>502.25</v>
      </c>
    </row>
    <row r="69" spans="1:52" ht="12.75" hidden="1">
      <c r="A69" s="70"/>
      <c r="B69" s="70"/>
      <c r="C69" s="70"/>
      <c r="D69" s="70"/>
      <c r="E69" s="70"/>
      <c r="F69" s="70"/>
      <c r="G69" s="70"/>
      <c r="H69" s="70"/>
      <c r="I69" s="70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 t="s">
        <v>173</v>
      </c>
      <c r="AU69" s="2">
        <v>56</v>
      </c>
      <c r="AV69" s="2">
        <v>5</v>
      </c>
      <c r="AW69" s="2">
        <v>95</v>
      </c>
      <c r="AX69" s="2">
        <v>132</v>
      </c>
      <c r="AY69" s="2">
        <f t="shared" si="2"/>
        <v>227</v>
      </c>
      <c r="AZ69" s="3">
        <f t="shared" si="3"/>
        <v>484.75</v>
      </c>
    </row>
    <row r="70" spans="1:52" ht="12.75" hidden="1">
      <c r="A70" s="70"/>
      <c r="B70" s="70"/>
      <c r="C70" s="70"/>
      <c r="D70" s="70"/>
      <c r="E70" s="70"/>
      <c r="F70" s="70"/>
      <c r="G70" s="70"/>
      <c r="H70" s="70"/>
      <c r="I70" s="70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 t="s">
        <v>174</v>
      </c>
      <c r="AU70" s="2">
        <v>56</v>
      </c>
      <c r="AV70" s="2">
        <v>5</v>
      </c>
      <c r="AW70" s="2">
        <v>85</v>
      </c>
      <c r="AX70" s="2">
        <v>132</v>
      </c>
      <c r="AY70" s="2">
        <f t="shared" si="2"/>
        <v>217</v>
      </c>
      <c r="AZ70" s="3">
        <f t="shared" si="3"/>
        <v>467.25</v>
      </c>
    </row>
    <row r="71" spans="1:52" ht="12.75" hidden="1">
      <c r="A71" s="70"/>
      <c r="B71" s="70"/>
      <c r="C71" s="70"/>
      <c r="D71" s="70"/>
      <c r="E71" s="70"/>
      <c r="F71" s="70"/>
      <c r="G71" s="70"/>
      <c r="H71" s="70"/>
      <c r="I71" s="70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 t="s">
        <v>175</v>
      </c>
      <c r="AU71" s="2">
        <v>58</v>
      </c>
      <c r="AV71" s="2">
        <v>5</v>
      </c>
      <c r="AW71" s="2">
        <v>100</v>
      </c>
      <c r="AX71" s="2">
        <v>132</v>
      </c>
      <c r="AY71" s="2">
        <f t="shared" si="2"/>
        <v>232</v>
      </c>
      <c r="AZ71" s="3">
        <f t="shared" si="3"/>
        <v>493.5</v>
      </c>
    </row>
    <row r="72" spans="1:52" ht="12.75" hidden="1">
      <c r="A72" s="70"/>
      <c r="B72" s="70"/>
      <c r="C72" s="70"/>
      <c r="D72" s="70"/>
      <c r="E72" s="70"/>
      <c r="F72" s="70"/>
      <c r="G72" s="70"/>
      <c r="H72" s="70"/>
      <c r="I72" s="70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 t="s">
        <v>176</v>
      </c>
      <c r="AU72" s="2">
        <v>58</v>
      </c>
      <c r="AV72" s="2">
        <v>5</v>
      </c>
      <c r="AW72" s="2">
        <v>100</v>
      </c>
      <c r="AX72" s="2">
        <v>132</v>
      </c>
      <c r="AY72" s="2">
        <f t="shared" si="2"/>
        <v>232</v>
      </c>
      <c r="AZ72" s="3">
        <f t="shared" si="3"/>
        <v>493.5</v>
      </c>
    </row>
    <row r="73" spans="1:52" ht="12.75" hidden="1">
      <c r="A73" s="70"/>
      <c r="B73" s="70"/>
      <c r="C73" s="70"/>
      <c r="D73" s="70"/>
      <c r="E73" s="70"/>
      <c r="F73" s="70"/>
      <c r="G73" s="70"/>
      <c r="H73" s="70"/>
      <c r="I73" s="70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 t="s">
        <v>177</v>
      </c>
      <c r="AU73" s="2">
        <v>58</v>
      </c>
      <c r="AV73" s="2">
        <v>5</v>
      </c>
      <c r="AW73" s="2">
        <v>100</v>
      </c>
      <c r="AX73" s="2">
        <v>132</v>
      </c>
      <c r="AY73" s="2">
        <f t="shared" si="2"/>
        <v>232</v>
      </c>
      <c r="AZ73" s="3">
        <f t="shared" si="3"/>
        <v>493.5</v>
      </c>
    </row>
    <row r="74" spans="1:52" ht="12.75" hidden="1">
      <c r="A74" s="70"/>
      <c r="B74" s="70"/>
      <c r="C74" s="70"/>
      <c r="D74" s="70"/>
      <c r="E74" s="70"/>
      <c r="F74" s="70"/>
      <c r="G74" s="70"/>
      <c r="H74" s="70"/>
      <c r="I74" s="70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 t="s">
        <v>178</v>
      </c>
      <c r="AU74" s="2">
        <v>60</v>
      </c>
      <c r="AV74" s="2">
        <v>5</v>
      </c>
      <c r="AW74" s="2">
        <v>105</v>
      </c>
      <c r="AX74" s="2">
        <v>132</v>
      </c>
      <c r="AY74" s="2">
        <f t="shared" si="2"/>
        <v>237</v>
      </c>
      <c r="AZ74" s="3">
        <f t="shared" si="3"/>
        <v>502.25</v>
      </c>
    </row>
    <row r="75" spans="1:52" ht="12.75" hidden="1">
      <c r="A75" s="70"/>
      <c r="B75" s="70"/>
      <c r="C75" s="70"/>
      <c r="D75" s="70"/>
      <c r="E75" s="70"/>
      <c r="F75" s="70"/>
      <c r="G75" s="70"/>
      <c r="H75" s="70"/>
      <c r="I75" s="70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 t="s">
        <v>179</v>
      </c>
      <c r="AU75" s="2">
        <v>60</v>
      </c>
      <c r="AV75" s="2">
        <v>5</v>
      </c>
      <c r="AW75" s="2">
        <v>95</v>
      </c>
      <c r="AX75" s="2">
        <v>132</v>
      </c>
      <c r="AY75" s="2">
        <f t="shared" si="2"/>
        <v>227</v>
      </c>
      <c r="AZ75" s="3">
        <f t="shared" si="3"/>
        <v>484.75</v>
      </c>
    </row>
    <row r="76" spans="1:52" ht="12.75" hidden="1">
      <c r="A76" s="70"/>
      <c r="B76" s="70"/>
      <c r="C76" s="70"/>
      <c r="D76" s="70"/>
      <c r="E76" s="70"/>
      <c r="F76" s="70"/>
      <c r="G76" s="70"/>
      <c r="H76" s="70"/>
      <c r="I76" s="70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 t="s">
        <v>180</v>
      </c>
      <c r="AU76" s="2">
        <v>60</v>
      </c>
      <c r="AV76" s="2">
        <v>5</v>
      </c>
      <c r="AW76" s="2">
        <v>85</v>
      </c>
      <c r="AX76" s="2">
        <v>132</v>
      </c>
      <c r="AY76" s="2">
        <f t="shared" si="2"/>
        <v>217</v>
      </c>
      <c r="AZ76" s="3">
        <f t="shared" si="3"/>
        <v>467.25</v>
      </c>
    </row>
    <row r="77" spans="1:52" ht="12.75" hidden="1">
      <c r="A77" s="70"/>
      <c r="B77" s="70"/>
      <c r="C77" s="70"/>
      <c r="D77" s="70"/>
      <c r="E77" s="70"/>
      <c r="F77" s="70"/>
      <c r="G77" s="70"/>
      <c r="H77" s="70"/>
      <c r="I77" s="70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X77" s="2"/>
    </row>
    <row r="78" spans="1:52" ht="12.75" hidden="1">
      <c r="A78" s="70"/>
      <c r="B78" s="70"/>
      <c r="C78" s="70"/>
      <c r="D78" s="70"/>
      <c r="E78" s="70"/>
      <c r="F78" s="70"/>
      <c r="G78" s="70"/>
      <c r="H78" s="70"/>
      <c r="I78" s="7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X78" s="2"/>
    </row>
    <row r="79" spans="1:52" ht="12.75" hidden="1">
      <c r="A79" s="70"/>
      <c r="B79" s="70"/>
      <c r="C79" s="70"/>
      <c r="D79" s="70"/>
      <c r="E79" s="70"/>
      <c r="F79" s="70"/>
      <c r="G79" s="70"/>
      <c r="H79" s="70"/>
      <c r="I79" s="70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1:52" ht="12.75" hidden="1">
      <c r="A80" s="70"/>
      <c r="B80" s="70"/>
      <c r="C80" s="70"/>
      <c r="D80" s="70"/>
      <c r="E80" s="70"/>
      <c r="F80" s="70"/>
      <c r="G80" s="70"/>
      <c r="H80" s="70"/>
      <c r="I80" s="70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3"/>
    </row>
    <row r="81" spans="1:52" ht="12.75" hidden="1">
      <c r="A81" s="70"/>
      <c r="B81" s="70"/>
      <c r="C81" s="70"/>
      <c r="D81" s="70"/>
      <c r="E81" s="70"/>
      <c r="F81" s="70"/>
      <c r="G81" s="70"/>
      <c r="H81" s="70"/>
      <c r="I81" s="70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3"/>
    </row>
    <row r="82" spans="1:52" ht="12.75" hidden="1"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</sheetData>
  <mergeCells count="8">
    <mergeCell ref="U2:W2"/>
    <mergeCell ref="Y2:AN2"/>
    <mergeCell ref="AO2:AR2"/>
    <mergeCell ref="B4:H4"/>
    <mergeCell ref="I5:I12"/>
    <mergeCell ref="B7:D8"/>
    <mergeCell ref="B1:H3"/>
    <mergeCell ref="M2:T2"/>
  </mergeCells>
  <conditionalFormatting sqref="C28:C53">
    <cfRule type="colorScale" priority="1">
      <colorScale>
        <cfvo type="min"/>
        <cfvo type="max"/>
        <color rgb="FF354F5C"/>
        <color rgb="FF7F6000"/>
      </colorScale>
    </cfRule>
  </conditionalFormatting>
  <conditionalFormatting sqref="D25:D53">
    <cfRule type="colorScale" priority="2">
      <colorScale>
        <cfvo type="min"/>
        <cfvo type="max"/>
        <color rgb="FF354F5C"/>
        <color rgb="FF7F6000"/>
      </colorScale>
    </cfRule>
  </conditionalFormatting>
  <conditionalFormatting sqref="F5:G8">
    <cfRule type="colorScale" priority="3">
      <colorScale>
        <cfvo type="min"/>
        <cfvo type="max"/>
        <color rgb="FF354F5C"/>
        <color rgb="FF7F6000"/>
      </colorScale>
    </cfRule>
  </conditionalFormatting>
  <dataValidations count="14">
    <dataValidation type="list" allowBlank="1" sqref="C31" xr:uid="{00000000-0002-0000-0000-000000000000}">
      <formula1>$M$23:$M$28</formula1>
    </dataValidation>
    <dataValidation type="list" allowBlank="1" showInputMessage="1" prompt="Click and enter a value from range" sqref="B6" xr:uid="{00000000-0002-0000-0000-000001000000}">
      <formula1>$AT$4:$AT$80</formula1>
    </dataValidation>
    <dataValidation type="list" allowBlank="1" showErrorMessage="1" sqref="C23" xr:uid="{00000000-0002-0000-0000-000002000000}">
      <formula1>$AG$5:$AG$9</formula1>
    </dataValidation>
    <dataValidation type="list" allowBlank="1" showErrorMessage="1" sqref="C18" xr:uid="{00000000-0002-0000-0000-000003000000}">
      <formula1>$Q$5:$Q$14</formula1>
    </dataValidation>
    <dataValidation type="list" allowBlank="1" showErrorMessage="1" sqref="C25 C32" xr:uid="{00000000-0002-0000-0000-000004000000}">
      <formula1>"Yes,No"</formula1>
    </dataValidation>
    <dataValidation type="list" allowBlank="1" showErrorMessage="1" sqref="C11" xr:uid="{00000000-0002-0000-0000-000005000000}">
      <formula1>$J$5:$J$9</formula1>
    </dataValidation>
    <dataValidation type="list" allowBlank="1" showErrorMessage="1" sqref="C17" xr:uid="{00000000-0002-0000-0000-000006000000}">
      <formula1>$M$5:$M$19</formula1>
    </dataValidation>
    <dataValidation type="list" allowBlank="1" showErrorMessage="1" sqref="C21" xr:uid="{00000000-0002-0000-0000-000007000000}">
      <formula1>$Y$5:$Y$24</formula1>
    </dataValidation>
    <dataValidation type="list" allowBlank="1" showErrorMessage="1" sqref="C12" xr:uid="{00000000-0002-0000-0000-000008000000}">
      <formula1>$J$13:$J$17</formula1>
    </dataValidation>
    <dataValidation type="list" allowBlank="1" showErrorMessage="1" sqref="C24" xr:uid="{00000000-0002-0000-0000-000009000000}">
      <formula1>$AK$5:$AK$9</formula1>
    </dataValidation>
    <dataValidation type="list" allowBlank="1" showErrorMessage="1" sqref="C26:C28" xr:uid="{00000000-0002-0000-0000-00000A000000}">
      <formula1>$AO$5:$AO$9</formula1>
    </dataValidation>
    <dataValidation type="list" allowBlank="1" showErrorMessage="1" sqref="C22" xr:uid="{00000000-0002-0000-0000-00000B000000}">
      <formula1>$AC$5:$AC$7</formula1>
    </dataValidation>
    <dataValidation type="list" allowBlank="1" showErrorMessage="1" sqref="C19:C20" xr:uid="{00000000-0002-0000-0000-00000C000000}">
      <formula1>$U$5:$U$14</formula1>
    </dataValidation>
    <dataValidation type="list" allowBlank="1" showErrorMessage="1" sqref="C13" xr:uid="{00000000-0002-0000-0000-00000D000000}">
      <formula1>$J$21:$J$25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75"/>
  <sheetViews>
    <sheetView tabSelected="1" workbookViewId="0">
      <selection activeCell="E12" sqref="E12"/>
    </sheetView>
  </sheetViews>
  <sheetFormatPr defaultColWidth="12.5703125" defaultRowHeight="15.75" customHeight="1"/>
  <cols>
    <col min="1" max="1" width="17.140625" customWidth="1"/>
    <col min="2" max="2" width="6.7109375" customWidth="1"/>
    <col min="3" max="3" width="8.42578125" customWidth="1"/>
    <col min="4" max="4" width="7.42578125" customWidth="1"/>
    <col min="5" max="5" width="11" customWidth="1"/>
    <col min="6" max="6" width="10.140625" customWidth="1"/>
    <col min="7" max="21" width="11.28515625" customWidth="1"/>
  </cols>
  <sheetData>
    <row r="1" spans="1:21">
      <c r="A1" s="95" t="s">
        <v>181</v>
      </c>
      <c r="B1" s="90"/>
      <c r="C1" s="90"/>
      <c r="D1" s="90"/>
      <c r="E1" s="90"/>
      <c r="F1" s="90"/>
      <c r="G1" s="90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2" spans="1:21">
      <c r="A2" s="72" t="s">
        <v>16</v>
      </c>
      <c r="B2" s="72" t="s">
        <v>17</v>
      </c>
      <c r="C2" s="72" t="s">
        <v>18</v>
      </c>
      <c r="D2" s="72" t="s">
        <v>19</v>
      </c>
      <c r="E2" s="73" t="s">
        <v>66</v>
      </c>
      <c r="F2" s="74" t="s">
        <v>21</v>
      </c>
      <c r="G2" s="75" t="s">
        <v>22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</row>
    <row r="3" spans="1:21">
      <c r="A3" s="2" t="s">
        <v>32</v>
      </c>
      <c r="B3" s="2">
        <v>1</v>
      </c>
      <c r="C3" s="2">
        <v>1</v>
      </c>
      <c r="D3" s="2">
        <v>150</v>
      </c>
      <c r="E3" s="2">
        <v>112</v>
      </c>
      <c r="F3" s="2">
        <f t="shared" ref="F3:F11" si="0">D3+E3</f>
        <v>262</v>
      </c>
      <c r="G3" s="3">
        <f t="shared" ref="G3:G11" si="1">(F3+50)*(1+0.25+0.5)</f>
        <v>546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</row>
    <row r="4" spans="1:21">
      <c r="A4" s="2" t="s">
        <v>127</v>
      </c>
      <c r="B4" s="2">
        <v>33</v>
      </c>
      <c r="C4" s="2">
        <v>4</v>
      </c>
      <c r="D4" s="2">
        <v>85</v>
      </c>
      <c r="E4" s="34">
        <f>145+12</f>
        <v>157</v>
      </c>
      <c r="F4" s="2">
        <f t="shared" si="0"/>
        <v>242</v>
      </c>
      <c r="G4" s="3">
        <f t="shared" si="1"/>
        <v>511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</row>
    <row r="5" spans="1:21">
      <c r="A5" s="2" t="s">
        <v>140</v>
      </c>
      <c r="B5" s="2">
        <v>35</v>
      </c>
      <c r="C5" s="2">
        <v>4</v>
      </c>
      <c r="D5" s="2">
        <v>125</v>
      </c>
      <c r="E5" s="2">
        <f>105+12</f>
        <v>117</v>
      </c>
      <c r="F5" s="2">
        <f t="shared" si="0"/>
        <v>242</v>
      </c>
      <c r="G5" s="3">
        <f t="shared" si="1"/>
        <v>511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</row>
    <row r="6" spans="1:21">
      <c r="A6" s="2" t="s">
        <v>169</v>
      </c>
      <c r="B6" s="2">
        <v>53</v>
      </c>
      <c r="C6" s="2">
        <v>5</v>
      </c>
      <c r="D6" s="2">
        <v>105</v>
      </c>
      <c r="E6" s="2">
        <v>132</v>
      </c>
      <c r="F6" s="2">
        <f t="shared" si="0"/>
        <v>237</v>
      </c>
      <c r="G6" s="3">
        <f t="shared" si="1"/>
        <v>502.25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</row>
    <row r="7" spans="1:21">
      <c r="A7" s="2" t="s">
        <v>172</v>
      </c>
      <c r="B7" s="2">
        <v>56</v>
      </c>
      <c r="C7" s="2">
        <v>5</v>
      </c>
      <c r="D7" s="2">
        <v>105</v>
      </c>
      <c r="E7" s="2">
        <v>132</v>
      </c>
      <c r="F7" s="2">
        <f t="shared" si="0"/>
        <v>237</v>
      </c>
      <c r="G7" s="3">
        <f t="shared" si="1"/>
        <v>502.25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</row>
    <row r="8" spans="1:21">
      <c r="A8" s="2" t="s">
        <v>178</v>
      </c>
      <c r="B8" s="2">
        <v>60</v>
      </c>
      <c r="C8" s="2">
        <v>5</v>
      </c>
      <c r="D8" s="2">
        <v>105</v>
      </c>
      <c r="E8" s="2">
        <v>132</v>
      </c>
      <c r="F8" s="2">
        <f t="shared" si="0"/>
        <v>237</v>
      </c>
      <c r="G8" s="3">
        <f t="shared" si="1"/>
        <v>502.25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</row>
    <row r="9" spans="1:21">
      <c r="A9" s="2" t="s">
        <v>175</v>
      </c>
      <c r="B9" s="2">
        <v>58</v>
      </c>
      <c r="C9" s="2">
        <v>5</v>
      </c>
      <c r="D9" s="2">
        <v>100</v>
      </c>
      <c r="E9" s="2">
        <v>132</v>
      </c>
      <c r="F9" s="2">
        <f t="shared" si="0"/>
        <v>232</v>
      </c>
      <c r="G9" s="3">
        <f t="shared" si="1"/>
        <v>493.5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</row>
    <row r="10" spans="1:21">
      <c r="A10" s="2" t="s">
        <v>176</v>
      </c>
      <c r="B10" s="2">
        <v>58</v>
      </c>
      <c r="C10" s="2">
        <v>5</v>
      </c>
      <c r="D10" s="2">
        <v>100</v>
      </c>
      <c r="E10" s="2">
        <v>132</v>
      </c>
      <c r="F10" s="2">
        <f t="shared" si="0"/>
        <v>232</v>
      </c>
      <c r="G10" s="3">
        <f t="shared" si="1"/>
        <v>493.5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</row>
    <row r="11" spans="1:21">
      <c r="A11" s="2" t="s">
        <v>177</v>
      </c>
      <c r="B11" s="2">
        <v>58</v>
      </c>
      <c r="C11" s="2">
        <v>5</v>
      </c>
      <c r="D11" s="2">
        <v>100</v>
      </c>
      <c r="E11" s="2">
        <v>132</v>
      </c>
      <c r="F11" s="2">
        <f t="shared" si="0"/>
        <v>232</v>
      </c>
      <c r="G11" s="3">
        <f t="shared" si="1"/>
        <v>493.5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spans="1:21">
      <c r="A12" s="2" t="s">
        <v>61</v>
      </c>
      <c r="B12" s="2">
        <v>18</v>
      </c>
      <c r="C12" s="2">
        <v>3</v>
      </c>
      <c r="D12" s="2">
        <v>110</v>
      </c>
      <c r="E12" s="34" t="s">
        <v>62</v>
      </c>
      <c r="F12" s="2">
        <f>(D12+92)*(1+0.3)</f>
        <v>262.60000000000002</v>
      </c>
      <c r="G12" s="3">
        <f>(D12+80+50)*(1+0.25+0.5+0.3)</f>
        <v>491.99999999999994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spans="1:21">
      <c r="A13" s="46" t="s">
        <v>138</v>
      </c>
      <c r="B13" s="47">
        <v>34</v>
      </c>
      <c r="C13" s="47">
        <v>4</v>
      </c>
      <c r="D13" s="47">
        <v>110</v>
      </c>
      <c r="E13" s="7">
        <f t="shared" ref="E13:E14" si="2">105+12</f>
        <v>117</v>
      </c>
      <c r="F13" s="7">
        <f t="shared" ref="F13:F75" si="3">D13+E13</f>
        <v>227</v>
      </c>
      <c r="G13" s="67">
        <f t="shared" ref="G13:G75" si="4">(F13+50)*(1+0.25+0.5)</f>
        <v>484.75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spans="1:21">
      <c r="A14" s="43" t="s">
        <v>153</v>
      </c>
      <c r="B14" s="43">
        <v>37</v>
      </c>
      <c r="C14" s="43">
        <v>4</v>
      </c>
      <c r="D14" s="43">
        <v>110</v>
      </c>
      <c r="E14" s="2">
        <f t="shared" si="2"/>
        <v>117</v>
      </c>
      <c r="F14" s="2">
        <f t="shared" si="3"/>
        <v>227</v>
      </c>
      <c r="G14" s="3">
        <f t="shared" si="4"/>
        <v>484.75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spans="1:21">
      <c r="A15" s="2" t="s">
        <v>170</v>
      </c>
      <c r="B15" s="2">
        <v>53</v>
      </c>
      <c r="C15" s="2">
        <v>5</v>
      </c>
      <c r="D15" s="2">
        <v>95</v>
      </c>
      <c r="E15" s="2">
        <v>132</v>
      </c>
      <c r="F15" s="2">
        <f t="shared" si="3"/>
        <v>227</v>
      </c>
      <c r="G15" s="3">
        <f t="shared" si="4"/>
        <v>484.75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spans="1:21">
      <c r="A16" s="2" t="s">
        <v>173</v>
      </c>
      <c r="B16" s="2">
        <v>56</v>
      </c>
      <c r="C16" s="2">
        <v>5</v>
      </c>
      <c r="D16" s="2">
        <v>95</v>
      </c>
      <c r="E16" s="2">
        <v>132</v>
      </c>
      <c r="F16" s="2">
        <f t="shared" si="3"/>
        <v>227</v>
      </c>
      <c r="G16" s="3">
        <f t="shared" si="4"/>
        <v>484.75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 spans="1:21">
      <c r="A17" s="2" t="s">
        <v>179</v>
      </c>
      <c r="B17" s="2">
        <v>60</v>
      </c>
      <c r="C17" s="2">
        <v>5</v>
      </c>
      <c r="D17" s="2">
        <v>95</v>
      </c>
      <c r="E17" s="2">
        <v>132</v>
      </c>
      <c r="F17" s="2">
        <f t="shared" si="3"/>
        <v>227</v>
      </c>
      <c r="G17" s="3">
        <f t="shared" si="4"/>
        <v>484.75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 spans="1:21">
      <c r="A18" s="2" t="s">
        <v>143</v>
      </c>
      <c r="B18" s="2">
        <v>35</v>
      </c>
      <c r="C18" s="2">
        <v>4</v>
      </c>
      <c r="D18" s="2">
        <v>105</v>
      </c>
      <c r="E18" s="2">
        <f>105+12</f>
        <v>117</v>
      </c>
      <c r="F18" s="2">
        <f t="shared" si="3"/>
        <v>222</v>
      </c>
      <c r="G18" s="3">
        <f t="shared" si="4"/>
        <v>476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spans="1:21">
      <c r="A19" s="2" t="s">
        <v>43</v>
      </c>
      <c r="B19" s="2">
        <v>10</v>
      </c>
      <c r="C19" s="2">
        <v>2</v>
      </c>
      <c r="D19" s="2">
        <v>127</v>
      </c>
      <c r="E19" s="2">
        <v>92</v>
      </c>
      <c r="F19" s="2">
        <f t="shared" si="3"/>
        <v>219</v>
      </c>
      <c r="G19" s="3">
        <f t="shared" si="4"/>
        <v>470.75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spans="1:21">
      <c r="A20" s="2" t="s">
        <v>98</v>
      </c>
      <c r="B20" s="2">
        <v>27</v>
      </c>
      <c r="C20" s="50">
        <v>3</v>
      </c>
      <c r="D20" s="50">
        <v>125</v>
      </c>
      <c r="E20" s="2">
        <v>92</v>
      </c>
      <c r="F20" s="2">
        <f t="shared" si="3"/>
        <v>217</v>
      </c>
      <c r="G20" s="3">
        <f t="shared" si="4"/>
        <v>467.25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spans="1:21">
      <c r="A21" s="2" t="s">
        <v>146</v>
      </c>
      <c r="B21" s="2">
        <v>35</v>
      </c>
      <c r="C21" s="2">
        <v>4</v>
      </c>
      <c r="D21" s="2">
        <v>100</v>
      </c>
      <c r="E21" s="2">
        <f t="shared" ref="E21:E23" si="5">105+12</f>
        <v>117</v>
      </c>
      <c r="F21" s="76">
        <f t="shared" si="3"/>
        <v>217</v>
      </c>
      <c r="G21" s="3">
        <f t="shared" si="4"/>
        <v>467.25</v>
      </c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spans="1:21">
      <c r="A22" s="2" t="s">
        <v>149</v>
      </c>
      <c r="B22" s="2">
        <v>35</v>
      </c>
      <c r="C22" s="2">
        <v>4</v>
      </c>
      <c r="D22" s="2">
        <v>100</v>
      </c>
      <c r="E22" s="2">
        <f t="shared" si="5"/>
        <v>117</v>
      </c>
      <c r="F22" s="2">
        <f t="shared" si="3"/>
        <v>217</v>
      </c>
      <c r="G22" s="3">
        <f t="shared" si="4"/>
        <v>467.25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</row>
    <row r="23" spans="1:21">
      <c r="A23" s="2" t="s">
        <v>168</v>
      </c>
      <c r="B23" s="2">
        <v>52</v>
      </c>
      <c r="C23" s="2">
        <v>5</v>
      </c>
      <c r="D23" s="2">
        <v>100</v>
      </c>
      <c r="E23" s="2">
        <f t="shared" si="5"/>
        <v>117</v>
      </c>
      <c r="F23" s="2">
        <f t="shared" si="3"/>
        <v>217</v>
      </c>
      <c r="G23" s="3">
        <f t="shared" si="4"/>
        <v>467.25</v>
      </c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</row>
    <row r="24" spans="1:21">
      <c r="A24" s="2" t="s">
        <v>171</v>
      </c>
      <c r="B24" s="2">
        <v>53</v>
      </c>
      <c r="C24" s="2">
        <v>5</v>
      </c>
      <c r="D24" s="2">
        <v>85</v>
      </c>
      <c r="E24" s="2">
        <v>132</v>
      </c>
      <c r="F24" s="2">
        <f t="shared" si="3"/>
        <v>217</v>
      </c>
      <c r="G24" s="3">
        <f t="shared" si="4"/>
        <v>467.25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</row>
    <row r="25" spans="1:21">
      <c r="A25" s="2" t="s">
        <v>174</v>
      </c>
      <c r="B25" s="2">
        <v>56</v>
      </c>
      <c r="C25" s="2">
        <v>5</v>
      </c>
      <c r="D25" s="2">
        <v>85</v>
      </c>
      <c r="E25" s="2">
        <v>132</v>
      </c>
      <c r="F25" s="2">
        <f t="shared" si="3"/>
        <v>217</v>
      </c>
      <c r="G25" s="3">
        <f t="shared" si="4"/>
        <v>467.25</v>
      </c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</row>
    <row r="26" spans="1:21">
      <c r="A26" s="2" t="s">
        <v>180</v>
      </c>
      <c r="B26" s="2">
        <v>60</v>
      </c>
      <c r="C26" s="2">
        <v>5</v>
      </c>
      <c r="D26" s="2">
        <v>85</v>
      </c>
      <c r="E26" s="2">
        <v>132</v>
      </c>
      <c r="F26" s="2">
        <f t="shared" si="3"/>
        <v>217</v>
      </c>
      <c r="G26" s="3">
        <f t="shared" si="4"/>
        <v>467.25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</row>
    <row r="27" spans="1:21">
      <c r="A27" s="2" t="s">
        <v>159</v>
      </c>
      <c r="B27" s="2">
        <v>42</v>
      </c>
      <c r="C27" s="2">
        <v>4</v>
      </c>
      <c r="D27" s="2">
        <v>98</v>
      </c>
      <c r="E27" s="2">
        <f t="shared" ref="E27:E29" si="6">105+12</f>
        <v>117</v>
      </c>
      <c r="F27" s="2">
        <f t="shared" si="3"/>
        <v>215</v>
      </c>
      <c r="G27" s="3">
        <f t="shared" si="4"/>
        <v>463.75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</row>
    <row r="28" spans="1:21">
      <c r="A28" s="2" t="s">
        <v>162</v>
      </c>
      <c r="B28" s="2">
        <v>46</v>
      </c>
      <c r="C28" s="2">
        <v>4</v>
      </c>
      <c r="D28" s="2">
        <v>98</v>
      </c>
      <c r="E28" s="2">
        <f t="shared" si="6"/>
        <v>117</v>
      </c>
      <c r="F28" s="2">
        <f t="shared" si="3"/>
        <v>215</v>
      </c>
      <c r="G28" s="3">
        <f t="shared" si="4"/>
        <v>463.75</v>
      </c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</row>
    <row r="29" spans="1:21">
      <c r="A29" s="2" t="s">
        <v>165</v>
      </c>
      <c r="B29" s="2">
        <v>50</v>
      </c>
      <c r="C29" s="2">
        <v>4</v>
      </c>
      <c r="D29" s="2">
        <v>98</v>
      </c>
      <c r="E29" s="2">
        <f t="shared" si="6"/>
        <v>117</v>
      </c>
      <c r="F29" s="2">
        <f t="shared" si="3"/>
        <v>215</v>
      </c>
      <c r="G29" s="3">
        <f t="shared" si="4"/>
        <v>463.75</v>
      </c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</row>
    <row r="30" spans="1:21">
      <c r="A30" s="2" t="s">
        <v>58</v>
      </c>
      <c r="B30" s="2">
        <v>17</v>
      </c>
      <c r="C30" s="2">
        <v>3</v>
      </c>
      <c r="D30" s="2">
        <v>100</v>
      </c>
      <c r="E30" s="34">
        <v>112</v>
      </c>
      <c r="F30" s="2">
        <f t="shared" si="3"/>
        <v>212</v>
      </c>
      <c r="G30" s="3">
        <f t="shared" si="4"/>
        <v>458.5</v>
      </c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</row>
    <row r="31" spans="1:21">
      <c r="A31" s="2" t="s">
        <v>81</v>
      </c>
      <c r="B31" s="2">
        <v>25</v>
      </c>
      <c r="C31" s="2">
        <v>3</v>
      </c>
      <c r="D31" s="2">
        <v>120</v>
      </c>
      <c r="E31" s="2">
        <v>92</v>
      </c>
      <c r="F31" s="2">
        <f t="shared" si="3"/>
        <v>212</v>
      </c>
      <c r="G31" s="3">
        <f t="shared" si="4"/>
        <v>458.5</v>
      </c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</row>
    <row r="32" spans="1:21">
      <c r="A32" s="2" t="s">
        <v>39</v>
      </c>
      <c r="B32" s="2">
        <v>5</v>
      </c>
      <c r="C32" s="2">
        <v>1</v>
      </c>
      <c r="D32" s="2">
        <v>115</v>
      </c>
      <c r="E32" s="2">
        <v>92</v>
      </c>
      <c r="F32" s="2">
        <f t="shared" si="3"/>
        <v>207</v>
      </c>
      <c r="G32" s="3">
        <f t="shared" si="4"/>
        <v>449.75</v>
      </c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</row>
    <row r="33" spans="1:21">
      <c r="A33" s="2" t="s">
        <v>65</v>
      </c>
      <c r="B33" s="2">
        <v>20</v>
      </c>
      <c r="C33" s="2">
        <v>3</v>
      </c>
      <c r="D33" s="2">
        <v>115</v>
      </c>
      <c r="E33" s="2">
        <v>92</v>
      </c>
      <c r="F33" s="2">
        <f t="shared" si="3"/>
        <v>207</v>
      </c>
      <c r="G33" s="3">
        <f t="shared" si="4"/>
        <v>449.75</v>
      </c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spans="1:21">
      <c r="A34" s="2" t="s">
        <v>85</v>
      </c>
      <c r="B34" s="2">
        <v>26</v>
      </c>
      <c r="C34" s="2">
        <v>3</v>
      </c>
      <c r="D34" s="2">
        <v>115</v>
      </c>
      <c r="E34" s="2">
        <v>92</v>
      </c>
      <c r="F34" s="2">
        <f t="shared" si="3"/>
        <v>207</v>
      </c>
      <c r="G34" s="3">
        <f t="shared" si="4"/>
        <v>449.75</v>
      </c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</row>
    <row r="35" spans="1:21">
      <c r="A35" s="2" t="s">
        <v>87</v>
      </c>
      <c r="B35" s="2">
        <v>26</v>
      </c>
      <c r="C35" s="2">
        <v>3</v>
      </c>
      <c r="D35" s="2">
        <v>115</v>
      </c>
      <c r="E35" s="2">
        <v>92</v>
      </c>
      <c r="F35" s="2">
        <f t="shared" si="3"/>
        <v>207</v>
      </c>
      <c r="G35" s="3">
        <f t="shared" si="4"/>
        <v>449.75</v>
      </c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</row>
    <row r="36" spans="1:21">
      <c r="A36" s="2" t="s">
        <v>90</v>
      </c>
      <c r="B36" s="2">
        <v>26</v>
      </c>
      <c r="C36" s="2">
        <v>3</v>
      </c>
      <c r="D36" s="2">
        <v>115</v>
      </c>
      <c r="E36" s="2">
        <v>92</v>
      </c>
      <c r="F36" s="2">
        <f t="shared" si="3"/>
        <v>207</v>
      </c>
      <c r="G36" s="3">
        <f t="shared" si="4"/>
        <v>449.75</v>
      </c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</row>
    <row r="37" spans="1:21">
      <c r="A37" s="2" t="s">
        <v>99</v>
      </c>
      <c r="B37" s="2">
        <v>28</v>
      </c>
      <c r="C37" s="2">
        <v>3</v>
      </c>
      <c r="D37" s="2">
        <v>115</v>
      </c>
      <c r="E37" s="2">
        <v>92</v>
      </c>
      <c r="F37" s="2">
        <f t="shared" si="3"/>
        <v>207</v>
      </c>
      <c r="G37" s="3">
        <f t="shared" si="4"/>
        <v>449.75</v>
      </c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</row>
    <row r="38" spans="1:21">
      <c r="A38" s="2" t="s">
        <v>119</v>
      </c>
      <c r="B38" s="2">
        <v>32</v>
      </c>
      <c r="C38" s="2">
        <v>3</v>
      </c>
      <c r="D38" s="2">
        <v>115</v>
      </c>
      <c r="E38" s="2">
        <v>92</v>
      </c>
      <c r="F38" s="2">
        <f t="shared" si="3"/>
        <v>207</v>
      </c>
      <c r="G38" s="3">
        <f t="shared" si="4"/>
        <v>449.75</v>
      </c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</row>
    <row r="39" spans="1:21">
      <c r="A39" s="2" t="s">
        <v>130</v>
      </c>
      <c r="B39" s="2">
        <v>34</v>
      </c>
      <c r="C39" s="2">
        <v>3</v>
      </c>
      <c r="D39" s="2">
        <v>115</v>
      </c>
      <c r="E39" s="2">
        <v>92</v>
      </c>
      <c r="F39" s="2">
        <f t="shared" si="3"/>
        <v>207</v>
      </c>
      <c r="G39" s="3">
        <f t="shared" si="4"/>
        <v>449.75</v>
      </c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</row>
    <row r="40" spans="1:21">
      <c r="A40" s="2" t="s">
        <v>45</v>
      </c>
      <c r="B40" s="2">
        <v>12</v>
      </c>
      <c r="C40" s="2">
        <v>2</v>
      </c>
      <c r="D40" s="2">
        <v>110</v>
      </c>
      <c r="E40" s="2">
        <v>92</v>
      </c>
      <c r="F40" s="2">
        <f t="shared" si="3"/>
        <v>202</v>
      </c>
      <c r="G40" s="3">
        <f t="shared" si="4"/>
        <v>441</v>
      </c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</row>
    <row r="41" spans="1:21">
      <c r="A41" s="2" t="s">
        <v>47</v>
      </c>
      <c r="B41" s="2">
        <v>12</v>
      </c>
      <c r="C41" s="2">
        <v>2</v>
      </c>
      <c r="D41" s="2">
        <v>110</v>
      </c>
      <c r="E41" s="2">
        <v>92</v>
      </c>
      <c r="F41" s="2">
        <f t="shared" si="3"/>
        <v>202</v>
      </c>
      <c r="G41" s="3">
        <f t="shared" si="4"/>
        <v>441</v>
      </c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</row>
    <row r="42" spans="1:21">
      <c r="A42" s="2" t="s">
        <v>64</v>
      </c>
      <c r="B42" s="2">
        <v>18</v>
      </c>
      <c r="C42" s="2">
        <v>3</v>
      </c>
      <c r="D42" s="2">
        <v>110</v>
      </c>
      <c r="E42" s="2">
        <v>92</v>
      </c>
      <c r="F42" s="2">
        <f t="shared" si="3"/>
        <v>202</v>
      </c>
      <c r="G42" s="3">
        <f t="shared" si="4"/>
        <v>441</v>
      </c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spans="1:21">
      <c r="A43" s="2" t="s">
        <v>70</v>
      </c>
      <c r="B43" s="2">
        <v>21</v>
      </c>
      <c r="C43" s="2">
        <v>3</v>
      </c>
      <c r="D43" s="2">
        <v>110</v>
      </c>
      <c r="E43" s="34">
        <v>92</v>
      </c>
      <c r="F43" s="2">
        <f t="shared" si="3"/>
        <v>202</v>
      </c>
      <c r="G43" s="3">
        <f t="shared" si="4"/>
        <v>441</v>
      </c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</row>
    <row r="44" spans="1:21">
      <c r="A44" s="2" t="s">
        <v>152</v>
      </c>
      <c r="B44" s="2">
        <v>36</v>
      </c>
      <c r="C44" s="2">
        <v>4</v>
      </c>
      <c r="D44" s="2">
        <v>85</v>
      </c>
      <c r="E44" s="2">
        <f t="shared" ref="E44:E48" si="7">105+12</f>
        <v>117</v>
      </c>
      <c r="F44" s="2">
        <f t="shared" si="3"/>
        <v>202</v>
      </c>
      <c r="G44" s="3">
        <f t="shared" si="4"/>
        <v>441</v>
      </c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</row>
    <row r="45" spans="1:21">
      <c r="A45" s="2" t="s">
        <v>154</v>
      </c>
      <c r="B45" s="2">
        <v>39</v>
      </c>
      <c r="C45" s="2">
        <v>4</v>
      </c>
      <c r="D45" s="2">
        <v>85</v>
      </c>
      <c r="E45" s="2">
        <f t="shared" si="7"/>
        <v>117</v>
      </c>
      <c r="F45" s="2">
        <f t="shared" si="3"/>
        <v>202</v>
      </c>
      <c r="G45" s="3">
        <f t="shared" si="4"/>
        <v>441</v>
      </c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spans="1:21">
      <c r="A46" s="2" t="s">
        <v>160</v>
      </c>
      <c r="B46" s="2">
        <v>42</v>
      </c>
      <c r="C46" s="2">
        <v>4</v>
      </c>
      <c r="D46" s="2">
        <v>85</v>
      </c>
      <c r="E46" s="2">
        <f t="shared" si="7"/>
        <v>117</v>
      </c>
      <c r="F46" s="2">
        <f t="shared" si="3"/>
        <v>202</v>
      </c>
      <c r="G46" s="3">
        <f t="shared" si="4"/>
        <v>441</v>
      </c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spans="1:21">
      <c r="A47" s="2" t="s">
        <v>163</v>
      </c>
      <c r="B47" s="2">
        <v>46</v>
      </c>
      <c r="C47" s="2">
        <v>4</v>
      </c>
      <c r="D47" s="2">
        <v>85</v>
      </c>
      <c r="E47" s="2">
        <f t="shared" si="7"/>
        <v>117</v>
      </c>
      <c r="F47" s="2">
        <f t="shared" si="3"/>
        <v>202</v>
      </c>
      <c r="G47" s="3">
        <f t="shared" si="4"/>
        <v>441</v>
      </c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</row>
    <row r="48" spans="1:21">
      <c r="A48" s="2" t="s">
        <v>166</v>
      </c>
      <c r="B48" s="2">
        <v>50</v>
      </c>
      <c r="C48" s="2">
        <v>4</v>
      </c>
      <c r="D48" s="2">
        <v>85</v>
      </c>
      <c r="E48" s="2">
        <f t="shared" si="7"/>
        <v>117</v>
      </c>
      <c r="F48" s="2">
        <f t="shared" si="3"/>
        <v>202</v>
      </c>
      <c r="G48" s="3">
        <f t="shared" si="4"/>
        <v>441</v>
      </c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</row>
    <row r="49" spans="1:21">
      <c r="A49" s="2" t="s">
        <v>73</v>
      </c>
      <c r="B49" s="2">
        <v>22</v>
      </c>
      <c r="C49" s="2">
        <v>3</v>
      </c>
      <c r="D49" s="2">
        <v>100</v>
      </c>
      <c r="E49" s="2">
        <v>92</v>
      </c>
      <c r="F49" s="2">
        <f t="shared" si="3"/>
        <v>192</v>
      </c>
      <c r="G49" s="3">
        <f t="shared" si="4"/>
        <v>423.5</v>
      </c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</row>
    <row r="50" spans="1:21">
      <c r="A50" s="2" t="s">
        <v>93</v>
      </c>
      <c r="B50" s="2">
        <v>26</v>
      </c>
      <c r="C50" s="2">
        <v>3</v>
      </c>
      <c r="D50" s="2">
        <v>100</v>
      </c>
      <c r="E50" s="2">
        <v>92</v>
      </c>
      <c r="F50" s="2">
        <f t="shared" si="3"/>
        <v>192</v>
      </c>
      <c r="G50" s="3">
        <f t="shared" si="4"/>
        <v>423.5</v>
      </c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</row>
    <row r="51" spans="1:21">
      <c r="A51" s="2" t="s">
        <v>95</v>
      </c>
      <c r="B51" s="2">
        <v>26</v>
      </c>
      <c r="C51" s="2">
        <v>3</v>
      </c>
      <c r="D51" s="2">
        <v>100</v>
      </c>
      <c r="E51" s="2">
        <v>92</v>
      </c>
      <c r="F51" s="2">
        <f t="shared" si="3"/>
        <v>192</v>
      </c>
      <c r="G51" s="3">
        <f t="shared" si="4"/>
        <v>423.5</v>
      </c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</row>
    <row r="52" spans="1:21">
      <c r="A52" s="2" t="s">
        <v>102</v>
      </c>
      <c r="B52" s="2">
        <v>28</v>
      </c>
      <c r="C52" s="2">
        <v>3</v>
      </c>
      <c r="D52" s="2">
        <v>100</v>
      </c>
      <c r="E52" s="2">
        <v>92</v>
      </c>
      <c r="F52" s="2">
        <f t="shared" si="3"/>
        <v>192</v>
      </c>
      <c r="G52" s="3">
        <f t="shared" si="4"/>
        <v>423.5</v>
      </c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</row>
    <row r="53" spans="1:21">
      <c r="A53" s="2" t="s">
        <v>122</v>
      </c>
      <c r="B53" s="2">
        <v>32</v>
      </c>
      <c r="C53" s="2">
        <v>3</v>
      </c>
      <c r="D53" s="2">
        <v>100</v>
      </c>
      <c r="E53" s="2">
        <v>92</v>
      </c>
      <c r="F53" s="2">
        <f t="shared" si="3"/>
        <v>192</v>
      </c>
      <c r="G53" s="3">
        <f t="shared" si="4"/>
        <v>423.5</v>
      </c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spans="1:21">
      <c r="A54" s="2" t="s">
        <v>133</v>
      </c>
      <c r="B54" s="2">
        <v>34</v>
      </c>
      <c r="C54" s="2">
        <v>3</v>
      </c>
      <c r="D54" s="2">
        <v>100</v>
      </c>
      <c r="E54" s="2">
        <v>92</v>
      </c>
      <c r="F54" s="2">
        <f t="shared" si="3"/>
        <v>192</v>
      </c>
      <c r="G54" s="3">
        <f t="shared" si="4"/>
        <v>423.5</v>
      </c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</row>
    <row r="55" spans="1:21">
      <c r="A55" s="2" t="s">
        <v>161</v>
      </c>
      <c r="B55" s="2">
        <v>42</v>
      </c>
      <c r="C55" s="2">
        <v>4</v>
      </c>
      <c r="D55" s="2">
        <v>72</v>
      </c>
      <c r="E55" s="2">
        <f t="shared" ref="E55:E57" si="8">105+12</f>
        <v>117</v>
      </c>
      <c r="F55" s="2">
        <f t="shared" si="3"/>
        <v>189</v>
      </c>
      <c r="G55" s="3">
        <f t="shared" si="4"/>
        <v>418.25</v>
      </c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</row>
    <row r="56" spans="1:21">
      <c r="A56" s="2" t="s">
        <v>164</v>
      </c>
      <c r="B56" s="2">
        <v>46</v>
      </c>
      <c r="C56" s="2">
        <v>4</v>
      </c>
      <c r="D56" s="2">
        <v>72</v>
      </c>
      <c r="E56" s="2">
        <f t="shared" si="8"/>
        <v>117</v>
      </c>
      <c r="F56" s="2">
        <f t="shared" si="3"/>
        <v>189</v>
      </c>
      <c r="G56" s="3">
        <f t="shared" si="4"/>
        <v>418.25</v>
      </c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</row>
    <row r="57" spans="1:21">
      <c r="A57" s="2" t="s">
        <v>167</v>
      </c>
      <c r="B57" s="2">
        <v>50</v>
      </c>
      <c r="C57" s="2">
        <v>4</v>
      </c>
      <c r="D57" s="2">
        <v>72</v>
      </c>
      <c r="E57" s="2">
        <f t="shared" si="8"/>
        <v>117</v>
      </c>
      <c r="F57" s="2">
        <f t="shared" si="3"/>
        <v>189</v>
      </c>
      <c r="G57" s="3">
        <f t="shared" si="4"/>
        <v>418.25</v>
      </c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</row>
    <row r="58" spans="1:21">
      <c r="A58" s="2" t="s">
        <v>41</v>
      </c>
      <c r="B58" s="2">
        <v>7</v>
      </c>
      <c r="C58" s="2">
        <v>1</v>
      </c>
      <c r="D58" s="2">
        <v>94</v>
      </c>
      <c r="E58" s="2">
        <v>92</v>
      </c>
      <c r="F58" s="2">
        <f t="shared" si="3"/>
        <v>186</v>
      </c>
      <c r="G58" s="3">
        <f t="shared" si="4"/>
        <v>413</v>
      </c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</row>
    <row r="59" spans="1:21">
      <c r="A59" s="2" t="s">
        <v>51</v>
      </c>
      <c r="B59" s="2">
        <v>14</v>
      </c>
      <c r="C59" s="2">
        <v>2</v>
      </c>
      <c r="D59" s="2">
        <v>94</v>
      </c>
      <c r="E59" s="2">
        <v>92</v>
      </c>
      <c r="F59" s="2">
        <f t="shared" si="3"/>
        <v>186</v>
      </c>
      <c r="G59" s="3">
        <f t="shared" si="4"/>
        <v>413</v>
      </c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</row>
    <row r="60" spans="1:21">
      <c r="A60" s="2" t="s">
        <v>156</v>
      </c>
      <c r="B60" s="2">
        <v>41</v>
      </c>
      <c r="C60" s="2">
        <v>4</v>
      </c>
      <c r="D60" s="2">
        <v>68</v>
      </c>
      <c r="E60" s="2">
        <f t="shared" ref="E60:E62" si="9">105+12</f>
        <v>117</v>
      </c>
      <c r="F60" s="2">
        <f t="shared" si="3"/>
        <v>185</v>
      </c>
      <c r="G60" s="3">
        <f t="shared" si="4"/>
        <v>411.25</v>
      </c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</row>
    <row r="61" spans="1:21">
      <c r="A61" s="2" t="s">
        <v>157</v>
      </c>
      <c r="B61" s="2">
        <v>41</v>
      </c>
      <c r="C61" s="2">
        <v>4</v>
      </c>
      <c r="D61" s="2">
        <v>68</v>
      </c>
      <c r="E61" s="2">
        <f t="shared" si="9"/>
        <v>117</v>
      </c>
      <c r="F61" s="2">
        <f t="shared" si="3"/>
        <v>185</v>
      </c>
      <c r="G61" s="3">
        <f t="shared" si="4"/>
        <v>411.25</v>
      </c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</row>
    <row r="62" spans="1:21">
      <c r="A62" s="2" t="s">
        <v>158</v>
      </c>
      <c r="B62" s="2">
        <v>41</v>
      </c>
      <c r="C62" s="2">
        <v>4</v>
      </c>
      <c r="D62" s="2">
        <v>68</v>
      </c>
      <c r="E62" s="2">
        <f t="shared" si="9"/>
        <v>117</v>
      </c>
      <c r="F62" s="2">
        <f t="shared" si="3"/>
        <v>185</v>
      </c>
      <c r="G62" s="3">
        <f t="shared" si="4"/>
        <v>411.25</v>
      </c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</row>
    <row r="63" spans="1:21">
      <c r="A63" s="2" t="s">
        <v>75</v>
      </c>
      <c r="B63" s="2">
        <v>23</v>
      </c>
      <c r="C63" s="2">
        <v>3</v>
      </c>
      <c r="D63" s="2">
        <v>90</v>
      </c>
      <c r="E63" s="2">
        <v>92</v>
      </c>
      <c r="F63" s="2">
        <f t="shared" si="3"/>
        <v>182</v>
      </c>
      <c r="G63" s="3">
        <f t="shared" si="4"/>
        <v>406</v>
      </c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</row>
    <row r="64" spans="1:21">
      <c r="A64" s="2" t="s">
        <v>77</v>
      </c>
      <c r="B64" s="2">
        <v>24</v>
      </c>
      <c r="C64" s="2">
        <v>3</v>
      </c>
      <c r="D64" s="2">
        <v>85</v>
      </c>
      <c r="E64" s="2">
        <v>92</v>
      </c>
      <c r="F64" s="2">
        <f t="shared" si="3"/>
        <v>177</v>
      </c>
      <c r="G64" s="3">
        <f t="shared" si="4"/>
        <v>397.25</v>
      </c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</row>
    <row r="65" spans="1:21">
      <c r="A65" s="2" t="s">
        <v>97</v>
      </c>
      <c r="B65" s="2">
        <v>26</v>
      </c>
      <c r="C65" s="2">
        <v>3</v>
      </c>
      <c r="D65" s="2">
        <v>85</v>
      </c>
      <c r="E65" s="2">
        <v>92</v>
      </c>
      <c r="F65" s="2">
        <f t="shared" si="3"/>
        <v>177</v>
      </c>
      <c r="G65" s="3">
        <f t="shared" si="4"/>
        <v>397.25</v>
      </c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</row>
    <row r="66" spans="1:21">
      <c r="A66" s="2" t="s">
        <v>124</v>
      </c>
      <c r="B66" s="2">
        <v>32</v>
      </c>
      <c r="C66" s="2">
        <v>3</v>
      </c>
      <c r="D66" s="2">
        <v>85</v>
      </c>
      <c r="E66" s="2">
        <v>92</v>
      </c>
      <c r="F66" s="2">
        <f t="shared" si="3"/>
        <v>177</v>
      </c>
      <c r="G66" s="3">
        <f t="shared" si="4"/>
        <v>397.25</v>
      </c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</row>
    <row r="67" spans="1:21">
      <c r="A67" s="2" t="s">
        <v>136</v>
      </c>
      <c r="B67" s="2">
        <v>34</v>
      </c>
      <c r="C67" s="2">
        <v>3</v>
      </c>
      <c r="D67" s="2">
        <v>85</v>
      </c>
      <c r="E67" s="2">
        <v>92</v>
      </c>
      <c r="F67" s="2">
        <f t="shared" si="3"/>
        <v>177</v>
      </c>
      <c r="G67" s="3">
        <f t="shared" si="4"/>
        <v>397.25</v>
      </c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</row>
    <row r="68" spans="1:21">
      <c r="A68" s="2" t="s">
        <v>56</v>
      </c>
      <c r="B68" s="2">
        <v>16</v>
      </c>
      <c r="C68" s="2">
        <v>2</v>
      </c>
      <c r="D68" s="2">
        <v>83</v>
      </c>
      <c r="E68" s="2">
        <v>92</v>
      </c>
      <c r="F68" s="2">
        <f t="shared" si="3"/>
        <v>175</v>
      </c>
      <c r="G68" s="3">
        <f t="shared" si="4"/>
        <v>393.75</v>
      </c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</row>
    <row r="69" spans="1:21">
      <c r="A69" s="2" t="s">
        <v>104</v>
      </c>
      <c r="B69" s="2">
        <v>30</v>
      </c>
      <c r="C69" s="2">
        <v>3</v>
      </c>
      <c r="D69" s="2">
        <v>80</v>
      </c>
      <c r="E69" s="2">
        <v>92</v>
      </c>
      <c r="F69" s="2">
        <f t="shared" si="3"/>
        <v>172</v>
      </c>
      <c r="G69" s="3">
        <f t="shared" si="4"/>
        <v>388.5</v>
      </c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</row>
    <row r="70" spans="1:21">
      <c r="A70" s="2" t="s">
        <v>79</v>
      </c>
      <c r="B70" s="2">
        <v>25</v>
      </c>
      <c r="C70" s="2">
        <v>3</v>
      </c>
      <c r="D70" s="2">
        <v>75</v>
      </c>
      <c r="E70" s="2">
        <v>92</v>
      </c>
      <c r="F70" s="2">
        <f t="shared" si="3"/>
        <v>167</v>
      </c>
      <c r="G70" s="3">
        <f t="shared" si="4"/>
        <v>379.75</v>
      </c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</row>
    <row r="71" spans="1:21">
      <c r="A71" s="43" t="s">
        <v>83</v>
      </c>
      <c r="B71" s="43">
        <v>26</v>
      </c>
      <c r="C71" s="43">
        <v>3</v>
      </c>
      <c r="D71" s="43">
        <v>75</v>
      </c>
      <c r="E71" s="2">
        <v>92</v>
      </c>
      <c r="F71" s="43">
        <f t="shared" si="3"/>
        <v>167</v>
      </c>
      <c r="G71" s="45">
        <f t="shared" si="4"/>
        <v>379.75</v>
      </c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</row>
    <row r="72" spans="1:21">
      <c r="A72" s="2" t="s">
        <v>107</v>
      </c>
      <c r="B72" s="2">
        <v>30</v>
      </c>
      <c r="C72" s="2">
        <v>3</v>
      </c>
      <c r="D72" s="2">
        <v>75</v>
      </c>
      <c r="E72" s="2">
        <v>92</v>
      </c>
      <c r="F72" s="2">
        <f t="shared" si="3"/>
        <v>167</v>
      </c>
      <c r="G72" s="3">
        <f t="shared" si="4"/>
        <v>379.75</v>
      </c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</row>
    <row r="73" spans="1:21">
      <c r="A73" s="2" t="s">
        <v>110</v>
      </c>
      <c r="B73" s="2">
        <v>30</v>
      </c>
      <c r="C73" s="2">
        <v>3</v>
      </c>
      <c r="D73" s="2">
        <v>75</v>
      </c>
      <c r="E73" s="2">
        <v>92</v>
      </c>
      <c r="F73" s="2">
        <f t="shared" si="3"/>
        <v>167</v>
      </c>
      <c r="G73" s="3">
        <f t="shared" si="4"/>
        <v>379.75</v>
      </c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</row>
    <row r="74" spans="1:21">
      <c r="A74" s="2" t="s">
        <v>114</v>
      </c>
      <c r="B74" s="2">
        <v>30</v>
      </c>
      <c r="C74" s="2">
        <v>3</v>
      </c>
      <c r="D74" s="2">
        <v>75</v>
      </c>
      <c r="E74" s="2">
        <v>92</v>
      </c>
      <c r="F74" s="2">
        <f t="shared" si="3"/>
        <v>167</v>
      </c>
      <c r="G74" s="3">
        <f t="shared" si="4"/>
        <v>379.75</v>
      </c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</row>
    <row r="75" spans="1:21">
      <c r="A75" s="2" t="s">
        <v>116</v>
      </c>
      <c r="B75" s="2">
        <v>31</v>
      </c>
      <c r="C75" s="2">
        <v>3</v>
      </c>
      <c r="D75" s="2">
        <v>70</v>
      </c>
      <c r="E75" s="2">
        <v>92</v>
      </c>
      <c r="F75" s="2">
        <f t="shared" si="3"/>
        <v>162</v>
      </c>
      <c r="G75" s="3">
        <f t="shared" si="4"/>
        <v>371</v>
      </c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</row>
  </sheetData>
  <autoFilter ref="A2:G75" xr:uid="{00000000-0009-0000-0000-000001000000}">
    <sortState xmlns:xlrd2="http://schemas.microsoft.com/office/spreadsheetml/2017/richdata2" ref="A2:G75">
      <sortCondition descending="1" ref="G2:G75"/>
      <sortCondition ref="B2:B75"/>
      <sortCondition ref="E2:E75"/>
      <sortCondition ref="C2:C75"/>
    </sortState>
  </autoFilter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7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ColWidth="12.5703125" defaultRowHeight="15.75" customHeight="1"/>
  <cols>
    <col min="1" max="1" width="17.140625" customWidth="1"/>
    <col min="2" max="2" width="6.7109375" customWidth="1"/>
    <col min="3" max="3" width="8.42578125" customWidth="1"/>
    <col min="4" max="6" width="10.85546875" customWidth="1"/>
    <col min="7" max="8" width="11" customWidth="1"/>
    <col min="9" max="10" width="10.140625" customWidth="1"/>
    <col min="11" max="34" width="11.28515625" customWidth="1"/>
  </cols>
  <sheetData>
    <row r="1" spans="1:34">
      <c r="A1" s="77" t="s">
        <v>182</v>
      </c>
      <c r="B1" s="77"/>
      <c r="C1" s="77"/>
      <c r="D1" s="77"/>
      <c r="E1" s="77"/>
      <c r="F1" s="77"/>
      <c r="G1" s="77"/>
      <c r="H1" s="78"/>
      <c r="I1" s="77"/>
      <c r="J1" s="77"/>
      <c r="K1" s="77"/>
      <c r="L1" s="77"/>
      <c r="M1" s="71"/>
      <c r="N1" s="71"/>
      <c r="O1" s="71"/>
      <c r="P1" s="71"/>
      <c r="Q1" s="45" t="s">
        <v>183</v>
      </c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</row>
    <row r="2" spans="1:34">
      <c r="A2" s="79"/>
      <c r="B2" s="79"/>
      <c r="C2" s="79"/>
      <c r="D2" s="79"/>
      <c r="E2" s="79"/>
      <c r="F2" s="96" t="s">
        <v>184</v>
      </c>
      <c r="G2" s="90"/>
      <c r="H2" s="90"/>
      <c r="I2" s="90"/>
      <c r="J2" s="90"/>
      <c r="K2" s="96" t="s">
        <v>185</v>
      </c>
      <c r="L2" s="90"/>
      <c r="M2" s="96" t="s">
        <v>186</v>
      </c>
      <c r="N2" s="90"/>
      <c r="O2" s="90"/>
      <c r="P2" s="79"/>
      <c r="Q2" s="79" t="s">
        <v>187</v>
      </c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</row>
    <row r="3" spans="1:34">
      <c r="A3" s="80" t="s">
        <v>16</v>
      </c>
      <c r="B3" s="80" t="s">
        <v>17</v>
      </c>
      <c r="C3" s="80" t="s">
        <v>18</v>
      </c>
      <c r="D3" s="80" t="s">
        <v>188</v>
      </c>
      <c r="E3" s="80" t="s">
        <v>189</v>
      </c>
      <c r="F3" s="80" t="s">
        <v>187</v>
      </c>
      <c r="G3" s="81" t="s">
        <v>190</v>
      </c>
      <c r="H3" s="82" t="s">
        <v>191</v>
      </c>
      <c r="I3" s="80" t="s">
        <v>192</v>
      </c>
      <c r="J3" s="83" t="s">
        <v>193</v>
      </c>
      <c r="K3" s="80" t="s">
        <v>187</v>
      </c>
      <c r="L3" s="83" t="s">
        <v>194</v>
      </c>
      <c r="M3" s="80" t="s">
        <v>187</v>
      </c>
      <c r="N3" s="81" t="s">
        <v>190</v>
      </c>
      <c r="O3" s="80" t="s">
        <v>193</v>
      </c>
      <c r="P3" s="80" t="s">
        <v>195</v>
      </c>
      <c r="Q3" s="72" t="s">
        <v>196</v>
      </c>
      <c r="R3" s="80" t="s">
        <v>197</v>
      </c>
      <c r="S3" s="80" t="s">
        <v>195</v>
      </c>
      <c r="T3" s="80" t="s">
        <v>198</v>
      </c>
      <c r="U3" s="80" t="s">
        <v>199</v>
      </c>
      <c r="V3" s="80" t="s">
        <v>197</v>
      </c>
      <c r="W3" s="80" t="s">
        <v>195</v>
      </c>
      <c r="X3" s="80" t="s">
        <v>198</v>
      </c>
      <c r="Y3" s="80" t="s">
        <v>200</v>
      </c>
      <c r="Z3" s="80" t="s">
        <v>197</v>
      </c>
      <c r="AA3" s="80" t="s">
        <v>195</v>
      </c>
      <c r="AB3" s="80" t="s">
        <v>198</v>
      </c>
      <c r="AC3" s="45"/>
      <c r="AD3" s="45"/>
      <c r="AE3" s="45"/>
      <c r="AF3" s="45"/>
      <c r="AG3" s="45"/>
      <c r="AH3" s="45"/>
    </row>
    <row r="4" spans="1:34">
      <c r="A4" s="79" t="s">
        <v>47</v>
      </c>
      <c r="B4" s="79">
        <v>12</v>
      </c>
      <c r="C4" s="79">
        <v>2</v>
      </c>
      <c r="D4" s="79" t="s">
        <v>201</v>
      </c>
      <c r="E4" s="79">
        <v>75</v>
      </c>
      <c r="F4" s="79">
        <f>2000/5</f>
        <v>400</v>
      </c>
      <c r="G4" s="84">
        <v>75</v>
      </c>
      <c r="H4" s="85">
        <f t="shared" ref="H4:H18" si="0">G4/E4</f>
        <v>1</v>
      </c>
      <c r="I4" s="79"/>
      <c r="J4" s="86">
        <f t="shared" ref="J4:J18" si="1">F4*G4</f>
        <v>30000</v>
      </c>
      <c r="K4" s="79"/>
      <c r="L4" s="79">
        <f t="shared" ref="L4:L78" si="2">E4*K4</f>
        <v>0</v>
      </c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</row>
    <row r="5" spans="1:34">
      <c r="A5" s="79" t="s">
        <v>58</v>
      </c>
      <c r="B5" s="79">
        <v>17</v>
      </c>
      <c r="C5" s="79">
        <v>3</v>
      </c>
      <c r="D5" s="79" t="s">
        <v>201</v>
      </c>
      <c r="E5" s="79">
        <v>90</v>
      </c>
      <c r="F5" s="79">
        <f>3500/5</f>
        <v>700</v>
      </c>
      <c r="G5" s="87">
        <v>90</v>
      </c>
      <c r="H5" s="85">
        <f t="shared" si="0"/>
        <v>1</v>
      </c>
      <c r="I5" s="79"/>
      <c r="J5" s="86">
        <f t="shared" si="1"/>
        <v>63000</v>
      </c>
      <c r="K5" s="79"/>
      <c r="L5" s="79">
        <f t="shared" si="2"/>
        <v>0</v>
      </c>
      <c r="M5" s="45">
        <f>100/9</f>
        <v>11.111111111111111</v>
      </c>
      <c r="N5" s="45">
        <v>90</v>
      </c>
      <c r="O5" s="45">
        <v>1000</v>
      </c>
      <c r="P5" s="45">
        <f>O5/100*7</f>
        <v>70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</row>
    <row r="6" spans="1:34">
      <c r="A6" s="79" t="s">
        <v>61</v>
      </c>
      <c r="B6" s="79">
        <v>18</v>
      </c>
      <c r="C6" s="79">
        <v>3</v>
      </c>
      <c r="D6" s="79" t="s">
        <v>201</v>
      </c>
      <c r="E6" s="79">
        <v>60</v>
      </c>
      <c r="F6" s="79">
        <f>6000/5</f>
        <v>1200</v>
      </c>
      <c r="G6" s="87">
        <v>60</v>
      </c>
      <c r="H6" s="85">
        <f t="shared" si="0"/>
        <v>1</v>
      </c>
      <c r="I6" s="79"/>
      <c r="J6" s="86">
        <f t="shared" si="1"/>
        <v>72000</v>
      </c>
      <c r="K6" s="79"/>
      <c r="L6" s="79">
        <f t="shared" si="2"/>
        <v>0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</row>
    <row r="7" spans="1:34">
      <c r="A7" s="79" t="s">
        <v>64</v>
      </c>
      <c r="B7" s="79">
        <v>18</v>
      </c>
      <c r="C7" s="79">
        <v>3</v>
      </c>
      <c r="D7" s="79" t="s">
        <v>201</v>
      </c>
      <c r="E7" s="79">
        <v>90</v>
      </c>
      <c r="F7" s="79">
        <f>1500/5</f>
        <v>300</v>
      </c>
      <c r="G7" s="84">
        <v>90</v>
      </c>
      <c r="H7" s="85">
        <f t="shared" si="0"/>
        <v>1</v>
      </c>
      <c r="I7" s="79"/>
      <c r="J7" s="86">
        <f t="shared" si="1"/>
        <v>27000</v>
      </c>
      <c r="K7" s="79"/>
      <c r="L7" s="79">
        <f t="shared" si="2"/>
        <v>0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</row>
    <row r="8" spans="1:34">
      <c r="A8" s="79" t="s">
        <v>70</v>
      </c>
      <c r="B8" s="79">
        <v>21</v>
      </c>
      <c r="C8" s="79">
        <v>3</v>
      </c>
      <c r="D8" s="79" t="s">
        <v>201</v>
      </c>
      <c r="E8" s="79">
        <v>100</v>
      </c>
      <c r="F8" s="79">
        <f>3800/5</f>
        <v>760</v>
      </c>
      <c r="G8" s="87">
        <v>100</v>
      </c>
      <c r="H8" s="85">
        <f t="shared" si="0"/>
        <v>1</v>
      </c>
      <c r="I8" s="79"/>
      <c r="J8" s="86">
        <f t="shared" si="1"/>
        <v>76000</v>
      </c>
      <c r="K8" s="79"/>
      <c r="L8" s="79">
        <f t="shared" si="2"/>
        <v>0</v>
      </c>
      <c r="M8" s="45">
        <v>10</v>
      </c>
      <c r="N8" s="45">
        <v>100</v>
      </c>
      <c r="O8" s="45">
        <f>M8*100</f>
        <v>1000</v>
      </c>
      <c r="P8" s="45">
        <f>O8/100*7</f>
        <v>70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</row>
    <row r="9" spans="1:34">
      <c r="A9" s="79" t="s">
        <v>75</v>
      </c>
      <c r="B9" s="79">
        <v>23</v>
      </c>
      <c r="C9" s="79">
        <v>3</v>
      </c>
      <c r="D9" s="79" t="s">
        <v>201</v>
      </c>
      <c r="E9" s="79">
        <v>120</v>
      </c>
      <c r="F9" s="79">
        <f>1500/5</f>
        <v>300</v>
      </c>
      <c r="G9" s="84">
        <v>120</v>
      </c>
      <c r="H9" s="85">
        <f t="shared" si="0"/>
        <v>1</v>
      </c>
      <c r="I9" s="79"/>
      <c r="J9" s="86">
        <f t="shared" si="1"/>
        <v>36000</v>
      </c>
      <c r="K9" s="79"/>
      <c r="L9" s="79">
        <f t="shared" si="2"/>
        <v>0</v>
      </c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</row>
    <row r="10" spans="1:34">
      <c r="A10" s="79" t="s">
        <v>81</v>
      </c>
      <c r="B10" s="79">
        <v>25</v>
      </c>
      <c r="C10" s="79">
        <v>3</v>
      </c>
      <c r="D10" s="79" t="s">
        <v>201</v>
      </c>
      <c r="E10" s="79">
        <v>100</v>
      </c>
      <c r="F10" s="79">
        <f>3800/5</f>
        <v>760</v>
      </c>
      <c r="G10" s="84">
        <v>100</v>
      </c>
      <c r="H10" s="85">
        <f t="shared" si="0"/>
        <v>1</v>
      </c>
      <c r="I10" s="79"/>
      <c r="J10" s="86">
        <f t="shared" si="1"/>
        <v>76000</v>
      </c>
      <c r="K10" s="79"/>
      <c r="L10" s="79">
        <f t="shared" si="2"/>
        <v>0</v>
      </c>
      <c r="M10" s="45">
        <v>10</v>
      </c>
      <c r="N10" s="45">
        <v>100</v>
      </c>
      <c r="O10" s="45">
        <v>1000</v>
      </c>
      <c r="P10" s="45">
        <f>O10/100*7</f>
        <v>70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</row>
    <row r="11" spans="1:34">
      <c r="A11" s="79" t="s">
        <v>79</v>
      </c>
      <c r="B11" s="79">
        <v>25</v>
      </c>
      <c r="C11" s="79">
        <v>3</v>
      </c>
      <c r="D11" s="79" t="s">
        <v>201</v>
      </c>
      <c r="E11" s="79">
        <v>100</v>
      </c>
      <c r="F11" s="79">
        <f>7500/5</f>
        <v>1500</v>
      </c>
      <c r="G11" s="84">
        <v>200</v>
      </c>
      <c r="H11" s="85">
        <f t="shared" si="0"/>
        <v>2</v>
      </c>
      <c r="I11" s="79"/>
      <c r="J11" s="86">
        <f t="shared" si="1"/>
        <v>300000</v>
      </c>
      <c r="K11" s="79"/>
      <c r="L11" s="79">
        <f t="shared" si="2"/>
        <v>0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</row>
    <row r="12" spans="1:34">
      <c r="A12" s="79" t="s">
        <v>87</v>
      </c>
      <c r="B12" s="79">
        <v>26</v>
      </c>
      <c r="C12" s="79">
        <v>3</v>
      </c>
      <c r="D12" s="79" t="s">
        <v>201</v>
      </c>
      <c r="E12" s="79">
        <v>80</v>
      </c>
      <c r="F12" s="79"/>
      <c r="G12" s="84"/>
      <c r="H12" s="85">
        <f t="shared" si="0"/>
        <v>0</v>
      </c>
      <c r="I12" s="79"/>
      <c r="J12" s="86">
        <f t="shared" si="1"/>
        <v>0</v>
      </c>
      <c r="K12" s="79"/>
      <c r="L12" s="79">
        <f t="shared" si="2"/>
        <v>0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</row>
    <row r="13" spans="1:34">
      <c r="A13" s="79" t="s">
        <v>90</v>
      </c>
      <c r="B13" s="79">
        <v>26</v>
      </c>
      <c r="C13" s="79">
        <v>3</v>
      </c>
      <c r="D13" s="79" t="s">
        <v>201</v>
      </c>
      <c r="E13" s="79">
        <v>80</v>
      </c>
      <c r="F13" s="79">
        <f>19000/5</f>
        <v>3800</v>
      </c>
      <c r="G13" s="84">
        <v>80</v>
      </c>
      <c r="H13" s="85">
        <f t="shared" si="0"/>
        <v>1</v>
      </c>
      <c r="I13" s="79"/>
      <c r="J13" s="86">
        <f t="shared" si="1"/>
        <v>304000</v>
      </c>
      <c r="K13" s="79"/>
      <c r="L13" s="79">
        <f t="shared" si="2"/>
        <v>0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</row>
    <row r="14" spans="1:34">
      <c r="A14" s="79" t="s">
        <v>95</v>
      </c>
      <c r="B14" s="79">
        <v>26</v>
      </c>
      <c r="C14" s="79">
        <v>3</v>
      </c>
      <c r="D14" s="79" t="s">
        <v>201</v>
      </c>
      <c r="E14" s="79">
        <v>80</v>
      </c>
      <c r="F14" s="79"/>
      <c r="G14" s="84"/>
      <c r="H14" s="85">
        <f t="shared" si="0"/>
        <v>0</v>
      </c>
      <c r="I14" s="79"/>
      <c r="J14" s="86">
        <f t="shared" si="1"/>
        <v>0</v>
      </c>
      <c r="K14" s="79"/>
      <c r="L14" s="79">
        <f t="shared" si="2"/>
        <v>0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</row>
    <row r="15" spans="1:34">
      <c r="A15" s="79" t="s">
        <v>202</v>
      </c>
      <c r="B15" s="79">
        <v>26</v>
      </c>
      <c r="C15" s="79">
        <v>3</v>
      </c>
      <c r="D15" s="79" t="s">
        <v>201</v>
      </c>
      <c r="E15" s="79">
        <v>80</v>
      </c>
      <c r="F15" s="79"/>
      <c r="G15" s="84"/>
      <c r="H15" s="85">
        <f t="shared" si="0"/>
        <v>0</v>
      </c>
      <c r="I15" s="79"/>
      <c r="J15" s="86">
        <f t="shared" si="1"/>
        <v>0</v>
      </c>
      <c r="K15" s="79"/>
      <c r="L15" s="79">
        <f t="shared" si="2"/>
        <v>0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</row>
    <row r="16" spans="1:34">
      <c r="A16" s="79" t="s">
        <v>98</v>
      </c>
      <c r="B16" s="79">
        <v>27</v>
      </c>
      <c r="C16" s="88">
        <v>3</v>
      </c>
      <c r="D16" s="79" t="s">
        <v>201</v>
      </c>
      <c r="E16" s="79">
        <v>100</v>
      </c>
      <c r="F16" s="79">
        <f>3800/5</f>
        <v>760</v>
      </c>
      <c r="G16" s="87">
        <v>100</v>
      </c>
      <c r="H16" s="85">
        <f t="shared" si="0"/>
        <v>1</v>
      </c>
      <c r="I16" s="79"/>
      <c r="J16" s="86">
        <f t="shared" si="1"/>
        <v>76000</v>
      </c>
      <c r="K16" s="79"/>
      <c r="L16" s="79">
        <f t="shared" si="2"/>
        <v>0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</row>
    <row r="17" spans="1:34">
      <c r="A17" s="79" t="s">
        <v>104</v>
      </c>
      <c r="B17" s="79">
        <v>30</v>
      </c>
      <c r="C17" s="79">
        <v>3</v>
      </c>
      <c r="D17" s="79" t="s">
        <v>201</v>
      </c>
      <c r="E17" s="79">
        <v>80</v>
      </c>
      <c r="F17" s="79">
        <v>3750</v>
      </c>
      <c r="G17" s="84">
        <v>40</v>
      </c>
      <c r="H17" s="85">
        <f t="shared" si="0"/>
        <v>0.5</v>
      </c>
      <c r="I17" s="79"/>
      <c r="J17" s="86">
        <f t="shared" si="1"/>
        <v>150000</v>
      </c>
      <c r="K17" s="79"/>
      <c r="L17" s="79">
        <f t="shared" si="2"/>
        <v>0</v>
      </c>
      <c r="M17" s="45">
        <f>100/4</f>
        <v>25</v>
      </c>
      <c r="N17" s="45">
        <v>80</v>
      </c>
      <c r="O17" s="45">
        <f>M17*80</f>
        <v>2000</v>
      </c>
      <c r="P17" s="45">
        <f>O17/100*7</f>
        <v>140</v>
      </c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</row>
    <row r="18" spans="1:34">
      <c r="A18" s="79" t="s">
        <v>127</v>
      </c>
      <c r="B18" s="79">
        <v>33</v>
      </c>
      <c r="C18" s="79">
        <v>4</v>
      </c>
      <c r="D18" s="79" t="s">
        <v>201</v>
      </c>
      <c r="E18" s="79">
        <v>100</v>
      </c>
      <c r="F18" s="79">
        <v>1500</v>
      </c>
      <c r="G18" s="87">
        <v>100</v>
      </c>
      <c r="H18" s="85">
        <f t="shared" si="0"/>
        <v>1</v>
      </c>
      <c r="I18" s="79"/>
      <c r="J18" s="86">
        <f t="shared" si="1"/>
        <v>150000</v>
      </c>
      <c r="K18" s="79"/>
      <c r="L18" s="79">
        <f t="shared" si="2"/>
        <v>0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</row>
    <row r="19" spans="1:34">
      <c r="A19" s="79" t="s">
        <v>138</v>
      </c>
      <c r="B19" s="79">
        <v>34</v>
      </c>
      <c r="C19" s="79">
        <v>4</v>
      </c>
      <c r="D19" s="79" t="s">
        <v>201</v>
      </c>
      <c r="E19" s="79">
        <v>100</v>
      </c>
      <c r="F19" s="79"/>
      <c r="G19" s="84"/>
      <c r="H19" s="85"/>
      <c r="I19" s="79"/>
      <c r="J19" s="86"/>
      <c r="K19" s="79"/>
      <c r="L19" s="79">
        <f t="shared" si="2"/>
        <v>0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</row>
    <row r="20" spans="1:34">
      <c r="A20" s="79" t="s">
        <v>140</v>
      </c>
      <c r="B20" s="79">
        <v>35</v>
      </c>
      <c r="C20" s="79">
        <v>4</v>
      </c>
      <c r="D20" s="79" t="s">
        <v>201</v>
      </c>
      <c r="E20" s="79">
        <v>100</v>
      </c>
      <c r="F20" s="79"/>
      <c r="G20" s="84"/>
      <c r="H20" s="85">
        <f t="shared" ref="H20:H24" si="3">G20/E20</f>
        <v>0</v>
      </c>
      <c r="I20" s="79"/>
      <c r="J20" s="86">
        <f t="shared" ref="J20:J24" si="4">F20*G20</f>
        <v>0</v>
      </c>
      <c r="K20" s="79"/>
      <c r="L20" s="79">
        <f t="shared" si="2"/>
        <v>0</v>
      </c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</row>
    <row r="21" spans="1:34">
      <c r="A21" s="79" t="s">
        <v>143</v>
      </c>
      <c r="B21" s="79">
        <v>35</v>
      </c>
      <c r="C21" s="79">
        <v>4</v>
      </c>
      <c r="D21" s="79" t="s">
        <v>201</v>
      </c>
      <c r="E21" s="79">
        <v>120</v>
      </c>
      <c r="F21" s="79">
        <f>6250/5</f>
        <v>1250</v>
      </c>
      <c r="G21" s="84">
        <v>60</v>
      </c>
      <c r="H21" s="85">
        <f t="shared" si="3"/>
        <v>0.5</v>
      </c>
      <c r="I21" s="79"/>
      <c r="J21" s="86">
        <f t="shared" si="4"/>
        <v>75000</v>
      </c>
      <c r="K21" s="79"/>
      <c r="L21" s="79">
        <f t="shared" si="2"/>
        <v>0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</row>
    <row r="22" spans="1:34">
      <c r="A22" s="79" t="s">
        <v>146</v>
      </c>
      <c r="B22" s="79">
        <v>35</v>
      </c>
      <c r="C22" s="79">
        <v>4</v>
      </c>
      <c r="D22" s="79" t="s">
        <v>201</v>
      </c>
      <c r="E22" s="79">
        <v>100</v>
      </c>
      <c r="F22" s="79"/>
      <c r="G22" s="84"/>
      <c r="H22" s="85">
        <f t="shared" si="3"/>
        <v>0</v>
      </c>
      <c r="I22" s="79"/>
      <c r="J22" s="86">
        <f t="shared" si="4"/>
        <v>0</v>
      </c>
      <c r="K22" s="79"/>
      <c r="L22" s="79">
        <f t="shared" si="2"/>
        <v>0</v>
      </c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</row>
    <row r="23" spans="1:34">
      <c r="A23" s="79" t="s">
        <v>149</v>
      </c>
      <c r="B23" s="79">
        <v>35</v>
      </c>
      <c r="C23" s="79">
        <v>4</v>
      </c>
      <c r="D23" s="79" t="s">
        <v>201</v>
      </c>
      <c r="E23" s="79">
        <v>100</v>
      </c>
      <c r="F23" s="79"/>
      <c r="G23" s="84"/>
      <c r="H23" s="85">
        <f t="shared" si="3"/>
        <v>0</v>
      </c>
      <c r="I23" s="79"/>
      <c r="J23" s="86">
        <f t="shared" si="4"/>
        <v>0</v>
      </c>
      <c r="K23" s="79"/>
      <c r="L23" s="79">
        <f t="shared" si="2"/>
        <v>0</v>
      </c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</row>
    <row r="24" spans="1:34">
      <c r="A24" s="79" t="s">
        <v>152</v>
      </c>
      <c r="B24" s="79">
        <v>36</v>
      </c>
      <c r="C24" s="79">
        <v>4</v>
      </c>
      <c r="D24" s="79" t="s">
        <v>201</v>
      </c>
      <c r="E24" s="79">
        <v>100</v>
      </c>
      <c r="F24" s="79">
        <f>7500/5</f>
        <v>1500</v>
      </c>
      <c r="G24" s="84">
        <v>50</v>
      </c>
      <c r="H24" s="85">
        <f t="shared" si="3"/>
        <v>0.5</v>
      </c>
      <c r="I24" s="79"/>
      <c r="J24" s="86">
        <f t="shared" si="4"/>
        <v>75000</v>
      </c>
      <c r="K24" s="79"/>
      <c r="L24" s="79">
        <f t="shared" si="2"/>
        <v>0</v>
      </c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</row>
    <row r="25" spans="1:34">
      <c r="A25" s="43" t="s">
        <v>153</v>
      </c>
      <c r="B25" s="79">
        <v>37</v>
      </c>
      <c r="C25" s="79">
        <v>4</v>
      </c>
      <c r="D25" s="79" t="s">
        <v>201</v>
      </c>
      <c r="E25" s="79">
        <v>100</v>
      </c>
      <c r="F25" s="79"/>
      <c r="G25" s="84"/>
      <c r="H25" s="85"/>
      <c r="I25" s="79"/>
      <c r="J25" s="86"/>
      <c r="K25" s="79"/>
      <c r="L25" s="79">
        <f t="shared" si="2"/>
        <v>0</v>
      </c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</row>
    <row r="26" spans="1:34">
      <c r="A26" s="79" t="s">
        <v>154</v>
      </c>
      <c r="B26" s="79">
        <v>39</v>
      </c>
      <c r="C26" s="79">
        <v>4</v>
      </c>
      <c r="D26" s="79" t="s">
        <v>201</v>
      </c>
      <c r="E26" s="79">
        <v>120</v>
      </c>
      <c r="F26" s="79"/>
      <c r="G26" s="84"/>
      <c r="H26" s="85">
        <f t="shared" ref="H26:H60" si="5">G26/E26</f>
        <v>0</v>
      </c>
      <c r="I26" s="79"/>
      <c r="J26" s="86">
        <f t="shared" ref="J26:J60" si="6">F26*G26</f>
        <v>0</v>
      </c>
      <c r="K26" s="79"/>
      <c r="L26" s="79">
        <f t="shared" si="2"/>
        <v>0</v>
      </c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</row>
    <row r="27" spans="1:34">
      <c r="A27" s="79" t="s">
        <v>116</v>
      </c>
      <c r="B27" s="79">
        <v>31</v>
      </c>
      <c r="C27" s="79">
        <v>3</v>
      </c>
      <c r="D27" s="79" t="s">
        <v>201</v>
      </c>
      <c r="E27" s="79">
        <v>100</v>
      </c>
      <c r="F27" s="79">
        <f>7500/5</f>
        <v>1500</v>
      </c>
      <c r="G27" s="84">
        <v>50</v>
      </c>
      <c r="H27" s="85">
        <f t="shared" si="5"/>
        <v>0.5</v>
      </c>
      <c r="I27" s="79"/>
      <c r="J27" s="86">
        <f t="shared" si="6"/>
        <v>75000</v>
      </c>
      <c r="K27" s="79"/>
      <c r="L27" s="79">
        <f t="shared" si="2"/>
        <v>0</v>
      </c>
      <c r="M27" s="45">
        <f>100/8</f>
        <v>12.5</v>
      </c>
      <c r="N27" s="45">
        <f>13*8</f>
        <v>104</v>
      </c>
      <c r="O27" s="45">
        <f>M27*104</f>
        <v>1300</v>
      </c>
      <c r="P27" s="45">
        <f>O27/100*7</f>
        <v>91</v>
      </c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</row>
    <row r="28" spans="1:34">
      <c r="A28" s="79" t="s">
        <v>85</v>
      </c>
      <c r="B28" s="79">
        <v>26</v>
      </c>
      <c r="C28" s="79">
        <v>3</v>
      </c>
      <c r="D28" s="79" t="s">
        <v>203</v>
      </c>
      <c r="E28" s="79">
        <v>80</v>
      </c>
      <c r="F28" s="79">
        <f t="shared" ref="F28:F30" si="7">5500/5</f>
        <v>1100</v>
      </c>
      <c r="G28" s="84">
        <v>80</v>
      </c>
      <c r="H28" s="85">
        <f t="shared" si="5"/>
        <v>1</v>
      </c>
      <c r="I28" s="79">
        <f t="shared" ref="I28:I66" si="8">F28/K28</f>
        <v>8.8000000000000007</v>
      </c>
      <c r="J28" s="86">
        <f t="shared" si="6"/>
        <v>88000</v>
      </c>
      <c r="K28" s="79">
        <v>125</v>
      </c>
      <c r="L28" s="79">
        <f t="shared" si="2"/>
        <v>10000</v>
      </c>
      <c r="M28" s="45"/>
      <c r="N28" s="45"/>
      <c r="O28" s="45"/>
      <c r="P28" s="45"/>
      <c r="Q28" s="45">
        <v>1000</v>
      </c>
      <c r="R28" s="45">
        <f t="shared" ref="R28:R54" si="9">Q28*$E28</f>
        <v>80000</v>
      </c>
      <c r="S28" s="45">
        <f t="shared" ref="S28:S54" si="10">E28</f>
        <v>80</v>
      </c>
      <c r="T28" s="45">
        <f t="shared" ref="T28:T54" si="11">Q28/$K28</f>
        <v>8</v>
      </c>
      <c r="U28" s="45">
        <v>3000</v>
      </c>
      <c r="V28" s="45">
        <f t="shared" ref="V28:V54" si="12">U28*$E28</f>
        <v>240000</v>
      </c>
      <c r="W28" s="45">
        <f t="shared" ref="W28:W54" si="13">E28/2</f>
        <v>40</v>
      </c>
      <c r="X28" s="45">
        <f t="shared" ref="X28:X54" si="14">U28/$K28</f>
        <v>24</v>
      </c>
      <c r="Y28" s="45">
        <v>5000</v>
      </c>
      <c r="Z28" s="45">
        <f t="shared" ref="Z28:Z54" si="15">Y28*$E28</f>
        <v>400000</v>
      </c>
      <c r="AA28" s="45">
        <v>27</v>
      </c>
      <c r="AB28" s="45">
        <f t="shared" ref="AB28:AB54" si="16">Y28/$K28</f>
        <v>40</v>
      </c>
      <c r="AC28" s="45"/>
      <c r="AD28" s="45"/>
      <c r="AE28" s="45"/>
      <c r="AF28" s="45"/>
      <c r="AG28" s="45"/>
      <c r="AH28" s="45"/>
    </row>
    <row r="29" spans="1:34">
      <c r="A29" s="79" t="s">
        <v>93</v>
      </c>
      <c r="B29" s="79">
        <v>26</v>
      </c>
      <c r="C29" s="79">
        <v>3</v>
      </c>
      <c r="D29" s="79" t="s">
        <v>203</v>
      </c>
      <c r="E29" s="79">
        <v>80</v>
      </c>
      <c r="F29" s="79">
        <f t="shared" si="7"/>
        <v>1100</v>
      </c>
      <c r="G29" s="84">
        <v>80</v>
      </c>
      <c r="H29" s="85">
        <f t="shared" si="5"/>
        <v>1</v>
      </c>
      <c r="I29" s="79">
        <f t="shared" si="8"/>
        <v>8.8000000000000007</v>
      </c>
      <c r="J29" s="86">
        <f t="shared" si="6"/>
        <v>88000</v>
      </c>
      <c r="K29" s="79">
        <v>125</v>
      </c>
      <c r="L29" s="79">
        <f t="shared" si="2"/>
        <v>10000</v>
      </c>
      <c r="M29" s="45"/>
      <c r="N29" s="45"/>
      <c r="O29" s="45"/>
      <c r="P29" s="45"/>
      <c r="Q29" s="45">
        <v>1000</v>
      </c>
      <c r="R29" s="45">
        <f t="shared" si="9"/>
        <v>80000</v>
      </c>
      <c r="S29" s="45">
        <f t="shared" si="10"/>
        <v>80</v>
      </c>
      <c r="T29" s="45">
        <f t="shared" si="11"/>
        <v>8</v>
      </c>
      <c r="U29" s="45">
        <v>3000</v>
      </c>
      <c r="V29" s="45">
        <f t="shared" si="12"/>
        <v>240000</v>
      </c>
      <c r="W29" s="45">
        <f t="shared" si="13"/>
        <v>40</v>
      </c>
      <c r="X29" s="45">
        <f t="shared" si="14"/>
        <v>24</v>
      </c>
      <c r="Y29" s="45">
        <v>5000</v>
      </c>
      <c r="Z29" s="45">
        <f t="shared" si="15"/>
        <v>400000</v>
      </c>
      <c r="AA29" s="45">
        <v>27</v>
      </c>
      <c r="AB29" s="45">
        <f t="shared" si="16"/>
        <v>40</v>
      </c>
      <c r="AC29" s="45"/>
      <c r="AD29" s="45"/>
      <c r="AE29" s="45"/>
      <c r="AF29" s="45"/>
      <c r="AG29" s="45"/>
      <c r="AH29" s="45"/>
    </row>
    <row r="30" spans="1:34">
      <c r="A30" s="79" t="s">
        <v>97</v>
      </c>
      <c r="B30" s="79">
        <v>26</v>
      </c>
      <c r="C30" s="79">
        <v>3</v>
      </c>
      <c r="D30" s="79" t="s">
        <v>203</v>
      </c>
      <c r="E30" s="79">
        <v>80</v>
      </c>
      <c r="F30" s="79">
        <f t="shared" si="7"/>
        <v>1100</v>
      </c>
      <c r="G30" s="84">
        <v>80</v>
      </c>
      <c r="H30" s="85">
        <f t="shared" si="5"/>
        <v>1</v>
      </c>
      <c r="I30" s="79">
        <f t="shared" si="8"/>
        <v>8.8000000000000007</v>
      </c>
      <c r="J30" s="86">
        <f t="shared" si="6"/>
        <v>88000</v>
      </c>
      <c r="K30" s="79">
        <v>125</v>
      </c>
      <c r="L30" s="79">
        <f t="shared" si="2"/>
        <v>10000</v>
      </c>
      <c r="M30" s="45"/>
      <c r="N30" s="45"/>
      <c r="O30" s="45"/>
      <c r="P30" s="45"/>
      <c r="Q30" s="45">
        <v>1000</v>
      </c>
      <c r="R30" s="45">
        <f t="shared" si="9"/>
        <v>80000</v>
      </c>
      <c r="S30" s="45">
        <f t="shared" si="10"/>
        <v>80</v>
      </c>
      <c r="T30" s="45">
        <f t="shared" si="11"/>
        <v>8</v>
      </c>
      <c r="U30" s="45">
        <v>3000</v>
      </c>
      <c r="V30" s="45">
        <f t="shared" si="12"/>
        <v>240000</v>
      </c>
      <c r="W30" s="45">
        <f t="shared" si="13"/>
        <v>40</v>
      </c>
      <c r="X30" s="45">
        <f t="shared" si="14"/>
        <v>24</v>
      </c>
      <c r="Y30" s="45">
        <v>5000</v>
      </c>
      <c r="Z30" s="45">
        <f t="shared" si="15"/>
        <v>400000</v>
      </c>
      <c r="AA30" s="45">
        <v>27</v>
      </c>
      <c r="AB30" s="45">
        <f t="shared" si="16"/>
        <v>40</v>
      </c>
      <c r="AC30" s="45"/>
      <c r="AD30" s="45"/>
      <c r="AE30" s="45"/>
      <c r="AF30" s="45"/>
      <c r="AG30" s="45"/>
      <c r="AH30" s="45"/>
    </row>
    <row r="31" spans="1:34">
      <c r="A31" s="79" t="s">
        <v>99</v>
      </c>
      <c r="B31" s="79">
        <v>28</v>
      </c>
      <c r="C31" s="79">
        <v>3</v>
      </c>
      <c r="D31" s="79" t="s">
        <v>203</v>
      </c>
      <c r="E31" s="79">
        <v>100</v>
      </c>
      <c r="F31" s="79">
        <f t="shared" ref="F31:F33" si="17">8750/5</f>
        <v>1750</v>
      </c>
      <c r="G31" s="84">
        <v>40</v>
      </c>
      <c r="H31" s="85">
        <f t="shared" si="5"/>
        <v>0.4</v>
      </c>
      <c r="I31" s="79">
        <f t="shared" si="8"/>
        <v>8.75</v>
      </c>
      <c r="J31" s="86">
        <f t="shared" si="6"/>
        <v>70000</v>
      </c>
      <c r="K31" s="79">
        <v>200</v>
      </c>
      <c r="L31" s="79">
        <f t="shared" si="2"/>
        <v>20000</v>
      </c>
      <c r="M31" s="45"/>
      <c r="N31" s="45"/>
      <c r="O31" s="45"/>
      <c r="P31" s="45"/>
      <c r="Q31" s="45">
        <v>1150</v>
      </c>
      <c r="R31" s="45">
        <f t="shared" si="9"/>
        <v>115000</v>
      </c>
      <c r="S31" s="45">
        <f t="shared" si="10"/>
        <v>100</v>
      </c>
      <c r="T31" s="45">
        <f t="shared" si="11"/>
        <v>5.75</v>
      </c>
      <c r="U31" s="45">
        <v>3450</v>
      </c>
      <c r="V31" s="45">
        <f t="shared" si="12"/>
        <v>345000</v>
      </c>
      <c r="W31" s="45">
        <f t="shared" si="13"/>
        <v>50</v>
      </c>
      <c r="X31" s="45">
        <f t="shared" si="14"/>
        <v>17.25</v>
      </c>
      <c r="Y31" s="45">
        <v>5750</v>
      </c>
      <c r="Z31" s="45">
        <f t="shared" si="15"/>
        <v>575000</v>
      </c>
      <c r="AA31" s="45">
        <v>34</v>
      </c>
      <c r="AB31" s="45">
        <f t="shared" si="16"/>
        <v>28.75</v>
      </c>
      <c r="AC31" s="45"/>
      <c r="AD31" s="45"/>
      <c r="AE31" s="45"/>
      <c r="AF31" s="45"/>
      <c r="AG31" s="45"/>
      <c r="AH31" s="45"/>
    </row>
    <row r="32" spans="1:34">
      <c r="A32" s="79" t="s">
        <v>102</v>
      </c>
      <c r="B32" s="79">
        <v>28</v>
      </c>
      <c r="C32" s="79">
        <v>3</v>
      </c>
      <c r="D32" s="79" t="s">
        <v>203</v>
      </c>
      <c r="E32" s="79">
        <v>100</v>
      </c>
      <c r="F32" s="79">
        <f t="shared" si="17"/>
        <v>1750</v>
      </c>
      <c r="G32" s="84">
        <v>40</v>
      </c>
      <c r="H32" s="85">
        <f t="shared" si="5"/>
        <v>0.4</v>
      </c>
      <c r="I32" s="79">
        <f t="shared" si="8"/>
        <v>8.75</v>
      </c>
      <c r="J32" s="86">
        <f t="shared" si="6"/>
        <v>70000</v>
      </c>
      <c r="K32" s="79">
        <v>200</v>
      </c>
      <c r="L32" s="79">
        <f t="shared" si="2"/>
        <v>20000</v>
      </c>
      <c r="M32" s="45"/>
      <c r="N32" s="45"/>
      <c r="O32" s="45"/>
      <c r="P32" s="45"/>
      <c r="Q32" s="45">
        <v>1150</v>
      </c>
      <c r="R32" s="45">
        <f t="shared" si="9"/>
        <v>115000</v>
      </c>
      <c r="S32" s="45">
        <f t="shared" si="10"/>
        <v>100</v>
      </c>
      <c r="T32" s="45">
        <f t="shared" si="11"/>
        <v>5.75</v>
      </c>
      <c r="U32" s="45">
        <v>3450</v>
      </c>
      <c r="V32" s="45">
        <f t="shared" si="12"/>
        <v>345000</v>
      </c>
      <c r="W32" s="45">
        <f t="shared" si="13"/>
        <v>50</v>
      </c>
      <c r="X32" s="45">
        <f t="shared" si="14"/>
        <v>17.25</v>
      </c>
      <c r="Y32" s="45">
        <v>5750</v>
      </c>
      <c r="Z32" s="45">
        <f t="shared" si="15"/>
        <v>575000</v>
      </c>
      <c r="AA32" s="45">
        <v>34</v>
      </c>
      <c r="AB32" s="45">
        <f t="shared" si="16"/>
        <v>28.75</v>
      </c>
      <c r="AC32" s="45"/>
      <c r="AD32" s="45"/>
      <c r="AE32" s="45"/>
      <c r="AF32" s="45"/>
      <c r="AG32" s="45"/>
      <c r="AH32" s="45"/>
    </row>
    <row r="33" spans="1:34">
      <c r="A33" s="79" t="s">
        <v>204</v>
      </c>
      <c r="B33" s="79">
        <v>28</v>
      </c>
      <c r="C33" s="79">
        <v>3</v>
      </c>
      <c r="D33" s="79" t="s">
        <v>203</v>
      </c>
      <c r="E33" s="79">
        <v>100</v>
      </c>
      <c r="F33" s="79">
        <f t="shared" si="17"/>
        <v>1750</v>
      </c>
      <c r="G33" s="84">
        <v>40</v>
      </c>
      <c r="H33" s="85">
        <f t="shared" si="5"/>
        <v>0.4</v>
      </c>
      <c r="I33" s="79">
        <f t="shared" si="8"/>
        <v>8.75</v>
      </c>
      <c r="J33" s="86">
        <f t="shared" si="6"/>
        <v>70000</v>
      </c>
      <c r="K33" s="79">
        <v>200</v>
      </c>
      <c r="L33" s="79">
        <f t="shared" si="2"/>
        <v>20000</v>
      </c>
      <c r="M33" s="45"/>
      <c r="N33" s="45"/>
      <c r="O33" s="45"/>
      <c r="P33" s="45"/>
      <c r="Q33" s="45">
        <v>1150</v>
      </c>
      <c r="R33" s="45">
        <f t="shared" si="9"/>
        <v>115000</v>
      </c>
      <c r="S33" s="45">
        <f t="shared" si="10"/>
        <v>100</v>
      </c>
      <c r="T33" s="45">
        <f t="shared" si="11"/>
        <v>5.75</v>
      </c>
      <c r="U33" s="45">
        <v>3450</v>
      </c>
      <c r="V33" s="45">
        <f t="shared" si="12"/>
        <v>345000</v>
      </c>
      <c r="W33" s="45">
        <f t="shared" si="13"/>
        <v>50</v>
      </c>
      <c r="X33" s="45">
        <f t="shared" si="14"/>
        <v>17.25</v>
      </c>
      <c r="Y33" s="45">
        <v>5750</v>
      </c>
      <c r="Z33" s="45">
        <f t="shared" si="15"/>
        <v>575000</v>
      </c>
      <c r="AA33" s="45">
        <v>34</v>
      </c>
      <c r="AB33" s="45">
        <f t="shared" si="16"/>
        <v>28.75</v>
      </c>
      <c r="AC33" s="45"/>
      <c r="AD33" s="45"/>
      <c r="AE33" s="45"/>
      <c r="AF33" s="45"/>
      <c r="AG33" s="45"/>
      <c r="AH33" s="45"/>
    </row>
    <row r="34" spans="1:34">
      <c r="A34" s="79" t="s">
        <v>107</v>
      </c>
      <c r="B34" s="79">
        <v>30</v>
      </c>
      <c r="C34" s="79">
        <v>3</v>
      </c>
      <c r="D34" s="79" t="s">
        <v>203</v>
      </c>
      <c r="E34" s="79">
        <v>100</v>
      </c>
      <c r="F34" s="79">
        <f t="shared" ref="F34:F36" si="18">6500/5</f>
        <v>1300</v>
      </c>
      <c r="G34" s="84">
        <v>100</v>
      </c>
      <c r="H34" s="85">
        <f t="shared" si="5"/>
        <v>1</v>
      </c>
      <c r="I34" s="79">
        <f t="shared" si="8"/>
        <v>8.6666666666666661</v>
      </c>
      <c r="J34" s="86">
        <f t="shared" si="6"/>
        <v>130000</v>
      </c>
      <c r="K34" s="79">
        <v>150</v>
      </c>
      <c r="L34" s="79">
        <f t="shared" si="2"/>
        <v>15000</v>
      </c>
      <c r="M34" s="45"/>
      <c r="N34" s="45"/>
      <c r="O34" s="45"/>
      <c r="P34" s="45"/>
      <c r="Q34" s="45">
        <v>1500</v>
      </c>
      <c r="R34" s="45">
        <f t="shared" si="9"/>
        <v>150000</v>
      </c>
      <c r="S34" s="45">
        <f t="shared" si="10"/>
        <v>100</v>
      </c>
      <c r="T34" s="45">
        <f t="shared" si="11"/>
        <v>10</v>
      </c>
      <c r="U34" s="45">
        <v>4500</v>
      </c>
      <c r="V34" s="45">
        <f t="shared" si="12"/>
        <v>450000</v>
      </c>
      <c r="W34" s="45">
        <f t="shared" si="13"/>
        <v>50</v>
      </c>
      <c r="X34" s="45">
        <f t="shared" si="14"/>
        <v>30</v>
      </c>
      <c r="Y34" s="45">
        <v>7500</v>
      </c>
      <c r="Z34" s="45">
        <f t="shared" si="15"/>
        <v>750000</v>
      </c>
      <c r="AA34" s="45">
        <v>34</v>
      </c>
      <c r="AB34" s="45">
        <f t="shared" si="16"/>
        <v>50</v>
      </c>
      <c r="AC34" s="45"/>
      <c r="AD34" s="45"/>
      <c r="AE34" s="45"/>
      <c r="AF34" s="45"/>
      <c r="AG34" s="45"/>
      <c r="AH34" s="45"/>
    </row>
    <row r="35" spans="1:34">
      <c r="A35" s="79" t="s">
        <v>110</v>
      </c>
      <c r="B35" s="79">
        <v>30</v>
      </c>
      <c r="C35" s="79">
        <v>3</v>
      </c>
      <c r="D35" s="79" t="s">
        <v>203</v>
      </c>
      <c r="E35" s="79">
        <v>100</v>
      </c>
      <c r="F35" s="79">
        <f t="shared" si="18"/>
        <v>1300</v>
      </c>
      <c r="G35" s="84">
        <v>100</v>
      </c>
      <c r="H35" s="85">
        <f t="shared" si="5"/>
        <v>1</v>
      </c>
      <c r="I35" s="79">
        <f t="shared" si="8"/>
        <v>8.6666666666666661</v>
      </c>
      <c r="J35" s="86">
        <f t="shared" si="6"/>
        <v>130000</v>
      </c>
      <c r="K35" s="79">
        <v>150</v>
      </c>
      <c r="L35" s="79">
        <f t="shared" si="2"/>
        <v>15000</v>
      </c>
      <c r="M35" s="45"/>
      <c r="N35" s="45"/>
      <c r="O35" s="45"/>
      <c r="P35" s="45"/>
      <c r="Q35" s="45">
        <v>1500</v>
      </c>
      <c r="R35" s="45">
        <f t="shared" si="9"/>
        <v>150000</v>
      </c>
      <c r="S35" s="45">
        <f t="shared" si="10"/>
        <v>100</v>
      </c>
      <c r="T35" s="45">
        <f t="shared" si="11"/>
        <v>10</v>
      </c>
      <c r="U35" s="45">
        <v>4500</v>
      </c>
      <c r="V35" s="45">
        <f t="shared" si="12"/>
        <v>450000</v>
      </c>
      <c r="W35" s="45">
        <f t="shared" si="13"/>
        <v>50</v>
      </c>
      <c r="X35" s="45">
        <f t="shared" si="14"/>
        <v>30</v>
      </c>
      <c r="Y35" s="45">
        <v>7500</v>
      </c>
      <c r="Z35" s="45">
        <f t="shared" si="15"/>
        <v>750000</v>
      </c>
      <c r="AA35" s="45">
        <v>34</v>
      </c>
      <c r="AB35" s="45">
        <f t="shared" si="16"/>
        <v>50</v>
      </c>
      <c r="AC35" s="45"/>
      <c r="AD35" s="45"/>
      <c r="AE35" s="45"/>
      <c r="AF35" s="45"/>
      <c r="AG35" s="45"/>
      <c r="AH35" s="45"/>
    </row>
    <row r="36" spans="1:34">
      <c r="A36" s="79" t="s">
        <v>114</v>
      </c>
      <c r="B36" s="79">
        <v>30</v>
      </c>
      <c r="C36" s="79">
        <v>3</v>
      </c>
      <c r="D36" s="79" t="s">
        <v>203</v>
      </c>
      <c r="E36" s="79">
        <v>100</v>
      </c>
      <c r="F36" s="79">
        <f t="shared" si="18"/>
        <v>1300</v>
      </c>
      <c r="G36" s="84">
        <v>100</v>
      </c>
      <c r="H36" s="85">
        <f t="shared" si="5"/>
        <v>1</v>
      </c>
      <c r="I36" s="79">
        <f t="shared" si="8"/>
        <v>8.6666666666666661</v>
      </c>
      <c r="J36" s="86">
        <f t="shared" si="6"/>
        <v>130000</v>
      </c>
      <c r="K36" s="79">
        <v>150</v>
      </c>
      <c r="L36" s="79">
        <f t="shared" si="2"/>
        <v>15000</v>
      </c>
      <c r="M36" s="45"/>
      <c r="N36" s="45"/>
      <c r="O36" s="45"/>
      <c r="P36" s="45"/>
      <c r="Q36" s="45">
        <v>1500</v>
      </c>
      <c r="R36" s="45">
        <f t="shared" si="9"/>
        <v>150000</v>
      </c>
      <c r="S36" s="45">
        <f t="shared" si="10"/>
        <v>100</v>
      </c>
      <c r="T36" s="45">
        <f t="shared" si="11"/>
        <v>10</v>
      </c>
      <c r="U36" s="45">
        <v>4500</v>
      </c>
      <c r="V36" s="45">
        <f t="shared" si="12"/>
        <v>450000</v>
      </c>
      <c r="W36" s="45">
        <f t="shared" si="13"/>
        <v>50</v>
      </c>
      <c r="X36" s="45">
        <f t="shared" si="14"/>
        <v>30</v>
      </c>
      <c r="Y36" s="45">
        <v>7500</v>
      </c>
      <c r="Z36" s="45">
        <f t="shared" si="15"/>
        <v>750000</v>
      </c>
      <c r="AA36" s="45">
        <v>34</v>
      </c>
      <c r="AB36" s="45">
        <f t="shared" si="16"/>
        <v>50</v>
      </c>
      <c r="AC36" s="45"/>
      <c r="AD36" s="45"/>
      <c r="AE36" s="45"/>
      <c r="AF36" s="45"/>
      <c r="AG36" s="45"/>
      <c r="AH36" s="45"/>
    </row>
    <row r="37" spans="1:34">
      <c r="A37" s="79" t="s">
        <v>119</v>
      </c>
      <c r="B37" s="79">
        <v>32</v>
      </c>
      <c r="C37" s="79">
        <v>3</v>
      </c>
      <c r="D37" s="79" t="s">
        <v>203</v>
      </c>
      <c r="E37" s="79">
        <v>120</v>
      </c>
      <c r="F37" s="79">
        <v>8800</v>
      </c>
      <c r="G37" s="84">
        <v>40</v>
      </c>
      <c r="H37" s="85">
        <f t="shared" si="5"/>
        <v>0.33333333333333331</v>
      </c>
      <c r="I37" s="79">
        <f t="shared" si="8"/>
        <v>17.600000000000001</v>
      </c>
      <c r="J37" s="86">
        <f t="shared" si="6"/>
        <v>352000</v>
      </c>
      <c r="K37" s="79">
        <v>500</v>
      </c>
      <c r="L37" s="79">
        <f t="shared" si="2"/>
        <v>60000</v>
      </c>
      <c r="M37" s="45"/>
      <c r="N37" s="45"/>
      <c r="O37" s="45"/>
      <c r="P37" s="45"/>
      <c r="Q37" s="45">
        <v>3000</v>
      </c>
      <c r="R37" s="45">
        <f t="shared" si="9"/>
        <v>360000</v>
      </c>
      <c r="S37" s="45">
        <f t="shared" si="10"/>
        <v>120</v>
      </c>
      <c r="T37" s="45">
        <f t="shared" si="11"/>
        <v>6</v>
      </c>
      <c r="U37" s="45">
        <v>9000</v>
      </c>
      <c r="V37" s="45">
        <f t="shared" si="12"/>
        <v>1080000</v>
      </c>
      <c r="W37" s="45">
        <f t="shared" si="13"/>
        <v>60</v>
      </c>
      <c r="X37" s="45">
        <f t="shared" si="14"/>
        <v>18</v>
      </c>
      <c r="Y37" s="45">
        <v>15000</v>
      </c>
      <c r="Z37" s="45">
        <f t="shared" si="15"/>
        <v>1800000</v>
      </c>
      <c r="AA37" s="45">
        <v>40</v>
      </c>
      <c r="AB37" s="45">
        <f t="shared" si="16"/>
        <v>30</v>
      </c>
      <c r="AC37" s="45"/>
      <c r="AD37" s="45"/>
      <c r="AE37" s="45"/>
      <c r="AF37" s="45"/>
      <c r="AG37" s="45"/>
      <c r="AH37" s="45"/>
    </row>
    <row r="38" spans="1:34">
      <c r="A38" s="79" t="s">
        <v>122</v>
      </c>
      <c r="B38" s="79">
        <v>32</v>
      </c>
      <c r="C38" s="79">
        <v>3</v>
      </c>
      <c r="D38" s="79" t="s">
        <v>203</v>
      </c>
      <c r="E38" s="79">
        <v>120</v>
      </c>
      <c r="F38" s="79">
        <v>8800</v>
      </c>
      <c r="G38" s="84">
        <v>40</v>
      </c>
      <c r="H38" s="85">
        <f t="shared" si="5"/>
        <v>0.33333333333333331</v>
      </c>
      <c r="I38" s="79">
        <f t="shared" si="8"/>
        <v>17.600000000000001</v>
      </c>
      <c r="J38" s="86">
        <f t="shared" si="6"/>
        <v>352000</v>
      </c>
      <c r="K38" s="79">
        <v>500</v>
      </c>
      <c r="L38" s="79">
        <f t="shared" si="2"/>
        <v>60000</v>
      </c>
      <c r="M38" s="45"/>
      <c r="N38" s="45"/>
      <c r="O38" s="45"/>
      <c r="P38" s="45"/>
      <c r="Q38" s="45">
        <v>3000</v>
      </c>
      <c r="R38" s="45">
        <f t="shared" si="9"/>
        <v>360000</v>
      </c>
      <c r="S38" s="45">
        <f t="shared" si="10"/>
        <v>120</v>
      </c>
      <c r="T38" s="45">
        <f t="shared" si="11"/>
        <v>6</v>
      </c>
      <c r="U38" s="45">
        <v>9000</v>
      </c>
      <c r="V38" s="45">
        <f t="shared" si="12"/>
        <v>1080000</v>
      </c>
      <c r="W38" s="45">
        <f t="shared" si="13"/>
        <v>60</v>
      </c>
      <c r="X38" s="45">
        <f t="shared" si="14"/>
        <v>18</v>
      </c>
      <c r="Y38" s="45">
        <v>15000</v>
      </c>
      <c r="Z38" s="45">
        <f t="shared" si="15"/>
        <v>1800000</v>
      </c>
      <c r="AA38" s="45">
        <v>40</v>
      </c>
      <c r="AB38" s="45">
        <f t="shared" si="16"/>
        <v>30</v>
      </c>
      <c r="AC38" s="45"/>
      <c r="AD38" s="45"/>
      <c r="AE38" s="45"/>
      <c r="AF38" s="45"/>
      <c r="AG38" s="45"/>
      <c r="AH38" s="45"/>
    </row>
    <row r="39" spans="1:34">
      <c r="A39" s="79" t="s">
        <v>124</v>
      </c>
      <c r="B39" s="79">
        <v>32</v>
      </c>
      <c r="C39" s="79">
        <v>3</v>
      </c>
      <c r="D39" s="79" t="s">
        <v>203</v>
      </c>
      <c r="E39" s="79">
        <v>120</v>
      </c>
      <c r="F39" s="79">
        <v>8800</v>
      </c>
      <c r="G39" s="84">
        <v>40</v>
      </c>
      <c r="H39" s="85">
        <f t="shared" si="5"/>
        <v>0.33333333333333331</v>
      </c>
      <c r="I39" s="79">
        <f t="shared" si="8"/>
        <v>17.600000000000001</v>
      </c>
      <c r="J39" s="86">
        <f t="shared" si="6"/>
        <v>352000</v>
      </c>
      <c r="K39" s="79">
        <v>500</v>
      </c>
      <c r="L39" s="79">
        <f t="shared" si="2"/>
        <v>60000</v>
      </c>
      <c r="M39" s="45"/>
      <c r="N39" s="45"/>
      <c r="O39" s="45"/>
      <c r="P39" s="45"/>
      <c r="Q39" s="45">
        <v>3000</v>
      </c>
      <c r="R39" s="45">
        <f t="shared" si="9"/>
        <v>360000</v>
      </c>
      <c r="S39" s="45">
        <f t="shared" si="10"/>
        <v>120</v>
      </c>
      <c r="T39" s="45">
        <f t="shared" si="11"/>
        <v>6</v>
      </c>
      <c r="U39" s="45">
        <v>9000</v>
      </c>
      <c r="V39" s="45">
        <f t="shared" si="12"/>
        <v>1080000</v>
      </c>
      <c r="W39" s="45">
        <f t="shared" si="13"/>
        <v>60</v>
      </c>
      <c r="X39" s="45">
        <f t="shared" si="14"/>
        <v>18</v>
      </c>
      <c r="Y39" s="45">
        <v>15000</v>
      </c>
      <c r="Z39" s="45">
        <f t="shared" si="15"/>
        <v>1800000</v>
      </c>
      <c r="AA39" s="45">
        <v>40</v>
      </c>
      <c r="AB39" s="45">
        <f t="shared" si="16"/>
        <v>30</v>
      </c>
      <c r="AC39" s="45"/>
      <c r="AD39" s="45"/>
      <c r="AE39" s="45"/>
      <c r="AF39" s="45"/>
      <c r="AG39" s="45"/>
      <c r="AH39" s="45"/>
    </row>
    <row r="40" spans="1:34">
      <c r="A40" s="41" t="s">
        <v>130</v>
      </c>
      <c r="B40" s="79">
        <v>34</v>
      </c>
      <c r="C40" s="79">
        <v>3</v>
      </c>
      <c r="D40" s="79" t="s">
        <v>203</v>
      </c>
      <c r="E40" s="79">
        <v>150</v>
      </c>
      <c r="F40" s="79">
        <v>10600</v>
      </c>
      <c r="G40" s="84">
        <v>40</v>
      </c>
      <c r="H40" s="85">
        <f t="shared" si="5"/>
        <v>0.26666666666666666</v>
      </c>
      <c r="I40" s="79">
        <f t="shared" si="8"/>
        <v>8.8333333333333339</v>
      </c>
      <c r="J40" s="86">
        <f t="shared" si="6"/>
        <v>424000</v>
      </c>
      <c r="K40" s="79">
        <v>1200</v>
      </c>
      <c r="L40" s="79">
        <f t="shared" si="2"/>
        <v>180000</v>
      </c>
      <c r="M40" s="45"/>
      <c r="N40" s="45"/>
      <c r="O40" s="45"/>
      <c r="P40" s="45"/>
      <c r="Q40" s="45">
        <v>3650</v>
      </c>
      <c r="R40" s="45">
        <f t="shared" si="9"/>
        <v>547500</v>
      </c>
      <c r="S40" s="45">
        <f t="shared" si="10"/>
        <v>150</v>
      </c>
      <c r="T40" s="45">
        <f t="shared" si="11"/>
        <v>3.0416666666666665</v>
      </c>
      <c r="U40" s="45">
        <v>10950</v>
      </c>
      <c r="V40" s="45">
        <f t="shared" si="12"/>
        <v>1642500</v>
      </c>
      <c r="W40" s="45">
        <f t="shared" si="13"/>
        <v>75</v>
      </c>
      <c r="X40" s="45">
        <f t="shared" si="14"/>
        <v>9.125</v>
      </c>
      <c r="Y40" s="45">
        <v>18250</v>
      </c>
      <c r="Z40" s="45">
        <f t="shared" si="15"/>
        <v>2737500</v>
      </c>
      <c r="AA40" s="45">
        <v>50</v>
      </c>
      <c r="AB40" s="45">
        <f t="shared" si="16"/>
        <v>15.208333333333334</v>
      </c>
      <c r="AC40" s="45"/>
      <c r="AD40" s="45"/>
      <c r="AE40" s="45"/>
      <c r="AF40" s="45"/>
      <c r="AG40" s="45"/>
      <c r="AH40" s="45"/>
    </row>
    <row r="41" spans="1:34">
      <c r="A41" s="41" t="s">
        <v>133</v>
      </c>
      <c r="B41" s="79">
        <v>34</v>
      </c>
      <c r="C41" s="79">
        <v>3</v>
      </c>
      <c r="D41" s="79" t="s">
        <v>203</v>
      </c>
      <c r="E41" s="79">
        <v>150</v>
      </c>
      <c r="F41" s="79">
        <v>10600</v>
      </c>
      <c r="G41" s="84">
        <v>40</v>
      </c>
      <c r="H41" s="85">
        <f t="shared" si="5"/>
        <v>0.26666666666666666</v>
      </c>
      <c r="I41" s="79">
        <f t="shared" si="8"/>
        <v>8.8333333333333339</v>
      </c>
      <c r="J41" s="86">
        <f t="shared" si="6"/>
        <v>424000</v>
      </c>
      <c r="K41" s="79">
        <v>1200</v>
      </c>
      <c r="L41" s="79">
        <f t="shared" si="2"/>
        <v>180000</v>
      </c>
      <c r="M41" s="45"/>
      <c r="N41" s="45"/>
      <c r="O41" s="45"/>
      <c r="P41" s="45"/>
      <c r="Q41" s="45">
        <v>3650</v>
      </c>
      <c r="R41" s="45">
        <f t="shared" si="9"/>
        <v>547500</v>
      </c>
      <c r="S41" s="45">
        <f t="shared" si="10"/>
        <v>150</v>
      </c>
      <c r="T41" s="45">
        <f t="shared" si="11"/>
        <v>3.0416666666666665</v>
      </c>
      <c r="U41" s="45">
        <v>10950</v>
      </c>
      <c r="V41" s="45">
        <f t="shared" si="12"/>
        <v>1642500</v>
      </c>
      <c r="W41" s="45">
        <f t="shared" si="13"/>
        <v>75</v>
      </c>
      <c r="X41" s="45">
        <f t="shared" si="14"/>
        <v>9.125</v>
      </c>
      <c r="Y41" s="45">
        <v>18250</v>
      </c>
      <c r="Z41" s="45">
        <f t="shared" si="15"/>
        <v>2737500</v>
      </c>
      <c r="AA41" s="45">
        <v>50</v>
      </c>
      <c r="AB41" s="45">
        <f t="shared" si="16"/>
        <v>15.208333333333334</v>
      </c>
      <c r="AC41" s="45"/>
      <c r="AD41" s="45"/>
      <c r="AE41" s="45"/>
      <c r="AF41" s="45"/>
      <c r="AG41" s="45"/>
      <c r="AH41" s="45"/>
    </row>
    <row r="42" spans="1:34">
      <c r="A42" s="41" t="s">
        <v>136</v>
      </c>
      <c r="B42" s="79">
        <v>34</v>
      </c>
      <c r="C42" s="79">
        <v>3</v>
      </c>
      <c r="D42" s="79" t="s">
        <v>203</v>
      </c>
      <c r="E42" s="79">
        <v>150</v>
      </c>
      <c r="F42" s="79">
        <v>10600</v>
      </c>
      <c r="G42" s="84">
        <v>40</v>
      </c>
      <c r="H42" s="85">
        <f t="shared" si="5"/>
        <v>0.26666666666666666</v>
      </c>
      <c r="I42" s="79">
        <f t="shared" si="8"/>
        <v>8.8333333333333339</v>
      </c>
      <c r="J42" s="86">
        <f t="shared" si="6"/>
        <v>424000</v>
      </c>
      <c r="K42" s="79">
        <v>1200</v>
      </c>
      <c r="L42" s="79">
        <f t="shared" si="2"/>
        <v>180000</v>
      </c>
      <c r="M42" s="45"/>
      <c r="N42" s="45"/>
      <c r="O42" s="45"/>
      <c r="P42" s="45"/>
      <c r="Q42" s="45">
        <v>3650</v>
      </c>
      <c r="R42" s="45">
        <f t="shared" si="9"/>
        <v>547500</v>
      </c>
      <c r="S42" s="45">
        <f t="shared" si="10"/>
        <v>150</v>
      </c>
      <c r="T42" s="45">
        <f t="shared" si="11"/>
        <v>3.0416666666666665</v>
      </c>
      <c r="U42" s="45">
        <v>10950</v>
      </c>
      <c r="V42" s="45">
        <f t="shared" si="12"/>
        <v>1642500</v>
      </c>
      <c r="W42" s="45">
        <f t="shared" si="13"/>
        <v>75</v>
      </c>
      <c r="X42" s="45">
        <f t="shared" si="14"/>
        <v>9.125</v>
      </c>
      <c r="Y42" s="45">
        <v>18250</v>
      </c>
      <c r="Z42" s="45">
        <f t="shared" si="15"/>
        <v>2737500</v>
      </c>
      <c r="AA42" s="45">
        <v>50</v>
      </c>
      <c r="AB42" s="45">
        <f t="shared" si="16"/>
        <v>15.208333333333334</v>
      </c>
      <c r="AC42" s="45"/>
      <c r="AD42" s="45"/>
      <c r="AE42" s="45"/>
      <c r="AF42" s="45"/>
      <c r="AG42" s="45"/>
      <c r="AH42" s="45"/>
    </row>
    <row r="43" spans="1:34">
      <c r="A43" s="41" t="s">
        <v>156</v>
      </c>
      <c r="B43" s="79">
        <v>41</v>
      </c>
      <c r="C43" s="79">
        <v>4</v>
      </c>
      <c r="D43" s="79" t="s">
        <v>203</v>
      </c>
      <c r="E43" s="79">
        <v>150</v>
      </c>
      <c r="F43" s="79"/>
      <c r="G43" s="84"/>
      <c r="H43" s="85">
        <f t="shared" si="5"/>
        <v>0</v>
      </c>
      <c r="I43" s="79">
        <f t="shared" si="8"/>
        <v>0</v>
      </c>
      <c r="J43" s="86">
        <f t="shared" si="6"/>
        <v>0</v>
      </c>
      <c r="K43" s="79">
        <v>1200</v>
      </c>
      <c r="L43" s="79">
        <f t="shared" si="2"/>
        <v>180000</v>
      </c>
      <c r="M43" s="45"/>
      <c r="N43" s="45"/>
      <c r="O43" s="45"/>
      <c r="P43" s="45"/>
      <c r="Q43" s="45">
        <v>3650</v>
      </c>
      <c r="R43" s="45">
        <f t="shared" si="9"/>
        <v>547500</v>
      </c>
      <c r="S43" s="45">
        <f t="shared" si="10"/>
        <v>150</v>
      </c>
      <c r="T43" s="45">
        <f t="shared" si="11"/>
        <v>3.0416666666666665</v>
      </c>
      <c r="U43" s="45">
        <v>10950</v>
      </c>
      <c r="V43" s="45">
        <f t="shared" si="12"/>
        <v>1642500</v>
      </c>
      <c r="W43" s="45">
        <f t="shared" si="13"/>
        <v>75</v>
      </c>
      <c r="X43" s="45">
        <f t="shared" si="14"/>
        <v>9.125</v>
      </c>
      <c r="Y43" s="45">
        <v>18250</v>
      </c>
      <c r="Z43" s="45">
        <f t="shared" si="15"/>
        <v>2737500</v>
      </c>
      <c r="AA43" s="45">
        <v>50</v>
      </c>
      <c r="AB43" s="45">
        <f t="shared" si="16"/>
        <v>15.208333333333334</v>
      </c>
      <c r="AC43" s="45"/>
      <c r="AD43" s="45"/>
      <c r="AE43" s="45"/>
      <c r="AF43" s="45"/>
      <c r="AG43" s="45"/>
      <c r="AH43" s="45"/>
    </row>
    <row r="44" spans="1:34">
      <c r="A44" s="41" t="s">
        <v>157</v>
      </c>
      <c r="B44" s="79">
        <v>41</v>
      </c>
      <c r="C44" s="79">
        <v>4</v>
      </c>
      <c r="D44" s="79" t="s">
        <v>203</v>
      </c>
      <c r="E44" s="79">
        <v>150</v>
      </c>
      <c r="F44" s="79"/>
      <c r="G44" s="84"/>
      <c r="H44" s="85">
        <f t="shared" si="5"/>
        <v>0</v>
      </c>
      <c r="I44" s="79">
        <f t="shared" si="8"/>
        <v>0</v>
      </c>
      <c r="J44" s="86">
        <f t="shared" si="6"/>
        <v>0</v>
      </c>
      <c r="K44" s="79">
        <v>1200</v>
      </c>
      <c r="L44" s="79">
        <f t="shared" si="2"/>
        <v>180000</v>
      </c>
      <c r="M44" s="45"/>
      <c r="N44" s="45"/>
      <c r="O44" s="45"/>
      <c r="P44" s="45"/>
      <c r="Q44" s="45">
        <v>3650</v>
      </c>
      <c r="R44" s="45">
        <f t="shared" si="9"/>
        <v>547500</v>
      </c>
      <c r="S44" s="45">
        <f t="shared" si="10"/>
        <v>150</v>
      </c>
      <c r="T44" s="45">
        <f t="shared" si="11"/>
        <v>3.0416666666666665</v>
      </c>
      <c r="U44" s="45">
        <v>10950</v>
      </c>
      <c r="V44" s="45">
        <f t="shared" si="12"/>
        <v>1642500</v>
      </c>
      <c r="W44" s="45">
        <f t="shared" si="13"/>
        <v>75</v>
      </c>
      <c r="X44" s="45">
        <f t="shared" si="14"/>
        <v>9.125</v>
      </c>
      <c r="Y44" s="45">
        <v>18250</v>
      </c>
      <c r="Z44" s="45">
        <f t="shared" si="15"/>
        <v>2737500</v>
      </c>
      <c r="AA44" s="45">
        <v>50</v>
      </c>
      <c r="AB44" s="45">
        <f t="shared" si="16"/>
        <v>15.208333333333334</v>
      </c>
      <c r="AC44" s="45"/>
      <c r="AD44" s="45"/>
      <c r="AE44" s="45"/>
      <c r="AF44" s="45"/>
      <c r="AG44" s="45"/>
      <c r="AH44" s="45"/>
    </row>
    <row r="45" spans="1:34">
      <c r="A45" s="41" t="s">
        <v>158</v>
      </c>
      <c r="B45" s="79">
        <v>41</v>
      </c>
      <c r="C45" s="79">
        <v>4</v>
      </c>
      <c r="D45" s="79" t="s">
        <v>203</v>
      </c>
      <c r="E45" s="79">
        <v>150</v>
      </c>
      <c r="F45" s="79"/>
      <c r="G45" s="84"/>
      <c r="H45" s="85">
        <f t="shared" si="5"/>
        <v>0</v>
      </c>
      <c r="I45" s="79">
        <f t="shared" si="8"/>
        <v>0</v>
      </c>
      <c r="J45" s="86">
        <f t="shared" si="6"/>
        <v>0</v>
      </c>
      <c r="K45" s="79">
        <v>1200</v>
      </c>
      <c r="L45" s="79">
        <f t="shared" si="2"/>
        <v>180000</v>
      </c>
      <c r="M45" s="45"/>
      <c r="N45" s="45"/>
      <c r="O45" s="45"/>
      <c r="P45" s="45"/>
      <c r="Q45" s="45">
        <v>3650</v>
      </c>
      <c r="R45" s="45">
        <f t="shared" si="9"/>
        <v>547500</v>
      </c>
      <c r="S45" s="45">
        <f t="shared" si="10"/>
        <v>150</v>
      </c>
      <c r="T45" s="45">
        <f t="shared" si="11"/>
        <v>3.0416666666666665</v>
      </c>
      <c r="U45" s="45">
        <v>10950</v>
      </c>
      <c r="V45" s="45">
        <f t="shared" si="12"/>
        <v>1642500</v>
      </c>
      <c r="W45" s="45">
        <f t="shared" si="13"/>
        <v>75</v>
      </c>
      <c r="X45" s="45">
        <f t="shared" si="14"/>
        <v>9.125</v>
      </c>
      <c r="Y45" s="45">
        <v>18250</v>
      </c>
      <c r="Z45" s="45">
        <f t="shared" si="15"/>
        <v>2737500</v>
      </c>
      <c r="AA45" s="45">
        <v>50</v>
      </c>
      <c r="AB45" s="45">
        <f t="shared" si="16"/>
        <v>15.208333333333334</v>
      </c>
      <c r="AC45" s="45"/>
      <c r="AD45" s="45"/>
      <c r="AE45" s="45"/>
      <c r="AF45" s="45"/>
      <c r="AG45" s="45"/>
      <c r="AH45" s="45"/>
    </row>
    <row r="46" spans="1:34">
      <c r="A46" s="41" t="s">
        <v>159</v>
      </c>
      <c r="B46" s="79">
        <v>42</v>
      </c>
      <c r="C46" s="79">
        <v>4</v>
      </c>
      <c r="D46" s="79" t="s">
        <v>203</v>
      </c>
      <c r="E46" s="79">
        <v>150</v>
      </c>
      <c r="F46" s="79">
        <v>6000</v>
      </c>
      <c r="G46" s="84">
        <v>15</v>
      </c>
      <c r="H46" s="85">
        <f t="shared" si="5"/>
        <v>0.1</v>
      </c>
      <c r="I46" s="79">
        <f t="shared" si="8"/>
        <v>4.5454545454545459</v>
      </c>
      <c r="J46" s="86">
        <f t="shared" si="6"/>
        <v>90000</v>
      </c>
      <c r="K46" s="79">
        <v>1320</v>
      </c>
      <c r="L46" s="79">
        <f t="shared" si="2"/>
        <v>198000</v>
      </c>
      <c r="M46" s="45"/>
      <c r="N46" s="45"/>
      <c r="O46" s="45"/>
      <c r="P46" s="45"/>
      <c r="Q46" s="45">
        <v>3950</v>
      </c>
      <c r="R46" s="45">
        <f t="shared" si="9"/>
        <v>592500</v>
      </c>
      <c r="S46" s="45">
        <f t="shared" si="10"/>
        <v>150</v>
      </c>
      <c r="T46" s="45">
        <f t="shared" si="11"/>
        <v>2.9924242424242422</v>
      </c>
      <c r="U46" s="45">
        <v>11850</v>
      </c>
      <c r="V46" s="45">
        <f t="shared" si="12"/>
        <v>1777500</v>
      </c>
      <c r="W46" s="45">
        <f t="shared" si="13"/>
        <v>75</v>
      </c>
      <c r="X46" s="45">
        <f t="shared" si="14"/>
        <v>8.9772727272727266</v>
      </c>
      <c r="Y46" s="45">
        <v>19750</v>
      </c>
      <c r="Z46" s="45">
        <f t="shared" si="15"/>
        <v>2962500</v>
      </c>
      <c r="AA46" s="45">
        <v>50</v>
      </c>
      <c r="AB46" s="45">
        <f t="shared" si="16"/>
        <v>14.962121212121213</v>
      </c>
      <c r="AC46" s="45"/>
      <c r="AD46" s="45"/>
      <c r="AE46" s="45"/>
      <c r="AF46" s="45"/>
      <c r="AG46" s="45"/>
      <c r="AH46" s="45"/>
    </row>
    <row r="47" spans="1:34">
      <c r="A47" s="41" t="s">
        <v>160</v>
      </c>
      <c r="B47" s="79">
        <v>42</v>
      </c>
      <c r="C47" s="79">
        <v>4</v>
      </c>
      <c r="D47" s="79" t="s">
        <v>203</v>
      </c>
      <c r="E47" s="79">
        <v>150</v>
      </c>
      <c r="F47" s="79">
        <v>6000</v>
      </c>
      <c r="G47" s="84">
        <v>15</v>
      </c>
      <c r="H47" s="85">
        <f t="shared" si="5"/>
        <v>0.1</v>
      </c>
      <c r="I47" s="79">
        <f t="shared" si="8"/>
        <v>4.5454545454545459</v>
      </c>
      <c r="J47" s="86">
        <f t="shared" si="6"/>
        <v>90000</v>
      </c>
      <c r="K47" s="79">
        <v>1320</v>
      </c>
      <c r="L47" s="79">
        <f t="shared" si="2"/>
        <v>198000</v>
      </c>
      <c r="M47" s="45"/>
      <c r="N47" s="45"/>
      <c r="O47" s="45"/>
      <c r="P47" s="45"/>
      <c r="Q47" s="45">
        <v>3950</v>
      </c>
      <c r="R47" s="45">
        <f t="shared" si="9"/>
        <v>592500</v>
      </c>
      <c r="S47" s="45">
        <f t="shared" si="10"/>
        <v>150</v>
      </c>
      <c r="T47" s="45">
        <f t="shared" si="11"/>
        <v>2.9924242424242422</v>
      </c>
      <c r="U47" s="45">
        <v>11850</v>
      </c>
      <c r="V47" s="45">
        <f t="shared" si="12"/>
        <v>1777500</v>
      </c>
      <c r="W47" s="45">
        <f t="shared" si="13"/>
        <v>75</v>
      </c>
      <c r="X47" s="45">
        <f t="shared" si="14"/>
        <v>8.9772727272727266</v>
      </c>
      <c r="Y47" s="45">
        <v>19750</v>
      </c>
      <c r="Z47" s="45">
        <f t="shared" si="15"/>
        <v>2962500</v>
      </c>
      <c r="AA47" s="45">
        <v>50</v>
      </c>
      <c r="AB47" s="45">
        <f t="shared" si="16"/>
        <v>14.962121212121213</v>
      </c>
      <c r="AC47" s="45"/>
      <c r="AD47" s="45"/>
      <c r="AE47" s="45"/>
      <c r="AF47" s="45"/>
      <c r="AG47" s="45"/>
      <c r="AH47" s="45"/>
    </row>
    <row r="48" spans="1:34">
      <c r="A48" s="41" t="s">
        <v>161</v>
      </c>
      <c r="B48" s="79">
        <v>42</v>
      </c>
      <c r="C48" s="79">
        <v>4</v>
      </c>
      <c r="D48" s="79" t="s">
        <v>203</v>
      </c>
      <c r="E48" s="79">
        <v>150</v>
      </c>
      <c r="F48" s="79">
        <v>6000</v>
      </c>
      <c r="G48" s="84">
        <v>15</v>
      </c>
      <c r="H48" s="85">
        <f t="shared" si="5"/>
        <v>0.1</v>
      </c>
      <c r="I48" s="79">
        <f t="shared" si="8"/>
        <v>4.5454545454545459</v>
      </c>
      <c r="J48" s="86">
        <f t="shared" si="6"/>
        <v>90000</v>
      </c>
      <c r="K48" s="79">
        <v>1320</v>
      </c>
      <c r="L48" s="79">
        <f t="shared" si="2"/>
        <v>198000</v>
      </c>
      <c r="M48" s="45"/>
      <c r="N48" s="45"/>
      <c r="O48" s="45"/>
      <c r="P48" s="45"/>
      <c r="Q48" s="45">
        <v>3950</v>
      </c>
      <c r="R48" s="45">
        <f t="shared" si="9"/>
        <v>592500</v>
      </c>
      <c r="S48" s="45">
        <f t="shared" si="10"/>
        <v>150</v>
      </c>
      <c r="T48" s="45">
        <f t="shared" si="11"/>
        <v>2.9924242424242422</v>
      </c>
      <c r="U48" s="45">
        <v>11850</v>
      </c>
      <c r="V48" s="45">
        <f t="shared" si="12"/>
        <v>1777500</v>
      </c>
      <c r="W48" s="45">
        <f t="shared" si="13"/>
        <v>75</v>
      </c>
      <c r="X48" s="45">
        <f t="shared" si="14"/>
        <v>8.9772727272727266</v>
      </c>
      <c r="Y48" s="45">
        <v>19750</v>
      </c>
      <c r="Z48" s="45">
        <f t="shared" si="15"/>
        <v>2962500</v>
      </c>
      <c r="AA48" s="45">
        <v>50</v>
      </c>
      <c r="AB48" s="45">
        <f t="shared" si="16"/>
        <v>14.962121212121213</v>
      </c>
      <c r="AC48" s="45"/>
      <c r="AD48" s="45"/>
      <c r="AE48" s="45"/>
      <c r="AF48" s="45"/>
      <c r="AG48" s="45"/>
      <c r="AH48" s="45"/>
    </row>
    <row r="49" spans="1:34">
      <c r="A49" s="41" t="s">
        <v>162</v>
      </c>
      <c r="B49" s="79">
        <v>46</v>
      </c>
      <c r="C49" s="79">
        <v>4</v>
      </c>
      <c r="D49" s="79" t="s">
        <v>203</v>
      </c>
      <c r="E49" s="79">
        <v>350</v>
      </c>
      <c r="F49" s="79">
        <v>6700</v>
      </c>
      <c r="G49" s="84">
        <v>35</v>
      </c>
      <c r="H49" s="85">
        <f t="shared" si="5"/>
        <v>0.1</v>
      </c>
      <c r="I49" s="79">
        <f t="shared" si="8"/>
        <v>4.6206896551724137</v>
      </c>
      <c r="J49" s="86">
        <f t="shared" si="6"/>
        <v>234500</v>
      </c>
      <c r="K49" s="79">
        <v>1450</v>
      </c>
      <c r="L49" s="79">
        <f t="shared" si="2"/>
        <v>507500</v>
      </c>
      <c r="M49" s="45"/>
      <c r="N49" s="45"/>
      <c r="O49" s="45"/>
      <c r="P49" s="45"/>
      <c r="Q49" s="45">
        <v>4150</v>
      </c>
      <c r="R49" s="45">
        <f t="shared" si="9"/>
        <v>1452500</v>
      </c>
      <c r="S49" s="45">
        <f t="shared" si="10"/>
        <v>350</v>
      </c>
      <c r="T49" s="45">
        <f t="shared" si="11"/>
        <v>2.8620689655172415</v>
      </c>
      <c r="U49" s="45">
        <v>12450</v>
      </c>
      <c r="V49" s="45">
        <f t="shared" si="12"/>
        <v>4357500</v>
      </c>
      <c r="W49" s="45">
        <f t="shared" si="13"/>
        <v>175</v>
      </c>
      <c r="X49" s="45">
        <f t="shared" si="14"/>
        <v>8.5862068965517242</v>
      </c>
      <c r="Y49" s="45">
        <v>20750</v>
      </c>
      <c r="Z49" s="45">
        <f t="shared" si="15"/>
        <v>7262500</v>
      </c>
      <c r="AA49" s="45">
        <v>117</v>
      </c>
      <c r="AB49" s="45">
        <f t="shared" si="16"/>
        <v>14.310344827586206</v>
      </c>
      <c r="AC49" s="45"/>
      <c r="AD49" s="45"/>
      <c r="AE49" s="45"/>
      <c r="AF49" s="45"/>
      <c r="AG49" s="45"/>
      <c r="AH49" s="45"/>
    </row>
    <row r="50" spans="1:34">
      <c r="A50" s="41" t="s">
        <v>163</v>
      </c>
      <c r="B50" s="79">
        <v>46</v>
      </c>
      <c r="C50" s="79">
        <v>4</v>
      </c>
      <c r="D50" s="79" t="s">
        <v>203</v>
      </c>
      <c r="E50" s="79">
        <v>350</v>
      </c>
      <c r="F50" s="79">
        <v>6700</v>
      </c>
      <c r="G50" s="84">
        <v>35</v>
      </c>
      <c r="H50" s="85">
        <f t="shared" si="5"/>
        <v>0.1</v>
      </c>
      <c r="I50" s="79">
        <f t="shared" si="8"/>
        <v>4.6206896551724137</v>
      </c>
      <c r="J50" s="86">
        <f t="shared" si="6"/>
        <v>234500</v>
      </c>
      <c r="K50" s="79">
        <v>1450</v>
      </c>
      <c r="L50" s="79">
        <f t="shared" si="2"/>
        <v>507500</v>
      </c>
      <c r="M50" s="45"/>
      <c r="N50" s="45"/>
      <c r="O50" s="45"/>
      <c r="P50" s="45"/>
      <c r="Q50" s="45">
        <v>4150</v>
      </c>
      <c r="R50" s="45">
        <f t="shared" si="9"/>
        <v>1452500</v>
      </c>
      <c r="S50" s="45">
        <f t="shared" si="10"/>
        <v>350</v>
      </c>
      <c r="T50" s="45">
        <f t="shared" si="11"/>
        <v>2.8620689655172415</v>
      </c>
      <c r="U50" s="45">
        <v>12450</v>
      </c>
      <c r="V50" s="45">
        <f t="shared" si="12"/>
        <v>4357500</v>
      </c>
      <c r="W50" s="45">
        <f t="shared" si="13"/>
        <v>175</v>
      </c>
      <c r="X50" s="45">
        <f t="shared" si="14"/>
        <v>8.5862068965517242</v>
      </c>
      <c r="Y50" s="45">
        <v>20750</v>
      </c>
      <c r="Z50" s="45">
        <f t="shared" si="15"/>
        <v>7262500</v>
      </c>
      <c r="AA50" s="45">
        <v>117</v>
      </c>
      <c r="AB50" s="45">
        <f t="shared" si="16"/>
        <v>14.310344827586206</v>
      </c>
      <c r="AC50" s="45"/>
      <c r="AD50" s="45"/>
      <c r="AE50" s="45"/>
      <c r="AF50" s="45"/>
      <c r="AG50" s="45"/>
      <c r="AH50" s="45"/>
    </row>
    <row r="51" spans="1:34">
      <c r="A51" s="41" t="s">
        <v>164</v>
      </c>
      <c r="B51" s="79">
        <v>46</v>
      </c>
      <c r="C51" s="79">
        <v>4</v>
      </c>
      <c r="D51" s="79" t="s">
        <v>203</v>
      </c>
      <c r="E51" s="79">
        <v>350</v>
      </c>
      <c r="F51" s="79">
        <v>6700</v>
      </c>
      <c r="G51" s="84">
        <v>35</v>
      </c>
      <c r="H51" s="85">
        <f t="shared" si="5"/>
        <v>0.1</v>
      </c>
      <c r="I51" s="79">
        <f t="shared" si="8"/>
        <v>4.6206896551724137</v>
      </c>
      <c r="J51" s="86">
        <f t="shared" si="6"/>
        <v>234500</v>
      </c>
      <c r="K51" s="79">
        <v>1450</v>
      </c>
      <c r="L51" s="79">
        <f t="shared" si="2"/>
        <v>507500</v>
      </c>
      <c r="M51" s="45"/>
      <c r="N51" s="45"/>
      <c r="O51" s="45"/>
      <c r="P51" s="45"/>
      <c r="Q51" s="45">
        <v>4150</v>
      </c>
      <c r="R51" s="45">
        <f t="shared" si="9"/>
        <v>1452500</v>
      </c>
      <c r="S51" s="45">
        <f t="shared" si="10"/>
        <v>350</v>
      </c>
      <c r="T51" s="45">
        <f t="shared" si="11"/>
        <v>2.8620689655172415</v>
      </c>
      <c r="U51" s="45">
        <v>12450</v>
      </c>
      <c r="V51" s="45">
        <f t="shared" si="12"/>
        <v>4357500</v>
      </c>
      <c r="W51" s="45">
        <f t="shared" si="13"/>
        <v>175</v>
      </c>
      <c r="X51" s="45">
        <f t="shared" si="14"/>
        <v>8.5862068965517242</v>
      </c>
      <c r="Y51" s="45">
        <v>20750</v>
      </c>
      <c r="Z51" s="45">
        <f t="shared" si="15"/>
        <v>7262500</v>
      </c>
      <c r="AA51" s="45">
        <v>117</v>
      </c>
      <c r="AB51" s="45">
        <f t="shared" si="16"/>
        <v>14.310344827586206</v>
      </c>
      <c r="AC51" s="45"/>
      <c r="AD51" s="45"/>
      <c r="AE51" s="45"/>
      <c r="AF51" s="45"/>
      <c r="AG51" s="45"/>
      <c r="AH51" s="45"/>
    </row>
    <row r="52" spans="1:34">
      <c r="A52" s="41" t="s">
        <v>165</v>
      </c>
      <c r="B52" s="79">
        <v>50</v>
      </c>
      <c r="C52" s="79">
        <v>4</v>
      </c>
      <c r="D52" s="79" t="s">
        <v>203</v>
      </c>
      <c r="E52" s="79">
        <v>650</v>
      </c>
      <c r="F52" s="79">
        <v>7200</v>
      </c>
      <c r="G52" s="84">
        <v>65</v>
      </c>
      <c r="H52" s="85">
        <f t="shared" si="5"/>
        <v>0.1</v>
      </c>
      <c r="I52" s="79">
        <f t="shared" si="8"/>
        <v>4.5</v>
      </c>
      <c r="J52" s="86">
        <f t="shared" si="6"/>
        <v>468000</v>
      </c>
      <c r="K52" s="79">
        <v>1600</v>
      </c>
      <c r="L52" s="79">
        <f t="shared" si="2"/>
        <v>1040000</v>
      </c>
      <c r="M52" s="45"/>
      <c r="N52" s="45"/>
      <c r="O52" s="45"/>
      <c r="P52" s="45"/>
      <c r="Q52" s="45">
        <v>4450</v>
      </c>
      <c r="R52" s="45">
        <f t="shared" si="9"/>
        <v>2892500</v>
      </c>
      <c r="S52" s="45">
        <f t="shared" si="10"/>
        <v>650</v>
      </c>
      <c r="T52" s="45">
        <f t="shared" si="11"/>
        <v>2.78125</v>
      </c>
      <c r="U52" s="45">
        <v>13350</v>
      </c>
      <c r="V52" s="45">
        <f t="shared" si="12"/>
        <v>8677500</v>
      </c>
      <c r="W52" s="45">
        <f t="shared" si="13"/>
        <v>325</v>
      </c>
      <c r="X52" s="45">
        <f t="shared" si="14"/>
        <v>8.34375</v>
      </c>
      <c r="Y52" s="45">
        <v>22250</v>
      </c>
      <c r="Z52" s="45">
        <f t="shared" si="15"/>
        <v>14462500</v>
      </c>
      <c r="AA52" s="45">
        <v>217</v>
      </c>
      <c r="AB52" s="45">
        <f t="shared" si="16"/>
        <v>13.90625</v>
      </c>
      <c r="AC52" s="45"/>
      <c r="AD52" s="45"/>
      <c r="AE52" s="45"/>
      <c r="AF52" s="45"/>
      <c r="AG52" s="45"/>
      <c r="AH52" s="45"/>
    </row>
    <row r="53" spans="1:34">
      <c r="A53" s="41" t="s">
        <v>166</v>
      </c>
      <c r="B53" s="79">
        <v>50</v>
      </c>
      <c r="C53" s="79">
        <v>4</v>
      </c>
      <c r="D53" s="79" t="s">
        <v>203</v>
      </c>
      <c r="E53" s="79">
        <v>650</v>
      </c>
      <c r="F53" s="79">
        <v>7200</v>
      </c>
      <c r="G53" s="84">
        <v>65</v>
      </c>
      <c r="H53" s="85">
        <f t="shared" si="5"/>
        <v>0.1</v>
      </c>
      <c r="I53" s="79">
        <f t="shared" si="8"/>
        <v>4.5</v>
      </c>
      <c r="J53" s="86">
        <f t="shared" si="6"/>
        <v>468000</v>
      </c>
      <c r="K53" s="79">
        <v>1600</v>
      </c>
      <c r="L53" s="79">
        <f t="shared" si="2"/>
        <v>1040000</v>
      </c>
      <c r="M53" s="45"/>
      <c r="N53" s="45"/>
      <c r="O53" s="45"/>
      <c r="P53" s="45"/>
      <c r="Q53" s="45">
        <v>4450</v>
      </c>
      <c r="R53" s="45">
        <f t="shared" si="9"/>
        <v>2892500</v>
      </c>
      <c r="S53" s="45">
        <f t="shared" si="10"/>
        <v>650</v>
      </c>
      <c r="T53" s="45">
        <f t="shared" si="11"/>
        <v>2.78125</v>
      </c>
      <c r="U53" s="45">
        <v>13350</v>
      </c>
      <c r="V53" s="45">
        <f t="shared" si="12"/>
        <v>8677500</v>
      </c>
      <c r="W53" s="45">
        <f t="shared" si="13"/>
        <v>325</v>
      </c>
      <c r="X53" s="45">
        <f t="shared" si="14"/>
        <v>8.34375</v>
      </c>
      <c r="Y53" s="45">
        <v>22250</v>
      </c>
      <c r="Z53" s="45">
        <f t="shared" si="15"/>
        <v>14462500</v>
      </c>
      <c r="AA53" s="45">
        <v>217</v>
      </c>
      <c r="AB53" s="45">
        <f t="shared" si="16"/>
        <v>13.90625</v>
      </c>
      <c r="AC53" s="45"/>
      <c r="AD53" s="45"/>
      <c r="AE53" s="45"/>
      <c r="AF53" s="45"/>
      <c r="AG53" s="45"/>
      <c r="AH53" s="45"/>
    </row>
    <row r="54" spans="1:34">
      <c r="A54" s="41" t="s">
        <v>167</v>
      </c>
      <c r="B54" s="79">
        <v>50</v>
      </c>
      <c r="C54" s="79">
        <v>4</v>
      </c>
      <c r="D54" s="79" t="s">
        <v>203</v>
      </c>
      <c r="E54" s="79">
        <v>650</v>
      </c>
      <c r="F54" s="79">
        <v>7200</v>
      </c>
      <c r="G54" s="84">
        <v>65</v>
      </c>
      <c r="H54" s="85">
        <f t="shared" si="5"/>
        <v>0.1</v>
      </c>
      <c r="I54" s="79">
        <f t="shared" si="8"/>
        <v>4.5</v>
      </c>
      <c r="J54" s="86">
        <f t="shared" si="6"/>
        <v>468000</v>
      </c>
      <c r="K54" s="79">
        <v>1600</v>
      </c>
      <c r="L54" s="79">
        <f t="shared" si="2"/>
        <v>1040000</v>
      </c>
      <c r="M54" s="45"/>
      <c r="N54" s="45"/>
      <c r="O54" s="45"/>
      <c r="P54" s="45"/>
      <c r="Q54" s="45">
        <v>4450</v>
      </c>
      <c r="R54" s="45">
        <f t="shared" si="9"/>
        <v>2892500</v>
      </c>
      <c r="S54" s="45">
        <f t="shared" si="10"/>
        <v>650</v>
      </c>
      <c r="T54" s="45">
        <f t="shared" si="11"/>
        <v>2.78125</v>
      </c>
      <c r="U54" s="45">
        <v>13350</v>
      </c>
      <c r="V54" s="45">
        <f t="shared" si="12"/>
        <v>8677500</v>
      </c>
      <c r="W54" s="45">
        <f t="shared" si="13"/>
        <v>325</v>
      </c>
      <c r="X54" s="45">
        <f t="shared" si="14"/>
        <v>8.34375</v>
      </c>
      <c r="Y54" s="45">
        <v>22250</v>
      </c>
      <c r="Z54" s="45">
        <f t="shared" si="15"/>
        <v>14462500</v>
      </c>
      <c r="AA54" s="45">
        <v>217</v>
      </c>
      <c r="AB54" s="45">
        <f t="shared" si="16"/>
        <v>13.90625</v>
      </c>
      <c r="AC54" s="45"/>
      <c r="AD54" s="45"/>
      <c r="AE54" s="45"/>
      <c r="AF54" s="45"/>
      <c r="AG54" s="45"/>
      <c r="AH54" s="45"/>
    </row>
    <row r="55" spans="1:34">
      <c r="A55" s="41" t="s">
        <v>169</v>
      </c>
      <c r="B55" s="79">
        <v>53</v>
      </c>
      <c r="C55" s="79">
        <v>5</v>
      </c>
      <c r="D55" s="79" t="s">
        <v>203</v>
      </c>
      <c r="E55" s="79">
        <v>150</v>
      </c>
      <c r="F55" s="79">
        <v>9500</v>
      </c>
      <c r="G55" s="84">
        <v>15</v>
      </c>
      <c r="H55" s="85">
        <f t="shared" si="5"/>
        <v>0.1</v>
      </c>
      <c r="I55" s="79">
        <f t="shared" si="8"/>
        <v>3.1666666666666665</v>
      </c>
      <c r="J55" s="86">
        <f t="shared" si="6"/>
        <v>142500</v>
      </c>
      <c r="K55" s="79">
        <v>3000</v>
      </c>
      <c r="L55" s="79">
        <f t="shared" si="2"/>
        <v>450000</v>
      </c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</row>
    <row r="56" spans="1:34">
      <c r="A56" s="41" t="s">
        <v>170</v>
      </c>
      <c r="B56" s="79">
        <v>53</v>
      </c>
      <c r="C56" s="79">
        <v>5</v>
      </c>
      <c r="D56" s="79" t="s">
        <v>203</v>
      </c>
      <c r="E56" s="79">
        <v>150</v>
      </c>
      <c r="F56" s="79">
        <v>9500</v>
      </c>
      <c r="G56" s="84">
        <v>15</v>
      </c>
      <c r="H56" s="85">
        <f t="shared" si="5"/>
        <v>0.1</v>
      </c>
      <c r="I56" s="79">
        <f t="shared" si="8"/>
        <v>3.1666666666666665</v>
      </c>
      <c r="J56" s="86">
        <f t="shared" si="6"/>
        <v>142500</v>
      </c>
      <c r="K56" s="79">
        <v>3000</v>
      </c>
      <c r="L56" s="79">
        <f t="shared" si="2"/>
        <v>450000</v>
      </c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</row>
    <row r="57" spans="1:34">
      <c r="A57" s="41" t="s">
        <v>171</v>
      </c>
      <c r="B57" s="79">
        <v>53</v>
      </c>
      <c r="C57" s="79">
        <v>5</v>
      </c>
      <c r="D57" s="79" t="s">
        <v>203</v>
      </c>
      <c r="E57" s="79">
        <v>150</v>
      </c>
      <c r="F57" s="79">
        <v>9500</v>
      </c>
      <c r="G57" s="84">
        <v>15</v>
      </c>
      <c r="H57" s="85">
        <f t="shared" si="5"/>
        <v>0.1</v>
      </c>
      <c r="I57" s="79">
        <f t="shared" si="8"/>
        <v>3.1666666666666665</v>
      </c>
      <c r="J57" s="86">
        <f t="shared" si="6"/>
        <v>142500</v>
      </c>
      <c r="K57" s="79">
        <v>3000</v>
      </c>
      <c r="L57" s="79">
        <f t="shared" si="2"/>
        <v>450000</v>
      </c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</row>
    <row r="58" spans="1:34">
      <c r="A58" s="41" t="s">
        <v>172</v>
      </c>
      <c r="B58" s="79">
        <v>56</v>
      </c>
      <c r="C58" s="79">
        <v>5</v>
      </c>
      <c r="D58" s="79" t="s">
        <v>203</v>
      </c>
      <c r="E58" s="79">
        <v>350</v>
      </c>
      <c r="F58" s="79">
        <v>9000</v>
      </c>
      <c r="G58" s="84">
        <v>35</v>
      </c>
      <c r="H58" s="85">
        <f t="shared" si="5"/>
        <v>0.1</v>
      </c>
      <c r="I58" s="79">
        <f t="shared" si="8"/>
        <v>3</v>
      </c>
      <c r="J58" s="86">
        <f t="shared" si="6"/>
        <v>315000</v>
      </c>
      <c r="K58" s="79">
        <v>3000</v>
      </c>
      <c r="L58" s="79">
        <f t="shared" si="2"/>
        <v>1050000</v>
      </c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</row>
    <row r="59" spans="1:34">
      <c r="A59" s="41" t="s">
        <v>205</v>
      </c>
      <c r="B59" s="79">
        <v>56</v>
      </c>
      <c r="C59" s="79">
        <v>5</v>
      </c>
      <c r="D59" s="79" t="s">
        <v>203</v>
      </c>
      <c r="E59" s="79">
        <v>350</v>
      </c>
      <c r="F59" s="79">
        <v>9000</v>
      </c>
      <c r="G59" s="84">
        <v>35</v>
      </c>
      <c r="H59" s="85">
        <f t="shared" si="5"/>
        <v>0.1</v>
      </c>
      <c r="I59" s="79">
        <f t="shared" si="8"/>
        <v>3</v>
      </c>
      <c r="J59" s="86">
        <f t="shared" si="6"/>
        <v>315000</v>
      </c>
      <c r="K59" s="79">
        <v>3000</v>
      </c>
      <c r="L59" s="79">
        <f t="shared" si="2"/>
        <v>1050000</v>
      </c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</row>
    <row r="60" spans="1:34">
      <c r="A60" s="41" t="s">
        <v>174</v>
      </c>
      <c r="B60" s="79">
        <v>56</v>
      </c>
      <c r="C60" s="79">
        <v>5</v>
      </c>
      <c r="D60" s="79" t="s">
        <v>203</v>
      </c>
      <c r="E60" s="79">
        <v>350</v>
      </c>
      <c r="F60" s="79">
        <v>9000</v>
      </c>
      <c r="G60" s="84">
        <v>35</v>
      </c>
      <c r="H60" s="85">
        <f t="shared" si="5"/>
        <v>0.1</v>
      </c>
      <c r="I60" s="79">
        <f t="shared" si="8"/>
        <v>3</v>
      </c>
      <c r="J60" s="86">
        <f t="shared" si="6"/>
        <v>315000</v>
      </c>
      <c r="K60" s="79">
        <v>3000</v>
      </c>
      <c r="L60" s="79">
        <f t="shared" si="2"/>
        <v>1050000</v>
      </c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</row>
    <row r="61" spans="1:34">
      <c r="A61" s="41" t="s">
        <v>175</v>
      </c>
      <c r="B61" s="79">
        <v>58</v>
      </c>
      <c r="C61" s="79">
        <v>5</v>
      </c>
      <c r="D61" s="79" t="s">
        <v>203</v>
      </c>
      <c r="E61" s="79">
        <v>350</v>
      </c>
      <c r="F61" s="79"/>
      <c r="G61" s="84"/>
      <c r="H61" s="85"/>
      <c r="I61" s="79">
        <f t="shared" si="8"/>
        <v>0</v>
      </c>
      <c r="J61" s="86"/>
      <c r="K61" s="79">
        <v>3000</v>
      </c>
      <c r="L61" s="79">
        <f t="shared" si="2"/>
        <v>1050000</v>
      </c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</row>
    <row r="62" spans="1:34">
      <c r="A62" s="41" t="s">
        <v>176</v>
      </c>
      <c r="B62" s="79">
        <v>58</v>
      </c>
      <c r="C62" s="79">
        <v>5</v>
      </c>
      <c r="D62" s="79" t="s">
        <v>203</v>
      </c>
      <c r="E62" s="79">
        <v>350</v>
      </c>
      <c r="F62" s="79"/>
      <c r="G62" s="84"/>
      <c r="H62" s="85"/>
      <c r="I62" s="79">
        <f t="shared" si="8"/>
        <v>0</v>
      </c>
      <c r="J62" s="86"/>
      <c r="K62" s="79">
        <v>3000</v>
      </c>
      <c r="L62" s="79">
        <f t="shared" si="2"/>
        <v>1050000</v>
      </c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</row>
    <row r="63" spans="1:34">
      <c r="A63" s="41" t="s">
        <v>177</v>
      </c>
      <c r="B63" s="79">
        <v>58</v>
      </c>
      <c r="C63" s="79">
        <v>5</v>
      </c>
      <c r="D63" s="79" t="s">
        <v>203</v>
      </c>
      <c r="E63" s="79">
        <v>350</v>
      </c>
      <c r="F63" s="79"/>
      <c r="G63" s="84"/>
      <c r="H63" s="85"/>
      <c r="I63" s="79">
        <f t="shared" si="8"/>
        <v>0</v>
      </c>
      <c r="J63" s="86"/>
      <c r="K63" s="79">
        <v>3000</v>
      </c>
      <c r="L63" s="79">
        <f t="shared" si="2"/>
        <v>1050000</v>
      </c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</row>
    <row r="64" spans="1:34">
      <c r="A64" s="41" t="s">
        <v>178</v>
      </c>
      <c r="B64" s="79">
        <v>60</v>
      </c>
      <c r="C64" s="79">
        <v>5</v>
      </c>
      <c r="D64" s="79" t="s">
        <v>203</v>
      </c>
      <c r="E64" s="79">
        <v>650</v>
      </c>
      <c r="F64" s="79"/>
      <c r="G64" s="84"/>
      <c r="H64" s="85"/>
      <c r="I64" s="79">
        <f t="shared" si="8"/>
        <v>0</v>
      </c>
      <c r="J64" s="86"/>
      <c r="K64" s="79">
        <v>3000</v>
      </c>
      <c r="L64" s="79">
        <f t="shared" si="2"/>
        <v>1950000</v>
      </c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</row>
    <row r="65" spans="1:34">
      <c r="A65" s="41" t="s">
        <v>179</v>
      </c>
      <c r="B65" s="79">
        <v>60</v>
      </c>
      <c r="C65" s="79">
        <v>5</v>
      </c>
      <c r="D65" s="79" t="s">
        <v>203</v>
      </c>
      <c r="E65" s="79">
        <v>650</v>
      </c>
      <c r="F65" s="79"/>
      <c r="G65" s="84"/>
      <c r="H65" s="85"/>
      <c r="I65" s="79">
        <f t="shared" si="8"/>
        <v>0</v>
      </c>
      <c r="J65" s="86"/>
      <c r="K65" s="79">
        <v>3000</v>
      </c>
      <c r="L65" s="79">
        <f t="shared" si="2"/>
        <v>1950000</v>
      </c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</row>
    <row r="66" spans="1:34">
      <c r="A66" s="41" t="s">
        <v>180</v>
      </c>
      <c r="B66" s="79">
        <v>60</v>
      </c>
      <c r="C66" s="79">
        <v>5</v>
      </c>
      <c r="D66" s="79" t="s">
        <v>203</v>
      </c>
      <c r="E66" s="79">
        <v>650</v>
      </c>
      <c r="F66" s="79"/>
      <c r="G66" s="84"/>
      <c r="H66" s="85"/>
      <c r="I66" s="79">
        <f t="shared" si="8"/>
        <v>0</v>
      </c>
      <c r="J66" s="86"/>
      <c r="K66" s="79">
        <v>3000</v>
      </c>
      <c r="L66" s="79">
        <f t="shared" si="2"/>
        <v>1950000</v>
      </c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</row>
    <row r="67" spans="1:34">
      <c r="A67" s="79" t="s">
        <v>32</v>
      </c>
      <c r="B67" s="79">
        <v>1</v>
      </c>
      <c r="C67" s="79">
        <v>1</v>
      </c>
      <c r="D67" s="79" t="s">
        <v>206</v>
      </c>
      <c r="E67" s="79">
        <v>10</v>
      </c>
      <c r="F67" s="79"/>
      <c r="G67" s="84"/>
      <c r="H67" s="85"/>
      <c r="I67" s="79"/>
      <c r="J67" s="86"/>
      <c r="K67" s="79"/>
      <c r="L67" s="79">
        <f t="shared" si="2"/>
        <v>0</v>
      </c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</row>
    <row r="68" spans="1:34">
      <c r="A68" s="79" t="s">
        <v>39</v>
      </c>
      <c r="B68" s="79">
        <v>5</v>
      </c>
      <c r="C68" s="79">
        <v>1</v>
      </c>
      <c r="D68" s="79" t="s">
        <v>206</v>
      </c>
      <c r="E68" s="79">
        <v>15</v>
      </c>
      <c r="F68" s="79"/>
      <c r="G68" s="84"/>
      <c r="H68" s="85"/>
      <c r="I68" s="79"/>
      <c r="J68" s="86"/>
      <c r="K68" s="79"/>
      <c r="L68" s="79">
        <f t="shared" si="2"/>
        <v>0</v>
      </c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</row>
    <row r="69" spans="1:34">
      <c r="A69" s="79" t="s">
        <v>41</v>
      </c>
      <c r="B69" s="79">
        <v>7</v>
      </c>
      <c r="C69" s="79">
        <v>1</v>
      </c>
      <c r="D69" s="79" t="s">
        <v>206</v>
      </c>
      <c r="E69" s="79">
        <v>10</v>
      </c>
      <c r="F69" s="79"/>
      <c r="G69" s="84"/>
      <c r="H69" s="85"/>
      <c r="I69" s="79"/>
      <c r="J69" s="86"/>
      <c r="K69" s="79"/>
      <c r="L69" s="79">
        <f t="shared" si="2"/>
        <v>0</v>
      </c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</row>
    <row r="70" spans="1:34">
      <c r="A70" s="79" t="s">
        <v>43</v>
      </c>
      <c r="B70" s="79">
        <v>10</v>
      </c>
      <c r="C70" s="79">
        <v>2</v>
      </c>
      <c r="D70" s="79" t="s">
        <v>206</v>
      </c>
      <c r="E70" s="79">
        <v>30</v>
      </c>
      <c r="F70" s="79"/>
      <c r="G70" s="84"/>
      <c r="H70" s="85"/>
      <c r="I70" s="79"/>
      <c r="J70" s="86"/>
      <c r="K70" s="79"/>
      <c r="L70" s="79">
        <f t="shared" si="2"/>
        <v>0</v>
      </c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</row>
    <row r="71" spans="1:34">
      <c r="A71" s="79" t="s">
        <v>45</v>
      </c>
      <c r="B71" s="79">
        <v>12</v>
      </c>
      <c r="C71" s="79">
        <v>2</v>
      </c>
      <c r="D71" s="79" t="s">
        <v>206</v>
      </c>
      <c r="E71" s="79">
        <v>35</v>
      </c>
      <c r="F71" s="79"/>
      <c r="G71" s="84"/>
      <c r="H71" s="85"/>
      <c r="I71" s="79"/>
      <c r="J71" s="86"/>
      <c r="K71" s="79"/>
      <c r="L71" s="79">
        <f t="shared" si="2"/>
        <v>0</v>
      </c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</row>
    <row r="72" spans="1:34">
      <c r="A72" s="79" t="s">
        <v>51</v>
      </c>
      <c r="B72" s="79">
        <v>14</v>
      </c>
      <c r="C72" s="79">
        <v>2</v>
      </c>
      <c r="D72" s="79" t="s">
        <v>206</v>
      </c>
      <c r="E72" s="79">
        <v>40</v>
      </c>
      <c r="F72" s="79"/>
      <c r="G72" s="84"/>
      <c r="H72" s="85"/>
      <c r="I72" s="79"/>
      <c r="J72" s="86"/>
      <c r="K72" s="79"/>
      <c r="L72" s="79">
        <f t="shared" si="2"/>
        <v>0</v>
      </c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</row>
    <row r="73" spans="1:34">
      <c r="A73" s="79" t="s">
        <v>56</v>
      </c>
      <c r="B73" s="79">
        <v>16</v>
      </c>
      <c r="C73" s="79">
        <v>2</v>
      </c>
      <c r="D73" s="79" t="s">
        <v>206</v>
      </c>
      <c r="E73" s="79">
        <v>30</v>
      </c>
      <c r="F73" s="79"/>
      <c r="G73" s="84"/>
      <c r="H73" s="85"/>
      <c r="I73" s="79"/>
      <c r="J73" s="86"/>
      <c r="K73" s="79"/>
      <c r="L73" s="79">
        <f t="shared" si="2"/>
        <v>0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</row>
    <row r="74" spans="1:34">
      <c r="A74" s="79" t="s">
        <v>65</v>
      </c>
      <c r="B74" s="79">
        <v>20</v>
      </c>
      <c r="C74" s="79">
        <v>3</v>
      </c>
      <c r="D74" s="79" t="s">
        <v>206</v>
      </c>
      <c r="E74" s="79">
        <v>40</v>
      </c>
      <c r="F74" s="79"/>
      <c r="G74" s="84"/>
      <c r="H74" s="85"/>
      <c r="I74" s="79"/>
      <c r="J74" s="86"/>
      <c r="K74" s="79"/>
      <c r="L74" s="79">
        <f t="shared" si="2"/>
        <v>0</v>
      </c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</row>
    <row r="75" spans="1:34">
      <c r="A75" s="79" t="s">
        <v>73</v>
      </c>
      <c r="B75" s="79">
        <v>22</v>
      </c>
      <c r="C75" s="79">
        <v>3</v>
      </c>
      <c r="D75" s="79" t="s">
        <v>206</v>
      </c>
      <c r="E75" s="79">
        <v>50</v>
      </c>
      <c r="F75" s="79"/>
      <c r="G75" s="84"/>
      <c r="H75" s="85"/>
      <c r="I75" s="79"/>
      <c r="J75" s="86"/>
      <c r="K75" s="79"/>
      <c r="L75" s="79">
        <f t="shared" si="2"/>
        <v>0</v>
      </c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</row>
    <row r="76" spans="1:34">
      <c r="A76" s="79" t="s">
        <v>77</v>
      </c>
      <c r="B76" s="79">
        <v>24</v>
      </c>
      <c r="C76" s="79">
        <v>3</v>
      </c>
      <c r="D76" s="79" t="s">
        <v>206</v>
      </c>
      <c r="E76" s="79">
        <v>60</v>
      </c>
      <c r="F76" s="79"/>
      <c r="G76" s="84"/>
      <c r="H76" s="85"/>
      <c r="I76" s="79"/>
      <c r="J76" s="86"/>
      <c r="K76" s="79"/>
      <c r="L76" s="79">
        <f t="shared" si="2"/>
        <v>0</v>
      </c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</row>
    <row r="77" spans="1:34">
      <c r="A77" s="79" t="s">
        <v>83</v>
      </c>
      <c r="B77" s="79">
        <v>26</v>
      </c>
      <c r="C77" s="79">
        <v>3</v>
      </c>
      <c r="D77" s="79" t="s">
        <v>206</v>
      </c>
      <c r="E77" s="79">
        <v>40</v>
      </c>
      <c r="F77" s="79"/>
      <c r="G77" s="84"/>
      <c r="H77" s="85"/>
      <c r="I77" s="79"/>
      <c r="J77" s="86"/>
      <c r="K77" s="79"/>
      <c r="L77" s="79">
        <f t="shared" si="2"/>
        <v>0</v>
      </c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</row>
    <row r="78" spans="1:34">
      <c r="A78" s="79" t="s">
        <v>168</v>
      </c>
      <c r="B78" s="79">
        <v>52</v>
      </c>
      <c r="C78" s="79">
        <v>5</v>
      </c>
      <c r="D78" s="79" t="s">
        <v>206</v>
      </c>
      <c r="E78" s="79">
        <v>150</v>
      </c>
      <c r="F78" s="79"/>
      <c r="G78" s="84"/>
      <c r="H78" s="85"/>
      <c r="I78" s="79"/>
      <c r="J78" s="86"/>
      <c r="K78" s="79">
        <v>3000</v>
      </c>
      <c r="L78" s="79">
        <f t="shared" si="2"/>
        <v>450000</v>
      </c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</row>
  </sheetData>
  <autoFilter ref="A3:AA78" xr:uid="{00000000-0009-0000-0000-000002000000}">
    <sortState xmlns:xlrd2="http://schemas.microsoft.com/office/spreadsheetml/2017/richdata2" ref="A3:AA78">
      <sortCondition descending="1" ref="D3:D78"/>
    </sortState>
  </autoFilter>
  <mergeCells count="3">
    <mergeCell ref="F2:J2"/>
    <mergeCell ref="K2:L2"/>
    <mergeCell ref="M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Impulse Calculator</vt:lpstr>
      <vt:lpstr>All Ships filtered</vt:lpstr>
      <vt:lpstr>Ship BP 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Pham</dc:creator>
  <cp:lastModifiedBy>Kapinos, Tony</cp:lastModifiedBy>
  <dcterms:created xsi:type="dcterms:W3CDTF">2023-08-31T10:29:42Z</dcterms:created>
  <dcterms:modified xsi:type="dcterms:W3CDTF">2025-02-07T02:12:05Z</dcterms:modified>
</cp:coreProperties>
</file>