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peed\OneDrive\Desktop\STFC\"/>
    </mc:Choice>
  </mc:AlternateContent>
  <xr:revisionPtr revIDLastSave="0" documentId="8_{44CF3F84-D7DB-46AB-B89C-C8B92F46A885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Grind Calculator" sheetId="1" r:id="rId1"/>
    <sheet name="Mantis Benefit by Tier" sheetId="2" r:id="rId2"/>
    <sheet name="All Mantis Researches" sheetId="3" r:id="rId3"/>
    <sheet name="Copy of Mantis Benefit by Tier" sheetId="4" state="hidden" r:id="rId4"/>
    <sheet name="Mantis Cargo" sheetId="5" state="hidden" r:id="rId5"/>
    <sheet name="Actian Hostile Loot" sheetId="6" r:id="rId6"/>
    <sheet name="Old Mantis Cargo Charts" sheetId="7" state="hidden" r:id="rId7"/>
    <sheet name="(PRE-BOOST) Mantis Cargo" sheetId="8" state="hidden" r:id="rId8"/>
    <sheet name="(PRE-BOOST) Simple Mantis Cargo" sheetId="9" state="hidden" r:id="rId9"/>
    <sheet name="Sheet10" sheetId="10" r:id="rId10"/>
    <sheet name="(PRE-BOOST) Mantis Benefit by T" sheetId="11" state="hidden" r:id="rId11"/>
  </sheets>
  <definedNames>
    <definedName name="_xlnm._FilterDatabase" localSheetId="2" hidden="1">'All Mantis Researches'!$A$4:$K$137</definedName>
  </definedNames>
  <calcPr calcId="191029"/>
  <fileRecoveryPr repairLoad="1"/>
</workbook>
</file>

<file path=xl/calcChain.xml><?xml version="1.0" encoding="utf-8"?>
<calcChain xmlns="http://schemas.openxmlformats.org/spreadsheetml/2006/main">
  <c r="V35" i="11" l="1"/>
  <c r="U35" i="11"/>
  <c r="I35" i="11"/>
  <c r="H35" i="11"/>
  <c r="W31" i="11"/>
  <c r="V31" i="11"/>
  <c r="U31" i="11"/>
  <c r="T31" i="11"/>
  <c r="S31" i="11"/>
  <c r="R31" i="11"/>
  <c r="Q31" i="11"/>
  <c r="P31" i="11"/>
  <c r="J31" i="11"/>
  <c r="I31" i="11"/>
  <c r="H31" i="11"/>
  <c r="G31" i="11"/>
  <c r="F31" i="11"/>
  <c r="E31" i="11"/>
  <c r="D31" i="11"/>
  <c r="C31" i="11"/>
  <c r="B31" i="11"/>
  <c r="W30" i="11"/>
  <c r="V30" i="11"/>
  <c r="U30" i="11"/>
  <c r="T30" i="11"/>
  <c r="S30" i="11"/>
  <c r="R30" i="11"/>
  <c r="Q30" i="11"/>
  <c r="J30" i="11"/>
  <c r="I30" i="11"/>
  <c r="H30" i="11"/>
  <c r="G30" i="11"/>
  <c r="F30" i="11"/>
  <c r="E30" i="11"/>
  <c r="D30" i="11"/>
  <c r="W29" i="11"/>
  <c r="V29" i="11"/>
  <c r="U29" i="11"/>
  <c r="T29" i="11"/>
  <c r="S29" i="11"/>
  <c r="R29" i="11"/>
  <c r="Q29" i="11"/>
  <c r="J29" i="11"/>
  <c r="I29" i="11"/>
  <c r="H29" i="11"/>
  <c r="G29" i="11"/>
  <c r="F29" i="11"/>
  <c r="E29" i="11"/>
  <c r="D29" i="11"/>
  <c r="W28" i="11"/>
  <c r="V28" i="11"/>
  <c r="U28" i="11"/>
  <c r="T28" i="11"/>
  <c r="S28" i="11"/>
  <c r="R28" i="11"/>
  <c r="Q28" i="11"/>
  <c r="J28" i="11"/>
  <c r="I28" i="11"/>
  <c r="H28" i="11"/>
  <c r="G28" i="11"/>
  <c r="F28" i="11"/>
  <c r="E28" i="11"/>
  <c r="D28" i="11"/>
  <c r="B28" i="11"/>
  <c r="W27" i="11"/>
  <c r="V27" i="11"/>
  <c r="U27" i="11"/>
  <c r="T27" i="11"/>
  <c r="S27" i="11"/>
  <c r="R27" i="11"/>
  <c r="Q27" i="11"/>
  <c r="J27" i="11"/>
  <c r="I27" i="11"/>
  <c r="H27" i="11"/>
  <c r="G27" i="11"/>
  <c r="F27" i="11"/>
  <c r="E27" i="11"/>
  <c r="D27" i="11"/>
  <c r="W26" i="11"/>
  <c r="V26" i="11"/>
  <c r="U26" i="11"/>
  <c r="T26" i="11"/>
  <c r="S26" i="11"/>
  <c r="R26" i="11"/>
  <c r="Q26" i="11"/>
  <c r="J26" i="11"/>
  <c r="I26" i="11"/>
  <c r="H26" i="11"/>
  <c r="G26" i="11"/>
  <c r="F26" i="11"/>
  <c r="E26" i="11"/>
  <c r="D26" i="11"/>
  <c r="B26" i="11"/>
  <c r="W25" i="11"/>
  <c r="V25" i="11"/>
  <c r="U25" i="11"/>
  <c r="T25" i="11"/>
  <c r="S25" i="11"/>
  <c r="R25" i="11"/>
  <c r="Q25" i="11"/>
  <c r="J25" i="11"/>
  <c r="I25" i="11"/>
  <c r="H25" i="11"/>
  <c r="G25" i="11"/>
  <c r="F25" i="11"/>
  <c r="E25" i="11"/>
  <c r="D25" i="11"/>
  <c r="W24" i="11"/>
  <c r="V24" i="11"/>
  <c r="U24" i="11"/>
  <c r="T24" i="11"/>
  <c r="S24" i="11"/>
  <c r="R24" i="11"/>
  <c r="Q24" i="11"/>
  <c r="P24" i="11"/>
  <c r="O24" i="11"/>
  <c r="J24" i="11"/>
  <c r="I24" i="11"/>
  <c r="H24" i="11"/>
  <c r="G24" i="11"/>
  <c r="F24" i="11"/>
  <c r="E24" i="11"/>
  <c r="D24" i="11"/>
  <c r="C24" i="11"/>
  <c r="B24" i="11"/>
  <c r="AB16" i="11"/>
  <c r="Z16" i="11"/>
  <c r="Y16" i="11"/>
  <c r="X16" i="11"/>
  <c r="W16" i="11"/>
  <c r="D16" i="11"/>
  <c r="AB15" i="11"/>
  <c r="Z15" i="11"/>
  <c r="X15" i="11"/>
  <c r="Y15" i="11" s="1"/>
  <c r="W15" i="11"/>
  <c r="D15" i="11"/>
  <c r="X14" i="11"/>
  <c r="Y14" i="11" s="1"/>
  <c r="W14" i="11"/>
  <c r="D14" i="11"/>
  <c r="AB13" i="11"/>
  <c r="Z13" i="11"/>
  <c r="X13" i="11"/>
  <c r="Y13" i="11" s="1"/>
  <c r="W13" i="11"/>
  <c r="D13" i="11"/>
  <c r="X12" i="11"/>
  <c r="W12" i="11"/>
  <c r="D12" i="11"/>
  <c r="O31" i="11" s="1"/>
  <c r="AB11" i="11"/>
  <c r="Z11" i="11"/>
  <c r="X11" i="11"/>
  <c r="Y11" i="11" s="1"/>
  <c r="W11" i="11"/>
  <c r="D11" i="11"/>
  <c r="C30" i="11" s="1"/>
  <c r="X10" i="11"/>
  <c r="Y10" i="11" s="1"/>
  <c r="W10" i="11"/>
  <c r="D10" i="11"/>
  <c r="AB9" i="11"/>
  <c r="Z9" i="11"/>
  <c r="X9" i="11"/>
  <c r="Y9" i="11" s="1"/>
  <c r="W9" i="11"/>
  <c r="D9" i="11"/>
  <c r="C28" i="11" s="1"/>
  <c r="X8" i="11"/>
  <c r="AB8" i="11" s="1"/>
  <c r="W8" i="11"/>
  <c r="D8" i="11"/>
  <c r="AB7" i="11"/>
  <c r="Z7" i="11"/>
  <c r="X7" i="11"/>
  <c r="Y7" i="11" s="1"/>
  <c r="W7" i="11"/>
  <c r="D7" i="11"/>
  <c r="C26" i="11" s="1"/>
  <c r="X6" i="11"/>
  <c r="AB6" i="11" s="1"/>
  <c r="W6" i="11"/>
  <c r="D6" i="11"/>
  <c r="O25" i="11" s="1"/>
  <c r="AB5" i="11"/>
  <c r="Z5" i="11"/>
  <c r="X5" i="11"/>
  <c r="Y5" i="11" s="1"/>
  <c r="W5" i="11"/>
  <c r="V29" i="9"/>
  <c r="D29" i="9"/>
  <c r="AM28" i="9"/>
  <c r="AL28" i="9"/>
  <c r="AK28" i="9"/>
  <c r="AJ28" i="9"/>
  <c r="AI28" i="9"/>
  <c r="AD28" i="9"/>
  <c r="V27" i="9" s="1"/>
  <c r="AC28" i="9"/>
  <c r="U27" i="9" s="1"/>
  <c r="Q28" i="9"/>
  <c r="P28" i="9"/>
  <c r="O28" i="9"/>
  <c r="N28" i="9"/>
  <c r="M28" i="9"/>
  <c r="L28" i="9"/>
  <c r="K28" i="9"/>
  <c r="AA27" i="9"/>
  <c r="Z27" i="9"/>
  <c r="Y27" i="9"/>
  <c r="X27" i="9"/>
  <c r="X29" i="9" s="1"/>
  <c r="W27" i="9"/>
  <c r="W29" i="9" s="1"/>
  <c r="I27" i="9"/>
  <c r="H27" i="9"/>
  <c r="G27" i="9"/>
  <c r="F27" i="9"/>
  <c r="E27" i="9"/>
  <c r="D27" i="9"/>
  <c r="C27" i="9"/>
  <c r="AA25" i="9"/>
  <c r="AA29" i="9" s="1"/>
  <c r="Z25" i="9"/>
  <c r="Z29" i="9" s="1"/>
  <c r="Y25" i="9"/>
  <c r="Y29" i="9" s="1"/>
  <c r="X25" i="9"/>
  <c r="W25" i="9"/>
  <c r="V25" i="9"/>
  <c r="U25" i="9"/>
  <c r="U29" i="9" s="1"/>
  <c r="U10" i="9" s="1"/>
  <c r="I25" i="9"/>
  <c r="I29" i="9" s="1"/>
  <c r="I5" i="9" s="1"/>
  <c r="H25" i="9"/>
  <c r="H29" i="9" s="1"/>
  <c r="G25" i="9"/>
  <c r="F25" i="9"/>
  <c r="E25" i="9"/>
  <c r="E29" i="9" s="1"/>
  <c r="D25" i="9"/>
  <c r="C25" i="9"/>
  <c r="C29" i="9" s="1"/>
  <c r="AJ15" i="9"/>
  <c r="AK15" i="9" s="1"/>
  <c r="Y15" i="9"/>
  <c r="X15" i="9"/>
  <c r="W15" i="9"/>
  <c r="L15" i="9"/>
  <c r="K15" i="9"/>
  <c r="E15" i="9"/>
  <c r="AK14" i="9"/>
  <c r="AL14" i="9" s="1"/>
  <c r="AJ14" i="9"/>
  <c r="L14" i="9"/>
  <c r="K14" i="9"/>
  <c r="C14" i="9"/>
  <c r="AJ13" i="9"/>
  <c r="AK13" i="9" s="1"/>
  <c r="AL13" i="9" s="1"/>
  <c r="L13" i="9"/>
  <c r="K13" i="9"/>
  <c r="I13" i="9"/>
  <c r="E13" i="9"/>
  <c r="AJ12" i="9"/>
  <c r="AK12" i="9" s="1"/>
  <c r="L12" i="9"/>
  <c r="K12" i="9"/>
  <c r="E12" i="9"/>
  <c r="C12" i="9"/>
  <c r="AL11" i="9"/>
  <c r="AJ11" i="9"/>
  <c r="AK11" i="9" s="1"/>
  <c r="L11" i="9"/>
  <c r="K11" i="9"/>
  <c r="AJ10" i="9"/>
  <c r="AK10" i="9" s="1"/>
  <c r="AL10" i="9" s="1"/>
  <c r="V10" i="9"/>
  <c r="L10" i="9"/>
  <c r="K10" i="9"/>
  <c r="AJ9" i="9"/>
  <c r="AK9" i="9" s="1"/>
  <c r="AL9" i="9" s="1"/>
  <c r="AA9" i="9"/>
  <c r="Z9" i="9"/>
  <c r="L9" i="9"/>
  <c r="K9" i="9"/>
  <c r="E9" i="9"/>
  <c r="AJ8" i="9"/>
  <c r="AK8" i="9" s="1"/>
  <c r="AL8" i="9" s="1"/>
  <c r="L8" i="9"/>
  <c r="K8" i="9"/>
  <c r="J8" i="9"/>
  <c r="I8" i="9"/>
  <c r="E8" i="9"/>
  <c r="AJ7" i="9"/>
  <c r="AK7" i="9" s="1"/>
  <c r="AL7" i="9" s="1"/>
  <c r="L7" i="9"/>
  <c r="K7" i="9"/>
  <c r="E7" i="9"/>
  <c r="J7" i="9" s="1"/>
  <c r="AJ6" i="9"/>
  <c r="AK6" i="9" s="1"/>
  <c r="AL6" i="9" s="1"/>
  <c r="L6" i="9"/>
  <c r="K6" i="9"/>
  <c r="AJ5" i="9"/>
  <c r="AK5" i="9" s="1"/>
  <c r="L5" i="9"/>
  <c r="K5" i="9"/>
  <c r="E5" i="9"/>
  <c r="AJ4" i="9"/>
  <c r="AK4" i="9" s="1"/>
  <c r="AL4" i="9" s="1"/>
  <c r="Z4" i="9"/>
  <c r="Y4" i="9"/>
  <c r="X4" i="9"/>
  <c r="L4" i="9"/>
  <c r="K4" i="9"/>
  <c r="E4" i="9"/>
  <c r="C4" i="9"/>
  <c r="J4" i="9" s="1"/>
  <c r="O27" i="8"/>
  <c r="H26" i="8" s="1"/>
  <c r="N27" i="8"/>
  <c r="G26" i="8" s="1"/>
  <c r="M27" i="8"/>
  <c r="L27" i="8"/>
  <c r="E26" i="8" s="1"/>
  <c r="K27" i="8"/>
  <c r="D26" i="8" s="1"/>
  <c r="J27" i="8"/>
  <c r="C26" i="8" s="1"/>
  <c r="F26" i="8"/>
  <c r="H24" i="8"/>
  <c r="G24" i="8"/>
  <c r="F24" i="8"/>
  <c r="E24" i="8"/>
  <c r="D24" i="8"/>
  <c r="C24" i="8"/>
  <c r="M15" i="8"/>
  <c r="N15" i="8" s="1"/>
  <c r="N14" i="8"/>
  <c r="M14" i="8"/>
  <c r="M13" i="8"/>
  <c r="N13" i="8" s="1"/>
  <c r="N12" i="8"/>
  <c r="M12" i="8"/>
  <c r="K11" i="8"/>
  <c r="M11" i="8" s="1"/>
  <c r="N11" i="8" s="1"/>
  <c r="J11" i="8"/>
  <c r="K10" i="8"/>
  <c r="M10" i="8" s="1"/>
  <c r="N10" i="8" s="1"/>
  <c r="J10" i="8"/>
  <c r="K9" i="8"/>
  <c r="M9" i="8" s="1"/>
  <c r="N9" i="8" s="1"/>
  <c r="J9" i="8"/>
  <c r="K8" i="8"/>
  <c r="M8" i="8" s="1"/>
  <c r="N8" i="8" s="1"/>
  <c r="J8" i="8"/>
  <c r="K7" i="8"/>
  <c r="M7" i="8" s="1"/>
  <c r="N7" i="8" s="1"/>
  <c r="J7" i="8"/>
  <c r="K6" i="8"/>
  <c r="M6" i="8" s="1"/>
  <c r="N6" i="8" s="1"/>
  <c r="J6" i="8"/>
  <c r="K5" i="8"/>
  <c r="M5" i="8" s="1"/>
  <c r="N5" i="8" s="1"/>
  <c r="J5" i="8"/>
  <c r="K4" i="8"/>
  <c r="M4" i="8" s="1"/>
  <c r="N4" i="8" s="1"/>
  <c r="J4" i="8"/>
  <c r="G29" i="7"/>
  <c r="F29" i="7"/>
  <c r="AO28" i="7"/>
  <c r="AN28" i="7"/>
  <c r="AM28" i="7"/>
  <c r="AL28" i="7"/>
  <c r="AK28" i="7"/>
  <c r="Y27" i="7" s="1"/>
  <c r="AF28" i="7"/>
  <c r="X27" i="7" s="1"/>
  <c r="AE28" i="7"/>
  <c r="R28" i="7"/>
  <c r="Q28" i="7"/>
  <c r="P28" i="7"/>
  <c r="H27" i="7" s="1"/>
  <c r="O28" i="7"/>
  <c r="N28" i="7"/>
  <c r="M28" i="7"/>
  <c r="L28" i="7"/>
  <c r="AC27" i="7"/>
  <c r="AB27" i="7"/>
  <c r="AA27" i="7"/>
  <c r="AA29" i="7" s="1"/>
  <c r="AA8" i="7" s="1"/>
  <c r="Z27" i="7"/>
  <c r="Z29" i="7" s="1"/>
  <c r="Z14" i="7" s="1"/>
  <c r="W27" i="7"/>
  <c r="J27" i="7"/>
  <c r="I27" i="7"/>
  <c r="G27" i="7"/>
  <c r="F27" i="7"/>
  <c r="E27" i="7"/>
  <c r="D27" i="7"/>
  <c r="AC25" i="7"/>
  <c r="AC29" i="7" s="1"/>
  <c r="AB25" i="7"/>
  <c r="AB29" i="7" s="1"/>
  <c r="AA25" i="7"/>
  <c r="Z25" i="7"/>
  <c r="Y25" i="7"/>
  <c r="Y29" i="7" s="1"/>
  <c r="X25" i="7"/>
  <c r="X29" i="7" s="1"/>
  <c r="W25" i="7"/>
  <c r="W29" i="7" s="1"/>
  <c r="J25" i="7"/>
  <c r="J29" i="7" s="1"/>
  <c r="I25" i="7"/>
  <c r="H25" i="7"/>
  <c r="G25" i="7"/>
  <c r="F25" i="7"/>
  <c r="E25" i="7"/>
  <c r="E29" i="7" s="1"/>
  <c r="D25" i="7"/>
  <c r="D29" i="7" s="1"/>
  <c r="M16" i="7"/>
  <c r="L16" i="7"/>
  <c r="AL15" i="7"/>
  <c r="AM15" i="7" s="1"/>
  <c r="M15" i="7"/>
  <c r="L15" i="7"/>
  <c r="AL14" i="7"/>
  <c r="AM14" i="7" s="1"/>
  <c r="Y14" i="7"/>
  <c r="M14" i="7"/>
  <c r="L14" i="7"/>
  <c r="AM13" i="7"/>
  <c r="AN13" i="7" s="1"/>
  <c r="AL13" i="7"/>
  <c r="M13" i="7"/>
  <c r="L13" i="7"/>
  <c r="AL12" i="7"/>
  <c r="AM12" i="7" s="1"/>
  <c r="AN12" i="7" s="1"/>
  <c r="X12" i="7"/>
  <c r="W12" i="7"/>
  <c r="M12" i="7"/>
  <c r="L12" i="7"/>
  <c r="AL11" i="7"/>
  <c r="AM11" i="7" s="1"/>
  <c r="AN11" i="7" s="1"/>
  <c r="M11" i="7"/>
  <c r="L11" i="7"/>
  <c r="AL10" i="7"/>
  <c r="AM10" i="7" s="1"/>
  <c r="Y10" i="7"/>
  <c r="M10" i="7"/>
  <c r="L10" i="7"/>
  <c r="AM9" i="7"/>
  <c r="AN9" i="7" s="1"/>
  <c r="AL9" i="7"/>
  <c r="M9" i="7"/>
  <c r="L9" i="7"/>
  <c r="AL8" i="7"/>
  <c r="AM8" i="7" s="1"/>
  <c r="X8" i="7"/>
  <c r="W8" i="7"/>
  <c r="M8" i="7"/>
  <c r="L8" i="7"/>
  <c r="AL7" i="7"/>
  <c r="AM7" i="7" s="1"/>
  <c r="AN7" i="7" s="1"/>
  <c r="M7" i="7"/>
  <c r="L7" i="7"/>
  <c r="AL6" i="7"/>
  <c r="AM6" i="7" s="1"/>
  <c r="Y6" i="7"/>
  <c r="M6" i="7"/>
  <c r="L6" i="7"/>
  <c r="AL5" i="7"/>
  <c r="AM5" i="7" s="1"/>
  <c r="AN5" i="7" s="1"/>
  <c r="M5" i="7"/>
  <c r="L5" i="7"/>
  <c r="AL4" i="7"/>
  <c r="AM4" i="7" s="1"/>
  <c r="AC4" i="7"/>
  <c r="AB4" i="7"/>
  <c r="M4" i="7"/>
  <c r="L4" i="7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B29" i="5"/>
  <c r="F28" i="5"/>
  <c r="F11" i="5" s="1"/>
  <c r="I11" i="5" s="1"/>
  <c r="E28" i="5"/>
  <c r="E15" i="5" s="1"/>
  <c r="O27" i="5"/>
  <c r="H26" i="5" s="1"/>
  <c r="N27" i="5"/>
  <c r="M27" i="5"/>
  <c r="L27" i="5"/>
  <c r="K27" i="5"/>
  <c r="J27" i="5"/>
  <c r="C26" i="5" s="1"/>
  <c r="G26" i="5"/>
  <c r="F26" i="5"/>
  <c r="E26" i="5"/>
  <c r="D26" i="5"/>
  <c r="D28" i="5" s="1"/>
  <c r="H24" i="5"/>
  <c r="H28" i="5" s="1"/>
  <c r="G24" i="5"/>
  <c r="G28" i="5" s="1"/>
  <c r="F24" i="5"/>
  <c r="E24" i="5"/>
  <c r="D24" i="5"/>
  <c r="C24" i="5"/>
  <c r="M15" i="5"/>
  <c r="N15" i="5" s="1"/>
  <c r="F15" i="5"/>
  <c r="M14" i="5"/>
  <c r="N14" i="5" s="1"/>
  <c r="N13" i="5"/>
  <c r="M13" i="5"/>
  <c r="M12" i="5"/>
  <c r="N12" i="5" s="1"/>
  <c r="K11" i="5"/>
  <c r="M11" i="5" s="1"/>
  <c r="N11" i="5" s="1"/>
  <c r="J11" i="5"/>
  <c r="G11" i="5"/>
  <c r="K10" i="5"/>
  <c r="M10" i="5" s="1"/>
  <c r="N10" i="5" s="1"/>
  <c r="J10" i="5"/>
  <c r="G10" i="5"/>
  <c r="F10" i="5"/>
  <c r="I10" i="5" s="1"/>
  <c r="K9" i="5"/>
  <c r="M9" i="5" s="1"/>
  <c r="N9" i="5" s="1"/>
  <c r="J9" i="5"/>
  <c r="G9" i="5"/>
  <c r="F9" i="5"/>
  <c r="I9" i="5" s="1"/>
  <c r="K8" i="5"/>
  <c r="M8" i="5" s="1"/>
  <c r="N8" i="5" s="1"/>
  <c r="J8" i="5"/>
  <c r="F8" i="5"/>
  <c r="K7" i="5"/>
  <c r="M7" i="5" s="1"/>
  <c r="N7" i="5" s="1"/>
  <c r="J7" i="5"/>
  <c r="F7" i="5"/>
  <c r="K6" i="5"/>
  <c r="M6" i="5" s="1"/>
  <c r="N6" i="5" s="1"/>
  <c r="J6" i="5"/>
  <c r="K5" i="5"/>
  <c r="M5" i="5" s="1"/>
  <c r="N5" i="5" s="1"/>
  <c r="J5" i="5"/>
  <c r="M4" i="5"/>
  <c r="N4" i="5" s="1"/>
  <c r="K4" i="5"/>
  <c r="J4" i="5"/>
  <c r="W37" i="4"/>
  <c r="V37" i="4"/>
  <c r="U37" i="4"/>
  <c r="T37" i="4"/>
  <c r="S37" i="4"/>
  <c r="R37" i="4"/>
  <c r="Q37" i="4"/>
  <c r="K37" i="4"/>
  <c r="J37" i="4"/>
  <c r="I37" i="4"/>
  <c r="H37" i="4"/>
  <c r="G37" i="4"/>
  <c r="F37" i="4"/>
  <c r="E37" i="4"/>
  <c r="W36" i="4"/>
  <c r="V36" i="4"/>
  <c r="U36" i="4"/>
  <c r="T36" i="4"/>
  <c r="S36" i="4"/>
  <c r="R36" i="4"/>
  <c r="Q36" i="4"/>
  <c r="O36" i="4"/>
  <c r="K36" i="4"/>
  <c r="J36" i="4"/>
  <c r="I36" i="4"/>
  <c r="H36" i="4"/>
  <c r="G36" i="4"/>
  <c r="F36" i="4"/>
  <c r="E36" i="4"/>
  <c r="D36" i="4"/>
  <c r="C36" i="4"/>
  <c r="W35" i="4"/>
  <c r="V35" i="4"/>
  <c r="U35" i="4"/>
  <c r="T35" i="4"/>
  <c r="S35" i="4"/>
  <c r="R35" i="4"/>
  <c r="Q35" i="4"/>
  <c r="K35" i="4"/>
  <c r="J35" i="4"/>
  <c r="I35" i="4"/>
  <c r="H35" i="4"/>
  <c r="G35" i="4"/>
  <c r="F35" i="4"/>
  <c r="E35" i="4"/>
  <c r="W34" i="4"/>
  <c r="V34" i="4"/>
  <c r="U34" i="4"/>
  <c r="T34" i="4"/>
  <c r="S34" i="4"/>
  <c r="R34" i="4"/>
  <c r="Q34" i="4"/>
  <c r="O34" i="4"/>
  <c r="K34" i="4"/>
  <c r="J34" i="4"/>
  <c r="I34" i="4"/>
  <c r="H34" i="4"/>
  <c r="G34" i="4"/>
  <c r="F34" i="4"/>
  <c r="E34" i="4"/>
  <c r="W33" i="4"/>
  <c r="V33" i="4"/>
  <c r="U33" i="4"/>
  <c r="T33" i="4"/>
  <c r="S33" i="4"/>
  <c r="R33" i="4"/>
  <c r="Q33" i="4"/>
  <c r="K33" i="4"/>
  <c r="J33" i="4"/>
  <c r="I33" i="4"/>
  <c r="H33" i="4"/>
  <c r="G33" i="4"/>
  <c r="F33" i="4"/>
  <c r="E33" i="4"/>
  <c r="W32" i="4"/>
  <c r="V32" i="4"/>
  <c r="U32" i="4"/>
  <c r="T32" i="4"/>
  <c r="S32" i="4"/>
  <c r="R32" i="4"/>
  <c r="Q32" i="4"/>
  <c r="O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O30" i="4"/>
  <c r="K30" i="4"/>
  <c r="J30" i="4"/>
  <c r="I30" i="4"/>
  <c r="H30" i="4"/>
  <c r="G30" i="4"/>
  <c r="F30" i="4"/>
  <c r="E30" i="4"/>
  <c r="W29" i="4"/>
  <c r="V29" i="4"/>
  <c r="U29" i="4"/>
  <c r="T29" i="4"/>
  <c r="S29" i="4"/>
  <c r="R29" i="4"/>
  <c r="Q29" i="4"/>
  <c r="K29" i="4"/>
  <c r="J29" i="4"/>
  <c r="I29" i="4"/>
  <c r="H29" i="4"/>
  <c r="G29" i="4"/>
  <c r="F29" i="4"/>
  <c r="E29" i="4"/>
  <c r="W28" i="4"/>
  <c r="V28" i="4"/>
  <c r="U28" i="4"/>
  <c r="T28" i="4"/>
  <c r="S28" i="4"/>
  <c r="R28" i="4"/>
  <c r="Q28" i="4"/>
  <c r="P28" i="4"/>
  <c r="O28" i="4"/>
  <c r="K28" i="4"/>
  <c r="J28" i="4"/>
  <c r="I28" i="4"/>
  <c r="H28" i="4"/>
  <c r="G28" i="4"/>
  <c r="F28" i="4"/>
  <c r="E28" i="4"/>
  <c r="D28" i="4"/>
  <c r="C28" i="4"/>
  <c r="W27" i="4"/>
  <c r="V27" i="4"/>
  <c r="U27" i="4"/>
  <c r="T27" i="4"/>
  <c r="S27" i="4"/>
  <c r="R27" i="4"/>
  <c r="Q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K26" i="4"/>
  <c r="J26" i="4"/>
  <c r="I26" i="4"/>
  <c r="H26" i="4"/>
  <c r="G26" i="4"/>
  <c r="F26" i="4"/>
  <c r="E26" i="4"/>
  <c r="D26" i="4"/>
  <c r="C26" i="4"/>
  <c r="X18" i="4"/>
  <c r="W18" i="4"/>
  <c r="X17" i="4"/>
  <c r="W17" i="4"/>
  <c r="E17" i="4"/>
  <c r="X16" i="4"/>
  <c r="W16" i="4"/>
  <c r="E16" i="4"/>
  <c r="P36" i="4" s="1"/>
  <c r="X15" i="4"/>
  <c r="W15" i="4"/>
  <c r="E15" i="4"/>
  <c r="D35" i="4" s="1"/>
  <c r="X14" i="4"/>
  <c r="W14" i="4"/>
  <c r="E14" i="4"/>
  <c r="P34" i="4" s="1"/>
  <c r="X13" i="4"/>
  <c r="W13" i="4"/>
  <c r="E13" i="4"/>
  <c r="D33" i="4" s="1"/>
  <c r="X12" i="4"/>
  <c r="W12" i="4"/>
  <c r="E12" i="4"/>
  <c r="P32" i="4" s="1"/>
  <c r="X11" i="4"/>
  <c r="W11" i="4"/>
  <c r="E11" i="4"/>
  <c r="P31" i="4" s="1"/>
  <c r="X10" i="4"/>
  <c r="W10" i="4"/>
  <c r="E10" i="4"/>
  <c r="C30" i="4" s="1"/>
  <c r="X9" i="4"/>
  <c r="W9" i="4"/>
  <c r="E9" i="4"/>
  <c r="X8" i="4"/>
  <c r="W8" i="4"/>
  <c r="E8" i="4"/>
  <c r="X7" i="4"/>
  <c r="W7" i="4"/>
  <c r="E7" i="4"/>
  <c r="P27" i="4" s="1"/>
  <c r="X6" i="4"/>
  <c r="W6" i="4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67" i="3"/>
  <c r="H66" i="3"/>
  <c r="H65" i="3"/>
  <c r="H64" i="3"/>
  <c r="H63" i="3"/>
  <c r="H62" i="3"/>
  <c r="H61" i="3"/>
  <c r="H60" i="3"/>
  <c r="H59" i="3"/>
  <c r="H46" i="3"/>
  <c r="H45" i="3"/>
  <c r="H44" i="3"/>
  <c r="H43" i="3"/>
  <c r="H42" i="3"/>
  <c r="H41" i="3"/>
  <c r="H40" i="3"/>
  <c r="H39" i="3"/>
  <c r="H38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K3" i="3"/>
  <c r="J3" i="3"/>
  <c r="I3" i="3"/>
  <c r="F3" i="3"/>
  <c r="K2" i="3"/>
  <c r="J2" i="3"/>
  <c r="I2" i="3"/>
  <c r="L77" i="2"/>
  <c r="AH76" i="2"/>
  <c r="AI75" i="2"/>
  <c r="AH75" i="2"/>
  <c r="AG75" i="2"/>
  <c r="AG76" i="2" s="1"/>
  <c r="X75" i="2"/>
  <c r="W75" i="2"/>
  <c r="V75" i="2"/>
  <c r="T75" i="2"/>
  <c r="S75" i="2"/>
  <c r="R75" i="2"/>
  <c r="Q75" i="2"/>
  <c r="P75" i="2"/>
  <c r="AI74" i="2"/>
  <c r="AH74" i="2"/>
  <c r="AG74" i="2"/>
  <c r="X74" i="2"/>
  <c r="X76" i="2" s="1"/>
  <c r="W74" i="2"/>
  <c r="V74" i="2"/>
  <c r="T74" i="2"/>
  <c r="S74" i="2"/>
  <c r="R74" i="2"/>
  <c r="Q74" i="2"/>
  <c r="P74" i="2"/>
  <c r="AI73" i="2"/>
  <c r="AH73" i="2"/>
  <c r="AG73" i="2"/>
  <c r="X73" i="2"/>
  <c r="W73" i="2"/>
  <c r="V73" i="2"/>
  <c r="T73" i="2"/>
  <c r="S73" i="2"/>
  <c r="R73" i="2"/>
  <c r="Q73" i="2"/>
  <c r="P73" i="2"/>
  <c r="AI72" i="2"/>
  <c r="AH72" i="2"/>
  <c r="AG72" i="2"/>
  <c r="X72" i="2"/>
  <c r="W72" i="2"/>
  <c r="V72" i="2"/>
  <c r="T72" i="2"/>
  <c r="S72" i="2"/>
  <c r="R72" i="2"/>
  <c r="Q72" i="2"/>
  <c r="P72" i="2"/>
  <c r="AI71" i="2"/>
  <c r="AH71" i="2"/>
  <c r="AG71" i="2"/>
  <c r="X71" i="2"/>
  <c r="W71" i="2"/>
  <c r="V71" i="2"/>
  <c r="T71" i="2"/>
  <c r="S71" i="2"/>
  <c r="R71" i="2"/>
  <c r="Q71" i="2"/>
  <c r="P71" i="2"/>
  <c r="AI70" i="2"/>
  <c r="AH70" i="2"/>
  <c r="AG70" i="2"/>
  <c r="X70" i="2"/>
  <c r="W70" i="2"/>
  <c r="V70" i="2"/>
  <c r="T70" i="2"/>
  <c r="S70" i="2"/>
  <c r="R70" i="2"/>
  <c r="Q70" i="2"/>
  <c r="P70" i="2"/>
  <c r="AI69" i="2"/>
  <c r="AH69" i="2"/>
  <c r="AG69" i="2"/>
  <c r="X69" i="2"/>
  <c r="W69" i="2"/>
  <c r="V69" i="2"/>
  <c r="T69" i="2"/>
  <c r="S69" i="2"/>
  <c r="R69" i="2"/>
  <c r="Q69" i="2"/>
  <c r="P69" i="2"/>
  <c r="AI68" i="2"/>
  <c r="AH68" i="2"/>
  <c r="AG68" i="2"/>
  <c r="X68" i="2"/>
  <c r="W68" i="2"/>
  <c r="V68" i="2"/>
  <c r="T68" i="2"/>
  <c r="S68" i="2"/>
  <c r="R68" i="2"/>
  <c r="Q68" i="2"/>
  <c r="P68" i="2"/>
  <c r="AI67" i="2"/>
  <c r="AH67" i="2"/>
  <c r="AG67" i="2"/>
  <c r="X67" i="2"/>
  <c r="W67" i="2"/>
  <c r="V67" i="2"/>
  <c r="T67" i="2"/>
  <c r="S67" i="2"/>
  <c r="R67" i="2"/>
  <c r="Q67" i="2"/>
  <c r="P67" i="2"/>
  <c r="AI66" i="2"/>
  <c r="AH66" i="2"/>
  <c r="AG66" i="2"/>
  <c r="X66" i="2"/>
  <c r="W66" i="2"/>
  <c r="V66" i="2"/>
  <c r="T66" i="2"/>
  <c r="S66" i="2"/>
  <c r="R66" i="2"/>
  <c r="Q66" i="2"/>
  <c r="P66" i="2"/>
  <c r="AI65" i="2"/>
  <c r="AI76" i="2" s="1"/>
  <c r="AH65" i="2"/>
  <c r="AG65" i="2"/>
  <c r="X65" i="2"/>
  <c r="W65" i="2"/>
  <c r="V65" i="2"/>
  <c r="T65" i="2"/>
  <c r="S65" i="2"/>
  <c r="R65" i="2"/>
  <c r="Q65" i="2"/>
  <c r="P65" i="2"/>
  <c r="AE37" i="2"/>
  <c r="AD37" i="2"/>
  <c r="AC37" i="2"/>
  <c r="AB37" i="2"/>
  <c r="Y37" i="2"/>
  <c r="X37" i="2"/>
  <c r="W37" i="2"/>
  <c r="V37" i="2"/>
  <c r="Q37" i="2"/>
  <c r="P37" i="2"/>
  <c r="O37" i="2"/>
  <c r="M37" i="2"/>
  <c r="L37" i="2"/>
  <c r="K37" i="2"/>
  <c r="F37" i="2"/>
  <c r="E37" i="2"/>
  <c r="D37" i="2"/>
  <c r="AE36" i="2"/>
  <c r="AD36" i="2"/>
  <c r="AC36" i="2"/>
  <c r="AA36" i="2"/>
  <c r="Y36" i="2"/>
  <c r="X36" i="2"/>
  <c r="W36" i="2"/>
  <c r="V36" i="2"/>
  <c r="Q36" i="2"/>
  <c r="P36" i="2"/>
  <c r="O36" i="2"/>
  <c r="K36" i="2"/>
  <c r="F36" i="2"/>
  <c r="E36" i="2"/>
  <c r="D36" i="2"/>
  <c r="AE35" i="2"/>
  <c r="AD35" i="2"/>
  <c r="AC35" i="2"/>
  <c r="AB35" i="2"/>
  <c r="Y35" i="2"/>
  <c r="X35" i="2"/>
  <c r="W35" i="2"/>
  <c r="V35" i="2"/>
  <c r="Q35" i="2"/>
  <c r="P35" i="2"/>
  <c r="O35" i="2"/>
  <c r="L35" i="2"/>
  <c r="K35" i="2"/>
  <c r="F35" i="2"/>
  <c r="E35" i="2"/>
  <c r="D35" i="2"/>
  <c r="AE34" i="2"/>
  <c r="AD34" i="2"/>
  <c r="AC34" i="2"/>
  <c r="AB34" i="2"/>
  <c r="AA34" i="2"/>
  <c r="Y34" i="2"/>
  <c r="X34" i="2"/>
  <c r="W34" i="2"/>
  <c r="V34" i="2"/>
  <c r="Q34" i="2"/>
  <c r="P34" i="2"/>
  <c r="O34" i="2"/>
  <c r="M34" i="2"/>
  <c r="L34" i="2"/>
  <c r="K34" i="2"/>
  <c r="F34" i="2"/>
  <c r="E34" i="2"/>
  <c r="D34" i="2"/>
  <c r="AE33" i="2"/>
  <c r="AD33" i="2"/>
  <c r="AC33" i="2"/>
  <c r="AB33" i="2"/>
  <c r="Y33" i="2"/>
  <c r="X33" i="2"/>
  <c r="W33" i="2"/>
  <c r="V33" i="2"/>
  <c r="Q33" i="2"/>
  <c r="P33" i="2"/>
  <c r="O33" i="2"/>
  <c r="M33" i="2"/>
  <c r="L33" i="2"/>
  <c r="K33" i="2"/>
  <c r="F33" i="2"/>
  <c r="E33" i="2"/>
  <c r="D33" i="2"/>
  <c r="AE32" i="2"/>
  <c r="AD32" i="2"/>
  <c r="AC32" i="2"/>
  <c r="Y32" i="2"/>
  <c r="X32" i="2"/>
  <c r="W32" i="2"/>
  <c r="V32" i="2"/>
  <c r="Q32" i="2"/>
  <c r="P32" i="2"/>
  <c r="O32" i="2"/>
  <c r="K32" i="2"/>
  <c r="F32" i="2"/>
  <c r="E32" i="2"/>
  <c r="D32" i="2"/>
  <c r="AE31" i="2"/>
  <c r="AD31" i="2"/>
  <c r="AC31" i="2"/>
  <c r="AB31" i="2"/>
  <c r="Y31" i="2"/>
  <c r="X31" i="2"/>
  <c r="W31" i="2"/>
  <c r="V31" i="2"/>
  <c r="Q31" i="2"/>
  <c r="P31" i="2"/>
  <c r="O31" i="2"/>
  <c r="M31" i="2"/>
  <c r="L31" i="2"/>
  <c r="K31" i="2"/>
  <c r="F31" i="2"/>
  <c r="E31" i="2"/>
  <c r="D31" i="2"/>
  <c r="AE30" i="2"/>
  <c r="AD30" i="2"/>
  <c r="AC30" i="2"/>
  <c r="AA30" i="2"/>
  <c r="Y30" i="2"/>
  <c r="X30" i="2"/>
  <c r="W30" i="2"/>
  <c r="V30" i="2"/>
  <c r="Q30" i="2"/>
  <c r="P30" i="2"/>
  <c r="O30" i="2"/>
  <c r="K30" i="2"/>
  <c r="F30" i="2"/>
  <c r="E30" i="2"/>
  <c r="D30" i="2"/>
  <c r="AE29" i="2"/>
  <c r="AD29" i="2"/>
  <c r="AC29" i="2"/>
  <c r="AB29" i="2"/>
  <c r="Y29" i="2"/>
  <c r="X29" i="2"/>
  <c r="W29" i="2"/>
  <c r="V29" i="2"/>
  <c r="Q29" i="2"/>
  <c r="P29" i="2"/>
  <c r="O29" i="2"/>
  <c r="L29" i="2"/>
  <c r="K29" i="2"/>
  <c r="F29" i="2"/>
  <c r="E29" i="2"/>
  <c r="D29" i="2"/>
  <c r="AE28" i="2"/>
  <c r="AD28" i="2"/>
  <c r="AC28" i="2"/>
  <c r="AB28" i="2"/>
  <c r="AA28" i="2"/>
  <c r="Y28" i="2"/>
  <c r="X28" i="2"/>
  <c r="W28" i="2"/>
  <c r="V28" i="2"/>
  <c r="Q28" i="2"/>
  <c r="P28" i="2"/>
  <c r="O28" i="2"/>
  <c r="M28" i="2"/>
  <c r="L28" i="2"/>
  <c r="K28" i="2"/>
  <c r="F28" i="2"/>
  <c r="E28" i="2"/>
  <c r="D28" i="2"/>
  <c r="AE27" i="2"/>
  <c r="AD27" i="2"/>
  <c r="AC27" i="2"/>
  <c r="AB27" i="2"/>
  <c r="Y27" i="2"/>
  <c r="X27" i="2"/>
  <c r="W27" i="2"/>
  <c r="V27" i="2"/>
  <c r="Q27" i="2"/>
  <c r="P27" i="2"/>
  <c r="O27" i="2"/>
  <c r="M27" i="2"/>
  <c r="L27" i="2"/>
  <c r="K27" i="2"/>
  <c r="F27" i="2"/>
  <c r="E27" i="2"/>
  <c r="D27" i="2"/>
  <c r="AE26" i="2"/>
  <c r="AD26" i="2"/>
  <c r="AC26" i="2"/>
  <c r="Y26" i="2"/>
  <c r="X26" i="2"/>
  <c r="W26" i="2"/>
  <c r="V26" i="2"/>
  <c r="Q26" i="2"/>
  <c r="P26" i="2"/>
  <c r="O26" i="2"/>
  <c r="K26" i="2"/>
  <c r="F26" i="2"/>
  <c r="E26" i="2"/>
  <c r="D26" i="2"/>
  <c r="AF18" i="2"/>
  <c r="AE18" i="2"/>
  <c r="AF17" i="2"/>
  <c r="AE17" i="2"/>
  <c r="U17" i="2"/>
  <c r="O17" i="2"/>
  <c r="AA37" i="2" s="1"/>
  <c r="AF16" i="2"/>
  <c r="AE16" i="2"/>
  <c r="U16" i="2"/>
  <c r="O16" i="2"/>
  <c r="M36" i="2" s="1"/>
  <c r="AF15" i="2"/>
  <c r="AE15" i="2"/>
  <c r="U15" i="2"/>
  <c r="O15" i="2"/>
  <c r="AF14" i="2"/>
  <c r="AE14" i="2"/>
  <c r="U14" i="2"/>
  <c r="O14" i="2"/>
  <c r="AF13" i="2"/>
  <c r="AE13" i="2"/>
  <c r="U13" i="2"/>
  <c r="O13" i="2"/>
  <c r="AA33" i="2" s="1"/>
  <c r="AF12" i="2"/>
  <c r="AE12" i="2"/>
  <c r="U12" i="2"/>
  <c r="O12" i="2"/>
  <c r="AF11" i="2"/>
  <c r="AE11" i="2"/>
  <c r="U11" i="2"/>
  <c r="O11" i="2"/>
  <c r="AA31" i="2" s="1"/>
  <c r="AF10" i="2"/>
  <c r="AE10" i="2"/>
  <c r="U10" i="2"/>
  <c r="O10" i="2"/>
  <c r="M30" i="2" s="1"/>
  <c r="AF9" i="2"/>
  <c r="AE9" i="2"/>
  <c r="U9" i="2"/>
  <c r="O9" i="2"/>
  <c r="AF8" i="2"/>
  <c r="AE8" i="2"/>
  <c r="U8" i="2"/>
  <c r="O8" i="2"/>
  <c r="AF7" i="2"/>
  <c r="AE7" i="2"/>
  <c r="U7" i="2"/>
  <c r="O7" i="2"/>
  <c r="AA27" i="2" s="1"/>
  <c r="AF6" i="2"/>
  <c r="AE6" i="2"/>
  <c r="U6" i="2"/>
  <c r="O6" i="2"/>
  <c r="B10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I82" i="1"/>
  <c r="E82" i="1"/>
  <c r="E81" i="1"/>
  <c r="E80" i="1"/>
  <c r="E79" i="1"/>
  <c r="E78" i="1"/>
  <c r="E77" i="1"/>
  <c r="L64" i="1"/>
  <c r="L63" i="1"/>
  <c r="L62" i="1"/>
  <c r="L61" i="1"/>
  <c r="L60" i="1"/>
  <c r="L59" i="1"/>
  <c r="L58" i="1"/>
  <c r="L57" i="1"/>
  <c r="L56" i="1"/>
  <c r="L55" i="1"/>
  <c r="L54" i="1"/>
  <c r="S49" i="1"/>
  <c r="M49" i="1"/>
  <c r="S48" i="1"/>
  <c r="M48" i="1"/>
  <c r="S47" i="1"/>
  <c r="M47" i="1"/>
  <c r="S46" i="1"/>
  <c r="M46" i="1"/>
  <c r="S45" i="1"/>
  <c r="M45" i="1"/>
  <c r="S44" i="1"/>
  <c r="M44" i="1"/>
  <c r="S43" i="1"/>
  <c r="M43" i="1"/>
  <c r="S42" i="1"/>
  <c r="M42" i="1"/>
  <c r="S41" i="1"/>
  <c r="M41" i="1"/>
  <c r="S40" i="1"/>
  <c r="M40" i="1"/>
  <c r="S39" i="1"/>
  <c r="G12" i="1" s="1"/>
  <c r="H12" i="1" s="1"/>
  <c r="M39" i="1"/>
  <c r="S38" i="1"/>
  <c r="M38" i="1"/>
  <c r="F31" i="1"/>
  <c r="F30" i="1"/>
  <c r="F29" i="1"/>
  <c r="E29" i="1"/>
  <c r="F28" i="1"/>
  <c r="E28" i="1"/>
  <c r="F27" i="1"/>
  <c r="F26" i="1"/>
  <c r="F22" i="1"/>
  <c r="F21" i="1"/>
  <c r="F20" i="1"/>
  <c r="F19" i="1"/>
  <c r="F18" i="1"/>
  <c r="F23" i="1" s="1"/>
  <c r="G15" i="1"/>
  <c r="I15" i="1" s="1"/>
  <c r="F12" i="1"/>
  <c r="I12" i="1" s="1"/>
  <c r="G11" i="1"/>
  <c r="H11" i="1" s="1"/>
  <c r="F11" i="1"/>
  <c r="I11" i="1" s="1"/>
  <c r="G10" i="1"/>
  <c r="H10" i="1" s="1"/>
  <c r="F10" i="1"/>
  <c r="I10" i="1" s="1"/>
  <c r="L9" i="1"/>
  <c r="G9" i="1" s="1"/>
  <c r="F9" i="1"/>
  <c r="I9" i="1" s="1"/>
  <c r="I7" i="1" s="1"/>
  <c r="J14" i="7" l="1"/>
  <c r="J10" i="7"/>
  <c r="J5" i="7"/>
  <c r="J4" i="7"/>
  <c r="J12" i="7"/>
  <c r="J8" i="7"/>
  <c r="J6" i="7"/>
  <c r="J9" i="7"/>
  <c r="J15" i="7"/>
  <c r="J7" i="7"/>
  <c r="J11" i="7"/>
  <c r="J13" i="7"/>
  <c r="H15" i="9"/>
  <c r="J15" i="9" s="1"/>
  <c r="H11" i="9"/>
  <c r="H7" i="9"/>
  <c r="H13" i="9"/>
  <c r="H5" i="9"/>
  <c r="H10" i="9"/>
  <c r="H12" i="9"/>
  <c r="H9" i="9"/>
  <c r="H4" i="9"/>
  <c r="H8" i="9"/>
  <c r="H6" i="9"/>
  <c r="H14" i="9"/>
  <c r="O7" i="8"/>
  <c r="O6" i="8"/>
  <c r="D9" i="5"/>
  <c r="D10" i="5"/>
  <c r="D11" i="5"/>
  <c r="D12" i="5"/>
  <c r="D5" i="5"/>
  <c r="I5" i="5" s="1"/>
  <c r="D13" i="5"/>
  <c r="D4" i="5"/>
  <c r="D14" i="5"/>
  <c r="D8" i="5"/>
  <c r="D7" i="5"/>
  <c r="O5" i="5"/>
  <c r="D15" i="5"/>
  <c r="D6" i="5"/>
  <c r="I6" i="5" s="1"/>
  <c r="O10" i="5"/>
  <c r="O4" i="8"/>
  <c r="H15" i="5"/>
  <c r="I15" i="5" s="1"/>
  <c r="H9" i="5"/>
  <c r="H7" i="5"/>
  <c r="H13" i="5"/>
  <c r="H4" i="5"/>
  <c r="H5" i="5"/>
  <c r="H14" i="5"/>
  <c r="H6" i="5"/>
  <c r="H8" i="5"/>
  <c r="P29" i="4"/>
  <c r="O29" i="4"/>
  <c r="D13" i="9"/>
  <c r="D9" i="9"/>
  <c r="D5" i="9"/>
  <c r="J5" i="9" s="1"/>
  <c r="D11" i="9"/>
  <c r="D8" i="9"/>
  <c r="D10" i="9"/>
  <c r="D15" i="9"/>
  <c r="D7" i="9"/>
  <c r="P76" i="2"/>
  <c r="AB13" i="7"/>
  <c r="AB9" i="7"/>
  <c r="AB15" i="7"/>
  <c r="AD15" i="7" s="1"/>
  <c r="AB11" i="7"/>
  <c r="AB7" i="7"/>
  <c r="AB6" i="7"/>
  <c r="AB5" i="7"/>
  <c r="AB10" i="7"/>
  <c r="AB12" i="7"/>
  <c r="AB14" i="7"/>
  <c r="AB8" i="7"/>
  <c r="Q76" i="2"/>
  <c r="H11" i="5"/>
  <c r="R76" i="2"/>
  <c r="AA6" i="7"/>
  <c r="D12" i="9"/>
  <c r="E14" i="5"/>
  <c r="E10" i="5"/>
  <c r="E11" i="5"/>
  <c r="E12" i="5"/>
  <c r="E13" i="5"/>
  <c r="E5" i="5"/>
  <c r="E4" i="5"/>
  <c r="E6" i="5"/>
  <c r="AN14" i="7"/>
  <c r="AN4" i="7"/>
  <c r="D4" i="7"/>
  <c r="D12" i="7"/>
  <c r="D8" i="7"/>
  <c r="D5" i="7"/>
  <c r="D13" i="7"/>
  <c r="D9" i="7"/>
  <c r="D15" i="7"/>
  <c r="D11" i="7"/>
  <c r="D7" i="7"/>
  <c r="O8" i="8"/>
  <c r="D10" i="7"/>
  <c r="AA4" i="7"/>
  <c r="AA15" i="7"/>
  <c r="AA13" i="7"/>
  <c r="AD13" i="7" s="1"/>
  <c r="AA11" i="7"/>
  <c r="AA9" i="7"/>
  <c r="AA7" i="7"/>
  <c r="AA5" i="7"/>
  <c r="U12" i="9"/>
  <c r="U8" i="9"/>
  <c r="U4" i="9"/>
  <c r="AB4" i="9" s="1"/>
  <c r="U15" i="9"/>
  <c r="U9" i="9"/>
  <c r="U7" i="9"/>
  <c r="U14" i="9"/>
  <c r="U6" i="9"/>
  <c r="U13" i="9"/>
  <c r="U11" i="9"/>
  <c r="U5" i="9"/>
  <c r="O11" i="5"/>
  <c r="D28" i="8"/>
  <c r="D4" i="9"/>
  <c r="Y14" i="9"/>
  <c r="AB14" i="9" s="1"/>
  <c r="Y10" i="9"/>
  <c r="Y6" i="9"/>
  <c r="Y9" i="9"/>
  <c r="Y11" i="9"/>
  <c r="Y8" i="9"/>
  <c r="Y13" i="9"/>
  <c r="AB13" i="9" s="1"/>
  <c r="Y5" i="9"/>
  <c r="Z12" i="7"/>
  <c r="Z8" i="7"/>
  <c r="Z4" i="7"/>
  <c r="Z15" i="7"/>
  <c r="Z13" i="7"/>
  <c r="Z11" i="7"/>
  <c r="AD11" i="7" s="1"/>
  <c r="Z9" i="7"/>
  <c r="AD9" i="7" s="1"/>
  <c r="Z7" i="7"/>
  <c r="Z5" i="7"/>
  <c r="D37" i="4"/>
  <c r="C37" i="4"/>
  <c r="P37" i="4"/>
  <c r="O37" i="4"/>
  <c r="E9" i="5"/>
  <c r="O11" i="8"/>
  <c r="O27" i="11"/>
  <c r="C27" i="11"/>
  <c r="B27" i="11"/>
  <c r="P27" i="11"/>
  <c r="V76" i="2"/>
  <c r="E7" i="5"/>
  <c r="I7" i="5" s="1"/>
  <c r="G13" i="7"/>
  <c r="G9" i="7"/>
  <c r="K9" i="7" s="1"/>
  <c r="G15" i="7"/>
  <c r="G11" i="7"/>
  <c r="K11" i="7" s="1"/>
  <c r="G7" i="7"/>
  <c r="G6" i="7"/>
  <c r="G5" i="7"/>
  <c r="G14" i="7"/>
  <c r="G12" i="7"/>
  <c r="G10" i="7"/>
  <c r="K10" i="7" s="1"/>
  <c r="G8" i="7"/>
  <c r="X13" i="9"/>
  <c r="X9" i="9"/>
  <c r="AB9" i="9" s="1"/>
  <c r="X5" i="9"/>
  <c r="X14" i="9"/>
  <c r="X6" i="9"/>
  <c r="X11" i="9"/>
  <c r="AB11" i="9" s="1"/>
  <c r="X8" i="9"/>
  <c r="X10" i="9"/>
  <c r="AB10" i="9" s="1"/>
  <c r="E28" i="8"/>
  <c r="W15" i="7"/>
  <c r="W11" i="7"/>
  <c r="W7" i="7"/>
  <c r="W5" i="7"/>
  <c r="W14" i="7"/>
  <c r="W10" i="7"/>
  <c r="W6" i="7"/>
  <c r="W4" i="7"/>
  <c r="AD4" i="7" s="1"/>
  <c r="W9" i="7"/>
  <c r="W13" i="7"/>
  <c r="O13" i="8"/>
  <c r="F28" i="8"/>
  <c r="AL5" i="9"/>
  <c r="X12" i="9"/>
  <c r="C13" i="9"/>
  <c r="C9" i="9"/>
  <c r="C5" i="9"/>
  <c r="C11" i="9"/>
  <c r="C8" i="9"/>
  <c r="C15" i="9"/>
  <c r="C7" i="9"/>
  <c r="C10" i="9"/>
  <c r="Z14" i="9"/>
  <c r="Z10" i="9"/>
  <c r="Z6" i="9"/>
  <c r="Z15" i="9"/>
  <c r="AB15" i="9" s="1"/>
  <c r="Z7" i="9"/>
  <c r="Z11" i="9"/>
  <c r="Z8" i="9"/>
  <c r="Z13" i="9"/>
  <c r="Z5" i="9"/>
  <c r="Z12" i="9"/>
  <c r="H2" i="3"/>
  <c r="H3" i="3" s="1"/>
  <c r="AA14" i="7"/>
  <c r="AD14" i="7" s="1"/>
  <c r="O14" i="8"/>
  <c r="Z6" i="7"/>
  <c r="AC13" i="7"/>
  <c r="AC9" i="7"/>
  <c r="AC5" i="7"/>
  <c r="AC15" i="7"/>
  <c r="AC11" i="7"/>
  <c r="AC7" i="7"/>
  <c r="AC8" i="7"/>
  <c r="AC10" i="7"/>
  <c r="AC6" i="7"/>
  <c r="AC14" i="7"/>
  <c r="AC12" i="7"/>
  <c r="I15" i="9"/>
  <c r="I11" i="9"/>
  <c r="I7" i="9"/>
  <c r="I10" i="9"/>
  <c r="I6" i="9"/>
  <c r="I14" i="9"/>
  <c r="I12" i="9"/>
  <c r="I9" i="9"/>
  <c r="I4" i="9"/>
  <c r="O5" i="8"/>
  <c r="F13" i="7"/>
  <c r="F9" i="7"/>
  <c r="F10" i="7"/>
  <c r="F15" i="7"/>
  <c r="F11" i="7"/>
  <c r="F7" i="7"/>
  <c r="K7" i="7" s="1"/>
  <c r="F5" i="7"/>
  <c r="F14" i="7"/>
  <c r="F12" i="7"/>
  <c r="F8" i="7"/>
  <c r="K8" i="7" s="1"/>
  <c r="F6" i="7"/>
  <c r="AL15" i="9"/>
  <c r="AB26" i="2"/>
  <c r="AA26" i="2"/>
  <c r="M26" i="2"/>
  <c r="L26" i="2"/>
  <c r="AA29" i="2"/>
  <c r="M29" i="2"/>
  <c r="M32" i="2"/>
  <c r="AB32" i="2"/>
  <c r="AA32" i="2"/>
  <c r="L32" i="2"/>
  <c r="AA35" i="2"/>
  <c r="M35" i="2"/>
  <c r="C29" i="4"/>
  <c r="O7" i="5"/>
  <c r="G4" i="7"/>
  <c r="D6" i="7"/>
  <c r="AN10" i="7"/>
  <c r="X14" i="7"/>
  <c r="X10" i="7"/>
  <c r="X6" i="7"/>
  <c r="AD6" i="7" s="1"/>
  <c r="X4" i="7"/>
  <c r="X7" i="7"/>
  <c r="X15" i="7"/>
  <c r="X13" i="7"/>
  <c r="X11" i="7"/>
  <c r="X9" i="7"/>
  <c r="X5" i="7"/>
  <c r="AD5" i="7" s="1"/>
  <c r="C6" i="9"/>
  <c r="X7" i="9"/>
  <c r="Y12" i="9"/>
  <c r="AB12" i="9" s="1"/>
  <c r="AA14" i="9"/>
  <c r="AA10" i="9"/>
  <c r="AA6" i="9"/>
  <c r="AA4" i="9"/>
  <c r="AA11" i="9"/>
  <c r="AA8" i="9"/>
  <c r="AA13" i="9"/>
  <c r="AA5" i="9"/>
  <c r="AA15" i="9"/>
  <c r="AA12" i="9"/>
  <c r="AA7" i="9"/>
  <c r="Z12" i="11"/>
  <c r="AB12" i="11"/>
  <c r="Y12" i="11"/>
  <c r="E8" i="5"/>
  <c r="I8" i="5" s="1"/>
  <c r="O29" i="11"/>
  <c r="C29" i="11"/>
  <c r="B29" i="11"/>
  <c r="P29" i="11"/>
  <c r="C33" i="4"/>
  <c r="P33" i="4"/>
  <c r="O33" i="4"/>
  <c r="H9" i="1"/>
  <c r="L10" i="1"/>
  <c r="O8" i="5"/>
  <c r="E12" i="7"/>
  <c r="E8" i="7"/>
  <c r="E13" i="7"/>
  <c r="E9" i="7"/>
  <c r="E15" i="7"/>
  <c r="E11" i="7"/>
  <c r="E7" i="7"/>
  <c r="E14" i="7"/>
  <c r="E10" i="7"/>
  <c r="E5" i="7"/>
  <c r="K5" i="7" s="1"/>
  <c r="O6" i="5"/>
  <c r="S76" i="2"/>
  <c r="AN6" i="7"/>
  <c r="T76" i="2"/>
  <c r="O15" i="5"/>
  <c r="B29" i="8"/>
  <c r="W13" i="9"/>
  <c r="W9" i="9"/>
  <c r="W5" i="9"/>
  <c r="W4" i="9"/>
  <c r="W10" i="9"/>
  <c r="W14" i="9"/>
  <c r="W6" i="9"/>
  <c r="W11" i="9"/>
  <c r="W8" i="9"/>
  <c r="AB8" i="9" s="1"/>
  <c r="AB14" i="11"/>
  <c r="Z14" i="11"/>
  <c r="H12" i="5"/>
  <c r="AN8" i="7"/>
  <c r="D14" i="9"/>
  <c r="W76" i="2"/>
  <c r="E4" i="7"/>
  <c r="Z10" i="7"/>
  <c r="AD10" i="7" s="1"/>
  <c r="W12" i="9"/>
  <c r="O12" i="5"/>
  <c r="F4" i="7"/>
  <c r="AA10" i="7"/>
  <c r="D14" i="7"/>
  <c r="W7" i="9"/>
  <c r="AB7" i="9" s="1"/>
  <c r="D29" i="4"/>
  <c r="H10" i="5"/>
  <c r="G15" i="5"/>
  <c r="G12" i="5"/>
  <c r="I12" i="5" s="1"/>
  <c r="G6" i="5"/>
  <c r="G8" i="5"/>
  <c r="G13" i="5"/>
  <c r="I13" i="5" s="1"/>
  <c r="G4" i="5"/>
  <c r="G5" i="5"/>
  <c r="G14" i="5"/>
  <c r="I14" i="5" s="1"/>
  <c r="G7" i="5"/>
  <c r="E6" i="7"/>
  <c r="K6" i="7" s="1"/>
  <c r="AA12" i="7"/>
  <c r="AD12" i="7" s="1"/>
  <c r="Y12" i="7"/>
  <c r="Y8" i="7"/>
  <c r="AD8" i="7" s="1"/>
  <c r="Y5" i="7"/>
  <c r="Y4" i="7"/>
  <c r="Y15" i="7"/>
  <c r="Y13" i="7"/>
  <c r="Y11" i="7"/>
  <c r="Y9" i="7"/>
  <c r="Y7" i="7"/>
  <c r="AD7" i="7" s="1"/>
  <c r="D6" i="9"/>
  <c r="J6" i="9" s="1"/>
  <c r="Y7" i="9"/>
  <c r="AL12" i="9"/>
  <c r="F14" i="5"/>
  <c r="V13" i="9"/>
  <c r="V9" i="9"/>
  <c r="V5" i="9"/>
  <c r="AB5" i="9" s="1"/>
  <c r="Y8" i="11"/>
  <c r="Z10" i="11"/>
  <c r="P30" i="4"/>
  <c r="V8" i="9"/>
  <c r="V11" i="9"/>
  <c r="Y6" i="11"/>
  <c r="Z8" i="11"/>
  <c r="AB10" i="11"/>
  <c r="F5" i="5"/>
  <c r="AB30" i="2"/>
  <c r="Z6" i="11"/>
  <c r="P25" i="11"/>
  <c r="O30" i="11"/>
  <c r="D30" i="4"/>
  <c r="O35" i="4"/>
  <c r="F13" i="5"/>
  <c r="G28" i="8"/>
  <c r="C28" i="8"/>
  <c r="P30" i="11"/>
  <c r="C34" i="4"/>
  <c r="P35" i="4"/>
  <c r="C28" i="5"/>
  <c r="H28" i="8"/>
  <c r="V6" i="9"/>
  <c r="AB6" i="9" s="1"/>
  <c r="V14" i="9"/>
  <c r="O28" i="11"/>
  <c r="D34" i="4"/>
  <c r="F4" i="5"/>
  <c r="L36" i="2"/>
  <c r="O27" i="4"/>
  <c r="O31" i="4"/>
  <c r="E14" i="9"/>
  <c r="E10" i="9"/>
  <c r="E6" i="9"/>
  <c r="B25" i="11"/>
  <c r="P28" i="11"/>
  <c r="F6" i="5"/>
  <c r="AB36" i="2"/>
  <c r="C35" i="4"/>
  <c r="F12" i="5"/>
  <c r="H29" i="7"/>
  <c r="V4" i="9"/>
  <c r="F29" i="9"/>
  <c r="C25" i="11"/>
  <c r="O26" i="11"/>
  <c r="B30" i="11"/>
  <c r="L30" i="2"/>
  <c r="I29" i="7"/>
  <c r="AN15" i="7" s="1"/>
  <c r="V7" i="9"/>
  <c r="E11" i="9"/>
  <c r="V12" i="9"/>
  <c r="V15" i="9"/>
  <c r="G29" i="9"/>
  <c r="P26" i="11"/>
  <c r="H13" i="8" l="1"/>
  <c r="H11" i="8"/>
  <c r="H5" i="8"/>
  <c r="H14" i="8"/>
  <c r="H8" i="8"/>
  <c r="H12" i="8"/>
  <c r="H6" i="8"/>
  <c r="H7" i="8"/>
  <c r="H9" i="8"/>
  <c r="H10" i="8"/>
  <c r="H4" i="8"/>
  <c r="H15" i="8"/>
  <c r="I15" i="8" s="1"/>
  <c r="C13" i="5"/>
  <c r="C15" i="5"/>
  <c r="C8" i="5"/>
  <c r="C9" i="5"/>
  <c r="C10" i="5"/>
  <c r="C4" i="5"/>
  <c r="I4" i="5" s="1"/>
  <c r="C11" i="5"/>
  <c r="C12" i="5"/>
  <c r="C5" i="5"/>
  <c r="C14" i="5"/>
  <c r="C7" i="5"/>
  <c r="C6" i="5"/>
  <c r="O13" i="5"/>
  <c r="E12" i="8"/>
  <c r="E11" i="8"/>
  <c r="E10" i="8"/>
  <c r="E9" i="8"/>
  <c r="E8" i="8"/>
  <c r="I8" i="8" s="1"/>
  <c r="E7" i="8"/>
  <c r="I7" i="8" s="1"/>
  <c r="E6" i="8"/>
  <c r="E5" i="8"/>
  <c r="E4" i="8"/>
  <c r="E15" i="8"/>
  <c r="E13" i="8"/>
  <c r="E14" i="8"/>
  <c r="O15" i="8"/>
  <c r="C14" i="8"/>
  <c r="C10" i="8"/>
  <c r="C4" i="8"/>
  <c r="I4" i="8" s="1"/>
  <c r="C7" i="8"/>
  <c r="C11" i="8"/>
  <c r="C5" i="8"/>
  <c r="C15" i="8"/>
  <c r="C12" i="8"/>
  <c r="C6" i="8"/>
  <c r="C13" i="8"/>
  <c r="C9" i="8"/>
  <c r="C8" i="8"/>
  <c r="O10" i="8"/>
  <c r="O9" i="8"/>
  <c r="O12" i="8"/>
  <c r="I5" i="7"/>
  <c r="I6" i="7"/>
  <c r="I14" i="7"/>
  <c r="I12" i="7"/>
  <c r="I10" i="7"/>
  <c r="I8" i="7"/>
  <c r="I4" i="7"/>
  <c r="I15" i="7"/>
  <c r="K15" i="7" s="1"/>
  <c r="I9" i="7"/>
  <c r="I7" i="7"/>
  <c r="I11" i="7"/>
  <c r="I13" i="7"/>
  <c r="F12" i="8"/>
  <c r="F11" i="8"/>
  <c r="I11" i="8" s="1"/>
  <c r="F10" i="8"/>
  <c r="I10" i="8" s="1"/>
  <c r="F9" i="8"/>
  <c r="I9" i="8" s="1"/>
  <c r="F8" i="8"/>
  <c r="F7" i="8"/>
  <c r="F6" i="8"/>
  <c r="F5" i="8"/>
  <c r="F4" i="8"/>
  <c r="F15" i="8"/>
  <c r="F13" i="8"/>
  <c r="F14" i="8"/>
  <c r="O9" i="5"/>
  <c r="F14" i="9"/>
  <c r="F10" i="9"/>
  <c r="J10" i="9" s="1"/>
  <c r="F6" i="9"/>
  <c r="F8" i="9"/>
  <c r="F13" i="9"/>
  <c r="F5" i="9"/>
  <c r="F9" i="9"/>
  <c r="J9" i="9" s="1"/>
  <c r="F15" i="9"/>
  <c r="F7" i="9"/>
  <c r="F4" i="9"/>
  <c r="F12" i="9"/>
  <c r="F11" i="9"/>
  <c r="J11" i="9" s="1"/>
  <c r="G14" i="9"/>
  <c r="J14" i="9" s="1"/>
  <c r="G10" i="9"/>
  <c r="G6" i="9"/>
  <c r="G8" i="9"/>
  <c r="G13" i="9"/>
  <c r="J13" i="9" s="1"/>
  <c r="G5" i="9"/>
  <c r="G15" i="9"/>
  <c r="G7" i="9"/>
  <c r="G12" i="9"/>
  <c r="J12" i="9" s="1"/>
  <c r="G9" i="9"/>
  <c r="G4" i="9"/>
  <c r="G11" i="9"/>
  <c r="H13" i="7"/>
  <c r="K13" i="7" s="1"/>
  <c r="H9" i="7"/>
  <c r="H5" i="7"/>
  <c r="H8" i="7"/>
  <c r="H14" i="7"/>
  <c r="K14" i="7" s="1"/>
  <c r="H12" i="7"/>
  <c r="K12" i="7" s="1"/>
  <c r="H10" i="7"/>
  <c r="H6" i="7"/>
  <c r="H4" i="7"/>
  <c r="H11" i="7"/>
  <c r="H7" i="7"/>
  <c r="H15" i="7"/>
  <c r="G13" i="8"/>
  <c r="I13" i="8" s="1"/>
  <c r="G15" i="8"/>
  <c r="G8" i="8"/>
  <c r="G11" i="8"/>
  <c r="G5" i="8"/>
  <c r="G7" i="8"/>
  <c r="G12" i="8"/>
  <c r="I12" i="8" s="1"/>
  <c r="G6" i="8"/>
  <c r="G10" i="8"/>
  <c r="G4" i="8"/>
  <c r="G9" i="8"/>
  <c r="G14" i="8"/>
  <c r="I14" i="8" s="1"/>
  <c r="O14" i="5"/>
  <c r="D14" i="8"/>
  <c r="D10" i="8"/>
  <c r="D4" i="8"/>
  <c r="D11" i="8"/>
  <c r="D5" i="8"/>
  <c r="I5" i="8" s="1"/>
  <c r="D7" i="8"/>
  <c r="D13" i="8"/>
  <c r="D15" i="8"/>
  <c r="D12" i="8"/>
  <c r="D6" i="8"/>
  <c r="I6" i="8" s="1"/>
  <c r="D8" i="8"/>
  <c r="D9" i="8"/>
  <c r="O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35" authorId="0" shapeId="0" xr:uid="{00000000-0006-0000-0200-000001000000}">
      <text>
        <r>
          <rPr>
            <sz val="10"/>
            <color rgb="FF000000"/>
            <rFont val="Arial"/>
            <scheme val="minor"/>
          </rPr>
          <t>need T12 Cerritos</t>
        </r>
      </text>
    </comment>
    <comment ref="C137" authorId="0" shapeId="0" xr:uid="{00000000-0006-0000-0200-000002000000}">
      <text>
        <r>
          <rPr>
            <sz val="10"/>
            <color rgb="FF000000"/>
            <rFont val="Arial"/>
            <scheme val="minor"/>
          </rPr>
          <t>need T12 Cerritos</t>
        </r>
      </text>
    </comment>
  </commentList>
</comments>
</file>

<file path=xl/sharedStrings.xml><?xml version="1.0" encoding="utf-8"?>
<sst xmlns="http://schemas.openxmlformats.org/spreadsheetml/2006/main" count="1332" uniqueCount="316">
  <si>
    <t>Mantis Grind Calculator</t>
  </si>
  <si>
    <t>Determine your refinery costs vs. mantis cargo. Input fields in green. Please make a copy for yourself!</t>
  </si>
  <si>
    <t>Refinery Goals</t>
  </si>
  <si>
    <t>Mantis Tier</t>
  </si>
  <si>
    <t>T2</t>
  </si>
  <si>
    <t>Prime Synthetic Nitrium?</t>
  </si>
  <si>
    <t>No</t>
  </si>
  <si>
    <t>Mantis Apocrita Skin?</t>
  </si>
  <si>
    <t>Yes</t>
  </si>
  <si>
    <t>Mantis Refinery Research?</t>
  </si>
  <si>
    <t>Level 1 (35%)</t>
  </si>
  <si>
    <t>Total Daily Actian Loot needed:</t>
  </si>
  <si>
    <t>Refinery Options</t>
  </si>
  <si>
    <t>Cooldown</t>
  </si>
  <si>
    <t>Cost</t>
  </si>
  <si>
    <t>Rewards</t>
  </si>
  <si>
    <t>30 day total</t>
  </si>
  <si>
    <t>Avg. Daily Cost</t>
  </si>
  <si>
    <t>Synthetic Nitrium (ship parts)</t>
  </si>
  <si>
    <t>2 chests</t>
  </si>
  <si>
    <t>Parts refining efficiency</t>
  </si>
  <si>
    <t>Synthetic Ion (research)</t>
  </si>
  <si>
    <t>Next mantis tier in (days):</t>
  </si>
  <si>
    <t>Syndicate XP</t>
  </si>
  <si>
    <t>Hull Fragments (recruit)</t>
  </si>
  <si>
    <t>1 chest</t>
  </si>
  <si>
    <t>Mantis Cargo Planner</t>
  </si>
  <si>
    <t xml:space="preserve"> </t>
  </si>
  <si>
    <t>Is your Cargo component finished for your tier?</t>
  </si>
  <si>
    <t>Base cargo:</t>
  </si>
  <si>
    <t>Actual Cargo:</t>
  </si>
  <si>
    <t>Daily Mantis Trips Required:</t>
  </si>
  <si>
    <t>Crewing Options</t>
  </si>
  <si>
    <t>Officer</t>
  </si>
  <si>
    <t>Tier</t>
  </si>
  <si>
    <t>Cargo Buff</t>
  </si>
  <si>
    <t>Two Examples of Crewing Combination Inputs</t>
  </si>
  <si>
    <t>Captain</t>
  </si>
  <si>
    <t>2 of 11</t>
  </si>
  <si>
    <t>Synergy (only for 2 or Mavery)</t>
  </si>
  <si>
    <t>1 side (+15%)</t>
  </si>
  <si>
    <t>Bridge Officer 1</t>
  </si>
  <si>
    <t>Stonn</t>
  </si>
  <si>
    <t>Bridge Oiffcer 2</t>
  </si>
  <si>
    <t>Non-cargo officer</t>
  </si>
  <si>
    <t>La'an below decks?</t>
  </si>
  <si>
    <t>Total buff from officers:</t>
  </si>
  <si>
    <t>Other Sources</t>
  </si>
  <si>
    <t>Input</t>
  </si>
  <si>
    <t>Requirements</t>
  </si>
  <si>
    <t>Your ops level</t>
  </si>
  <si>
    <t>40-50</t>
  </si>
  <si>
    <t>Syndicate level</t>
  </si>
  <si>
    <t>14-28</t>
  </si>
  <si>
    <t>Treasury level</t>
  </si>
  <si>
    <t>45-49</t>
  </si>
  <si>
    <t>Equivalent Ops</t>
  </si>
  <si>
    <t>Haul Capacity</t>
  </si>
  <si>
    <t>Mantis Cargo Research</t>
  </si>
  <si>
    <t>Anti-Proton Projectile</t>
  </si>
  <si>
    <t>$$ pack</t>
  </si>
  <si>
    <t>Total buff from other sources:</t>
  </si>
  <si>
    <t>Raw Data Below</t>
  </si>
  <si>
    <t xml:space="preserve">Created by: @JulesVern with support from @BlueMandalorian and the STFC Community
</t>
  </si>
  <si>
    <t>Updated:</t>
  </si>
  <si>
    <t>Mantis Refinery by Tier</t>
  </si>
  <si>
    <t>Synthetic Nitrium (ship)</t>
  </si>
  <si>
    <t>1 day cooldown</t>
  </si>
  <si>
    <t>3 day cooldown</t>
  </si>
  <si>
    <t>2 day cooldown</t>
  </si>
  <si>
    <t>2 chest</t>
  </si>
  <si>
    <t>each</t>
  </si>
  <si>
    <t>Ex-Borg 1</t>
  </si>
  <si>
    <t>Ex-Borg 2</t>
  </si>
  <si>
    <t>w/ prime</t>
  </si>
  <si>
    <t>w/ skin</t>
  </si>
  <si>
    <t>w/skin</t>
  </si>
  <si>
    <t>T1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</si>
  <si>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</si>
  <si>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</si>
  <si>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</si>
  <si>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</si>
  <si>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</si>
  <si>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</si>
  <si>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</si>
  <si>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</si>
  <si>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</si>
  <si>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</si>
  <si>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Syndicate Level</t>
  </si>
  <si>
    <t>Ops:</t>
  </si>
  <si>
    <t>30-39</t>
  </si>
  <si>
    <t>51-60</t>
  </si>
  <si>
    <t>Not Upgraded</t>
  </si>
  <si>
    <t>Upgraded</t>
  </si>
  <si>
    <t>7-10</t>
  </si>
  <si>
    <t>Tier bonus</t>
  </si>
  <si>
    <t>Part Level</t>
  </si>
  <si>
    <t>Total Cargo</t>
  </si>
  <si>
    <t>11-13</t>
  </si>
  <si>
    <t>29-32</t>
  </si>
  <si>
    <t>33+</t>
  </si>
  <si>
    <t>Treasury Level</t>
  </si>
  <si>
    <t>Level</t>
  </si>
  <si>
    <t>Buff</t>
  </si>
  <si>
    <t>1-4</t>
  </si>
  <si>
    <t>Cargo</t>
  </si>
  <si>
    <t>5-9</t>
  </si>
  <si>
    <t>Bonus</t>
  </si>
  <si>
    <t>R+D</t>
  </si>
  <si>
    <t>10-14</t>
  </si>
  <si>
    <t>15-19</t>
  </si>
  <si>
    <t>(35) R+D</t>
  </si>
  <si>
    <t>20-24</t>
  </si>
  <si>
    <t>25-29</t>
  </si>
  <si>
    <t>(39) R+D</t>
  </si>
  <si>
    <t>30-34</t>
  </si>
  <si>
    <t>(40) R+D</t>
  </si>
  <si>
    <t>35-39</t>
  </si>
  <si>
    <t>40-44</t>
  </si>
  <si>
    <t>(45) R+D</t>
  </si>
  <si>
    <t>Mantis Progression</t>
  </si>
  <si>
    <t>Total Parts</t>
  </si>
  <si>
    <t>50-54</t>
  </si>
  <si>
    <t>(51) R+D</t>
  </si>
  <si>
    <t>55-59</t>
  </si>
  <si>
    <t>(52) R+D</t>
  </si>
  <si>
    <t>(54) R+D</t>
  </si>
  <si>
    <t>Mantis Cargo Research Level</t>
  </si>
  <si>
    <t>level</t>
  </si>
  <si>
    <t>buff</t>
  </si>
  <si>
    <t>requirement</t>
  </si>
  <si>
    <t>Increase</t>
  </si>
  <si>
    <t>(33) Foundry</t>
  </si>
  <si>
    <t>(34) Foundry</t>
  </si>
  <si>
    <t>(35) Foundry</t>
  </si>
  <si>
    <t>(36) Foundry</t>
  </si>
  <si>
    <t>(38) Foundry</t>
  </si>
  <si>
    <t>Total</t>
  </si>
  <si>
    <t>(39) Foundry</t>
  </si>
  <si>
    <t>dafuq</t>
  </si>
  <si>
    <t>(40) Foundry</t>
  </si>
  <si>
    <t>(41) Foundry</t>
  </si>
  <si>
    <t>is</t>
  </si>
  <si>
    <t>this</t>
  </si>
  <si>
    <t>(43) Foundry</t>
  </si>
  <si>
    <t>(45) Foundry</t>
  </si>
  <si>
    <t>shit</t>
  </si>
  <si>
    <t>(46) Foundry</t>
  </si>
  <si>
    <t>(47) Foundry</t>
  </si>
  <si>
    <t>(49) Foundry</t>
  </si>
  <si>
    <t>Anti-proton Projectile</t>
  </si>
  <si>
    <t>yes</t>
  </si>
  <si>
    <t>$$ pack purchase</t>
  </si>
  <si>
    <t>Officers</t>
  </si>
  <si>
    <t>Synergy</t>
  </si>
  <si>
    <t>Mavery</t>
  </si>
  <si>
    <t>4 of 11</t>
  </si>
  <si>
    <t>SNW La'an</t>
  </si>
  <si>
    <t>2 of 11 synergy</t>
  </si>
  <si>
    <t>Mantis Refinery and Debuff by Tier</t>
  </si>
  <si>
    <t>Mantis Daily Task</t>
  </si>
  <si>
    <t>Daily Refinery Cost</t>
  </si>
  <si>
    <t>Synthetic Nitrium (Ship)</t>
  </si>
  <si>
    <t>Synthetic Ion (Research)</t>
  </si>
  <si>
    <t>Hull Fragments (Recruit)</t>
  </si>
  <si>
    <t>Debuff</t>
  </si>
  <si>
    <t>Rewards Hull Fragments</t>
  </si>
  <si>
    <t>Average Daily Cost by Chest</t>
  </si>
  <si>
    <t>Cost:</t>
  </si>
  <si>
    <t>Ops</t>
  </si>
  <si>
    <t>w/ Prime</t>
  </si>
  <si>
    <t>Crit Chance</t>
  </si>
  <si>
    <t>Crit damage</t>
  </si>
  <si>
    <t>Duration</t>
  </si>
  <si>
    <t>Hunter</t>
  </si>
  <si>
    <t>Slayer</t>
  </si>
  <si>
    <t>60s</t>
  </si>
  <si>
    <t>120s</t>
  </si>
  <si>
    <t>90s</t>
  </si>
  <si>
    <t>115s</t>
  </si>
  <si>
    <t>110s</t>
  </si>
  <si>
    <t>150s</t>
  </si>
  <si>
    <t>105s</t>
  </si>
  <si>
    <t>36-37</t>
  </si>
  <si>
    <t>180s</t>
  </si>
  <si>
    <t>100s</t>
  </si>
  <si>
    <t>210s</t>
  </si>
  <si>
    <t>95s</t>
  </si>
  <si>
    <t>240s</t>
  </si>
  <si>
    <t>270s</t>
  </si>
  <si>
    <t>85s</t>
  </si>
  <si>
    <t>41-42</t>
  </si>
  <si>
    <t>300s</t>
  </si>
  <si>
    <t>80s</t>
  </si>
  <si>
    <t>43-44</t>
  </si>
  <si>
    <t>330s</t>
  </si>
  <si>
    <t>75s</t>
  </si>
  <si>
    <t>45-46</t>
  </si>
  <si>
    <t>360s</t>
  </si>
  <si>
    <t>47-48</t>
  </si>
  <si>
    <t>420s</t>
  </si>
  <si>
    <t>30s</t>
  </si>
  <si>
    <t>49-60</t>
  </si>
  <si>
    <t>Compiled by: @JulesVern and the STFC Community</t>
  </si>
  <si>
    <t>*Ex-Borg 1 &amp; 2 refers to "Mantis Refinery" research in Ex-Borg research tree.</t>
  </si>
  <si>
    <t>**Skin refers to the Mantis Apocrita Refit</t>
  </si>
  <si>
    <t>Updated: 6/16/23</t>
  </si>
  <si>
    <t>T12 no R</t>
  </si>
  <si>
    <t>Mantis Refinery Cost Trend (venom per reward)</t>
  </si>
  <si>
    <t>Mantis Refinery Efficency (reward per venom)</t>
  </si>
  <si>
    <t>Synthetic Nitrium</t>
  </si>
  <si>
    <t>Synthetic Ion</t>
  </si>
  <si>
    <t>Hull Fragments</t>
  </si>
  <si>
    <t>2 w/ prime</t>
  </si>
  <si>
    <t>Days until Next Mantis Tier</t>
  </si>
  <si>
    <t>1 chest/day</t>
  </si>
  <si>
    <t>2 chests/day</t>
  </si>
  <si>
    <t>no boosts</t>
  </si>
  <si>
    <t>w/ Station Prime</t>
  </si>
  <si>
    <t>Total days</t>
  </si>
  <si>
    <t>Updated: 8/11/23</t>
  </si>
  <si>
    <t>*"w/ Station Prime" refers to Select Ship Sustainability research AND prime</t>
  </si>
  <si>
    <t>MANTIS RESEARCH</t>
  </si>
  <si>
    <t>Specific buffs, Insert yours here:</t>
  </si>
  <si>
    <t>no efficiency research here</t>
  </si>
  <si>
    <t>Raw Cost</t>
  </si>
  <si>
    <t>Power increase</t>
  </si>
  <si>
    <t>Actual Cost</t>
  </si>
  <si>
    <t>line</t>
  </si>
  <si>
    <t>inc?</t>
  </si>
  <si>
    <t>Foundry</t>
  </si>
  <si>
    <t>lvl</t>
  </si>
  <si>
    <t>Research</t>
  </si>
  <si>
    <t>Power</t>
  </si>
  <si>
    <t>Days</t>
  </si>
  <si>
    <t>Pure Venom</t>
  </si>
  <si>
    <t>Dilithium</t>
  </si>
  <si>
    <t>Mantis Weaponry</t>
  </si>
  <si>
    <t>Increases Mantis damage against Actian hostiles</t>
  </si>
  <si>
    <t>z</t>
  </si>
  <si>
    <t>Mantis Cargo</t>
  </si>
  <si>
    <t>Increases Mantis Base Max Cargo</t>
  </si>
  <si>
    <t>Mantis Hull Plating</t>
  </si>
  <si>
    <t>Increases Mantis Base Hull Health</t>
  </si>
  <si>
    <t>Mantis Impulse Speed</t>
  </si>
  <si>
    <t>Mantis Protected Cargo</t>
  </si>
  <si>
    <t>Increases Mantis Protected Cargo (Level Dependent on Mantis Cargo Research)</t>
  </si>
  <si>
    <t>Mantis Shield Power</t>
  </si>
  <si>
    <t>Increases Mantis Base Shield Health (Level Dependent on Mantis Hull Plating)</t>
  </si>
  <si>
    <t>R&amp;D</t>
  </si>
  <si>
    <t>Mantis Refinery</t>
  </si>
  <si>
    <t>Increases Synthetic Nitrium refinery rewards</t>
  </si>
  <si>
    <t>Ex-Borg Credits</t>
  </si>
  <si>
    <t>Prime Actian Harvester</t>
  </si>
  <si>
    <t>Double Actian Venom rewards from Actian Hostiles</t>
  </si>
  <si>
    <t>33*</t>
  </si>
  <si>
    <t>Prime Synthetic Nitrium Refining</t>
  </si>
  <si>
    <t>new each</t>
  </si>
  <si>
    <t>**NOTE: EVERYTHING ITALICIZED IS UNCONFIRMED.</t>
  </si>
  <si>
    <t>Updated: 12/07/2022</t>
  </si>
  <si>
    <t>Maximum Participation Modeling</t>
  </si>
  <si>
    <t>Recommended Changes</t>
  </si>
  <si>
    <t>Likely max cargo at ops levels</t>
  </si>
  <si>
    <t>Average Daily need</t>
  </si>
  <si>
    <t>Target Hostile Level</t>
  </si>
  <si>
    <t>Rec. Chrysalis Base Loot each (hitting 50/day)</t>
  </si>
  <si>
    <t>Max Cargo needed to hit 25 target level</t>
  </si>
  <si>
    <t>Recommended BASE cargo*</t>
  </si>
  <si>
    <t>Base Cargo</t>
  </si>
  <si>
    <t>max cargo x2</t>
  </si>
  <si>
    <t>Single pulls</t>
  </si>
  <si>
    <t>Double pulls</t>
  </si>
  <si>
    <t>* = Max cargo needed / (1 + (max possible cargo bonus for ops)*0.5)</t>
  </si>
  <si>
    <t>Max Cargo Bonus by Ops</t>
  </si>
  <si>
    <t>Officer Acquisition by ops</t>
  </si>
  <si>
    <t>2+ 1 synergy</t>
  </si>
  <si>
    <t>4 of  11</t>
  </si>
  <si>
    <t>Likely Syndicate</t>
  </si>
  <si>
    <t>Treasury</t>
  </si>
  <si>
    <t>La'an</t>
  </si>
  <si>
    <t>2,4,stonn; la'an</t>
  </si>
  <si>
    <t>Actian Hostile Loot</t>
  </si>
  <si>
    <t>Rewards Actian Venom</t>
  </si>
  <si>
    <t>Ratio</t>
  </si>
  <si>
    <t>Chrysalis</t>
  </si>
  <si>
    <t>Apex</t>
  </si>
  <si>
    <t>(Values are approximate)</t>
  </si>
  <si>
    <t>Likely Max Cargo by Ops Level</t>
  </si>
  <si>
    <t>Likely Mantis Max Cargo x2 by Ops Level</t>
  </si>
  <si>
    <t>Syndicate Level, Treasury Level, Mantis Cargo Research and Crew (2of11, 4of11, Stonn; SNW La'an Below Decks)</t>
  </si>
  <si>
    <t>Average Daily Need</t>
  </si>
  <si>
    <t>Syndicate Level, Treasury Level, Mantis Cargo Research and Crew: 2of11, 4of11, Stonn; SNW La'an below decks</t>
  </si>
  <si>
    <t>ALL MAX</t>
  </si>
  <si>
    <t>Likely Max Cargo</t>
  </si>
  <si>
    <t>Single Chest</t>
  </si>
  <si>
    <t>Double Chests</t>
  </si>
  <si>
    <t>likely cargo</t>
  </si>
  <si>
    <t>Single chests</t>
  </si>
  <si>
    <t>Double chests</t>
  </si>
  <si>
    <t>T5 Jelly</t>
  </si>
  <si>
    <t>T5 Valdore</t>
  </si>
  <si>
    <t>T5 Pilum</t>
  </si>
  <si>
    <t>T7 Newton</t>
  </si>
  <si>
    <t>T12 No Remaining Research -&gt;</t>
  </si>
  <si>
    <t>Officer Acquisition by Ops</t>
  </si>
  <si>
    <t>2,4,Stonn w/ La'an</t>
  </si>
  <si>
    <t>Max Syndicate</t>
  </si>
  <si>
    <t>Max Treasury</t>
  </si>
  <si>
    <t>2,4,stonn; la'an (all T5)</t>
  </si>
  <si>
    <t>Max Mantis Cargo Research</t>
  </si>
  <si>
    <t>likely max cargo</t>
  </si>
  <si>
    <t>Single chest</t>
  </si>
  <si>
    <t>Best Possible Loot</t>
  </si>
  <si>
    <t># hostiles for 2 chests w/ Max Hemmer and Prime loot</t>
  </si>
  <si>
    <t xml:space="preserve">Chrysalis only </t>
  </si>
  <si>
    <t>Apex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</si>
</sst>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20" x14ac:knownFonts="1">
    <font>
      <sz val="10"/>
      <color rgb="FF000000"/>
      <name val="Arial"/>
      <scheme val="minor"/>
    </font>
    <font>
      <sz val="18"/>
      <color theme="1"/>
      <name val="Arial"/>
      <scheme val="minor"/>
    </font>
    <font>
      <sz val="10"/>
      <color theme="1"/>
      <name val="Arial"/>
      <scheme val="minor"/>
    </font>
    <font>
      <i/>
      <sz val="14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i/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1"/>
      <color rgb="FF000000"/>
      <name val="Arial"/>
      <scheme val="minor"/>
    </font>
    <font>
      <i/>
      <sz val="10"/>
      <color rgb="FF666666"/>
      <name val="Arial"/>
      <scheme val="minor"/>
    </font>
    <font>
      <sz val="10"/>
      <color rgb="FF666666"/>
      <name val="Arial"/>
      <scheme val="minor"/>
    </font>
    <font>
      <sz val="10"/>
      <color theme="1"/>
      <name val="Roboto"/>
    </font>
    <font>
      <sz val="16"/>
      <color theme="1"/>
      <name val="Arial"/>
      <scheme val="minor"/>
    </font>
    <font>
      <sz val="8"/>
      <color theme="1"/>
      <name val="Arial"/>
      <scheme val="minor"/>
    </font>
    <font>
      <sz val="14"/>
      <color theme="1"/>
      <name val="Arial"/>
      <scheme val="minor"/>
    </font>
    <font>
      <b/>
      <i/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</fonts>
  <fills count="2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34">
    <border>
      <left/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2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5" fillId="3" borderId="0" xfId="0" applyFont="1" applyFill="1"/>
    <xf numFmtId="3" fontId="7" fillId="4" borderId="2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/>
    <xf numFmtId="3" fontId="2" fillId="5" borderId="0" xfId="0" applyNumberFormat="1" applyFont="1" applyFill="1"/>
    <xf numFmtId="3" fontId="2" fillId="5" borderId="5" xfId="0" applyNumberFormat="1" applyFont="1" applyFill="1" applyBorder="1"/>
    <xf numFmtId="164" fontId="6" fillId="0" borderId="6" xfId="0" applyNumberFormat="1" applyFont="1" applyBorder="1"/>
    <xf numFmtId="0" fontId="2" fillId="3" borderId="0" xfId="0" applyFont="1" applyFill="1"/>
    <xf numFmtId="3" fontId="2" fillId="6" borderId="0" xfId="0" applyNumberFormat="1" applyFont="1" applyFill="1"/>
    <xf numFmtId="3" fontId="2" fillId="6" borderId="5" xfId="0" applyNumberFormat="1" applyFont="1" applyFill="1" applyBorder="1"/>
    <xf numFmtId="0" fontId="6" fillId="0" borderId="6" xfId="0" applyFont="1" applyBorder="1"/>
    <xf numFmtId="3" fontId="2" fillId="7" borderId="0" xfId="0" applyNumberFormat="1" applyFont="1" applyFill="1"/>
    <xf numFmtId="3" fontId="2" fillId="7" borderId="5" xfId="0" applyNumberFormat="1" applyFont="1" applyFill="1" applyBorder="1"/>
    <xf numFmtId="3" fontId="2" fillId="8" borderId="0" xfId="0" applyNumberFormat="1" applyFont="1" applyFill="1"/>
    <xf numFmtId="3" fontId="2" fillId="8" borderId="5" xfId="0" applyNumberFormat="1" applyFont="1" applyFill="1" applyBorder="1"/>
    <xf numFmtId="0" fontId="5" fillId="3" borderId="8" xfId="0" applyFont="1" applyFill="1" applyBorder="1"/>
    <xf numFmtId="0" fontId="2" fillId="0" borderId="8" xfId="0" applyFont="1" applyBorder="1" applyAlignment="1">
      <alignment horizontal="right"/>
    </xf>
    <xf numFmtId="3" fontId="2" fillId="0" borderId="6" xfId="0" applyNumberFormat="1" applyFont="1" applyBorder="1" applyAlignment="1">
      <alignment horizontal="center"/>
    </xf>
    <xf numFmtId="0" fontId="7" fillId="0" borderId="8" xfId="0" applyFont="1" applyBorder="1" applyAlignment="1">
      <alignment horizontal="right"/>
    </xf>
    <xf numFmtId="3" fontId="9" fillId="4" borderId="2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8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5" xfId="0" applyFont="1" applyBorder="1"/>
    <xf numFmtId="9" fontId="2" fillId="0" borderId="0" xfId="0" applyNumberFormat="1" applyFont="1"/>
    <xf numFmtId="0" fontId="2" fillId="0" borderId="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9" fontId="2" fillId="0" borderId="19" xfId="0" applyNumberFormat="1" applyFont="1" applyBorder="1"/>
    <xf numFmtId="0" fontId="2" fillId="0" borderId="20" xfId="0" applyFont="1" applyBorder="1"/>
    <xf numFmtId="0" fontId="2" fillId="0" borderId="21" xfId="0" applyFont="1" applyBorder="1"/>
    <xf numFmtId="9" fontId="2" fillId="0" borderId="22" xfId="0" applyNumberFormat="1" applyFont="1" applyBorder="1"/>
    <xf numFmtId="0" fontId="5" fillId="3" borderId="0" xfId="0" applyFont="1" applyFill="1" applyAlignment="1">
      <alignment horizontal="left"/>
    </xf>
    <xf numFmtId="9" fontId="2" fillId="0" borderId="23" xfId="0" applyNumberFormat="1" applyFont="1" applyBorder="1"/>
    <xf numFmtId="0" fontId="8" fillId="0" borderId="24" xfId="0" applyFont="1" applyBorder="1"/>
    <xf numFmtId="0" fontId="2" fillId="0" borderId="24" xfId="0" applyFont="1" applyBorder="1"/>
    <xf numFmtId="0" fontId="10" fillId="0" borderId="7" xfId="0" applyFont="1" applyBorder="1"/>
    <xf numFmtId="0" fontId="11" fillId="0" borderId="7" xfId="0" applyFont="1" applyBorder="1"/>
    <xf numFmtId="3" fontId="10" fillId="0" borderId="7" xfId="0" applyNumberFormat="1" applyFont="1" applyBorder="1"/>
    <xf numFmtId="0" fontId="10" fillId="0" borderId="7" xfId="0" applyFont="1" applyBorder="1" applyAlignment="1">
      <alignment horizontal="right"/>
    </xf>
    <xf numFmtId="14" fontId="10" fillId="0" borderId="7" xfId="0" applyNumberFormat="1" applyFont="1" applyBorder="1"/>
    <xf numFmtId="0" fontId="11" fillId="0" borderId="0" xfId="0" applyFont="1"/>
    <xf numFmtId="3" fontId="1" fillId="2" borderId="0" xfId="0" applyNumberFormat="1" applyFont="1" applyFill="1" applyAlignment="1">
      <alignment horizontal="center"/>
    </xf>
    <xf numFmtId="3" fontId="2" fillId="2" borderId="26" xfId="0" applyNumberFormat="1" applyFont="1" applyFill="1" applyBorder="1" applyAlignment="1">
      <alignment horizontal="center"/>
    </xf>
    <xf numFmtId="3" fontId="2" fillId="7" borderId="14" xfId="0" applyNumberFormat="1" applyFont="1" applyFill="1" applyBorder="1" applyAlignment="1">
      <alignment horizontal="center"/>
    </xf>
    <xf numFmtId="3" fontId="2" fillId="2" borderId="27" xfId="0" applyNumberFormat="1" applyFont="1" applyFill="1" applyBorder="1" applyAlignment="1">
      <alignment horizontal="center"/>
    </xf>
    <xf numFmtId="3" fontId="2" fillId="5" borderId="5" xfId="0" applyNumberFormat="1" applyFont="1" applyFill="1" applyBorder="1" applyAlignment="1">
      <alignment horizontal="center"/>
    </xf>
    <xf numFmtId="3" fontId="2" fillId="7" borderId="0" xfId="0" applyNumberFormat="1" applyFont="1" applyFill="1" applyAlignment="1">
      <alignment horizontal="center"/>
    </xf>
    <xf numFmtId="3" fontId="2" fillId="2" borderId="10" xfId="0" applyNumberFormat="1" applyFont="1" applyFill="1" applyBorder="1"/>
    <xf numFmtId="3" fontId="2" fillId="5" borderId="4" xfId="0" applyNumberFormat="1" applyFont="1" applyFill="1" applyBorder="1"/>
    <xf numFmtId="3" fontId="2" fillId="5" borderId="3" xfId="0" applyNumberFormat="1" applyFont="1" applyFill="1" applyBorder="1"/>
    <xf numFmtId="3" fontId="2" fillId="9" borderId="28" xfId="0" applyNumberFormat="1" applyFont="1" applyFill="1" applyBorder="1"/>
    <xf numFmtId="3" fontId="2" fillId="9" borderId="0" xfId="0" applyNumberFormat="1" applyFont="1" applyFill="1"/>
    <xf numFmtId="3" fontId="2" fillId="6" borderId="4" xfId="0" applyNumberFormat="1" applyFont="1" applyFill="1" applyBorder="1"/>
    <xf numFmtId="3" fontId="2" fillId="6" borderId="3" xfId="0" applyNumberFormat="1" applyFont="1" applyFill="1" applyBorder="1"/>
    <xf numFmtId="3" fontId="2" fillId="10" borderId="29" xfId="0" applyNumberFormat="1" applyFont="1" applyFill="1" applyBorder="1"/>
    <xf numFmtId="3" fontId="2" fillId="7" borderId="3" xfId="0" applyNumberFormat="1" applyFont="1" applyFill="1" applyBorder="1"/>
    <xf numFmtId="3" fontId="2" fillId="8" borderId="4" xfId="0" applyNumberFormat="1" applyFont="1" applyFill="1" applyBorder="1"/>
    <xf numFmtId="3" fontId="2" fillId="8" borderId="3" xfId="0" applyNumberFormat="1" applyFont="1" applyFill="1" applyBorder="1"/>
    <xf numFmtId="3" fontId="2" fillId="11" borderId="29" xfId="0" applyNumberFormat="1" applyFont="1" applyFill="1" applyBorder="1"/>
    <xf numFmtId="3" fontId="2" fillId="2" borderId="27" xfId="0" applyNumberFormat="1" applyFont="1" applyFill="1" applyBorder="1"/>
    <xf numFmtId="3" fontId="2" fillId="5" borderId="14" xfId="0" applyNumberFormat="1" applyFont="1" applyFill="1" applyBorder="1"/>
    <xf numFmtId="3" fontId="2" fillId="9" borderId="30" xfId="0" applyNumberFormat="1" applyFont="1" applyFill="1" applyBorder="1"/>
    <xf numFmtId="3" fontId="2" fillId="9" borderId="14" xfId="0" applyNumberFormat="1" applyFont="1" applyFill="1" applyBorder="1"/>
    <xf numFmtId="3" fontId="2" fillId="9" borderId="9" xfId="0" applyNumberFormat="1" applyFont="1" applyFill="1" applyBorder="1"/>
    <xf numFmtId="3" fontId="2" fillId="10" borderId="31" xfId="0" applyNumberFormat="1" applyFont="1" applyFill="1" applyBorder="1"/>
    <xf numFmtId="3" fontId="2" fillId="11" borderId="31" xfId="0" applyNumberFormat="1" applyFont="1" applyFill="1" applyBorder="1"/>
    <xf numFmtId="3" fontId="2" fillId="9" borderId="16" xfId="0" applyNumberFormat="1" applyFont="1" applyFill="1" applyBorder="1"/>
    <xf numFmtId="3" fontId="2" fillId="9" borderId="3" xfId="0" applyNumberFormat="1" applyFont="1" applyFill="1" applyBorder="1"/>
    <xf numFmtId="3" fontId="2" fillId="9" borderId="20" xfId="0" applyNumberFormat="1" applyFont="1" applyFill="1" applyBorder="1"/>
    <xf numFmtId="3" fontId="2" fillId="0" borderId="5" xfId="0" applyNumberFormat="1" applyFont="1" applyBorder="1"/>
    <xf numFmtId="0" fontId="2" fillId="0" borderId="13" xfId="0" applyFont="1" applyBorder="1"/>
    <xf numFmtId="3" fontId="2" fillId="0" borderId="0" xfId="0" applyNumberFormat="1" applyFont="1"/>
    <xf numFmtId="3" fontId="2" fillId="0" borderId="16" xfId="0" applyNumberFormat="1" applyFont="1" applyBorder="1"/>
    <xf numFmtId="3" fontId="2" fillId="0" borderId="13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4" xfId="0" applyFont="1" applyBorder="1"/>
    <xf numFmtId="3" fontId="2" fillId="0" borderId="14" xfId="0" applyNumberFormat="1" applyFont="1" applyBorder="1"/>
    <xf numFmtId="3" fontId="2" fillId="0" borderId="9" xfId="0" applyNumberFormat="1" applyFont="1" applyBorder="1"/>
    <xf numFmtId="49" fontId="2" fillId="0" borderId="5" xfId="0" applyNumberFormat="1" applyFont="1" applyBorder="1" applyAlignment="1">
      <alignment horizontal="right"/>
    </xf>
    <xf numFmtId="9" fontId="2" fillId="0" borderId="16" xfId="0" applyNumberFormat="1" applyFont="1" applyBorder="1"/>
    <xf numFmtId="49" fontId="2" fillId="0" borderId="0" xfId="0" applyNumberFormat="1" applyFont="1" applyAlignment="1">
      <alignment horizontal="right"/>
    </xf>
    <xf numFmtId="3" fontId="2" fillId="2" borderId="5" xfId="0" applyNumberFormat="1" applyFont="1" applyFill="1" applyBorder="1"/>
    <xf numFmtId="49" fontId="2" fillId="0" borderId="4" xfId="0" applyNumberFormat="1" applyFont="1" applyBorder="1" applyAlignment="1">
      <alignment horizontal="right"/>
    </xf>
    <xf numFmtId="9" fontId="2" fillId="0" borderId="3" xfId="0" applyNumberFormat="1" applyFont="1" applyBorder="1"/>
    <xf numFmtId="9" fontId="2" fillId="0" borderId="20" xfId="0" applyNumberFormat="1" applyFont="1" applyBorder="1"/>
    <xf numFmtId="3" fontId="2" fillId="0" borderId="13" xfId="0" applyNumberFormat="1" applyFont="1" applyBorder="1"/>
    <xf numFmtId="0" fontId="8" fillId="0" borderId="0" xfId="0" applyFont="1" applyAlignment="1">
      <alignment horizontal="center"/>
    </xf>
    <xf numFmtId="3" fontId="12" fillId="12" borderId="0" xfId="0" applyNumberFormat="1" applyFont="1" applyFill="1"/>
    <xf numFmtId="3" fontId="5" fillId="12" borderId="0" xfId="0" applyNumberFormat="1" applyFont="1" applyFill="1"/>
    <xf numFmtId="3" fontId="12" fillId="0" borderId="32" xfId="0" applyNumberFormat="1" applyFont="1" applyBorder="1"/>
    <xf numFmtId="0" fontId="7" fillId="0" borderId="0" xfId="0" applyFont="1"/>
    <xf numFmtId="9" fontId="12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2" fillId="2" borderId="4" xfId="0" applyNumberFormat="1" applyFont="1" applyFill="1" applyBorder="1"/>
    <xf numFmtId="3" fontId="2" fillId="0" borderId="3" xfId="0" applyNumberFormat="1" applyFont="1" applyBorder="1"/>
    <xf numFmtId="3" fontId="2" fillId="0" borderId="20" xfId="0" applyNumberFormat="1" applyFont="1" applyBorder="1"/>
    <xf numFmtId="9" fontId="5" fillId="0" borderId="0" xfId="0" applyNumberFormat="1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9" xfId="0" applyFont="1" applyBorder="1"/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0" fontId="5" fillId="0" borderId="20" xfId="0" applyFont="1" applyBorder="1" applyAlignment="1">
      <alignment horizontal="center"/>
    </xf>
    <xf numFmtId="3" fontId="8" fillId="0" borderId="0" xfId="0" applyNumberFormat="1" applyFont="1"/>
    <xf numFmtId="3" fontId="2" fillId="3" borderId="5" xfId="0" applyNumberFormat="1" applyFont="1" applyFill="1" applyBorder="1"/>
    <xf numFmtId="3" fontId="2" fillId="3" borderId="0" xfId="0" applyNumberFormat="1" applyFont="1" applyFill="1"/>
    <xf numFmtId="3" fontId="2" fillId="3" borderId="16" xfId="0" applyNumberFormat="1" applyFont="1" applyFill="1" applyBorder="1"/>
    <xf numFmtId="3" fontId="2" fillId="2" borderId="10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2" fillId="5" borderId="0" xfId="0" applyNumberFormat="1" applyFont="1" applyFill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3" fontId="2" fillId="9" borderId="28" xfId="0" applyNumberFormat="1" applyFont="1" applyFill="1" applyBorder="1" applyAlignment="1">
      <alignment horizontal="center"/>
    </xf>
    <xf numFmtId="3" fontId="2" fillId="9" borderId="3" xfId="0" applyNumberFormat="1" applyFon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3" fontId="2" fillId="6" borderId="3" xfId="0" applyNumberFormat="1" applyFont="1" applyFill="1" applyBorder="1" applyAlignment="1">
      <alignment horizontal="center"/>
    </xf>
    <xf numFmtId="3" fontId="2" fillId="10" borderId="29" xfId="0" applyNumberFormat="1" applyFont="1" applyFill="1" applyBorder="1" applyAlignment="1">
      <alignment horizontal="center"/>
    </xf>
    <xf numFmtId="3" fontId="2" fillId="7" borderId="3" xfId="0" applyNumberFormat="1" applyFont="1" applyFill="1" applyBorder="1" applyAlignment="1">
      <alignment horizontal="center"/>
    </xf>
    <xf numFmtId="3" fontId="2" fillId="15" borderId="4" xfId="0" applyNumberFormat="1" applyFont="1" applyFill="1" applyBorder="1" applyAlignment="1">
      <alignment horizontal="center"/>
    </xf>
    <xf numFmtId="3" fontId="2" fillId="15" borderId="3" xfId="0" applyNumberFormat="1" applyFont="1" applyFill="1" applyBorder="1" applyAlignment="1">
      <alignment horizontal="center"/>
    </xf>
    <xf numFmtId="3" fontId="2" fillId="17" borderId="29" xfId="0" applyNumberFormat="1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3" fontId="2" fillId="16" borderId="3" xfId="0" applyNumberFormat="1" applyFont="1" applyFill="1" applyBorder="1" applyAlignment="1">
      <alignment horizontal="center"/>
    </xf>
    <xf numFmtId="3" fontId="2" fillId="16" borderId="20" xfId="0" applyNumberFormat="1" applyFont="1" applyFill="1" applyBorder="1" applyAlignment="1">
      <alignment horizontal="center"/>
    </xf>
    <xf numFmtId="3" fontId="2" fillId="13" borderId="4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3" fontId="2" fillId="3" borderId="20" xfId="0" applyNumberFormat="1" applyFont="1" applyFill="1" applyBorder="1" applyAlignment="1">
      <alignment horizontal="center"/>
    </xf>
    <xf numFmtId="3" fontId="2" fillId="14" borderId="4" xfId="0" applyNumberFormat="1" applyFont="1" applyFill="1" applyBorder="1" applyAlignment="1">
      <alignment horizontal="center"/>
    </xf>
    <xf numFmtId="3" fontId="2" fillId="14" borderId="3" xfId="0" applyNumberFormat="1" applyFont="1" applyFill="1" applyBorder="1" applyAlignment="1">
      <alignment horizontal="center"/>
    </xf>
    <xf numFmtId="3" fontId="2" fillId="14" borderId="20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2" fillId="8" borderId="13" xfId="0" applyNumberFormat="1" applyFont="1" applyFill="1" applyBorder="1"/>
    <xf numFmtId="3" fontId="2" fillId="8" borderId="14" xfId="0" applyNumberFormat="1" applyFont="1" applyFill="1" applyBorder="1"/>
    <xf numFmtId="3" fontId="2" fillId="15" borderId="0" xfId="0" applyNumberFormat="1" applyFont="1" applyFill="1"/>
    <xf numFmtId="3" fontId="2" fillId="17" borderId="31" xfId="0" applyNumberFormat="1" applyFont="1" applyFill="1" applyBorder="1"/>
    <xf numFmtId="9" fontId="2" fillId="16" borderId="0" xfId="0" applyNumberFormat="1" applyFont="1" applyFill="1"/>
    <xf numFmtId="0" fontId="2" fillId="16" borderId="0" xfId="0" applyFont="1" applyFill="1"/>
    <xf numFmtId="0" fontId="2" fillId="16" borderId="16" xfId="0" applyFont="1" applyFill="1" applyBorder="1"/>
    <xf numFmtId="0" fontId="2" fillId="13" borderId="5" xfId="0" applyFont="1" applyFill="1" applyBorder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3" borderId="16" xfId="0" applyNumberFormat="1" applyFont="1" applyFill="1" applyBorder="1" applyAlignment="1">
      <alignment horizontal="center"/>
    </xf>
    <xf numFmtId="3" fontId="2" fillId="14" borderId="5" xfId="0" applyNumberFormat="1" applyFont="1" applyFill="1" applyBorder="1" applyAlignment="1">
      <alignment horizontal="center"/>
    </xf>
    <xf numFmtId="3" fontId="2" fillId="18" borderId="0" xfId="0" applyNumberFormat="1" applyFont="1" applyFill="1" applyAlignment="1">
      <alignment horizontal="center"/>
    </xf>
    <xf numFmtId="3" fontId="2" fillId="18" borderId="16" xfId="0" applyNumberFormat="1" applyFont="1" applyFill="1" applyBorder="1" applyAlignment="1">
      <alignment horizontal="center"/>
    </xf>
    <xf numFmtId="3" fontId="2" fillId="13" borderId="5" xfId="0" applyNumberFormat="1" applyFont="1" applyFill="1" applyBorder="1" applyAlignment="1">
      <alignment horizontal="center"/>
    </xf>
    <xf numFmtId="3" fontId="2" fillId="15" borderId="3" xfId="0" applyNumberFormat="1" applyFont="1" applyFill="1" applyBorder="1"/>
    <xf numFmtId="3" fontId="2" fillId="17" borderId="29" xfId="0" applyNumberFormat="1" applyFont="1" applyFill="1" applyBorder="1"/>
    <xf numFmtId="9" fontId="2" fillId="16" borderId="3" xfId="0" applyNumberFormat="1" applyFont="1" applyFill="1" applyBorder="1"/>
    <xf numFmtId="0" fontId="2" fillId="16" borderId="3" xfId="0" applyFont="1" applyFill="1" applyBorder="1"/>
    <xf numFmtId="0" fontId="2" fillId="16" borderId="20" xfId="0" applyFont="1" applyFill="1" applyBorder="1"/>
    <xf numFmtId="0" fontId="2" fillId="13" borderId="4" xfId="0" applyFont="1" applyFill="1" applyBorder="1" applyAlignment="1">
      <alignment horizontal="center"/>
    </xf>
    <xf numFmtId="3" fontId="8" fillId="0" borderId="0" xfId="0" applyNumberFormat="1" applyFont="1" applyAlignment="1">
      <alignment horizontal="right"/>
    </xf>
    <xf numFmtId="3" fontId="2" fillId="18" borderId="3" xfId="0" applyNumberFormat="1" applyFont="1" applyFill="1" applyBorder="1" applyAlignment="1">
      <alignment horizontal="center"/>
    </xf>
    <xf numFmtId="3" fontId="2" fillId="18" borderId="2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6" borderId="14" xfId="0" applyNumberFormat="1" applyFont="1" applyFill="1" applyBorder="1" applyAlignment="1">
      <alignment horizontal="center"/>
    </xf>
    <xf numFmtId="3" fontId="14" fillId="8" borderId="9" xfId="0" applyNumberFormat="1" applyFont="1" applyFill="1" applyBorder="1" applyAlignment="1">
      <alignment horizontal="center"/>
    </xf>
    <xf numFmtId="3" fontId="2" fillId="6" borderId="0" xfId="0" applyNumberFormat="1" applyFont="1" applyFill="1" applyAlignment="1">
      <alignment horizontal="center"/>
    </xf>
    <xf numFmtId="3" fontId="14" fillId="8" borderId="16" xfId="0" applyNumberFormat="1" applyFont="1" applyFill="1" applyBorder="1" applyAlignment="1">
      <alignment horizontal="center"/>
    </xf>
    <xf numFmtId="3" fontId="2" fillId="8" borderId="0" xfId="0" applyNumberFormat="1" applyFont="1" applyFill="1" applyAlignment="1">
      <alignment horizontal="center"/>
    </xf>
    <xf numFmtId="3" fontId="2" fillId="2" borderId="3" xfId="0" applyNumberFormat="1" applyFont="1" applyFill="1" applyBorder="1"/>
    <xf numFmtId="3" fontId="2" fillId="5" borderId="4" xfId="0" applyNumberFormat="1" applyFont="1" applyFill="1" applyBorder="1" applyAlignment="1">
      <alignment horizontal="center"/>
    </xf>
    <xf numFmtId="3" fontId="14" fillId="8" borderId="20" xfId="0" applyNumberFormat="1" applyFont="1" applyFill="1" applyBorder="1" applyAlignment="1">
      <alignment horizontal="center"/>
    </xf>
    <xf numFmtId="3" fontId="2" fillId="8" borderId="20" xfId="0" applyNumberFormat="1" applyFont="1" applyFill="1" applyBorder="1"/>
    <xf numFmtId="3" fontId="2" fillId="2" borderId="0" xfId="0" applyNumberFormat="1" applyFont="1" applyFill="1"/>
    <xf numFmtId="165" fontId="2" fillId="5" borderId="13" xfId="0" applyNumberFormat="1" applyFont="1" applyFill="1" applyBorder="1"/>
    <xf numFmtId="165" fontId="2" fillId="5" borderId="14" xfId="0" applyNumberFormat="1" applyFont="1" applyFill="1" applyBorder="1"/>
    <xf numFmtId="165" fontId="2" fillId="9" borderId="14" xfId="0" applyNumberFormat="1" applyFont="1" applyFill="1" applyBorder="1"/>
    <xf numFmtId="165" fontId="2" fillId="6" borderId="14" xfId="0" applyNumberFormat="1" applyFont="1" applyFill="1" applyBorder="1"/>
    <xf numFmtId="165" fontId="2" fillId="7" borderId="14" xfId="0" applyNumberFormat="1" applyFont="1" applyFill="1" applyBorder="1"/>
    <xf numFmtId="165" fontId="2" fillId="8" borderId="9" xfId="0" applyNumberFormat="1" applyFont="1" applyFill="1" applyBorder="1"/>
    <xf numFmtId="165" fontId="2" fillId="8" borderId="14" xfId="0" applyNumberFormat="1" applyFont="1" applyFill="1" applyBorder="1"/>
    <xf numFmtId="165" fontId="2" fillId="5" borderId="5" xfId="0" applyNumberFormat="1" applyFont="1" applyFill="1" applyBorder="1"/>
    <xf numFmtId="165" fontId="2" fillId="5" borderId="0" xfId="0" applyNumberFormat="1" applyFont="1" applyFill="1"/>
    <xf numFmtId="165" fontId="2" fillId="9" borderId="0" xfId="0" applyNumberFormat="1" applyFont="1" applyFill="1"/>
    <xf numFmtId="165" fontId="2" fillId="6" borderId="0" xfId="0" applyNumberFormat="1" applyFont="1" applyFill="1"/>
    <xf numFmtId="165" fontId="2" fillId="7" borderId="0" xfId="0" applyNumberFormat="1" applyFont="1" applyFill="1"/>
    <xf numFmtId="165" fontId="2" fillId="8" borderId="16" xfId="0" applyNumberFormat="1" applyFont="1" applyFill="1" applyBorder="1"/>
    <xf numFmtId="165" fontId="2" fillId="8" borderId="0" xfId="0" applyNumberFormat="1" applyFont="1" applyFill="1"/>
    <xf numFmtId="165" fontId="2" fillId="5" borderId="4" xfId="0" applyNumberFormat="1" applyFont="1" applyFill="1" applyBorder="1"/>
    <xf numFmtId="165" fontId="2" fillId="5" borderId="3" xfId="0" applyNumberFormat="1" applyFont="1" applyFill="1" applyBorder="1"/>
    <xf numFmtId="165" fontId="2" fillId="9" borderId="3" xfId="0" applyNumberFormat="1" applyFont="1" applyFill="1" applyBorder="1"/>
    <xf numFmtId="165" fontId="2" fillId="6" borderId="3" xfId="0" applyNumberFormat="1" applyFont="1" applyFill="1" applyBorder="1"/>
    <xf numFmtId="165" fontId="2" fillId="7" borderId="3" xfId="0" applyNumberFormat="1" applyFont="1" applyFill="1" applyBorder="1"/>
    <xf numFmtId="165" fontId="2" fillId="8" borderId="20" xfId="0" applyNumberFormat="1" applyFont="1" applyFill="1" applyBorder="1"/>
    <xf numFmtId="165" fontId="2" fillId="8" borderId="3" xfId="0" applyNumberFormat="1" applyFont="1" applyFill="1" applyBorder="1"/>
    <xf numFmtId="3" fontId="5" fillId="19" borderId="5" xfId="0" applyNumberFormat="1" applyFont="1" applyFill="1" applyBorder="1"/>
    <xf numFmtId="3" fontId="5" fillId="19" borderId="0" xfId="0" applyNumberFormat="1" applyFont="1" applyFill="1"/>
    <xf numFmtId="3" fontId="2" fillId="19" borderId="13" xfId="0" applyNumberFormat="1" applyFont="1" applyFill="1" applyBorder="1"/>
    <xf numFmtId="3" fontId="2" fillId="19" borderId="9" xfId="0" applyNumberFormat="1" applyFont="1" applyFill="1" applyBorder="1"/>
    <xf numFmtId="3" fontId="2" fillId="5" borderId="13" xfId="0" applyNumberFormat="1" applyFont="1" applyFill="1" applyBorder="1"/>
    <xf numFmtId="3" fontId="5" fillId="19" borderId="13" xfId="0" applyNumberFormat="1" applyFont="1" applyFill="1" applyBorder="1" applyAlignment="1">
      <alignment horizontal="right"/>
    </xf>
    <xf numFmtId="3" fontId="5" fillId="19" borderId="14" xfId="0" applyNumberFormat="1" applyFont="1" applyFill="1" applyBorder="1" applyAlignment="1">
      <alignment horizontal="right"/>
    </xf>
    <xf numFmtId="3" fontId="2" fillId="19" borderId="5" xfId="0" applyNumberFormat="1" applyFont="1" applyFill="1" applyBorder="1"/>
    <xf numFmtId="3" fontId="2" fillId="19" borderId="16" xfId="0" applyNumberFormat="1" applyFont="1" applyFill="1" applyBorder="1"/>
    <xf numFmtId="3" fontId="5" fillId="19" borderId="9" xfId="0" applyNumberFormat="1" applyFont="1" applyFill="1" applyBorder="1" applyAlignment="1">
      <alignment horizontal="right"/>
    </xf>
    <xf numFmtId="3" fontId="5" fillId="19" borderId="5" xfId="0" applyNumberFormat="1" applyFont="1" applyFill="1" applyBorder="1" applyAlignment="1">
      <alignment horizontal="right"/>
    </xf>
    <xf numFmtId="3" fontId="5" fillId="19" borderId="0" xfId="0" applyNumberFormat="1" applyFont="1" applyFill="1" applyAlignment="1">
      <alignment horizontal="right"/>
    </xf>
    <xf numFmtId="3" fontId="5" fillId="19" borderId="16" xfId="0" applyNumberFormat="1" applyFont="1" applyFill="1" applyBorder="1" applyAlignment="1">
      <alignment horizontal="right"/>
    </xf>
    <xf numFmtId="3" fontId="5" fillId="2" borderId="25" xfId="0" applyNumberFormat="1" applyFont="1" applyFill="1" applyBorder="1" applyAlignment="1">
      <alignment horizontal="right"/>
    </xf>
    <xf numFmtId="3" fontId="5" fillId="2" borderId="8" xfId="0" applyNumberFormat="1" applyFont="1" applyFill="1" applyBorder="1" applyAlignment="1">
      <alignment horizontal="right"/>
    </xf>
    <xf numFmtId="3" fontId="2" fillId="2" borderId="20" xfId="0" applyNumberFormat="1" applyFont="1" applyFill="1" applyBorder="1"/>
    <xf numFmtId="3" fontId="5" fillId="2" borderId="33" xfId="0" applyNumberFormat="1" applyFont="1" applyFill="1" applyBorder="1" applyAlignment="1">
      <alignment horizontal="right"/>
    </xf>
    <xf numFmtId="0" fontId="5" fillId="0" borderId="0" xfId="0" applyFont="1"/>
    <xf numFmtId="10" fontId="5" fillId="0" borderId="6" xfId="0" applyNumberFormat="1" applyFont="1" applyBorder="1" applyAlignment="1">
      <alignment horizontal="right"/>
    </xf>
    <xf numFmtId="10" fontId="5" fillId="20" borderId="6" xfId="0" applyNumberFormat="1" applyFont="1" applyFill="1" applyBorder="1" applyAlignment="1">
      <alignment horizontal="right"/>
    </xf>
    <xf numFmtId="9" fontId="5" fillId="0" borderId="0" xfId="0" applyNumberFormat="1" applyFont="1"/>
    <xf numFmtId="0" fontId="17" fillId="0" borderId="0" xfId="0" applyFont="1"/>
    <xf numFmtId="3" fontId="17" fillId="0" borderId="0" xfId="0" applyNumberFormat="1" applyFont="1" applyAlignment="1">
      <alignment horizontal="right"/>
    </xf>
    <xf numFmtId="3" fontId="5" fillId="0" borderId="0" xfId="0" applyNumberFormat="1" applyFont="1"/>
    <xf numFmtId="3" fontId="18" fillId="0" borderId="0" xfId="0" applyNumberFormat="1" applyFont="1" applyAlignment="1">
      <alignment horizontal="right"/>
    </xf>
    <xf numFmtId="0" fontId="5" fillId="16" borderId="0" xfId="0" applyFont="1" applyFill="1"/>
    <xf numFmtId="0" fontId="5" fillId="7" borderId="0" xfId="0" applyFont="1" applyFill="1"/>
    <xf numFmtId="0" fontId="5" fillId="6" borderId="0" xfId="0" applyFont="1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3" fontId="5" fillId="4" borderId="0" xfId="0" applyNumberFormat="1" applyFont="1" applyFill="1"/>
    <xf numFmtId="3" fontId="12" fillId="4" borderId="0" xfId="0" applyNumberFormat="1" applyFont="1" applyFill="1" applyAlignment="1">
      <alignment horizontal="right"/>
    </xf>
    <xf numFmtId="9" fontId="12" fillId="4" borderId="0" xfId="0" applyNumberFormat="1" applyFont="1" applyFill="1" applyAlignment="1">
      <alignment horizontal="right"/>
    </xf>
    <xf numFmtId="0" fontId="2" fillId="4" borderId="0" xfId="0" applyFont="1" applyFill="1"/>
    <xf numFmtId="0" fontId="5" fillId="15" borderId="0" xfId="0" applyFont="1" applyFill="1" applyAlignment="1">
      <alignment horizontal="center"/>
    </xf>
    <xf numFmtId="0" fontId="5" fillId="15" borderId="0" xfId="0" applyFont="1" applyFill="1" applyAlignment="1">
      <alignment horizontal="right"/>
    </xf>
    <xf numFmtId="0" fontId="5" fillId="15" borderId="0" xfId="0" applyFont="1" applyFill="1"/>
    <xf numFmtId="9" fontId="5" fillId="15" borderId="0" xfId="0" applyNumberFormat="1" applyFont="1" applyFill="1" applyAlignment="1">
      <alignment horizontal="right"/>
    </xf>
    <xf numFmtId="3" fontId="5" fillId="15" borderId="0" xfId="0" applyNumberFormat="1" applyFont="1" applyFill="1" applyAlignment="1">
      <alignment horizontal="right"/>
    </xf>
    <xf numFmtId="3" fontId="2" fillId="7" borderId="9" xfId="0" applyNumberFormat="1" applyFont="1" applyFill="1" applyBorder="1" applyAlignment="1">
      <alignment horizontal="center"/>
    </xf>
    <xf numFmtId="3" fontId="2" fillId="7" borderId="16" xfId="0" applyNumberFormat="1" applyFont="1" applyFill="1" applyBorder="1" applyAlignment="1">
      <alignment horizontal="center"/>
    </xf>
    <xf numFmtId="3" fontId="2" fillId="6" borderId="20" xfId="0" applyNumberFormat="1" applyFont="1" applyFill="1" applyBorder="1"/>
    <xf numFmtId="3" fontId="2" fillId="7" borderId="4" xfId="0" applyNumberFormat="1" applyFont="1" applyFill="1" applyBorder="1"/>
    <xf numFmtId="3" fontId="7" fillId="7" borderId="20" xfId="0" applyNumberFormat="1" applyFont="1" applyFill="1" applyBorder="1"/>
    <xf numFmtId="0" fontId="2" fillId="16" borderId="4" xfId="0" applyFont="1" applyFill="1" applyBorder="1"/>
    <xf numFmtId="3" fontId="2" fillId="16" borderId="3" xfId="0" applyNumberFormat="1" applyFont="1" applyFill="1" applyBorder="1"/>
    <xf numFmtId="3" fontId="2" fillId="16" borderId="20" xfId="0" applyNumberFormat="1" applyFont="1" applyFill="1" applyBorder="1"/>
    <xf numFmtId="3" fontId="2" fillId="13" borderId="4" xfId="0" applyNumberFormat="1" applyFont="1" applyFill="1" applyBorder="1"/>
    <xf numFmtId="3" fontId="2" fillId="3" borderId="3" xfId="0" applyNumberFormat="1" applyFont="1" applyFill="1" applyBorder="1"/>
    <xf numFmtId="3" fontId="2" fillId="3" borderId="20" xfId="0" applyNumberFormat="1" applyFont="1" applyFill="1" applyBorder="1"/>
    <xf numFmtId="3" fontId="2" fillId="14" borderId="4" xfId="0" applyNumberFormat="1" applyFont="1" applyFill="1" applyBorder="1"/>
    <xf numFmtId="3" fontId="2" fillId="14" borderId="3" xfId="0" applyNumberFormat="1" applyFont="1" applyFill="1" applyBorder="1"/>
    <xf numFmtId="3" fontId="2" fillId="14" borderId="20" xfId="0" applyNumberFormat="1" applyFont="1" applyFill="1" applyBorder="1"/>
    <xf numFmtId="3" fontId="2" fillId="6" borderId="16" xfId="0" applyNumberFormat="1" applyFont="1" applyFill="1" applyBorder="1"/>
    <xf numFmtId="3" fontId="2" fillId="7" borderId="16" xfId="0" applyNumberFormat="1" applyFont="1" applyFill="1" applyBorder="1"/>
    <xf numFmtId="3" fontId="2" fillId="8" borderId="16" xfId="0" applyNumberFormat="1" applyFont="1" applyFill="1" applyBorder="1"/>
    <xf numFmtId="9" fontId="2" fillId="16" borderId="5" xfId="0" applyNumberFormat="1" applyFont="1" applyFill="1" applyBorder="1"/>
    <xf numFmtId="0" fontId="2" fillId="13" borderId="5" xfId="0" applyFont="1" applyFill="1" applyBorder="1" applyAlignment="1">
      <alignment horizontal="right"/>
    </xf>
    <xf numFmtId="3" fontId="2" fillId="14" borderId="5" xfId="0" applyNumberFormat="1" applyFont="1" applyFill="1" applyBorder="1"/>
    <xf numFmtId="3" fontId="2" fillId="18" borderId="0" xfId="0" applyNumberFormat="1" applyFont="1" applyFill="1"/>
    <xf numFmtId="3" fontId="2" fillId="18" borderId="16" xfId="0" applyNumberFormat="1" applyFont="1" applyFill="1" applyBorder="1"/>
    <xf numFmtId="3" fontId="2" fillId="13" borderId="5" xfId="0" applyNumberFormat="1" applyFont="1" applyFill="1" applyBorder="1" applyAlignment="1">
      <alignment horizontal="right"/>
    </xf>
    <xf numFmtId="3" fontId="8" fillId="5" borderId="3" xfId="0" applyNumberFormat="1" applyFont="1" applyFill="1" applyBorder="1"/>
    <xf numFmtId="3" fontId="2" fillId="7" borderId="20" xfId="0" applyNumberFormat="1" applyFont="1" applyFill="1" applyBorder="1"/>
    <xf numFmtId="9" fontId="2" fillId="16" borderId="4" xfId="0" applyNumberFormat="1" applyFont="1" applyFill="1" applyBorder="1"/>
    <xf numFmtId="3" fontId="8" fillId="5" borderId="0" xfId="0" applyNumberFormat="1" applyFont="1" applyFill="1"/>
    <xf numFmtId="9" fontId="8" fillId="16" borderId="4" xfId="0" applyNumberFormat="1" applyFont="1" applyFill="1" applyBorder="1"/>
    <xf numFmtId="9" fontId="8" fillId="16" borderId="3" xfId="0" applyNumberFormat="1" applyFont="1" applyFill="1" applyBorder="1"/>
    <xf numFmtId="9" fontId="8" fillId="16" borderId="5" xfId="0" applyNumberFormat="1" applyFont="1" applyFill="1" applyBorder="1"/>
    <xf numFmtId="9" fontId="8" fillId="16" borderId="0" xfId="0" applyNumberFormat="1" applyFont="1" applyFill="1"/>
    <xf numFmtId="0" fontId="2" fillId="13" borderId="4" xfId="0" applyFont="1" applyFill="1" applyBorder="1" applyAlignment="1">
      <alignment horizontal="right"/>
    </xf>
    <xf numFmtId="3" fontId="2" fillId="18" borderId="3" xfId="0" applyNumberFormat="1" applyFont="1" applyFill="1" applyBorder="1"/>
    <xf numFmtId="3" fontId="2" fillId="18" borderId="20" xfId="0" applyNumberFormat="1" applyFont="1" applyFill="1" applyBorder="1"/>
    <xf numFmtId="3" fontId="2" fillId="8" borderId="9" xfId="0" applyNumberFormat="1" applyFont="1" applyFill="1" applyBorder="1" applyAlignment="1">
      <alignment horizontal="center"/>
    </xf>
    <xf numFmtId="3" fontId="2" fillId="8" borderId="16" xfId="0" applyNumberFormat="1" applyFont="1" applyFill="1" applyBorder="1" applyAlignment="1">
      <alignment horizontal="center"/>
    </xf>
    <xf numFmtId="3" fontId="2" fillId="8" borderId="20" xfId="0" applyNumberFormat="1" applyFont="1" applyFill="1" applyBorder="1" applyAlignment="1">
      <alignment horizontal="center"/>
    </xf>
    <xf numFmtId="0" fontId="2" fillId="0" borderId="13" xfId="0" applyFont="1" applyBorder="1" applyAlignment="1">
      <alignment wrapText="1"/>
    </xf>
    <xf numFmtId="0" fontId="7" fillId="21" borderId="3" xfId="0" applyFont="1" applyFill="1" applyBorder="1"/>
    <xf numFmtId="3" fontId="7" fillId="21" borderId="3" xfId="0" applyNumberFormat="1" applyFont="1" applyFill="1" applyBorder="1"/>
    <xf numFmtId="0" fontId="7" fillId="22" borderId="4" xfId="0" applyFont="1" applyFill="1" applyBorder="1"/>
    <xf numFmtId="3" fontId="7" fillId="22" borderId="0" xfId="0" applyNumberFormat="1" applyFont="1" applyFill="1"/>
    <xf numFmtId="3" fontId="2" fillId="21" borderId="0" xfId="0" applyNumberFormat="1" applyFont="1" applyFill="1"/>
    <xf numFmtId="3" fontId="7" fillId="22" borderId="5" xfId="0" applyNumberFormat="1" applyFont="1" applyFill="1" applyBorder="1"/>
    <xf numFmtId="3" fontId="2" fillId="21" borderId="3" xfId="0" applyNumberFormat="1" applyFont="1" applyFill="1" applyBorder="1"/>
    <xf numFmtId="3" fontId="7" fillId="22" borderId="3" xfId="0" applyNumberFormat="1" applyFont="1" applyFill="1" applyBorder="1"/>
    <xf numFmtId="3" fontId="7" fillId="22" borderId="4" xfId="0" applyNumberFormat="1" applyFont="1" applyFill="1" applyBorder="1"/>
    <xf numFmtId="3" fontId="2" fillId="0" borderId="4" xfId="0" applyNumberFormat="1" applyFont="1" applyBorder="1"/>
    <xf numFmtId="3" fontId="8" fillId="0" borderId="4" xfId="0" applyNumberFormat="1" applyFont="1" applyBorder="1"/>
    <xf numFmtId="3" fontId="8" fillId="0" borderId="20" xfId="0" applyNumberFormat="1" applyFont="1" applyBorder="1"/>
    <xf numFmtId="3" fontId="8" fillId="0" borderId="5" xfId="0" applyNumberFormat="1" applyFont="1" applyBorder="1"/>
    <xf numFmtId="3" fontId="8" fillId="0" borderId="16" xfId="0" applyNumberFormat="1" applyFont="1" applyBorder="1"/>
    <xf numFmtId="9" fontId="2" fillId="7" borderId="5" xfId="0" applyNumberFormat="1" applyFont="1" applyFill="1" applyBorder="1"/>
    <xf numFmtId="9" fontId="2" fillId="7" borderId="0" xfId="0" applyNumberFormat="1" applyFont="1" applyFill="1"/>
    <xf numFmtId="9" fontId="2" fillId="7" borderId="16" xfId="0" applyNumberFormat="1" applyFont="1" applyFill="1" applyBorder="1"/>
    <xf numFmtId="9" fontId="7" fillId="3" borderId="0" xfId="0" applyNumberFormat="1" applyFont="1" applyFill="1"/>
    <xf numFmtId="9" fontId="7" fillId="3" borderId="16" xfId="0" applyNumberFormat="1" applyFont="1" applyFill="1" applyBorder="1"/>
    <xf numFmtId="0" fontId="8" fillId="8" borderId="0" xfId="0" applyFont="1" applyFill="1" applyAlignment="1">
      <alignment horizontal="center"/>
    </xf>
    <xf numFmtId="0" fontId="8" fillId="8" borderId="16" xfId="0" applyFont="1" applyFill="1" applyBorder="1" applyAlignment="1">
      <alignment horizontal="center"/>
    </xf>
    <xf numFmtId="9" fontId="2" fillId="8" borderId="5" xfId="0" applyNumberFormat="1" applyFont="1" applyFill="1" applyBorder="1"/>
    <xf numFmtId="9" fontId="2" fillId="8" borderId="0" xfId="0" applyNumberFormat="1" applyFont="1" applyFill="1"/>
    <xf numFmtId="9" fontId="2" fillId="3" borderId="0" xfId="0" applyNumberFormat="1" applyFont="1" applyFill="1"/>
    <xf numFmtId="9" fontId="2" fillId="7" borderId="13" xfId="0" applyNumberFormat="1" applyFont="1" applyFill="1" applyBorder="1"/>
    <xf numFmtId="9" fontId="2" fillId="7" borderId="14" xfId="0" applyNumberFormat="1" applyFont="1" applyFill="1" applyBorder="1"/>
    <xf numFmtId="9" fontId="2" fillId="7" borderId="9" xfId="0" applyNumberFormat="1" applyFont="1" applyFill="1" applyBorder="1"/>
    <xf numFmtId="9" fontId="2" fillId="16" borderId="16" xfId="0" applyNumberFormat="1" applyFont="1" applyFill="1" applyBorder="1"/>
    <xf numFmtId="9" fontId="2" fillId="3" borderId="5" xfId="0" applyNumberFormat="1" applyFont="1" applyFill="1" applyBorder="1"/>
    <xf numFmtId="9" fontId="2" fillId="3" borderId="16" xfId="0" applyNumberFormat="1" applyFont="1" applyFill="1" applyBorder="1"/>
    <xf numFmtId="9" fontId="2" fillId="21" borderId="4" xfId="0" applyNumberFormat="1" applyFont="1" applyFill="1" applyBorder="1"/>
    <xf numFmtId="9" fontId="2" fillId="21" borderId="3" xfId="0" applyNumberFormat="1" applyFont="1" applyFill="1" applyBorder="1"/>
    <xf numFmtId="9" fontId="2" fillId="21" borderId="20" xfId="0" applyNumberFormat="1" applyFont="1" applyFill="1" applyBorder="1"/>
    <xf numFmtId="0" fontId="2" fillId="0" borderId="25" xfId="0" applyFont="1" applyBorder="1"/>
    <xf numFmtId="9" fontId="2" fillId="3" borderId="8" xfId="0" applyNumberFormat="1" applyFont="1" applyFill="1" applyBorder="1"/>
    <xf numFmtId="9" fontId="7" fillId="3" borderId="33" xfId="0" applyNumberFormat="1" applyFont="1" applyFill="1" applyBorder="1"/>
    <xf numFmtId="9" fontId="7" fillId="22" borderId="4" xfId="0" applyNumberFormat="1" applyFont="1" applyFill="1" applyBorder="1"/>
    <xf numFmtId="9" fontId="7" fillId="22" borderId="3" xfId="0" applyNumberFormat="1" applyFont="1" applyFill="1" applyBorder="1"/>
    <xf numFmtId="9" fontId="7" fillId="22" borderId="20" xfId="0" applyNumberFormat="1" applyFont="1" applyFill="1" applyBorder="1"/>
    <xf numFmtId="3" fontId="2" fillId="23" borderId="0" xfId="0" applyNumberFormat="1" applyFont="1" applyFill="1" applyAlignment="1">
      <alignment horizontal="center"/>
    </xf>
    <xf numFmtId="3" fontId="2" fillId="23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23" borderId="0" xfId="0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13" borderId="0" xfId="0" applyFont="1" applyFill="1"/>
    <xf numFmtId="3" fontId="2" fillId="13" borderId="0" xfId="0" applyNumberFormat="1" applyFont="1" applyFill="1"/>
    <xf numFmtId="0" fontId="19" fillId="20" borderId="0" xfId="0" applyFont="1" applyFill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25" xfId="0" applyFont="1" applyBorder="1" applyAlignment="1">
      <alignment horizontal="left" wrapText="1"/>
    </xf>
    <xf numFmtId="0" fontId="2" fillId="0" borderId="8" xfId="0" applyFont="1" applyBorder="1" applyAlignment="1">
      <alignment horizontal="center" wrapText="1"/>
    </xf>
    <xf numFmtId="0" fontId="7" fillId="21" borderId="8" xfId="0" applyFont="1" applyFill="1" applyBorder="1" applyAlignment="1">
      <alignment horizontal="center" wrapText="1"/>
    </xf>
    <xf numFmtId="3" fontId="7" fillId="21" borderId="8" xfId="0" applyNumberFormat="1" applyFont="1" applyFill="1" applyBorder="1" applyAlignment="1">
      <alignment horizontal="center" wrapText="1"/>
    </xf>
    <xf numFmtId="0" fontId="7" fillId="22" borderId="25" xfId="0" applyFont="1" applyFill="1" applyBorder="1" applyAlignment="1">
      <alignment horizontal="center" wrapText="1"/>
    </xf>
    <xf numFmtId="0" fontId="2" fillId="18" borderId="25" xfId="0" applyFont="1" applyFill="1" applyBorder="1" applyAlignment="1">
      <alignment horizontal="center" wrapText="1"/>
    </xf>
    <xf numFmtId="0" fontId="2" fillId="18" borderId="33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3" fontId="2" fillId="18" borderId="5" xfId="0" applyNumberFormat="1" applyFont="1" applyFill="1" applyBorder="1"/>
    <xf numFmtId="4" fontId="2" fillId="0" borderId="0" xfId="0" applyNumberFormat="1" applyFont="1"/>
    <xf numFmtId="3" fontId="7" fillId="21" borderId="0" xfId="0" applyNumberFormat="1" applyFont="1" applyFill="1"/>
    <xf numFmtId="3" fontId="2" fillId="18" borderId="4" xfId="0" applyNumberFormat="1" applyFont="1" applyFill="1" applyBorder="1"/>
    <xf numFmtId="3" fontId="8" fillId="18" borderId="5" xfId="0" applyNumberFormat="1" applyFont="1" applyFill="1" applyBorder="1"/>
    <xf numFmtId="3" fontId="8" fillId="18" borderId="16" xfId="0" applyNumberFormat="1" applyFont="1" applyFill="1" applyBorder="1"/>
    <xf numFmtId="3" fontId="8" fillId="18" borderId="13" xfId="0" applyNumberFormat="1" applyFont="1" applyFill="1" applyBorder="1"/>
    <xf numFmtId="3" fontId="8" fillId="18" borderId="9" xfId="0" applyNumberFormat="1" applyFont="1" applyFill="1" applyBorder="1"/>
    <xf numFmtId="3" fontId="8" fillId="0" borderId="13" xfId="0" applyNumberFormat="1" applyFont="1" applyBorder="1"/>
    <xf numFmtId="3" fontId="8" fillId="0" borderId="9" xfId="0" applyNumberFormat="1" applyFont="1" applyBorder="1"/>
    <xf numFmtId="3" fontId="8" fillId="18" borderId="4" xfId="0" applyNumberFormat="1" applyFont="1" applyFill="1" applyBorder="1"/>
    <xf numFmtId="3" fontId="8" fillId="18" borderId="20" xfId="0" applyNumberFormat="1" applyFont="1" applyFill="1" applyBorder="1"/>
    <xf numFmtId="0" fontId="2" fillId="0" borderId="8" xfId="0" applyFont="1" applyBorder="1"/>
    <xf numFmtId="3" fontId="2" fillId="0" borderId="8" xfId="0" applyNumberFormat="1" applyFont="1" applyBorder="1"/>
    <xf numFmtId="3" fontId="2" fillId="0" borderId="33" xfId="0" applyNumberFormat="1" applyFont="1" applyBorder="1"/>
    <xf numFmtId="9" fontId="7" fillId="3" borderId="5" xfId="0" applyNumberFormat="1" applyFont="1" applyFill="1" applyBorder="1"/>
    <xf numFmtId="0" fontId="8" fillId="8" borderId="5" xfId="0" applyFont="1" applyFill="1" applyBorder="1" applyAlignment="1">
      <alignment horizontal="center"/>
    </xf>
    <xf numFmtId="9" fontId="2" fillId="8" borderId="16" xfId="0" applyNumberFormat="1" applyFont="1" applyFill="1" applyBorder="1"/>
    <xf numFmtId="9" fontId="2" fillId="8" borderId="3" xfId="0" applyNumberFormat="1" applyFont="1" applyFill="1" applyBorder="1"/>
    <xf numFmtId="9" fontId="2" fillId="7" borderId="20" xfId="0" applyNumberFormat="1" applyFont="1" applyFill="1" applyBorder="1"/>
    <xf numFmtId="9" fontId="2" fillId="3" borderId="25" xfId="0" applyNumberFormat="1" applyFont="1" applyFill="1" applyBorder="1"/>
    <xf numFmtId="9" fontId="7" fillId="3" borderId="8" xfId="0" applyNumberFormat="1" applyFont="1" applyFill="1" applyBorder="1"/>
    <xf numFmtId="0" fontId="2" fillId="3" borderId="8" xfId="0" applyFont="1" applyFill="1" applyBorder="1"/>
    <xf numFmtId="9" fontId="7" fillId="22" borderId="8" xfId="0" applyNumberFormat="1" applyFont="1" applyFill="1" applyBorder="1"/>
    <xf numFmtId="9" fontId="7" fillId="22" borderId="33" xfId="0" applyNumberFormat="1" applyFont="1" applyFill="1" applyBorder="1"/>
    <xf numFmtId="0" fontId="2" fillId="18" borderId="4" xfId="0" applyFont="1" applyFill="1" applyBorder="1"/>
    <xf numFmtId="0" fontId="2" fillId="18" borderId="20" xfId="0" applyFont="1" applyFill="1" applyBorder="1"/>
    <xf numFmtId="9" fontId="2" fillId="7" borderId="3" xfId="0" applyNumberFormat="1" applyFont="1" applyFill="1" applyBorder="1"/>
    <xf numFmtId="9" fontId="7" fillId="22" borderId="0" xfId="0" applyNumberFormat="1" applyFont="1" applyFill="1"/>
    <xf numFmtId="3" fontId="2" fillId="14" borderId="0" xfId="0" applyNumberFormat="1" applyFont="1" applyFill="1"/>
    <xf numFmtId="3" fontId="2" fillId="13" borderId="3" xfId="0" applyNumberFormat="1" applyFont="1" applyFill="1" applyBorder="1"/>
    <xf numFmtId="0" fontId="2" fillId="14" borderId="4" xfId="0" applyFont="1" applyFill="1" applyBorder="1"/>
    <xf numFmtId="0" fontId="2" fillId="13" borderId="0" xfId="0" applyFont="1" applyFill="1" applyAlignment="1">
      <alignment horizontal="right"/>
    </xf>
    <xf numFmtId="1" fontId="2" fillId="18" borderId="5" xfId="0" applyNumberFormat="1" applyFont="1" applyFill="1" applyBorder="1"/>
    <xf numFmtId="1" fontId="2" fillId="18" borderId="0" xfId="0" applyNumberFormat="1" applyFont="1" applyFill="1"/>
    <xf numFmtId="3" fontId="2" fillId="13" borderId="0" xfId="0" applyNumberFormat="1" applyFont="1" applyFill="1" applyAlignment="1">
      <alignment horizontal="right"/>
    </xf>
    <xf numFmtId="3" fontId="2" fillId="6" borderId="14" xfId="0" applyNumberFormat="1" applyFont="1" applyFill="1" applyBorder="1"/>
    <xf numFmtId="3" fontId="2" fillId="7" borderId="14" xfId="0" applyNumberFormat="1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6" fillId="0" borderId="0" xfId="0" applyFont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3" fillId="2" borderId="7" xfId="0" applyFont="1" applyFill="1" applyBorder="1" applyAlignment="1">
      <alignment horizontal="center"/>
    </xf>
    <xf numFmtId="0" fontId="4" fillId="0" borderId="7" xfId="0" applyFont="1" applyBorder="1"/>
    <xf numFmtId="0" fontId="2" fillId="0" borderId="8" xfId="0" applyFont="1" applyBorder="1" applyAlignment="1">
      <alignment horizontal="center"/>
    </xf>
    <xf numFmtId="0" fontId="4" fillId="0" borderId="8" xfId="0" applyFont="1" applyBorder="1"/>
    <xf numFmtId="0" fontId="8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9" xfId="0" applyFont="1" applyBorder="1"/>
    <xf numFmtId="3" fontId="2" fillId="5" borderId="5" xfId="0" applyNumberFormat="1" applyFont="1" applyFill="1" applyBorder="1" applyAlignment="1">
      <alignment horizontal="center"/>
    </xf>
    <xf numFmtId="0" fontId="4" fillId="0" borderId="16" xfId="0" applyFont="1" applyBorder="1"/>
    <xf numFmtId="3" fontId="2" fillId="6" borderId="5" xfId="0" applyNumberFormat="1" applyFont="1" applyFill="1" applyBorder="1" applyAlignment="1">
      <alignment horizontal="center"/>
    </xf>
    <xf numFmtId="3" fontId="2" fillId="7" borderId="0" xfId="0" applyNumberFormat="1" applyFont="1" applyFill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0" fontId="2" fillId="0" borderId="13" xfId="0" applyFont="1" applyBorder="1"/>
    <xf numFmtId="3" fontId="12" fillId="0" borderId="0" xfId="0" applyNumberFormat="1" applyFont="1" applyAlignment="1">
      <alignment horizontal="center"/>
    </xf>
    <xf numFmtId="0" fontId="2" fillId="0" borderId="14" xfId="0" applyFont="1" applyBorder="1"/>
    <xf numFmtId="0" fontId="2" fillId="0" borderId="18" xfId="0" applyFont="1" applyBorder="1"/>
    <xf numFmtId="0" fontId="4" fillId="0" borderId="18" xfId="0" applyFont="1" applyBorder="1"/>
    <xf numFmtId="3" fontId="1" fillId="2" borderId="25" xfId="0" applyNumberFormat="1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6" borderId="13" xfId="0" applyNumberFormat="1" applyFont="1" applyFill="1" applyBorder="1" applyAlignment="1">
      <alignment horizontal="center"/>
    </xf>
    <xf numFmtId="3" fontId="2" fillId="7" borderId="13" xfId="0" applyNumberFormat="1" applyFont="1" applyFill="1" applyBorder="1" applyAlignment="1">
      <alignment horizontal="center"/>
    </xf>
    <xf numFmtId="3" fontId="2" fillId="8" borderId="13" xfId="0" applyNumberFormat="1" applyFont="1" applyFill="1" applyBorder="1" applyAlignment="1">
      <alignment horizontal="center"/>
    </xf>
    <xf numFmtId="0" fontId="4" fillId="0" borderId="33" xfId="0" applyFont="1" applyBorder="1"/>
    <xf numFmtId="3" fontId="13" fillId="14" borderId="25" xfId="0" applyNumberFormat="1" applyFont="1" applyFill="1" applyBorder="1" applyAlignment="1">
      <alignment horizontal="center" wrapText="1"/>
    </xf>
    <xf numFmtId="3" fontId="2" fillId="15" borderId="13" xfId="0" applyNumberFormat="1" applyFont="1" applyFill="1" applyBorder="1" applyAlignment="1">
      <alignment horizontal="center"/>
    </xf>
    <xf numFmtId="3" fontId="1" fillId="16" borderId="14" xfId="0" applyNumberFormat="1" applyFont="1" applyFill="1" applyBorder="1" applyAlignment="1">
      <alignment horizontal="center"/>
    </xf>
    <xf numFmtId="3" fontId="2" fillId="14" borderId="13" xfId="0" applyNumberFormat="1" applyFont="1" applyFill="1" applyBorder="1" applyAlignment="1">
      <alignment horizontal="center" vertical="center"/>
    </xf>
    <xf numFmtId="0" fontId="4" fillId="0" borderId="5" xfId="0" applyFont="1" applyBorder="1"/>
    <xf numFmtId="3" fontId="2" fillId="15" borderId="5" xfId="0" applyNumberFormat="1" applyFont="1" applyFill="1" applyBorder="1" applyAlignment="1">
      <alignment horizontal="center"/>
    </xf>
    <xf numFmtId="3" fontId="2" fillId="7" borderId="14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2" fillId="6" borderId="14" xfId="0" applyNumberFormat="1" applyFont="1" applyFill="1" applyBorder="1" applyAlignment="1">
      <alignment horizontal="center"/>
    </xf>
    <xf numFmtId="3" fontId="2" fillId="6" borderId="0" xfId="0" applyNumberFormat="1" applyFont="1" applyFill="1" applyAlignment="1">
      <alignment horizontal="center"/>
    </xf>
    <xf numFmtId="3" fontId="2" fillId="8" borderId="0" xfId="0" applyNumberFormat="1" applyFont="1" applyFill="1" applyAlignment="1">
      <alignment horizontal="center"/>
    </xf>
    <xf numFmtId="3" fontId="1" fillId="13" borderId="25" xfId="0" applyNumberFormat="1" applyFont="1" applyFill="1" applyBorder="1" applyAlignment="1">
      <alignment horizontal="center" wrapText="1"/>
    </xf>
    <xf numFmtId="3" fontId="2" fillId="3" borderId="13" xfId="0" applyNumberFormat="1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12" borderId="0" xfId="0" applyFont="1" applyFill="1" applyAlignment="1">
      <alignment horizontal="center"/>
    </xf>
    <xf numFmtId="3" fontId="1" fillId="16" borderId="13" xfId="0" applyNumberFormat="1" applyFont="1" applyFill="1" applyBorder="1" applyAlignment="1">
      <alignment horizontal="center"/>
    </xf>
    <xf numFmtId="3" fontId="2" fillId="14" borderId="13" xfId="0" applyNumberFormat="1" applyFont="1" applyFill="1" applyBorder="1"/>
    <xf numFmtId="3" fontId="2" fillId="7" borderId="5" xfId="0" applyNumberFormat="1" applyFont="1" applyFill="1" applyBorder="1" applyAlignment="1">
      <alignment horizontal="center"/>
    </xf>
    <xf numFmtId="0" fontId="2" fillId="0" borderId="14" xfId="0" applyFont="1" applyBorder="1" applyAlignment="1">
      <alignment wrapText="1"/>
    </xf>
    <xf numFmtId="0" fontId="4" fillId="0" borderId="3" xfId="0" applyFont="1" applyBorder="1"/>
    <xf numFmtId="0" fontId="2" fillId="0" borderId="9" xfId="0" applyFont="1" applyBorder="1" applyAlignment="1">
      <alignment wrapText="1"/>
    </xf>
    <xf numFmtId="0" fontId="4" fillId="0" borderId="20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13" xfId="0" applyNumberFormat="1" applyFont="1" applyBorder="1" applyAlignment="1">
      <alignment horizontal="center"/>
    </xf>
    <xf numFmtId="3" fontId="2" fillId="0" borderId="13" xfId="0" applyNumberFormat="1" applyFont="1" applyBorder="1"/>
    <xf numFmtId="3" fontId="2" fillId="0" borderId="5" xfId="0" applyNumberFormat="1" applyFont="1" applyBorder="1"/>
    <xf numFmtId="0" fontId="2" fillId="0" borderId="4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wrapText="1"/>
    </xf>
    <xf numFmtId="0" fontId="4" fillId="0" borderId="4" xfId="0" applyFont="1" applyBorder="1"/>
    <xf numFmtId="3" fontId="1" fillId="23" borderId="0" xfId="0" applyNumberFormat="1" applyFont="1" applyFill="1" applyAlignment="1">
      <alignment horizontal="center" wrapText="1"/>
    </xf>
    <xf numFmtId="3" fontId="2" fillId="23" borderId="0" xfId="0" applyNumberFormat="1" applyFont="1" applyFill="1" applyAlignment="1">
      <alignment horizontal="center"/>
    </xf>
    <xf numFmtId="0" fontId="2" fillId="14" borderId="13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3" fontId="2" fillId="0" borderId="3" xfId="0" applyNumberFormat="1" applyFont="1" applyBorder="1"/>
    <xf numFmtId="0" fontId="2" fillId="0" borderId="25" xfId="0" applyFont="1" applyBorder="1"/>
    <xf numFmtId="3" fontId="2" fillId="0" borderId="25" xfId="0" applyNumberFormat="1" applyFont="1" applyBorder="1"/>
    <xf numFmtId="3" fontId="2" fillId="0" borderId="25" xfId="0" applyNumberFormat="1" applyFont="1" applyBorder="1" applyAlignment="1">
      <alignment horizontal="center"/>
    </xf>
    <xf numFmtId="3" fontId="2" fillId="0" borderId="0" xfId="0" applyNumberFormat="1" applyFont="1"/>
    <xf numFmtId="3" fontId="1" fillId="13" borderId="0" xfId="0" applyNumberFormat="1" applyFont="1" applyFill="1" applyAlignment="1">
      <alignment horizontal="center" wrapText="1"/>
    </xf>
    <xf numFmtId="3" fontId="2" fillId="3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3" fontId="2" fillId="14" borderId="0" xfId="0" applyNumberFormat="1" applyFont="1" applyFill="1"/>
    <xf numFmtId="0" fontId="2" fillId="14" borderId="5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3" fontId="1" fillId="1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Mantis Refinery Cost Trend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Nitrium (ship)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'Mantis Benefit by Tier'!$B$26:$B$37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'Mantis Benefit by Tier'!$C$26:$C$37</c:f>
              <c:numCache>
                <c:formatCode>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0-4A90-B951-8FDC248B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105325"/>
        <c:axId val="1456596239"/>
      </c:lineChart>
      <c:catAx>
        <c:axId val="126810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6596239"/>
        <c:crosses val="autoZero"/>
        <c:auto val="1"/>
        <c:lblAlgn val="ctr"/>
        <c:lblOffset val="100"/>
        <c:noMultiLvlLbl val="1"/>
      </c:catAx>
      <c:valAx>
        <c:axId val="1456596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81053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Likely Mantis Max Cargo vs. Refinery Costs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'(PRE-BOOST) Simple Mantis Cargo'!$B$3</c:f>
              <c:strCache>
                <c:ptCount val="1"/>
                <c:pt idx="0">
                  <c:v>Base Cargo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Cargo'!$B$4:$B$11</c:f>
              <c:numCache>
                <c:formatCode>General</c:formatCode>
                <c:ptCount val="8"/>
                <c:pt idx="0">
                  <c:v>3000</c:v>
                </c:pt>
                <c:pt idx="1">
                  <c:v>3500</c:v>
                </c:pt>
                <c:pt idx="2">
                  <c:v>4400</c:v>
                </c:pt>
                <c:pt idx="3">
                  <c:v>5000</c:v>
                </c:pt>
                <c:pt idx="4">
                  <c:v>6750</c:v>
                </c:pt>
                <c:pt idx="5">
                  <c:v>8350</c:v>
                </c:pt>
                <c:pt idx="6">
                  <c:v>10800</c:v>
                </c:pt>
                <c:pt idx="7">
                  <c:v>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C-4242-88D4-2313A9ADB006}"/>
            </c:ext>
          </c:extLst>
        </c:ser>
        <c:ser>
          <c:idx val="1"/>
          <c:order val="1"/>
          <c:tx>
            <c:v>ops 35 based research, officers, syndicate, treasury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Cargo'!$C$4:$C$11</c:f>
              <c:numCache>
                <c:formatCode>#,##0</c:formatCode>
                <c:ptCount val="8"/>
                <c:pt idx="0">
                  <c:v>13350</c:v>
                </c:pt>
                <c:pt idx="1">
                  <c:v>15575</c:v>
                </c:pt>
                <c:pt idx="2">
                  <c:v>19580</c:v>
                </c:pt>
                <c:pt idx="3">
                  <c:v>22250</c:v>
                </c:pt>
                <c:pt idx="4">
                  <c:v>30037.5</c:v>
                </c:pt>
                <c:pt idx="5">
                  <c:v>37157.5</c:v>
                </c:pt>
                <c:pt idx="6">
                  <c:v>48060</c:v>
                </c:pt>
                <c:pt idx="7">
                  <c:v>58740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C-4242-88D4-2313A9ADB006}"/>
            </c:ext>
          </c:extLst>
        </c:ser>
        <c:ser>
          <c:idx val="2"/>
          <c:order val="2"/>
          <c:tx>
            <c:strRef>
              <c:f>'(PRE-BOOST) Simple Mantis Cargo'!$D$3</c:f>
              <c:strCache>
                <c:ptCount val="1"/>
                <c:pt idx="0">
                  <c:v>40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Cargo'!$D$4:$D$11</c:f>
              <c:numCache>
                <c:formatCode>#,##0</c:formatCode>
                <c:ptCount val="8"/>
                <c:pt idx="0">
                  <c:v>16230</c:v>
                </c:pt>
                <c:pt idx="1">
                  <c:v>18935</c:v>
                </c:pt>
                <c:pt idx="2">
                  <c:v>23804</c:v>
                </c:pt>
                <c:pt idx="3">
                  <c:v>27050</c:v>
                </c:pt>
                <c:pt idx="4">
                  <c:v>36517.5</c:v>
                </c:pt>
                <c:pt idx="5">
                  <c:v>45173.5</c:v>
                </c:pt>
                <c:pt idx="6">
                  <c:v>58428</c:v>
                </c:pt>
                <c:pt idx="7">
                  <c:v>71412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C-4242-88D4-2313A9ADB006}"/>
            </c:ext>
          </c:extLst>
        </c:ser>
        <c:ser>
          <c:idx val="3"/>
          <c:order val="3"/>
          <c:tx>
            <c:strRef>
              <c:f>'(PRE-BOOST) Simple Mantis Cargo'!$E$3</c:f>
              <c:strCache>
                <c:ptCount val="1"/>
                <c:pt idx="0">
                  <c:v>45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Cargo'!$E$4:$E$11</c:f>
              <c:numCache>
                <c:formatCode>#,##0</c:formatCode>
                <c:ptCount val="8"/>
                <c:pt idx="0">
                  <c:v>18480</c:v>
                </c:pt>
                <c:pt idx="1">
                  <c:v>21560</c:v>
                </c:pt>
                <c:pt idx="2">
                  <c:v>27104</c:v>
                </c:pt>
                <c:pt idx="3">
                  <c:v>30800</c:v>
                </c:pt>
                <c:pt idx="4">
                  <c:v>41580</c:v>
                </c:pt>
                <c:pt idx="5">
                  <c:v>51436</c:v>
                </c:pt>
                <c:pt idx="6">
                  <c:v>66528</c:v>
                </c:pt>
                <c:pt idx="7">
                  <c:v>81312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C-4242-88D4-2313A9ADB006}"/>
            </c:ext>
          </c:extLst>
        </c:ser>
        <c:ser>
          <c:idx val="4"/>
          <c:order val="4"/>
          <c:tx>
            <c:strRef>
              <c:f>'(PRE-BOOST) Simple Mantis Cargo'!$F$3</c:f>
              <c:strCache>
                <c:ptCount val="1"/>
                <c:pt idx="0">
                  <c:v>50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Cargo'!$F$4:$F$11</c:f>
              <c:numCache>
                <c:formatCode>#,##0</c:formatCode>
                <c:ptCount val="8"/>
                <c:pt idx="0">
                  <c:v>24330</c:v>
                </c:pt>
                <c:pt idx="1">
                  <c:v>28384.999999999996</c:v>
                </c:pt>
                <c:pt idx="2">
                  <c:v>35684</c:v>
                </c:pt>
                <c:pt idx="3">
                  <c:v>40550</c:v>
                </c:pt>
                <c:pt idx="4">
                  <c:v>54742.499999999993</c:v>
                </c:pt>
                <c:pt idx="5">
                  <c:v>67718.5</c:v>
                </c:pt>
                <c:pt idx="6">
                  <c:v>87588</c:v>
                </c:pt>
                <c:pt idx="7">
                  <c:v>107051.99999999999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C-4242-88D4-2313A9ADB006}"/>
            </c:ext>
          </c:extLst>
        </c:ser>
        <c:ser>
          <c:idx val="5"/>
          <c:order val="5"/>
          <c:tx>
            <c:strRef>
              <c:f>'(PRE-BOOST) Simple Mantis Cargo'!$G$3</c:f>
              <c:strCache>
                <c:ptCount val="1"/>
                <c:pt idx="0">
                  <c:v>55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Cargo'!$G$4:$G$11</c:f>
              <c:numCache>
                <c:formatCode>#,##0</c:formatCode>
                <c:ptCount val="8"/>
                <c:pt idx="0">
                  <c:v>24750</c:v>
                </c:pt>
                <c:pt idx="1">
                  <c:v>28875</c:v>
                </c:pt>
                <c:pt idx="2">
                  <c:v>36300</c:v>
                </c:pt>
                <c:pt idx="3">
                  <c:v>41250</c:v>
                </c:pt>
                <c:pt idx="4">
                  <c:v>55687.5</c:v>
                </c:pt>
                <c:pt idx="5">
                  <c:v>68887.5</c:v>
                </c:pt>
                <c:pt idx="6">
                  <c:v>89100</c:v>
                </c:pt>
                <c:pt idx="7">
                  <c:v>108900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C-4242-88D4-2313A9ADB006}"/>
            </c:ext>
          </c:extLst>
        </c:ser>
        <c:ser>
          <c:idx val="6"/>
          <c:order val="6"/>
          <c:tx>
            <c:strRef>
              <c:f>'(PRE-BOOST) Simple Mantis Cargo'!$H$3</c:f>
              <c:strCache>
                <c:ptCount val="1"/>
                <c:pt idx="0">
                  <c:v>60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Cargo'!$H$4:$H$11</c:f>
              <c:numCache>
                <c:formatCode>#,##0</c:formatCode>
                <c:ptCount val="8"/>
                <c:pt idx="0">
                  <c:v>24900.000000000004</c:v>
                </c:pt>
                <c:pt idx="1">
                  <c:v>29050.000000000004</c:v>
                </c:pt>
                <c:pt idx="2">
                  <c:v>36520</c:v>
                </c:pt>
                <c:pt idx="3">
                  <c:v>41500</c:v>
                </c:pt>
                <c:pt idx="4">
                  <c:v>56025.000000000007</c:v>
                </c:pt>
                <c:pt idx="5">
                  <c:v>69305</c:v>
                </c:pt>
                <c:pt idx="6">
                  <c:v>89640.000000000015</c:v>
                </c:pt>
                <c:pt idx="7">
                  <c:v>109560.00000000001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1C-4242-88D4-2313A9ADB006}"/>
            </c:ext>
          </c:extLst>
        </c:ser>
        <c:ser>
          <c:idx val="7"/>
          <c:order val="7"/>
          <c:tx>
            <c:v>EVERY OFFICER, RESEARCH, AND BUILDING MAXED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Cargo'!$I$4:$I$11</c:f>
              <c:numCache>
                <c:formatCode>#,##0</c:formatCode>
                <c:ptCount val="8"/>
                <c:pt idx="0">
                  <c:v>28200</c:v>
                </c:pt>
                <c:pt idx="1">
                  <c:v>32900</c:v>
                </c:pt>
                <c:pt idx="2">
                  <c:v>41360</c:v>
                </c:pt>
                <c:pt idx="3">
                  <c:v>47000</c:v>
                </c:pt>
                <c:pt idx="4">
                  <c:v>63450</c:v>
                </c:pt>
                <c:pt idx="5">
                  <c:v>78490</c:v>
                </c:pt>
                <c:pt idx="6">
                  <c:v>101520</c:v>
                </c:pt>
                <c:pt idx="7">
                  <c:v>124080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C-4242-88D4-2313A9ADB006}"/>
            </c:ext>
          </c:extLst>
        </c:ser>
        <c:ser>
          <c:idx val="8"/>
          <c:order val="8"/>
          <c:tx>
            <c:strRef>
              <c:f>'(PRE-BOOST) Simple Mantis Cargo'!$J$3</c:f>
              <c:strCache>
                <c:ptCount val="1"/>
                <c:pt idx="0">
                  <c:v>likely max cargo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Cargo'!$J$4:$J$11</c:f>
              <c:numCache>
                <c:formatCode>#,##0</c:formatCode>
                <c:ptCount val="8"/>
                <c:pt idx="0">
                  <c:v>13350</c:v>
                </c:pt>
                <c:pt idx="1">
                  <c:v>18935</c:v>
                </c:pt>
                <c:pt idx="2">
                  <c:v>23804</c:v>
                </c:pt>
                <c:pt idx="3">
                  <c:v>30800</c:v>
                </c:pt>
                <c:pt idx="4">
                  <c:v>41580</c:v>
                </c:pt>
                <c:pt idx="5">
                  <c:v>67718.5</c:v>
                </c:pt>
                <c:pt idx="6">
                  <c:v>87588</c:v>
                </c:pt>
                <c:pt idx="7">
                  <c:v>107051.99999999999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1C-4242-88D4-2313A9ADB006}"/>
            </c:ext>
          </c:extLst>
        </c:ser>
        <c:ser>
          <c:idx val="9"/>
          <c:order val="9"/>
          <c:tx>
            <c:strRef>
              <c:f>'(PRE-BOOST) Simple Mantis Cargo'!$K$3</c:f>
              <c:strCache>
                <c:ptCount val="1"/>
                <c:pt idx="0">
                  <c:v>Single chest</c:v>
                </c:pt>
              </c:strCache>
            </c:strRef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Cargo'!$K$4:$K$11</c:f>
              <c:numCache>
                <c:formatCode>#,##0</c:formatCode>
                <c:ptCount val="8"/>
                <c:pt idx="0">
                  <c:v>14000</c:v>
                </c:pt>
                <c:pt idx="1">
                  <c:v>16833.333333333336</c:v>
                </c:pt>
                <c:pt idx="2">
                  <c:v>26666.666666666664</c:v>
                </c:pt>
                <c:pt idx="3">
                  <c:v>36500</c:v>
                </c:pt>
                <c:pt idx="4">
                  <c:v>51500</c:v>
                </c:pt>
                <c:pt idx="5">
                  <c:v>66500</c:v>
                </c:pt>
                <c:pt idx="6">
                  <c:v>98333.333333333343</c:v>
                </c:pt>
                <c:pt idx="7">
                  <c:v>124666.66666666667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1C-4242-88D4-2313A9ADB006}"/>
            </c:ext>
          </c:extLst>
        </c:ser>
        <c:ser>
          <c:idx val="10"/>
          <c:order val="10"/>
          <c:tx>
            <c:strRef>
              <c:f>'(PRE-BOOST) Simple Mantis Cargo'!$L$3</c:f>
              <c:strCache>
                <c:ptCount val="1"/>
                <c:pt idx="0">
                  <c:v>Double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lgDash"/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Cargo'!$L$4:$L$11</c:f>
              <c:numCache>
                <c:formatCode>#,##0</c:formatCode>
                <c:ptCount val="8"/>
                <c:pt idx="0">
                  <c:v>58000</c:v>
                </c:pt>
                <c:pt idx="1">
                  <c:v>70166.666666666657</c:v>
                </c:pt>
                <c:pt idx="2">
                  <c:v>111333.33333333333</c:v>
                </c:pt>
                <c:pt idx="3">
                  <c:v>152500</c:v>
                </c:pt>
                <c:pt idx="4">
                  <c:v>215500</c:v>
                </c:pt>
                <c:pt idx="5">
                  <c:v>278500</c:v>
                </c:pt>
                <c:pt idx="6">
                  <c:v>411666.66666666669</c:v>
                </c:pt>
                <c:pt idx="7">
                  <c:v>523333.33333333331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C-4242-88D4-2313A9AD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10293"/>
        <c:axId val="73342743"/>
      </c:lineChart>
      <c:catAx>
        <c:axId val="1086810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342743"/>
        <c:crosses val="autoZero"/>
        <c:auto val="1"/>
        <c:lblAlgn val="ctr"/>
        <c:lblOffset val="100"/>
        <c:noMultiLvlLbl val="1"/>
      </c:catAx>
      <c:valAx>
        <c:axId val="7334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68102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G4 Ship's Likely Cargo (x2 trips) vs. Daily Refinery Costs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Mantis Base Cargo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Cargo'!$T$4:$T$11</c:f>
              <c:numCache>
                <c:formatCode>General</c:formatCode>
                <c:ptCount val="8"/>
                <c:pt idx="0">
                  <c:v>3000</c:v>
                </c:pt>
                <c:pt idx="1">
                  <c:v>3500</c:v>
                </c:pt>
                <c:pt idx="2">
                  <c:v>4400</c:v>
                </c:pt>
                <c:pt idx="3">
                  <c:v>5000</c:v>
                </c:pt>
                <c:pt idx="4">
                  <c:v>6750</c:v>
                </c:pt>
                <c:pt idx="5">
                  <c:v>8350</c:v>
                </c:pt>
                <c:pt idx="6">
                  <c:v>10800</c:v>
                </c:pt>
                <c:pt idx="7">
                  <c:v>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0-4276-B96C-92C904DD3DAE}"/>
            </c:ext>
          </c:extLst>
        </c:ser>
        <c:ser>
          <c:idx val="1"/>
          <c:order val="1"/>
          <c:tx>
            <c:v>Likely Mantis Max Cargo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Cargo'!$AB$4:$AB$11</c:f>
              <c:numCache>
                <c:formatCode>#,##0</c:formatCode>
                <c:ptCount val="8"/>
                <c:pt idx="0">
                  <c:v>26700</c:v>
                </c:pt>
                <c:pt idx="1">
                  <c:v>37870</c:v>
                </c:pt>
                <c:pt idx="2">
                  <c:v>47608</c:v>
                </c:pt>
                <c:pt idx="3">
                  <c:v>61600</c:v>
                </c:pt>
                <c:pt idx="4">
                  <c:v>83160</c:v>
                </c:pt>
                <c:pt idx="5">
                  <c:v>135437</c:v>
                </c:pt>
                <c:pt idx="6">
                  <c:v>175176</c:v>
                </c:pt>
                <c:pt idx="7">
                  <c:v>214103.99999999997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0-4276-B96C-92C904DD3DAE}"/>
            </c:ext>
          </c:extLst>
        </c:ser>
        <c:ser>
          <c:idx val="2"/>
          <c:order val="2"/>
          <c:tx>
            <c:strRef>
              <c:f>'(PRE-BOOST) Simple Mantis Cargo'!$AC$3</c:f>
              <c:strCache>
                <c:ptCount val="1"/>
                <c:pt idx="0">
                  <c:v>Single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sysDot"/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Cargo'!$AC$4:$AC$11</c:f>
              <c:numCache>
                <c:formatCode>#,##0</c:formatCode>
                <c:ptCount val="8"/>
                <c:pt idx="0">
                  <c:v>14000</c:v>
                </c:pt>
                <c:pt idx="1">
                  <c:v>16833.333333333336</c:v>
                </c:pt>
                <c:pt idx="2">
                  <c:v>26666.666666666664</c:v>
                </c:pt>
                <c:pt idx="3">
                  <c:v>36500</c:v>
                </c:pt>
                <c:pt idx="4">
                  <c:v>51500</c:v>
                </c:pt>
                <c:pt idx="5">
                  <c:v>66500</c:v>
                </c:pt>
                <c:pt idx="6">
                  <c:v>98333.333333333343</c:v>
                </c:pt>
                <c:pt idx="7">
                  <c:v>124666.66666666667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0-4276-B96C-92C904DD3DAE}"/>
            </c:ext>
          </c:extLst>
        </c:ser>
        <c:ser>
          <c:idx val="3"/>
          <c:order val="3"/>
          <c:tx>
            <c:strRef>
              <c:f>'(PRE-BOOST) Simple Mantis Cargo'!$AD$3</c:f>
              <c:strCache>
                <c:ptCount val="1"/>
                <c:pt idx="0">
                  <c:v>Double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Cargo'!$AD$4:$AD$11</c:f>
              <c:numCache>
                <c:formatCode>#,##0</c:formatCode>
                <c:ptCount val="8"/>
                <c:pt idx="0">
                  <c:v>58000</c:v>
                </c:pt>
                <c:pt idx="1">
                  <c:v>70166.666666666657</c:v>
                </c:pt>
                <c:pt idx="2">
                  <c:v>111333.33333333333</c:v>
                </c:pt>
                <c:pt idx="3">
                  <c:v>152500</c:v>
                </c:pt>
                <c:pt idx="4">
                  <c:v>215500</c:v>
                </c:pt>
                <c:pt idx="5">
                  <c:v>278500</c:v>
                </c:pt>
                <c:pt idx="6">
                  <c:v>411666.66666666669</c:v>
                </c:pt>
                <c:pt idx="7">
                  <c:v>523333.33333333331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0-4276-B96C-92C904DD3DAE}"/>
            </c:ext>
          </c:extLst>
        </c:ser>
        <c:ser>
          <c:idx val="4"/>
          <c:order val="4"/>
          <c:tx>
            <c:v>Ops 41, T5 Jelly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Cargo'!$AE$4:$AE$11</c:f>
              <c:numCache>
                <c:formatCode>#,##0</c:formatCode>
                <c:ptCount val="8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00-4276-B96C-92C904DD3DAE}"/>
            </c:ext>
          </c:extLst>
        </c:ser>
        <c:ser>
          <c:idx val="5"/>
          <c:order val="5"/>
          <c:tx>
            <c:v>Ops 44, T5 Valdore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Cargo'!$AF$4:$AF$11</c:f>
              <c:numCache>
                <c:formatCode>#,##0</c:formatCode>
                <c:ptCount val="8"/>
                <c:pt idx="0">
                  <c:v>110000</c:v>
                </c:pt>
                <c:pt idx="1">
                  <c:v>110000</c:v>
                </c:pt>
                <c:pt idx="2">
                  <c:v>110000</c:v>
                </c:pt>
                <c:pt idx="3">
                  <c:v>110000</c:v>
                </c:pt>
                <c:pt idx="4">
                  <c:v>110000</c:v>
                </c:pt>
                <c:pt idx="5">
                  <c:v>110000</c:v>
                </c:pt>
                <c:pt idx="6">
                  <c:v>110000</c:v>
                </c:pt>
                <c:pt idx="7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00-4276-B96C-92C904DD3DAE}"/>
            </c:ext>
          </c:extLst>
        </c:ser>
        <c:ser>
          <c:idx val="6"/>
          <c:order val="6"/>
          <c:tx>
            <c:v>Ops 46, T5 Pilum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Cargo'!$AG$4:$AG$11</c:f>
              <c:numCache>
                <c:formatCode>#,##0</c:formatCode>
                <c:ptCount val="8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00-4276-B96C-92C904DD3DAE}"/>
            </c:ext>
          </c:extLst>
        </c:ser>
        <c:ser>
          <c:idx val="7"/>
          <c:order val="7"/>
          <c:tx>
            <c:v>Ops 49, T7 Newton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Cargo'!$AH$4:$AH$11</c:f>
              <c:numCache>
                <c:formatCode>#,##0</c:formatCode>
                <c:ptCount val="8"/>
                <c:pt idx="0">
                  <c:v>400000</c:v>
                </c:pt>
                <c:pt idx="1">
                  <c:v>400000</c:v>
                </c:pt>
                <c:pt idx="2">
                  <c:v>400000</c:v>
                </c:pt>
                <c:pt idx="3">
                  <c:v>400000</c:v>
                </c:pt>
                <c:pt idx="4">
                  <c:v>400000</c:v>
                </c:pt>
                <c:pt idx="5">
                  <c:v>400000</c:v>
                </c:pt>
                <c:pt idx="6">
                  <c:v>400000</c:v>
                </c:pt>
                <c:pt idx="7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00-4276-B96C-92C904DD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72705"/>
        <c:axId val="2087505726"/>
      </c:lineChart>
      <c:catAx>
        <c:axId val="801972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7505726"/>
        <c:crosses val="autoZero"/>
        <c:auto val="1"/>
        <c:lblAlgn val="ctr"/>
        <c:lblOffset val="100"/>
        <c:noMultiLvlLbl val="1"/>
      </c:catAx>
      <c:valAx>
        <c:axId val="2087505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19727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Likely Mantis Max Cargo (x2 trips) vs. Daily Refinery Costs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'(PRE-BOOST) Simple Mantis Cargo'!$T$3</c:f>
              <c:strCache>
                <c:ptCount val="1"/>
                <c:pt idx="0">
                  <c:v>Base Cargo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Cargo'!$T$4:$T$11</c:f>
              <c:numCache>
                <c:formatCode>General</c:formatCode>
                <c:ptCount val="8"/>
                <c:pt idx="0">
                  <c:v>3000</c:v>
                </c:pt>
                <c:pt idx="1">
                  <c:v>3500</c:v>
                </c:pt>
                <c:pt idx="2">
                  <c:v>4400</c:v>
                </c:pt>
                <c:pt idx="3">
                  <c:v>5000</c:v>
                </c:pt>
                <c:pt idx="4">
                  <c:v>6750</c:v>
                </c:pt>
                <c:pt idx="5">
                  <c:v>8350</c:v>
                </c:pt>
                <c:pt idx="6">
                  <c:v>10800</c:v>
                </c:pt>
                <c:pt idx="7">
                  <c:v>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F-4D0D-81C2-86AEDCF7D96F}"/>
            </c:ext>
          </c:extLst>
        </c:ser>
        <c:ser>
          <c:idx val="1"/>
          <c:order val="1"/>
          <c:tx>
            <c:v>ops 35 based research, officers, syndicate, treasury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Cargo'!$U$4:$U$11</c:f>
              <c:numCache>
                <c:formatCode>#,##0</c:formatCode>
                <c:ptCount val="8"/>
                <c:pt idx="0">
                  <c:v>26700</c:v>
                </c:pt>
                <c:pt idx="1">
                  <c:v>31150</c:v>
                </c:pt>
                <c:pt idx="2">
                  <c:v>39160</c:v>
                </c:pt>
                <c:pt idx="3">
                  <c:v>44500</c:v>
                </c:pt>
                <c:pt idx="4">
                  <c:v>60075</c:v>
                </c:pt>
                <c:pt idx="5">
                  <c:v>74315</c:v>
                </c:pt>
                <c:pt idx="6">
                  <c:v>96120</c:v>
                </c:pt>
                <c:pt idx="7">
                  <c:v>117480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F-4D0D-81C2-86AEDCF7D96F}"/>
            </c:ext>
          </c:extLst>
        </c:ser>
        <c:ser>
          <c:idx val="2"/>
          <c:order val="2"/>
          <c:tx>
            <c:strRef>
              <c:f>'(PRE-BOOST) Simple Mantis Cargo'!$V$3</c:f>
              <c:strCache>
                <c:ptCount val="1"/>
                <c:pt idx="0">
                  <c:v>40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Cargo'!$V$4:$V$11</c:f>
              <c:numCache>
                <c:formatCode>#,##0</c:formatCode>
                <c:ptCount val="8"/>
                <c:pt idx="0">
                  <c:v>32460</c:v>
                </c:pt>
                <c:pt idx="1">
                  <c:v>37870</c:v>
                </c:pt>
                <c:pt idx="2">
                  <c:v>47608</c:v>
                </c:pt>
                <c:pt idx="3">
                  <c:v>54100</c:v>
                </c:pt>
                <c:pt idx="4">
                  <c:v>73035</c:v>
                </c:pt>
                <c:pt idx="5">
                  <c:v>90347</c:v>
                </c:pt>
                <c:pt idx="6">
                  <c:v>116856</c:v>
                </c:pt>
                <c:pt idx="7">
                  <c:v>142824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F-4D0D-81C2-86AEDCF7D96F}"/>
            </c:ext>
          </c:extLst>
        </c:ser>
        <c:ser>
          <c:idx val="3"/>
          <c:order val="3"/>
          <c:tx>
            <c:strRef>
              <c:f>'(PRE-BOOST) Simple Mantis Cargo'!$W$3</c:f>
              <c:strCache>
                <c:ptCount val="1"/>
                <c:pt idx="0">
                  <c:v>45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Cargo'!$W$4:$W$11</c:f>
              <c:numCache>
                <c:formatCode>#,##0</c:formatCode>
                <c:ptCount val="8"/>
                <c:pt idx="0">
                  <c:v>36960</c:v>
                </c:pt>
                <c:pt idx="1">
                  <c:v>43120</c:v>
                </c:pt>
                <c:pt idx="2">
                  <c:v>54208</c:v>
                </c:pt>
                <c:pt idx="3">
                  <c:v>61600</c:v>
                </c:pt>
                <c:pt idx="4">
                  <c:v>83160</c:v>
                </c:pt>
                <c:pt idx="5">
                  <c:v>102872</c:v>
                </c:pt>
                <c:pt idx="6">
                  <c:v>133056</c:v>
                </c:pt>
                <c:pt idx="7">
                  <c:v>162624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F-4D0D-81C2-86AEDCF7D96F}"/>
            </c:ext>
          </c:extLst>
        </c:ser>
        <c:ser>
          <c:idx val="4"/>
          <c:order val="4"/>
          <c:tx>
            <c:strRef>
              <c:f>'(PRE-BOOST) Simple Mantis Cargo'!$X$3</c:f>
              <c:strCache>
                <c:ptCount val="1"/>
                <c:pt idx="0">
                  <c:v>50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Cargo'!$X$4:$X$11</c:f>
              <c:numCache>
                <c:formatCode>#,##0</c:formatCode>
                <c:ptCount val="8"/>
                <c:pt idx="0">
                  <c:v>48660</c:v>
                </c:pt>
                <c:pt idx="1">
                  <c:v>56769.999999999993</c:v>
                </c:pt>
                <c:pt idx="2">
                  <c:v>71368</c:v>
                </c:pt>
                <c:pt idx="3">
                  <c:v>81100</c:v>
                </c:pt>
                <c:pt idx="4">
                  <c:v>109484.99999999999</c:v>
                </c:pt>
                <c:pt idx="5">
                  <c:v>135437</c:v>
                </c:pt>
                <c:pt idx="6">
                  <c:v>175176</c:v>
                </c:pt>
                <c:pt idx="7">
                  <c:v>214103.99999999997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F-4D0D-81C2-86AEDCF7D96F}"/>
            </c:ext>
          </c:extLst>
        </c:ser>
        <c:ser>
          <c:idx val="5"/>
          <c:order val="5"/>
          <c:tx>
            <c:strRef>
              <c:f>'(PRE-BOOST) Simple Mantis Cargo'!$Y$3</c:f>
              <c:strCache>
                <c:ptCount val="1"/>
                <c:pt idx="0">
                  <c:v>55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Cargo'!$Y$4:$Y$11</c:f>
              <c:numCache>
                <c:formatCode>#,##0</c:formatCode>
                <c:ptCount val="8"/>
                <c:pt idx="0">
                  <c:v>49500</c:v>
                </c:pt>
                <c:pt idx="1">
                  <c:v>57750</c:v>
                </c:pt>
                <c:pt idx="2">
                  <c:v>72600</c:v>
                </c:pt>
                <c:pt idx="3">
                  <c:v>82500</c:v>
                </c:pt>
                <c:pt idx="4">
                  <c:v>111375</c:v>
                </c:pt>
                <c:pt idx="5">
                  <c:v>137775</c:v>
                </c:pt>
                <c:pt idx="6">
                  <c:v>178200</c:v>
                </c:pt>
                <c:pt idx="7">
                  <c:v>217800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F-4D0D-81C2-86AEDCF7D96F}"/>
            </c:ext>
          </c:extLst>
        </c:ser>
        <c:ser>
          <c:idx val="6"/>
          <c:order val="6"/>
          <c:tx>
            <c:strRef>
              <c:f>'(PRE-BOOST) Simple Mantis Cargo'!$Z$3</c:f>
              <c:strCache>
                <c:ptCount val="1"/>
                <c:pt idx="0">
                  <c:v>60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Cargo'!$Z$4:$Z$11</c:f>
              <c:numCache>
                <c:formatCode>#,##0</c:formatCode>
                <c:ptCount val="8"/>
                <c:pt idx="0">
                  <c:v>49800.000000000007</c:v>
                </c:pt>
                <c:pt idx="1">
                  <c:v>58100.000000000007</c:v>
                </c:pt>
                <c:pt idx="2">
                  <c:v>73040</c:v>
                </c:pt>
                <c:pt idx="3">
                  <c:v>83000</c:v>
                </c:pt>
                <c:pt idx="4">
                  <c:v>112050.00000000001</c:v>
                </c:pt>
                <c:pt idx="5">
                  <c:v>138610</c:v>
                </c:pt>
                <c:pt idx="6">
                  <c:v>179280.00000000003</c:v>
                </c:pt>
                <c:pt idx="7">
                  <c:v>219120.00000000003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0F-4D0D-81C2-86AEDCF7D96F}"/>
            </c:ext>
          </c:extLst>
        </c:ser>
        <c:ser>
          <c:idx val="7"/>
          <c:order val="7"/>
          <c:tx>
            <c:v>EVERY OFFICER, RESEARCH, AND BUILDING MAXED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Cargo'!$AA$4:$AA$11</c:f>
              <c:numCache>
                <c:formatCode>#,##0</c:formatCode>
                <c:ptCount val="8"/>
                <c:pt idx="0">
                  <c:v>56400</c:v>
                </c:pt>
                <c:pt idx="1">
                  <c:v>65800</c:v>
                </c:pt>
                <c:pt idx="2">
                  <c:v>82720</c:v>
                </c:pt>
                <c:pt idx="3">
                  <c:v>94000</c:v>
                </c:pt>
                <c:pt idx="4">
                  <c:v>126900</c:v>
                </c:pt>
                <c:pt idx="5">
                  <c:v>156980</c:v>
                </c:pt>
                <c:pt idx="6">
                  <c:v>203040</c:v>
                </c:pt>
                <c:pt idx="7">
                  <c:v>248160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0F-4D0D-81C2-86AEDCF7D96F}"/>
            </c:ext>
          </c:extLst>
        </c:ser>
        <c:ser>
          <c:idx val="8"/>
          <c:order val="8"/>
          <c:tx>
            <c:strRef>
              <c:f>'(PRE-BOOST) Simple Mantis Cargo'!$AB$3</c:f>
              <c:strCache>
                <c:ptCount val="1"/>
                <c:pt idx="0">
                  <c:v>likely cargo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Cargo'!$AB$4:$AB$11</c:f>
              <c:numCache>
                <c:formatCode>#,##0</c:formatCode>
                <c:ptCount val="8"/>
                <c:pt idx="0">
                  <c:v>26700</c:v>
                </c:pt>
                <c:pt idx="1">
                  <c:v>37870</c:v>
                </c:pt>
                <c:pt idx="2">
                  <c:v>47608</c:v>
                </c:pt>
                <c:pt idx="3">
                  <c:v>61600</c:v>
                </c:pt>
                <c:pt idx="4">
                  <c:v>83160</c:v>
                </c:pt>
                <c:pt idx="5">
                  <c:v>135437</c:v>
                </c:pt>
                <c:pt idx="6">
                  <c:v>175176</c:v>
                </c:pt>
                <c:pt idx="7">
                  <c:v>214103.99999999997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0F-4D0D-81C2-86AEDCF7D96F}"/>
            </c:ext>
          </c:extLst>
        </c:ser>
        <c:ser>
          <c:idx val="9"/>
          <c:order val="9"/>
          <c:tx>
            <c:strRef>
              <c:f>'(PRE-BOOST) Simple Mantis Cargo'!$AC$3</c:f>
              <c:strCache>
                <c:ptCount val="1"/>
                <c:pt idx="0">
                  <c:v>Single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sysDot"/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Cargo'!$AC$4:$AC$11</c:f>
              <c:numCache>
                <c:formatCode>#,##0</c:formatCode>
                <c:ptCount val="8"/>
                <c:pt idx="0">
                  <c:v>14000</c:v>
                </c:pt>
                <c:pt idx="1">
                  <c:v>16833.333333333336</c:v>
                </c:pt>
                <c:pt idx="2">
                  <c:v>26666.666666666664</c:v>
                </c:pt>
                <c:pt idx="3">
                  <c:v>36500</c:v>
                </c:pt>
                <c:pt idx="4">
                  <c:v>51500</c:v>
                </c:pt>
                <c:pt idx="5">
                  <c:v>66500</c:v>
                </c:pt>
                <c:pt idx="6">
                  <c:v>98333.333333333343</c:v>
                </c:pt>
                <c:pt idx="7">
                  <c:v>124666.66666666667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0F-4D0D-81C2-86AEDCF7D96F}"/>
            </c:ext>
          </c:extLst>
        </c:ser>
        <c:ser>
          <c:idx val="10"/>
          <c:order val="10"/>
          <c:tx>
            <c:strRef>
              <c:f>'(PRE-BOOST) Simple Mantis Cargo'!$AD$3</c:f>
              <c:strCache>
                <c:ptCount val="1"/>
                <c:pt idx="0">
                  <c:v>Double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lgDash"/>
            </a:ln>
          </c:spPr>
          <c:marker>
            <c:symbol val="none"/>
          </c:marker>
          <c:cat>
            <c:strRef>
              <c:f>'(PRE-BOOST) Simple Mantis Cargo'!$S$4:$S$11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Cargo'!$AD$4:$AD$11</c:f>
              <c:numCache>
                <c:formatCode>#,##0</c:formatCode>
                <c:ptCount val="8"/>
                <c:pt idx="0">
                  <c:v>58000</c:v>
                </c:pt>
                <c:pt idx="1">
                  <c:v>70166.666666666657</c:v>
                </c:pt>
                <c:pt idx="2">
                  <c:v>111333.33333333333</c:v>
                </c:pt>
                <c:pt idx="3">
                  <c:v>152500</c:v>
                </c:pt>
                <c:pt idx="4">
                  <c:v>215500</c:v>
                </c:pt>
                <c:pt idx="5">
                  <c:v>278500</c:v>
                </c:pt>
                <c:pt idx="6">
                  <c:v>411666.66666666669</c:v>
                </c:pt>
                <c:pt idx="7">
                  <c:v>523333.33333333331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0F-4D0D-81C2-86AEDCF7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312693"/>
        <c:axId val="1260808182"/>
      </c:lineChart>
      <c:catAx>
        <c:axId val="1521312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0808182"/>
        <c:crosses val="autoZero"/>
        <c:auto val="1"/>
        <c:lblAlgn val="ctr"/>
        <c:lblOffset val="100"/>
        <c:noMultiLvlLbl val="1"/>
      </c:catAx>
      <c:valAx>
        <c:axId val="1260808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13126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Mantis Refinery Cost Trend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Nitrium (ship)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'(PRE-BOOST) Mantis Benefit by T'!$A$24:$A$31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Mantis Benefit by T'!$B$24:$B$31</c:f>
              <c:numCache>
                <c:formatCode>#,##0</c:formatCode>
                <c:ptCount val="8"/>
                <c:pt idx="0">
                  <c:v>20</c:v>
                </c:pt>
                <c:pt idx="1">
                  <c:v>13.333333333333334</c:v>
                </c:pt>
                <c:pt idx="2">
                  <c:v>8.6666666666666661</c:v>
                </c:pt>
                <c:pt idx="3">
                  <c:v>6</c:v>
                </c:pt>
                <c:pt idx="4">
                  <c:v>4.333333333333333</c:v>
                </c:pt>
                <c:pt idx="5">
                  <c:v>3.7777777777777777</c:v>
                </c:pt>
                <c:pt idx="6">
                  <c:v>4.166666666666667</c:v>
                </c:pt>
                <c:pt idx="7">
                  <c:v>3.1428571428571428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1-40C9-9842-AD53AF38667B}"/>
            </c:ext>
          </c:extLst>
        </c:ser>
        <c:ser>
          <c:idx val="1"/>
          <c:order val="1"/>
          <c:tx>
            <c:v>Ion (research)</c:v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'(PRE-BOOST) Mantis Benefit by T'!$A$24:$A$31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Mantis Benefit by T'!$F$24:$F$31</c:f>
              <c:numCache>
                <c:formatCode>#,##0</c:formatCode>
                <c:ptCount val="8"/>
                <c:pt idx="0">
                  <c:v>30</c:v>
                </c:pt>
                <c:pt idx="1">
                  <c:v>17.5</c:v>
                </c:pt>
                <c:pt idx="2">
                  <c:v>11</c:v>
                </c:pt>
                <c:pt idx="3">
                  <c:v>7.5</c:v>
                </c:pt>
                <c:pt idx="4">
                  <c:v>5.25</c:v>
                </c:pt>
                <c:pt idx="5">
                  <c:v>4.5</c:v>
                </c:pt>
                <c:pt idx="6">
                  <c:v>5</c:v>
                </c:pt>
                <c:pt idx="7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1-40C9-9842-AD53AF38667B}"/>
            </c:ext>
          </c:extLst>
        </c:ser>
        <c:ser>
          <c:idx val="2"/>
          <c:order val="2"/>
          <c:tx>
            <c:v>Syndicate XP</c:v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'(PRE-BOOST) Mantis Benefit by T'!$A$24:$A$31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Mantis Benefit by T'!$H$24:$H$31</c:f>
              <c:numCache>
                <c:formatCode>#,##0</c:formatCode>
                <c:ptCount val="8"/>
                <c:pt idx="0">
                  <c:v>3.9840637450199203</c:v>
                </c:pt>
                <c:pt idx="1">
                  <c:v>4.4614404079031234</c:v>
                </c:pt>
                <c:pt idx="2">
                  <c:v>6.7401960784313726</c:v>
                </c:pt>
                <c:pt idx="3">
                  <c:v>8.8547815820543097</c:v>
                </c:pt>
                <c:pt idx="4">
                  <c:v>11.952191235059761</c:v>
                </c:pt>
                <c:pt idx="5">
                  <c:v>14.835164835164836</c:v>
                </c:pt>
                <c:pt idx="6">
                  <c:v>21.242697822623473</c:v>
                </c:pt>
                <c:pt idx="7">
                  <c:v>25.70694087403599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1-40C9-9842-AD53AF38667B}"/>
            </c:ext>
          </c:extLst>
        </c:ser>
        <c:ser>
          <c:idx val="3"/>
          <c:order val="3"/>
          <c:tx>
            <c:v>Hull Fragments (recruit)</c:v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'(PRE-BOOST) Mantis Benefit by T'!$A$24:$A$31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Mantis Benefit by T'!$J$24:$J$31</c:f>
              <c:numCache>
                <c:formatCode>#,##0</c:formatCode>
                <c:ptCount val="8"/>
                <c:pt idx="0">
                  <c:v>6</c:v>
                </c:pt>
                <c:pt idx="1">
                  <c:v>6.666666666666667</c:v>
                </c:pt>
                <c:pt idx="2">
                  <c:v>10</c:v>
                </c:pt>
                <c:pt idx="3">
                  <c:v>13.043478260869565</c:v>
                </c:pt>
                <c:pt idx="4">
                  <c:v>17.5</c:v>
                </c:pt>
                <c:pt idx="5">
                  <c:v>21.6</c:v>
                </c:pt>
                <c:pt idx="6">
                  <c:v>30.76923076923077</c:v>
                </c:pt>
                <c:pt idx="7">
                  <c:v>37.037037037037038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1-40C9-9842-AD53AF386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392677"/>
        <c:axId val="1738843321"/>
      </c:lineChart>
      <c:catAx>
        <c:axId val="1957392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8843321"/>
        <c:crosses val="autoZero"/>
        <c:auto val="1"/>
        <c:lblAlgn val="ctr"/>
        <c:lblOffset val="100"/>
        <c:noMultiLvlLbl val="1"/>
      </c:catAx>
      <c:valAx>
        <c:axId val="1738843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73926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Mantis Refinery 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Nitrium (ship)</c:v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'(PRE-BOOST) Mantis Benefit by T'!$N$24:$N$31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Mantis Benefit by T'!$O$24:$O$31</c:f>
              <c:numCache>
                <c:formatCode>#,##0.000</c:formatCode>
                <c:ptCount val="8"/>
                <c:pt idx="0">
                  <c:v>0.05</c:v>
                </c:pt>
                <c:pt idx="1">
                  <c:v>7.4999999999999997E-2</c:v>
                </c:pt>
                <c:pt idx="2">
                  <c:v>0.11538461538461539</c:v>
                </c:pt>
                <c:pt idx="3">
                  <c:v>0.16666666666666666</c:v>
                </c:pt>
                <c:pt idx="4">
                  <c:v>0.23076923076923078</c:v>
                </c:pt>
                <c:pt idx="5">
                  <c:v>0.26470588235294118</c:v>
                </c:pt>
                <c:pt idx="6">
                  <c:v>0.24</c:v>
                </c:pt>
                <c:pt idx="7">
                  <c:v>0.31818181818181818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1-4889-8523-73B11D26027D}"/>
            </c:ext>
          </c:extLst>
        </c:ser>
        <c:ser>
          <c:idx val="1"/>
          <c:order val="1"/>
          <c:tx>
            <c:v>Ion (research)</c:v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'(PRE-BOOST) Mantis Benefit by T'!$N$24:$N$31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Mantis Benefit by T'!$S$24:$S$31</c:f>
              <c:numCache>
                <c:formatCode>#,##0.000</c:formatCode>
                <c:ptCount val="8"/>
                <c:pt idx="0">
                  <c:v>3.3333333333333333E-2</c:v>
                </c:pt>
                <c:pt idx="1">
                  <c:v>5.7142857142857141E-2</c:v>
                </c:pt>
                <c:pt idx="2">
                  <c:v>9.0909090909090912E-2</c:v>
                </c:pt>
                <c:pt idx="3">
                  <c:v>0.13333333333333333</c:v>
                </c:pt>
                <c:pt idx="4">
                  <c:v>0.19047619047619047</c:v>
                </c:pt>
                <c:pt idx="5">
                  <c:v>0.22222222222222221</c:v>
                </c:pt>
                <c:pt idx="6">
                  <c:v>0.2</c:v>
                </c:pt>
                <c:pt idx="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1-4889-8523-73B11D26027D}"/>
            </c:ext>
          </c:extLst>
        </c:ser>
        <c:ser>
          <c:idx val="2"/>
          <c:order val="2"/>
          <c:tx>
            <c:v>Syndicate XP</c:v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'(PRE-BOOST) Mantis Benefit by T'!$N$24:$N$31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Mantis Benefit by T'!$U$24:$U$31</c:f>
              <c:numCache>
                <c:formatCode>#,##0.000</c:formatCode>
                <c:ptCount val="8"/>
                <c:pt idx="0">
                  <c:v>0.251</c:v>
                </c:pt>
                <c:pt idx="1">
                  <c:v>0.22414285714285714</c:v>
                </c:pt>
                <c:pt idx="2">
                  <c:v>0.14836363636363636</c:v>
                </c:pt>
                <c:pt idx="3">
                  <c:v>0.11293333333333333</c:v>
                </c:pt>
                <c:pt idx="4">
                  <c:v>8.3666666666666667E-2</c:v>
                </c:pt>
                <c:pt idx="5">
                  <c:v>6.7407407407407402E-2</c:v>
                </c:pt>
                <c:pt idx="6">
                  <c:v>4.7074999999999999E-2</c:v>
                </c:pt>
                <c:pt idx="7">
                  <c:v>3.8899999999999997E-2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1-4889-8523-73B11D26027D}"/>
            </c:ext>
          </c:extLst>
        </c:ser>
        <c:ser>
          <c:idx val="3"/>
          <c:order val="3"/>
          <c:tx>
            <c:v>Hull Fragments (recruit)</c:v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'(PRE-BOOST) Mantis Benefit by T'!$N$24:$N$31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Mantis Benefit by T'!$W$24:$W$31</c:f>
              <c:numCache>
                <c:formatCode>#,##0.000</c:formatCode>
                <c:ptCount val="8"/>
                <c:pt idx="0">
                  <c:v>0.16666666666666666</c:v>
                </c:pt>
                <c:pt idx="1">
                  <c:v>0.15</c:v>
                </c:pt>
                <c:pt idx="2">
                  <c:v>0.1</c:v>
                </c:pt>
                <c:pt idx="3">
                  <c:v>7.6666666666666661E-2</c:v>
                </c:pt>
                <c:pt idx="4">
                  <c:v>5.7142857142857141E-2</c:v>
                </c:pt>
                <c:pt idx="5">
                  <c:v>4.6296296296296294E-2</c:v>
                </c:pt>
                <c:pt idx="6">
                  <c:v>3.2500000000000001E-2</c:v>
                </c:pt>
                <c:pt idx="7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1-4889-8523-73B11D26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34897"/>
        <c:axId val="1968276588"/>
      </c:lineChart>
      <c:catAx>
        <c:axId val="507334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8276588"/>
        <c:crosses val="autoZero"/>
        <c:auto val="1"/>
        <c:lblAlgn val="ctr"/>
        <c:lblOffset val="100"/>
        <c:noMultiLvlLbl val="1"/>
      </c:catAx>
      <c:valAx>
        <c:axId val="1968276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7334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Mantis Refinery 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Nitrium (ship)</c:v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'Mantis Benefit by Tier'!$T$26:$T$37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'Mantis Benefit by Tier'!$U$26:$U$37</c:f>
              <c:numCache>
                <c:formatCode>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D-4642-BDEF-BC2F97AEB9CF}"/>
            </c:ext>
          </c:extLst>
        </c:ser>
        <c:ser>
          <c:idx val="1"/>
          <c:order val="1"/>
          <c:tx>
            <c:v>Ion (research)</c:v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'Mantis Benefit by Tier'!$T$26:$T$37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'Mantis Benefit by Tier'!$Y$26:$Y$37</c:f>
              <c:numCache>
                <c:formatCode>#,##0.000</c:formatCode>
                <c:ptCount val="12"/>
                <c:pt idx="0">
                  <c:v>2.3E-2</c:v>
                </c:pt>
                <c:pt idx="1">
                  <c:v>3.4500000000000003E-2</c:v>
                </c:pt>
                <c:pt idx="2">
                  <c:v>5.307692307692307E-2</c:v>
                </c:pt>
                <c:pt idx="3">
                  <c:v>7.6666666666666661E-2</c:v>
                </c:pt>
                <c:pt idx="4">
                  <c:v>0.10615384615384614</c:v>
                </c:pt>
                <c:pt idx="5">
                  <c:v>0.12176470588235294</c:v>
                </c:pt>
                <c:pt idx="6">
                  <c:v>0.11039999999999998</c:v>
                </c:pt>
                <c:pt idx="7">
                  <c:v>0.14636363636363633</c:v>
                </c:pt>
                <c:pt idx="8">
                  <c:v>0.14081632653061224</c:v>
                </c:pt>
                <c:pt idx="9">
                  <c:v>0.17164179104477609</c:v>
                </c:pt>
                <c:pt idx="10">
                  <c:v>0.16727272727272727</c:v>
                </c:pt>
                <c:pt idx="11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D-4642-BDEF-BC2F97AEB9CF}"/>
            </c:ext>
          </c:extLst>
        </c:ser>
        <c:ser>
          <c:idx val="2"/>
          <c:order val="2"/>
          <c:tx>
            <c:v>Syndicate XP</c:v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'Mantis Benefit by Tier'!$T$26:$T$37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'Mantis Benefit by Tier'!$AA$26:$AA$37</c:f>
              <c:numCache>
                <c:formatCode>#,##0.000</c:formatCode>
                <c:ptCount val="12"/>
                <c:pt idx="0">
                  <c:v>4.3333333333333335E-2</c:v>
                </c:pt>
                <c:pt idx="1">
                  <c:v>7.4285714285714288E-2</c:v>
                </c:pt>
                <c:pt idx="2">
                  <c:v>0.11818181818181818</c:v>
                </c:pt>
                <c:pt idx="3">
                  <c:v>0.17333333333333334</c:v>
                </c:pt>
                <c:pt idx="4">
                  <c:v>0.24761904761904763</c:v>
                </c:pt>
                <c:pt idx="5">
                  <c:v>0.28888888888888886</c:v>
                </c:pt>
                <c:pt idx="6">
                  <c:v>0.26</c:v>
                </c:pt>
                <c:pt idx="7">
                  <c:v>0.36399999999999999</c:v>
                </c:pt>
                <c:pt idx="8">
                  <c:v>0.37142857142857144</c:v>
                </c:pt>
                <c:pt idx="9">
                  <c:v>0.50555555555555554</c:v>
                </c:pt>
                <c:pt idx="10">
                  <c:v>0.55000000000000004</c:v>
                </c:pt>
                <c:pt idx="11">
                  <c:v>0.53695652173913044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D-4642-BDEF-BC2F97AE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698495"/>
        <c:axId val="1665450852"/>
      </c:lineChart>
      <c:catAx>
        <c:axId val="200069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450852"/>
        <c:crosses val="autoZero"/>
        <c:auto val="1"/>
        <c:lblAlgn val="ctr"/>
        <c:lblOffset val="100"/>
        <c:noMultiLvlLbl val="1"/>
      </c:catAx>
      <c:valAx>
        <c:axId val="1665450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06984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'Mantis Benefit by Tier'!$P$64</c:f>
              <c:strCache>
                <c:ptCount val="1"/>
                <c:pt idx="0">
                  <c:v>no boosts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Tier'!$P$65:$P$75</c:f>
              <c:numCache>
                <c:formatCode>#,##0</c:formatCode>
                <c:ptCount val="11"/>
                <c:pt idx="0">
                  <c:v>3</c:v>
                </c:pt>
                <c:pt idx="1">
                  <c:v>6.9833333333333334</c:v>
                </c:pt>
                <c:pt idx="2">
                  <c:v>16</c:v>
                </c:pt>
                <c:pt idx="3">
                  <c:v>32</c:v>
                </c:pt>
                <c:pt idx="4">
                  <c:v>88</c:v>
                </c:pt>
                <c:pt idx="5">
                  <c:v>102</c:v>
                </c:pt>
                <c:pt idx="6">
                  <c:v>114</c:v>
                </c:pt>
                <c:pt idx="7">
                  <c:v>136.1904761904762</c:v>
                </c:pt>
                <c:pt idx="8">
                  <c:v>160</c:v>
                </c:pt>
                <c:pt idx="9">
                  <c:v>176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6-4389-A371-C06667CA3C59}"/>
            </c:ext>
          </c:extLst>
        </c:ser>
        <c:ser>
          <c:idx val="1"/>
          <c:order val="1"/>
          <c:tx>
            <c:strRef>
              <c:f>'Mantis Benefit by Tier'!$Q$64</c:f>
              <c:strCache>
                <c:ptCount val="1"/>
                <c:pt idx="0">
                  <c:v>Ex-Borg 1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Tier'!$Q$65:$Q$75</c:f>
              <c:numCache>
                <c:formatCode>#,##0</c:formatCode>
                <c:ptCount val="11"/>
                <c:pt idx="0">
                  <c:v>2.2222222222222223</c:v>
                </c:pt>
                <c:pt idx="1">
                  <c:v>5.1728395061728394</c:v>
                </c:pt>
                <c:pt idx="2">
                  <c:v>11.851851851851851</c:v>
                </c:pt>
                <c:pt idx="3">
                  <c:v>23.703703703703702</c:v>
                </c:pt>
                <c:pt idx="4">
                  <c:v>65.185185185185176</c:v>
                </c:pt>
                <c:pt idx="5">
                  <c:v>75.555555555555557</c:v>
                </c:pt>
                <c:pt idx="6">
                  <c:v>84.444444444444429</c:v>
                </c:pt>
                <c:pt idx="7">
                  <c:v>100.88183421516753</c:v>
                </c:pt>
                <c:pt idx="8">
                  <c:v>118.51851851851852</c:v>
                </c:pt>
                <c:pt idx="9">
                  <c:v>130.37037037037038</c:v>
                </c:pt>
                <c:pt idx="10">
                  <c:v>149.62962962962962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6-4389-A371-C06667CA3C59}"/>
            </c:ext>
          </c:extLst>
        </c:ser>
        <c:ser>
          <c:idx val="2"/>
          <c:order val="2"/>
          <c:tx>
            <c:strRef>
              <c:f>'Mantis Benefit by Tier'!$R$64</c:f>
              <c:strCache>
                <c:ptCount val="1"/>
                <c:pt idx="0">
                  <c:v>Ex-Borg 2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Tier'!$R$65:$R$75</c:f>
              <c:numCache>
                <c:formatCode>#,##0</c:formatCode>
                <c:ptCount val="11"/>
                <c:pt idx="0">
                  <c:v>1.6666666666666667</c:v>
                </c:pt>
                <c:pt idx="1">
                  <c:v>3.8796296296296298</c:v>
                </c:pt>
                <c:pt idx="2">
                  <c:v>8.8888888888888893</c:v>
                </c:pt>
                <c:pt idx="3">
                  <c:v>17.777777777777779</c:v>
                </c:pt>
                <c:pt idx="4">
                  <c:v>48.888888888888886</c:v>
                </c:pt>
                <c:pt idx="5">
                  <c:v>56.666666666666664</c:v>
                </c:pt>
                <c:pt idx="6">
                  <c:v>63.333333333333336</c:v>
                </c:pt>
                <c:pt idx="7">
                  <c:v>75.661375661375658</c:v>
                </c:pt>
                <c:pt idx="8">
                  <c:v>88.888888888888886</c:v>
                </c:pt>
                <c:pt idx="9">
                  <c:v>97.777777777777771</c:v>
                </c:pt>
                <c:pt idx="10">
                  <c:v>112.22222222222223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6-4389-A371-C06667CA3C59}"/>
            </c:ext>
          </c:extLst>
        </c:ser>
        <c:ser>
          <c:idx val="3"/>
          <c:order val="3"/>
          <c:tx>
            <c:strRef>
              <c:f>'Mantis Benefit by Tier'!$S$64</c:f>
              <c:strCache>
                <c:ptCount val="1"/>
                <c:pt idx="0">
                  <c:v>w/ prime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Tier'!$S$65:$S$75</c:f>
              <c:numCache>
                <c:formatCode>#,##0</c:formatCode>
                <c:ptCount val="11"/>
                <c:pt idx="0">
                  <c:v>2</c:v>
                </c:pt>
                <c:pt idx="1">
                  <c:v>4.6555555555555559</c:v>
                </c:pt>
                <c:pt idx="2">
                  <c:v>10.666666666666666</c:v>
                </c:pt>
                <c:pt idx="3">
                  <c:v>21.333333333333332</c:v>
                </c:pt>
                <c:pt idx="4">
                  <c:v>58.666666666666664</c:v>
                </c:pt>
                <c:pt idx="5">
                  <c:v>68</c:v>
                </c:pt>
                <c:pt idx="6">
                  <c:v>76</c:v>
                </c:pt>
                <c:pt idx="7">
                  <c:v>90.793650793650798</c:v>
                </c:pt>
                <c:pt idx="8">
                  <c:v>106.66666666666667</c:v>
                </c:pt>
                <c:pt idx="9">
                  <c:v>117.33333333333333</c:v>
                </c:pt>
                <c:pt idx="10">
                  <c:v>134.66666666666666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6-4389-A371-C06667CA3C59}"/>
            </c:ext>
          </c:extLst>
        </c:ser>
        <c:ser>
          <c:idx val="4"/>
          <c:order val="4"/>
          <c:tx>
            <c:strRef>
              <c:f>'Mantis Benefit by Tier'!$T$64</c:f>
              <c:strCache>
                <c:ptCount val="1"/>
                <c:pt idx="0">
                  <c:v>Ex-Borg 1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Tier'!$T$65:$T$75</c:f>
              <c:numCache>
                <c:formatCode>#,##0</c:formatCode>
                <c:ptCount val="11"/>
                <c:pt idx="0">
                  <c:v>1.6216216216216217</c:v>
                </c:pt>
                <c:pt idx="1">
                  <c:v>3.7747747747747749</c:v>
                </c:pt>
                <c:pt idx="2">
                  <c:v>8.6486486486486491</c:v>
                </c:pt>
                <c:pt idx="3">
                  <c:v>17.297297297297298</c:v>
                </c:pt>
                <c:pt idx="4">
                  <c:v>47.567567567567565</c:v>
                </c:pt>
                <c:pt idx="5">
                  <c:v>55.135135135135137</c:v>
                </c:pt>
                <c:pt idx="6">
                  <c:v>61.621621621621621</c:v>
                </c:pt>
                <c:pt idx="7">
                  <c:v>73.616473616473613</c:v>
                </c:pt>
                <c:pt idx="8">
                  <c:v>86.486486486486484</c:v>
                </c:pt>
                <c:pt idx="9">
                  <c:v>95.13513513513513</c:v>
                </c:pt>
                <c:pt idx="10">
                  <c:v>109.18918918918919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A6-4389-A371-C06667CA3C59}"/>
            </c:ext>
          </c:extLst>
        </c:ser>
        <c:ser>
          <c:idx val="5"/>
          <c:order val="5"/>
          <c:tx>
            <c:strRef>
              <c:f>'Mantis Benefit by Tier'!$U$64</c:f>
              <c:strCache>
                <c:ptCount val="1"/>
                <c:pt idx="0">
                  <c:v>Ex-Borg 2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Tier'!$U$65:$U$75</c:f>
              <c:numCache>
                <c:formatCode>#,##0</c:formatCode>
                <c:ptCount val="11"/>
                <c:pt idx="0">
                  <c:v>1.3043478260869565</c:v>
                </c:pt>
                <c:pt idx="1">
                  <c:v>3.0362318840579712</c:v>
                </c:pt>
                <c:pt idx="2">
                  <c:v>6.9565217391304355</c:v>
                </c:pt>
                <c:pt idx="3">
                  <c:v>13.913043478260871</c:v>
                </c:pt>
                <c:pt idx="4">
                  <c:v>38.260869565217398</c:v>
                </c:pt>
                <c:pt idx="5">
                  <c:v>44.347826086956523</c:v>
                </c:pt>
                <c:pt idx="6">
                  <c:v>49.565217391304351</c:v>
                </c:pt>
                <c:pt idx="7">
                  <c:v>59.213250517598354</c:v>
                </c:pt>
                <c:pt idx="8">
                  <c:v>69.565217391304344</c:v>
                </c:pt>
                <c:pt idx="9">
                  <c:v>76.521739130434796</c:v>
                </c:pt>
                <c:pt idx="10">
                  <c:v>87.826086956521735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6-4389-A371-C06667CA3C59}"/>
            </c:ext>
          </c:extLst>
        </c:ser>
        <c:ser>
          <c:idx val="6"/>
          <c:order val="6"/>
          <c:tx>
            <c:strRef>
              <c:f>'Mantis Benefit by Tier'!$V$64</c:f>
              <c:strCache>
                <c:ptCount val="1"/>
                <c:pt idx="0">
                  <c:v>w/ Station Prime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Tier'!$V$65:$V$75</c:f>
              <c:numCache>
                <c:formatCode>#,##0</c:formatCode>
                <c:ptCount val="11"/>
                <c:pt idx="0">
                  <c:v>1.5384615384615383</c:v>
                </c:pt>
                <c:pt idx="1">
                  <c:v>3.5811965811965809</c:v>
                </c:pt>
                <c:pt idx="2">
                  <c:v>8.2051282051282044</c:v>
                </c:pt>
                <c:pt idx="3">
                  <c:v>16.410256410256409</c:v>
                </c:pt>
                <c:pt idx="4">
                  <c:v>45.128205128205124</c:v>
                </c:pt>
                <c:pt idx="5">
                  <c:v>52.307692307692307</c:v>
                </c:pt>
                <c:pt idx="6">
                  <c:v>58.46153846153846</c:v>
                </c:pt>
                <c:pt idx="7">
                  <c:v>69.841269841269835</c:v>
                </c:pt>
                <c:pt idx="8">
                  <c:v>82.051282051282044</c:v>
                </c:pt>
                <c:pt idx="9">
                  <c:v>90.256410256410248</c:v>
                </c:pt>
                <c:pt idx="10">
                  <c:v>103.58974358974358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6-4389-A371-C06667CA3C59}"/>
            </c:ext>
          </c:extLst>
        </c:ser>
        <c:ser>
          <c:idx val="7"/>
          <c:order val="7"/>
          <c:tx>
            <c:strRef>
              <c:f>'Mantis Benefit by Tier'!$W$64</c:f>
              <c:strCache>
                <c:ptCount val="1"/>
                <c:pt idx="0">
                  <c:v>Ex-Borg 1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Tier'!$W$65:$W$75</c:f>
              <c:numCache>
                <c:formatCode>#,##0</c:formatCode>
                <c:ptCount val="11"/>
                <c:pt idx="0">
                  <c:v>1.2474012474012472</c:v>
                </c:pt>
                <c:pt idx="1">
                  <c:v>2.9036729036729034</c:v>
                </c:pt>
                <c:pt idx="2">
                  <c:v>6.6528066528066523</c:v>
                </c:pt>
                <c:pt idx="3">
                  <c:v>13.305613305613305</c:v>
                </c:pt>
                <c:pt idx="4">
                  <c:v>36.590436590436589</c:v>
                </c:pt>
                <c:pt idx="5">
                  <c:v>42.411642411642411</c:v>
                </c:pt>
                <c:pt idx="6">
                  <c:v>47.401247401247396</c:v>
                </c:pt>
                <c:pt idx="7">
                  <c:v>56.628056628056626</c:v>
                </c:pt>
                <c:pt idx="8">
                  <c:v>66.528066528066518</c:v>
                </c:pt>
                <c:pt idx="9">
                  <c:v>73.180873180873178</c:v>
                </c:pt>
                <c:pt idx="10">
                  <c:v>83.991683991683985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A6-4389-A371-C06667CA3C59}"/>
            </c:ext>
          </c:extLst>
        </c:ser>
        <c:ser>
          <c:idx val="8"/>
          <c:order val="8"/>
          <c:tx>
            <c:strRef>
              <c:f>'Mantis Benefit by Tier'!$X$64</c:f>
              <c:strCache>
                <c:ptCount val="1"/>
                <c:pt idx="0">
                  <c:v>Ex-Borg 2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Tier'!$X$65:$X$75</c:f>
              <c:numCache>
                <c:formatCode>#,##0</c:formatCode>
                <c:ptCount val="11"/>
                <c:pt idx="0">
                  <c:v>1.0033444816053512</c:v>
                </c:pt>
                <c:pt idx="1">
                  <c:v>2.3355629877369006</c:v>
                </c:pt>
                <c:pt idx="2">
                  <c:v>5.3511705685618738</c:v>
                </c:pt>
                <c:pt idx="3">
                  <c:v>10.702341137123748</c:v>
                </c:pt>
                <c:pt idx="4">
                  <c:v>29.431438127090303</c:v>
                </c:pt>
                <c:pt idx="5">
                  <c:v>34.113712374581937</c:v>
                </c:pt>
                <c:pt idx="6">
                  <c:v>38.127090301003349</c:v>
                </c:pt>
                <c:pt idx="7">
                  <c:v>45.548654244306427</c:v>
                </c:pt>
                <c:pt idx="8">
                  <c:v>53.511705685618722</c:v>
                </c:pt>
                <c:pt idx="9">
                  <c:v>58.862876254180605</c:v>
                </c:pt>
                <c:pt idx="10">
                  <c:v>67.558528428093638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A6-4389-A371-C06667CA3C59}"/>
            </c:ext>
          </c:extLst>
        </c:ser>
        <c:ser>
          <c:idx val="9"/>
          <c:order val="9"/>
          <c:tx>
            <c:strRef>
              <c:f>'Mantis Benefit by Tier'!$Y$64</c:f>
              <c:strCache>
                <c:ptCount val="1"/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Tier'!$Y$65:$Y$75</c:f>
              <c:numCache>
                <c:formatCode>#,##0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A6-4389-A371-C06667CA3C59}"/>
            </c:ext>
          </c:extLst>
        </c:ser>
        <c:ser>
          <c:idx val="10"/>
          <c:order val="10"/>
          <c:tx>
            <c:strRef>
              <c:f>'Mantis Benefit by Tier'!$Z$64</c:f>
              <c:strCache>
                <c:ptCount val="1"/>
              </c:strCache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Tier'!$Z$65:$Z$75</c:f>
              <c:numCache>
                <c:formatCode>#,##0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A6-4389-A371-C06667CA3C59}"/>
            </c:ext>
          </c:extLst>
        </c:ser>
        <c:ser>
          <c:idx val="11"/>
          <c:order val="11"/>
          <c:tx>
            <c:strRef>
              <c:f>'Mantis Benefit by Tier'!$AA$64</c:f>
              <c:strCache>
                <c:ptCount val="1"/>
                <c:pt idx="0">
                  <c:v>no boosts</c:v>
                </c:pt>
              </c:strCache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'Mantis Benefit by Tier'!$O$65:$O$75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'Mantis Benefit by Tier'!$AA$65:$AA$75</c:f>
              <c:numCache>
                <c:formatCode>#,##0</c:formatCode>
                <c:ptCount val="11"/>
                <c:pt idx="0">
                  <c:v>1.5</c:v>
                </c:pt>
                <c:pt idx="1">
                  <c:v>3.4916666666666667</c:v>
                </c:pt>
                <c:pt idx="2">
                  <c:v>8</c:v>
                </c:pt>
                <c:pt idx="3">
                  <c:v>16</c:v>
                </c:pt>
                <c:pt idx="4">
                  <c:v>44</c:v>
                </c:pt>
                <c:pt idx="5">
                  <c:v>51</c:v>
                </c:pt>
                <c:pt idx="6">
                  <c:v>57</c:v>
                </c:pt>
                <c:pt idx="7">
                  <c:v>68.095238095238102</c:v>
                </c:pt>
                <c:pt idx="8">
                  <c:v>80</c:v>
                </c:pt>
                <c:pt idx="9">
                  <c:v>88</c:v>
                </c:pt>
                <c:pt idx="1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A6-4389-A371-C06667CA3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88196"/>
        <c:axId val="983541222"/>
      </c:lineChart>
      <c:catAx>
        <c:axId val="733088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3541222"/>
        <c:crosses val="autoZero"/>
        <c:auto val="1"/>
        <c:lblAlgn val="ctr"/>
        <c:lblOffset val="100"/>
        <c:noMultiLvlLbl val="1"/>
      </c:catAx>
      <c:valAx>
        <c:axId val="983541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30881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Mantis Refinery Cost Trend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Nitrium (ship)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Mantis Benefit by Tier'!$B$26:$B$37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'Copy of Mantis Benefit by Tier'!$C$26:$C$37</c:f>
              <c:numCache>
                <c:formatCode>#,##0.000</c:formatCode>
                <c:ptCount val="12"/>
                <c:pt idx="0">
                  <c:v>20</c:v>
                </c:pt>
                <c:pt idx="1">
                  <c:v>13.333333333333334</c:v>
                </c:pt>
                <c:pt idx="2">
                  <c:v>8.6666666666666661</c:v>
                </c:pt>
                <c:pt idx="3">
                  <c:v>6</c:v>
                </c:pt>
                <c:pt idx="4">
                  <c:v>4.333333333333333</c:v>
                </c:pt>
                <c:pt idx="5">
                  <c:v>3.7777777777777777</c:v>
                </c:pt>
                <c:pt idx="6">
                  <c:v>4.166666666666667</c:v>
                </c:pt>
                <c:pt idx="7">
                  <c:v>3.1428571428571428</c:v>
                </c:pt>
                <c:pt idx="8">
                  <c:v>3.2666666666666666</c:v>
                </c:pt>
                <c:pt idx="9">
                  <c:v>2.68</c:v>
                </c:pt>
                <c:pt idx="10">
                  <c:v>2.75</c:v>
                </c:pt>
                <c:pt idx="11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5-46E8-AB85-181AFA6A720B}"/>
            </c:ext>
          </c:extLst>
        </c:ser>
        <c:ser>
          <c:idx val="1"/>
          <c:order val="1"/>
          <c:tx>
            <c:v>Ion (research)</c:v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Mantis Benefit by Tier'!$B$26:$B$37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'Copy of Mantis Benefit by Tier'!$G$26:$G$37</c:f>
              <c:numCache>
                <c:formatCode>#,##0.000</c:formatCode>
                <c:ptCount val="12"/>
                <c:pt idx="0">
                  <c:v>30</c:v>
                </c:pt>
                <c:pt idx="1">
                  <c:v>17.5</c:v>
                </c:pt>
                <c:pt idx="2">
                  <c:v>11</c:v>
                </c:pt>
                <c:pt idx="3">
                  <c:v>7.5</c:v>
                </c:pt>
                <c:pt idx="4">
                  <c:v>5.25</c:v>
                </c:pt>
                <c:pt idx="5">
                  <c:v>4.5</c:v>
                </c:pt>
                <c:pt idx="6">
                  <c:v>5</c:v>
                </c:pt>
                <c:pt idx="7">
                  <c:v>3.5714285714285716</c:v>
                </c:pt>
                <c:pt idx="8">
                  <c:v>3.5</c:v>
                </c:pt>
                <c:pt idx="9">
                  <c:v>2.5714285714285716</c:v>
                </c:pt>
                <c:pt idx="10">
                  <c:v>2.3636363636363638</c:v>
                </c:pt>
                <c:pt idx="11">
                  <c:v>2.4210526315789473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5-46E8-AB85-181AFA6A720B}"/>
            </c:ext>
          </c:extLst>
        </c:ser>
        <c:ser>
          <c:idx val="2"/>
          <c:order val="2"/>
          <c:tx>
            <c:v>Syndicate XP</c:v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Mantis Benefit by Tier'!$B$26:$B$37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'Copy of Mantis Benefit by Tier'!$I$26:$I$37</c:f>
              <c:numCache>
                <c:formatCode>#,##0.000</c:formatCode>
                <c:ptCount val="12"/>
                <c:pt idx="0">
                  <c:v>3.9735099337748343</c:v>
                </c:pt>
                <c:pt idx="1">
                  <c:v>4.4444444444444446</c:v>
                </c:pt>
                <c:pt idx="2">
                  <c:v>6.666666666666667</c:v>
                </c:pt>
                <c:pt idx="3">
                  <c:v>8.5714285714285712</c:v>
                </c:pt>
                <c:pt idx="4">
                  <c:v>11.052631578947368</c:v>
                </c:pt>
                <c:pt idx="5">
                  <c:v>13.012048192771084</c:v>
                </c:pt>
                <c:pt idx="6">
                  <c:v>17.777777777777779</c:v>
                </c:pt>
                <c:pt idx="7">
                  <c:v>20.202020202020201</c:v>
                </c:pt>
                <c:pt idx="8">
                  <c:v>25.925925925925927</c:v>
                </c:pt>
                <c:pt idx="9">
                  <c:v>30</c:v>
                </c:pt>
                <c:pt idx="10">
                  <c:v>39.393939393939391</c:v>
                </c:pt>
                <c:pt idx="11">
                  <c:v>61.333333333333336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5-46E8-AB85-181AFA6A720B}"/>
            </c:ext>
          </c:extLst>
        </c:ser>
        <c:ser>
          <c:idx val="3"/>
          <c:order val="3"/>
          <c:tx>
            <c:v>Hull Fragments (recruit)</c:v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Mantis Benefit by Tier'!$B$26:$B$37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'Copy of Mantis Benefit by Tier'!$K$26:$K$37</c:f>
              <c:numCache>
                <c:formatCode>#,##0.000</c:formatCode>
                <c:ptCount val="12"/>
                <c:pt idx="0">
                  <c:v>6</c:v>
                </c:pt>
                <c:pt idx="1">
                  <c:v>6.666666666666667</c:v>
                </c:pt>
                <c:pt idx="2">
                  <c:v>10</c:v>
                </c:pt>
                <c:pt idx="3">
                  <c:v>13.043478260869565</c:v>
                </c:pt>
                <c:pt idx="4">
                  <c:v>17.5</c:v>
                </c:pt>
                <c:pt idx="5">
                  <c:v>21.6</c:v>
                </c:pt>
                <c:pt idx="6">
                  <c:v>30.76923076923077</c:v>
                </c:pt>
                <c:pt idx="7">
                  <c:v>37.037037037037038</c:v>
                </c:pt>
                <c:pt idx="8">
                  <c:v>50</c:v>
                </c:pt>
                <c:pt idx="9">
                  <c:v>62.068965517241381</c:v>
                </c:pt>
                <c:pt idx="10">
                  <c:v>86.666666666666671</c:v>
                </c:pt>
                <c:pt idx="11">
                  <c:v>127.77777777777777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5-46E8-AB85-181AFA6A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52680"/>
        <c:axId val="1025256825"/>
      </c:lineChart>
      <c:catAx>
        <c:axId val="153895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5256825"/>
        <c:crosses val="autoZero"/>
        <c:auto val="1"/>
        <c:lblAlgn val="ctr"/>
        <c:lblOffset val="100"/>
        <c:noMultiLvlLbl val="1"/>
      </c:catAx>
      <c:valAx>
        <c:axId val="1025256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89526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Mantis Refinery 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Nitrium (ship)</c:v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Mantis Benefit by Tier'!$N$26:$N$37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'Copy of Mantis Benefit by Tier'!$O$26:$O$37</c:f>
              <c:numCache>
                <c:formatCode>#,##0.000</c:formatCode>
                <c:ptCount val="12"/>
                <c:pt idx="0">
                  <c:v>0.05</c:v>
                </c:pt>
                <c:pt idx="1">
                  <c:v>7.4999999999999997E-2</c:v>
                </c:pt>
                <c:pt idx="2">
                  <c:v>0.11538461538461539</c:v>
                </c:pt>
                <c:pt idx="3">
                  <c:v>0.16666666666666666</c:v>
                </c:pt>
                <c:pt idx="4">
                  <c:v>0.23076923076923078</c:v>
                </c:pt>
                <c:pt idx="5">
                  <c:v>0.26470588235294118</c:v>
                </c:pt>
                <c:pt idx="6">
                  <c:v>0.24</c:v>
                </c:pt>
                <c:pt idx="7">
                  <c:v>0.31818181818181818</c:v>
                </c:pt>
                <c:pt idx="8">
                  <c:v>0.30612244897959184</c:v>
                </c:pt>
                <c:pt idx="9">
                  <c:v>0.37313432835820898</c:v>
                </c:pt>
                <c:pt idx="10">
                  <c:v>0.36363636363636365</c:v>
                </c:pt>
                <c:pt idx="1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F-40A4-98FA-6964672C1EBF}"/>
            </c:ext>
          </c:extLst>
        </c:ser>
        <c:ser>
          <c:idx val="1"/>
          <c:order val="1"/>
          <c:tx>
            <c:v>Ion (research)</c:v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Mantis Benefit by Tier'!$N$26:$N$37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'Copy of Mantis Benefit by Tier'!$S$26:$S$37</c:f>
              <c:numCache>
                <c:formatCode>#,##0.000</c:formatCode>
                <c:ptCount val="12"/>
                <c:pt idx="0">
                  <c:v>3.3333333333333333E-2</c:v>
                </c:pt>
                <c:pt idx="1">
                  <c:v>5.7142857142857141E-2</c:v>
                </c:pt>
                <c:pt idx="2">
                  <c:v>9.0909090909090912E-2</c:v>
                </c:pt>
                <c:pt idx="3">
                  <c:v>0.13333333333333333</c:v>
                </c:pt>
                <c:pt idx="4">
                  <c:v>0.19047619047619047</c:v>
                </c:pt>
                <c:pt idx="5">
                  <c:v>0.22222222222222221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0.2857142857142857</c:v>
                </c:pt>
                <c:pt idx="9">
                  <c:v>0.3888888888888889</c:v>
                </c:pt>
                <c:pt idx="10">
                  <c:v>0.42307692307692307</c:v>
                </c:pt>
                <c:pt idx="11">
                  <c:v>0.41304347826086957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F-40A4-98FA-6964672C1EBF}"/>
            </c:ext>
          </c:extLst>
        </c:ser>
        <c:ser>
          <c:idx val="2"/>
          <c:order val="2"/>
          <c:tx>
            <c:v>Syndicate XP</c:v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Mantis Benefit by Tier'!$N$26:$N$37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'Copy of Mantis Benefit by Tier'!$U$26:$U$37</c:f>
              <c:numCache>
                <c:formatCode>#,##0.000</c:formatCode>
                <c:ptCount val="12"/>
                <c:pt idx="0">
                  <c:v>0.25166666666666665</c:v>
                </c:pt>
                <c:pt idx="1">
                  <c:v>0.22500000000000001</c:v>
                </c:pt>
                <c:pt idx="2">
                  <c:v>0.15</c:v>
                </c:pt>
                <c:pt idx="3">
                  <c:v>0.11666666666666667</c:v>
                </c:pt>
                <c:pt idx="4">
                  <c:v>9.0476190476190474E-2</c:v>
                </c:pt>
                <c:pt idx="5">
                  <c:v>7.6851851851851852E-2</c:v>
                </c:pt>
                <c:pt idx="6">
                  <c:v>5.6250000000000001E-2</c:v>
                </c:pt>
                <c:pt idx="7">
                  <c:v>4.9500000000000002E-2</c:v>
                </c:pt>
                <c:pt idx="8">
                  <c:v>3.8571428571428569E-2</c:v>
                </c:pt>
                <c:pt idx="9">
                  <c:v>3.3333333333333333E-2</c:v>
                </c:pt>
                <c:pt idx="10">
                  <c:v>2.5384615384615384E-2</c:v>
                </c:pt>
                <c:pt idx="11">
                  <c:v>1.6304347826086956E-2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F-40A4-98FA-6964672C1EBF}"/>
            </c:ext>
          </c:extLst>
        </c:ser>
        <c:ser>
          <c:idx val="3"/>
          <c:order val="3"/>
          <c:tx>
            <c:v>Hull Fragments (recruit)</c:v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Mantis Benefit by Tier'!$N$26:$N$37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'Copy of Mantis Benefit by Tier'!$W$26:$W$37</c:f>
              <c:numCache>
                <c:formatCode>#,##0.000</c:formatCode>
                <c:ptCount val="12"/>
                <c:pt idx="0">
                  <c:v>0.16666666666666666</c:v>
                </c:pt>
                <c:pt idx="1">
                  <c:v>0.15</c:v>
                </c:pt>
                <c:pt idx="2">
                  <c:v>0.1</c:v>
                </c:pt>
                <c:pt idx="3">
                  <c:v>7.6666666666666661E-2</c:v>
                </c:pt>
                <c:pt idx="4">
                  <c:v>5.7142857142857141E-2</c:v>
                </c:pt>
                <c:pt idx="5">
                  <c:v>4.6296296296296294E-2</c:v>
                </c:pt>
                <c:pt idx="6">
                  <c:v>3.2500000000000001E-2</c:v>
                </c:pt>
                <c:pt idx="7">
                  <c:v>2.7E-2</c:v>
                </c:pt>
                <c:pt idx="8">
                  <c:v>0.02</c:v>
                </c:pt>
                <c:pt idx="9">
                  <c:v>1.6111111111111111E-2</c:v>
                </c:pt>
                <c:pt idx="10">
                  <c:v>1.1538461538461539E-2</c:v>
                </c:pt>
                <c:pt idx="11">
                  <c:v>7.8260869565217397E-3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F-40A4-98FA-6964672C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89529"/>
        <c:axId val="360793844"/>
      </c:lineChart>
      <c:catAx>
        <c:axId val="142889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0793844"/>
        <c:crosses val="autoZero"/>
        <c:auto val="1"/>
        <c:lblAlgn val="ctr"/>
        <c:lblOffset val="100"/>
        <c:noMultiLvlLbl val="1"/>
      </c:catAx>
      <c:valAx>
        <c:axId val="360793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8895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(POST-CARGO BOOST) Likely Mantis Max Cargo vs. Refinery Costs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'Old Mantis Cargo Charts'!$C$3</c:f>
              <c:strCache>
                <c:ptCount val="1"/>
                <c:pt idx="0">
                  <c:v>Base Cargo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Charts'!$C$4:$C$11</c:f>
              <c:numCache>
                <c:formatCode>General</c:formatCode>
                <c:ptCount val="8"/>
                <c:pt idx="0">
                  <c:v>11000</c:v>
                </c:pt>
                <c:pt idx="1">
                  <c:v>11900</c:v>
                </c:pt>
                <c:pt idx="2">
                  <c:v>12800</c:v>
                </c:pt>
                <c:pt idx="3">
                  <c:v>13700</c:v>
                </c:pt>
                <c:pt idx="4">
                  <c:v>15200</c:v>
                </c:pt>
                <c:pt idx="5">
                  <c:v>18500</c:v>
                </c:pt>
                <c:pt idx="6">
                  <c:v>24300</c:v>
                </c:pt>
                <c:pt idx="7">
                  <c:v>29100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95D-9381-288FB4AB65E3}"/>
            </c:ext>
          </c:extLst>
        </c:ser>
        <c:ser>
          <c:idx val="1"/>
          <c:order val="1"/>
          <c:tx>
            <c:v>ops 35 based research, officers, syndicate, treasury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Charts'!$D$4:$D$11</c:f>
              <c:numCache>
                <c:formatCode>#,##0</c:formatCode>
                <c:ptCount val="8"/>
                <c:pt idx="0">
                  <c:v>50050</c:v>
                </c:pt>
                <c:pt idx="1">
                  <c:v>54145</c:v>
                </c:pt>
                <c:pt idx="2">
                  <c:v>58240</c:v>
                </c:pt>
                <c:pt idx="3">
                  <c:v>62335</c:v>
                </c:pt>
                <c:pt idx="4">
                  <c:v>69160</c:v>
                </c:pt>
                <c:pt idx="5">
                  <c:v>84175</c:v>
                </c:pt>
                <c:pt idx="6">
                  <c:v>110565</c:v>
                </c:pt>
                <c:pt idx="7">
                  <c:v>132405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95D-9381-288FB4AB65E3}"/>
            </c:ext>
          </c:extLst>
        </c:ser>
        <c:ser>
          <c:idx val="2"/>
          <c:order val="2"/>
          <c:tx>
            <c:strRef>
              <c:f>'Old Mantis Cargo Charts'!$E$3</c:f>
              <c:strCache>
                <c:ptCount val="1"/>
                <c:pt idx="0">
                  <c:v>40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Charts'!$E$4:$E$11</c:f>
              <c:numCache>
                <c:formatCode>#,##0</c:formatCode>
                <c:ptCount val="8"/>
                <c:pt idx="0">
                  <c:v>60610</c:v>
                </c:pt>
                <c:pt idx="1">
                  <c:v>65569</c:v>
                </c:pt>
                <c:pt idx="2">
                  <c:v>70528</c:v>
                </c:pt>
                <c:pt idx="3">
                  <c:v>75487</c:v>
                </c:pt>
                <c:pt idx="4">
                  <c:v>83752</c:v>
                </c:pt>
                <c:pt idx="5">
                  <c:v>101935</c:v>
                </c:pt>
                <c:pt idx="6">
                  <c:v>133893</c:v>
                </c:pt>
                <c:pt idx="7">
                  <c:v>160341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95D-9381-288FB4AB65E3}"/>
            </c:ext>
          </c:extLst>
        </c:ser>
        <c:ser>
          <c:idx val="3"/>
          <c:order val="3"/>
          <c:tx>
            <c:strRef>
              <c:f>'Old Mantis Cargo Charts'!$F$3</c:f>
              <c:strCache>
                <c:ptCount val="1"/>
                <c:pt idx="0">
                  <c:v>45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Charts'!$F$4:$F$11</c:f>
              <c:numCache>
                <c:formatCode>#,##0</c:formatCode>
                <c:ptCount val="8"/>
                <c:pt idx="0">
                  <c:v>68860</c:v>
                </c:pt>
                <c:pt idx="1">
                  <c:v>74494</c:v>
                </c:pt>
                <c:pt idx="2">
                  <c:v>80128</c:v>
                </c:pt>
                <c:pt idx="3">
                  <c:v>85762</c:v>
                </c:pt>
                <c:pt idx="4">
                  <c:v>95152</c:v>
                </c:pt>
                <c:pt idx="5">
                  <c:v>115810</c:v>
                </c:pt>
                <c:pt idx="6">
                  <c:v>152118</c:v>
                </c:pt>
                <c:pt idx="7">
                  <c:v>182166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95D-9381-288FB4AB65E3}"/>
            </c:ext>
          </c:extLst>
        </c:ser>
        <c:ser>
          <c:idx val="4"/>
          <c:order val="4"/>
          <c:tx>
            <c:strRef>
              <c:f>'Old Mantis Cargo Charts'!$G$3</c:f>
              <c:strCache>
                <c:ptCount val="1"/>
                <c:pt idx="0">
                  <c:v>50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Charts'!$G$4:$G$11</c:f>
              <c:numCache>
                <c:formatCode>#,##0</c:formatCode>
                <c:ptCount val="8"/>
                <c:pt idx="0">
                  <c:v>90310.000000000015</c:v>
                </c:pt>
                <c:pt idx="1">
                  <c:v>97699.000000000015</c:v>
                </c:pt>
                <c:pt idx="2">
                  <c:v>105088.00000000001</c:v>
                </c:pt>
                <c:pt idx="3">
                  <c:v>112477.00000000001</c:v>
                </c:pt>
                <c:pt idx="4">
                  <c:v>124792.00000000001</c:v>
                </c:pt>
                <c:pt idx="5">
                  <c:v>151885.00000000003</c:v>
                </c:pt>
                <c:pt idx="6">
                  <c:v>199503.00000000003</c:v>
                </c:pt>
                <c:pt idx="7">
                  <c:v>238911.00000000003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F6-495D-9381-288FB4AB65E3}"/>
            </c:ext>
          </c:extLst>
        </c:ser>
        <c:ser>
          <c:idx val="5"/>
          <c:order val="5"/>
          <c:tx>
            <c:strRef>
              <c:f>'Old Mantis Cargo Charts'!$H$3</c:f>
              <c:strCache>
                <c:ptCount val="1"/>
                <c:pt idx="0">
                  <c:v>55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Charts'!$H$4:$H$11</c:f>
              <c:numCache>
                <c:formatCode>#,##0</c:formatCode>
                <c:ptCount val="8"/>
                <c:pt idx="0">
                  <c:v>91850</c:v>
                </c:pt>
                <c:pt idx="1">
                  <c:v>99365</c:v>
                </c:pt>
                <c:pt idx="2">
                  <c:v>106880</c:v>
                </c:pt>
                <c:pt idx="3">
                  <c:v>114395</c:v>
                </c:pt>
                <c:pt idx="4">
                  <c:v>126920</c:v>
                </c:pt>
                <c:pt idx="5">
                  <c:v>154475</c:v>
                </c:pt>
                <c:pt idx="6">
                  <c:v>202905</c:v>
                </c:pt>
                <c:pt idx="7">
                  <c:v>242985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F6-495D-9381-288FB4AB65E3}"/>
            </c:ext>
          </c:extLst>
        </c:ser>
        <c:ser>
          <c:idx val="6"/>
          <c:order val="6"/>
          <c:tx>
            <c:strRef>
              <c:f>'Old Mantis Cargo Charts'!$I$3</c:f>
              <c:strCache>
                <c:ptCount val="1"/>
                <c:pt idx="0">
                  <c:v>60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Charts'!$I$4:$I$11</c:f>
              <c:numCache>
                <c:formatCode>#,##0</c:formatCode>
                <c:ptCount val="8"/>
                <c:pt idx="0">
                  <c:v>92400</c:v>
                </c:pt>
                <c:pt idx="1">
                  <c:v>99960</c:v>
                </c:pt>
                <c:pt idx="2">
                  <c:v>107520</c:v>
                </c:pt>
                <c:pt idx="3">
                  <c:v>115080</c:v>
                </c:pt>
                <c:pt idx="4">
                  <c:v>127680</c:v>
                </c:pt>
                <c:pt idx="5">
                  <c:v>155400</c:v>
                </c:pt>
                <c:pt idx="6">
                  <c:v>204120</c:v>
                </c:pt>
                <c:pt idx="7">
                  <c:v>244440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F6-495D-9381-288FB4AB65E3}"/>
            </c:ext>
          </c:extLst>
        </c:ser>
        <c:ser>
          <c:idx val="7"/>
          <c:order val="7"/>
          <c:tx>
            <c:v>EVERY OFFICER, RESEARCH, AND BUILDING MAXED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Charts'!$J$4:$J$11</c:f>
              <c:numCache>
                <c:formatCode>#,##0</c:formatCode>
                <c:ptCount val="8"/>
                <c:pt idx="0">
                  <c:v>104500</c:v>
                </c:pt>
                <c:pt idx="1">
                  <c:v>113050</c:v>
                </c:pt>
                <c:pt idx="2">
                  <c:v>121600</c:v>
                </c:pt>
                <c:pt idx="3">
                  <c:v>130150</c:v>
                </c:pt>
                <c:pt idx="4">
                  <c:v>144400</c:v>
                </c:pt>
                <c:pt idx="5">
                  <c:v>175750</c:v>
                </c:pt>
                <c:pt idx="6">
                  <c:v>230850</c:v>
                </c:pt>
                <c:pt idx="7">
                  <c:v>276450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F6-495D-9381-288FB4AB65E3}"/>
            </c:ext>
          </c:extLst>
        </c:ser>
        <c:ser>
          <c:idx val="8"/>
          <c:order val="8"/>
          <c:tx>
            <c:strRef>
              <c:f>'Old Mantis Cargo Charts'!$K$3</c:f>
              <c:strCache>
                <c:ptCount val="1"/>
                <c:pt idx="0">
                  <c:v>Likely Max Cargo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Charts'!$K$4:$K$11</c:f>
              <c:numCache>
                <c:formatCode>#,##0</c:formatCode>
                <c:ptCount val="8"/>
                <c:pt idx="0">
                  <c:v>0</c:v>
                </c:pt>
                <c:pt idx="1">
                  <c:v>65569</c:v>
                </c:pt>
                <c:pt idx="2">
                  <c:v>70528</c:v>
                </c:pt>
                <c:pt idx="3">
                  <c:v>85762</c:v>
                </c:pt>
                <c:pt idx="4">
                  <c:v>95152</c:v>
                </c:pt>
                <c:pt idx="5">
                  <c:v>151885.00000000003</c:v>
                </c:pt>
                <c:pt idx="6">
                  <c:v>199503.00000000003</c:v>
                </c:pt>
                <c:pt idx="7">
                  <c:v>238911.00000000003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F6-495D-9381-288FB4AB65E3}"/>
            </c:ext>
          </c:extLst>
        </c:ser>
        <c:ser>
          <c:idx val="9"/>
          <c:order val="9"/>
          <c:tx>
            <c:strRef>
              <c:f>'Old Mantis Cargo Charts'!$L$3</c:f>
              <c:strCache>
                <c:ptCount val="1"/>
                <c:pt idx="0">
                  <c:v>Single Chest</c:v>
                </c:pt>
              </c:strCache>
            </c:strRef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Charts'!$L$4:$L$11</c:f>
              <c:numCache>
                <c:formatCode>#,##0</c:formatCode>
                <c:ptCount val="8"/>
                <c:pt idx="0">
                  <c:v>14000</c:v>
                </c:pt>
                <c:pt idx="1">
                  <c:v>16833.333333333336</c:v>
                </c:pt>
                <c:pt idx="2">
                  <c:v>26666.666666666664</c:v>
                </c:pt>
                <c:pt idx="3">
                  <c:v>36500</c:v>
                </c:pt>
                <c:pt idx="4">
                  <c:v>51500</c:v>
                </c:pt>
                <c:pt idx="5">
                  <c:v>66500</c:v>
                </c:pt>
                <c:pt idx="6">
                  <c:v>98333.333333333343</c:v>
                </c:pt>
                <c:pt idx="7">
                  <c:v>124666.66666666667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F6-495D-9381-288FB4AB65E3}"/>
            </c:ext>
          </c:extLst>
        </c:ser>
        <c:ser>
          <c:idx val="10"/>
          <c:order val="10"/>
          <c:tx>
            <c:strRef>
              <c:f>'Old Mantis Cargo Charts'!$M$3</c:f>
              <c:strCache>
                <c:ptCount val="1"/>
                <c:pt idx="0">
                  <c:v>Double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lgDash"/>
            </a:ln>
          </c:spPr>
          <c:marker>
            <c:symbol val="none"/>
          </c:marker>
          <c:cat>
            <c:strRef>
              <c:f>'Old Mantis Cargo Charts'!$B$4:$B$11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Charts'!$M$4:$M$11</c:f>
              <c:numCache>
                <c:formatCode>#,##0</c:formatCode>
                <c:ptCount val="8"/>
                <c:pt idx="0">
                  <c:v>58000</c:v>
                </c:pt>
                <c:pt idx="1">
                  <c:v>70166.666666666657</c:v>
                </c:pt>
                <c:pt idx="2">
                  <c:v>111333.33333333333</c:v>
                </c:pt>
                <c:pt idx="3">
                  <c:v>152500</c:v>
                </c:pt>
                <c:pt idx="4">
                  <c:v>215500</c:v>
                </c:pt>
                <c:pt idx="5">
                  <c:v>278500</c:v>
                </c:pt>
                <c:pt idx="6">
                  <c:v>411666.66666666669</c:v>
                </c:pt>
                <c:pt idx="7">
                  <c:v>523333.33333333331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F6-495D-9381-288FB4AB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352425"/>
        <c:axId val="1269958483"/>
      </c:lineChart>
      <c:catAx>
        <c:axId val="978352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9958483"/>
        <c:crosses val="autoZero"/>
        <c:auto val="1"/>
        <c:lblAlgn val="ctr"/>
        <c:lblOffset val="100"/>
        <c:noMultiLvlLbl val="1"/>
      </c:catAx>
      <c:valAx>
        <c:axId val="1269958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83524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G4 Ship's Likely Cargo (x2 trips) vs. Daily Refinery Costs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Mantis Base Cargo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Charts'!$V$4:$V$11</c:f>
              <c:numCache>
                <c:formatCode>General</c:formatCode>
                <c:ptCount val="8"/>
                <c:pt idx="0">
                  <c:v>11000</c:v>
                </c:pt>
                <c:pt idx="1">
                  <c:v>11900</c:v>
                </c:pt>
                <c:pt idx="2">
                  <c:v>12800</c:v>
                </c:pt>
                <c:pt idx="3">
                  <c:v>13700</c:v>
                </c:pt>
                <c:pt idx="4">
                  <c:v>15200</c:v>
                </c:pt>
                <c:pt idx="5">
                  <c:v>18500</c:v>
                </c:pt>
                <c:pt idx="6">
                  <c:v>24300</c:v>
                </c:pt>
                <c:pt idx="7">
                  <c:v>29100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EC4-A3AF-C36CA1DD0B4D}"/>
            </c:ext>
          </c:extLst>
        </c:ser>
        <c:ser>
          <c:idx val="1"/>
          <c:order val="1"/>
          <c:tx>
            <c:v>Likely Mantis Max Cargo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Charts'!$AD$4:$AD$11</c:f>
              <c:numCache>
                <c:formatCode>#,##0</c:formatCode>
                <c:ptCount val="8"/>
                <c:pt idx="0">
                  <c:v>97900</c:v>
                </c:pt>
                <c:pt idx="1">
                  <c:v>128758</c:v>
                </c:pt>
                <c:pt idx="2">
                  <c:v>138496</c:v>
                </c:pt>
                <c:pt idx="3">
                  <c:v>168784</c:v>
                </c:pt>
                <c:pt idx="4">
                  <c:v>187264</c:v>
                </c:pt>
                <c:pt idx="5">
                  <c:v>300070</c:v>
                </c:pt>
                <c:pt idx="6">
                  <c:v>394146</c:v>
                </c:pt>
                <c:pt idx="7">
                  <c:v>472001.99999999994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EC4-A3AF-C36CA1DD0B4D}"/>
            </c:ext>
          </c:extLst>
        </c:ser>
        <c:ser>
          <c:idx val="2"/>
          <c:order val="2"/>
          <c:tx>
            <c:strRef>
              <c:f>'Old Mantis Cargo Charts'!$AE$3</c:f>
              <c:strCache>
                <c:ptCount val="1"/>
                <c:pt idx="0">
                  <c:v>Single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sysDot"/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Charts'!$AE$4:$AE$11</c:f>
              <c:numCache>
                <c:formatCode>#,##0</c:formatCode>
                <c:ptCount val="8"/>
                <c:pt idx="0">
                  <c:v>14000</c:v>
                </c:pt>
                <c:pt idx="1">
                  <c:v>16833.333333333336</c:v>
                </c:pt>
                <c:pt idx="2">
                  <c:v>26666.666666666664</c:v>
                </c:pt>
                <c:pt idx="3">
                  <c:v>36500</c:v>
                </c:pt>
                <c:pt idx="4">
                  <c:v>51500</c:v>
                </c:pt>
                <c:pt idx="5">
                  <c:v>66500</c:v>
                </c:pt>
                <c:pt idx="6">
                  <c:v>98333.333333333343</c:v>
                </c:pt>
                <c:pt idx="7">
                  <c:v>124666.66666666667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1-4EC4-A3AF-C36CA1DD0B4D}"/>
            </c:ext>
          </c:extLst>
        </c:ser>
        <c:ser>
          <c:idx val="3"/>
          <c:order val="3"/>
          <c:tx>
            <c:strRef>
              <c:f>'Old Mantis Cargo Charts'!$AF$3</c:f>
              <c:strCache>
                <c:ptCount val="1"/>
                <c:pt idx="0">
                  <c:v>Double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Charts'!$AF$4:$AF$11</c:f>
              <c:numCache>
                <c:formatCode>#,##0</c:formatCode>
                <c:ptCount val="8"/>
                <c:pt idx="0">
                  <c:v>58000</c:v>
                </c:pt>
                <c:pt idx="1">
                  <c:v>70166.666666666657</c:v>
                </c:pt>
                <c:pt idx="2">
                  <c:v>111333.33333333333</c:v>
                </c:pt>
                <c:pt idx="3">
                  <c:v>152500</c:v>
                </c:pt>
                <c:pt idx="4">
                  <c:v>215500</c:v>
                </c:pt>
                <c:pt idx="5">
                  <c:v>278500</c:v>
                </c:pt>
                <c:pt idx="6">
                  <c:v>411666.66666666669</c:v>
                </c:pt>
                <c:pt idx="7">
                  <c:v>523333.33333333331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1-4EC4-A3AF-C36CA1DD0B4D}"/>
            </c:ext>
          </c:extLst>
        </c:ser>
        <c:ser>
          <c:idx val="4"/>
          <c:order val="4"/>
          <c:tx>
            <c:v>Ops 41, T5 Jelly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Charts'!$AG$4:$AG$11</c:f>
              <c:numCache>
                <c:formatCode>#,##0</c:formatCode>
                <c:ptCount val="8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1-4EC4-A3AF-C36CA1DD0B4D}"/>
            </c:ext>
          </c:extLst>
        </c:ser>
        <c:ser>
          <c:idx val="5"/>
          <c:order val="5"/>
          <c:tx>
            <c:v>Ops 44, T5 Valdore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Charts'!$AH$4:$AH$11</c:f>
              <c:numCache>
                <c:formatCode>#,##0</c:formatCode>
                <c:ptCount val="8"/>
                <c:pt idx="0">
                  <c:v>110000</c:v>
                </c:pt>
                <c:pt idx="1">
                  <c:v>110000</c:v>
                </c:pt>
                <c:pt idx="2">
                  <c:v>110000</c:v>
                </c:pt>
                <c:pt idx="3">
                  <c:v>110000</c:v>
                </c:pt>
                <c:pt idx="4">
                  <c:v>110000</c:v>
                </c:pt>
                <c:pt idx="5">
                  <c:v>110000</c:v>
                </c:pt>
                <c:pt idx="6">
                  <c:v>110000</c:v>
                </c:pt>
                <c:pt idx="7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51-4EC4-A3AF-C36CA1DD0B4D}"/>
            </c:ext>
          </c:extLst>
        </c:ser>
        <c:ser>
          <c:idx val="6"/>
          <c:order val="6"/>
          <c:tx>
            <c:v>Ops 46, T5 Pilum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Charts'!$AI$4:$AI$11</c:f>
              <c:numCache>
                <c:formatCode>#,##0</c:formatCode>
                <c:ptCount val="8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51-4EC4-A3AF-C36CA1DD0B4D}"/>
            </c:ext>
          </c:extLst>
        </c:ser>
        <c:ser>
          <c:idx val="7"/>
          <c:order val="7"/>
          <c:tx>
            <c:v>Ops 49, T7 Newton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Charts'!$AJ$4:$AJ$11</c:f>
              <c:numCache>
                <c:formatCode>#,##0</c:formatCode>
                <c:ptCount val="8"/>
                <c:pt idx="0">
                  <c:v>400000</c:v>
                </c:pt>
                <c:pt idx="1">
                  <c:v>400000</c:v>
                </c:pt>
                <c:pt idx="2">
                  <c:v>400000</c:v>
                </c:pt>
                <c:pt idx="3">
                  <c:v>400000</c:v>
                </c:pt>
                <c:pt idx="4">
                  <c:v>400000</c:v>
                </c:pt>
                <c:pt idx="5">
                  <c:v>400000</c:v>
                </c:pt>
                <c:pt idx="6">
                  <c:v>400000</c:v>
                </c:pt>
                <c:pt idx="7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51-4EC4-A3AF-C36CA1DD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65042"/>
        <c:axId val="1997878880"/>
      </c:lineChart>
      <c:catAx>
        <c:axId val="424765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7878880"/>
        <c:crosses val="autoZero"/>
        <c:auto val="1"/>
        <c:lblAlgn val="ctr"/>
        <c:lblOffset val="100"/>
        <c:noMultiLvlLbl val="1"/>
      </c:catAx>
      <c:valAx>
        <c:axId val="1997878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47650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Likely Mantis Max Cargo (x2 trips) vs. Daily Refinery Costs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'Old Mantis Cargo Charts'!$V$3</c:f>
              <c:strCache>
                <c:ptCount val="1"/>
                <c:pt idx="0">
                  <c:v>Base Cargo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Charts'!$V$4:$V$11</c:f>
              <c:numCache>
                <c:formatCode>General</c:formatCode>
                <c:ptCount val="8"/>
                <c:pt idx="0">
                  <c:v>11000</c:v>
                </c:pt>
                <c:pt idx="1">
                  <c:v>11900</c:v>
                </c:pt>
                <c:pt idx="2">
                  <c:v>12800</c:v>
                </c:pt>
                <c:pt idx="3">
                  <c:v>13700</c:v>
                </c:pt>
                <c:pt idx="4">
                  <c:v>15200</c:v>
                </c:pt>
                <c:pt idx="5">
                  <c:v>18500</c:v>
                </c:pt>
                <c:pt idx="6">
                  <c:v>24300</c:v>
                </c:pt>
                <c:pt idx="7">
                  <c:v>29100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9-44EA-BB4A-FF3A2697DBD7}"/>
            </c:ext>
          </c:extLst>
        </c:ser>
        <c:ser>
          <c:idx val="1"/>
          <c:order val="1"/>
          <c:tx>
            <c:v>ops 35 based research, officers, syndicate, treasury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Charts'!$W$4:$W$11</c:f>
              <c:numCache>
                <c:formatCode>#,##0</c:formatCode>
                <c:ptCount val="8"/>
                <c:pt idx="0">
                  <c:v>97900</c:v>
                </c:pt>
                <c:pt idx="1">
                  <c:v>105910</c:v>
                </c:pt>
                <c:pt idx="2">
                  <c:v>113920</c:v>
                </c:pt>
                <c:pt idx="3">
                  <c:v>121930</c:v>
                </c:pt>
                <c:pt idx="4">
                  <c:v>135280</c:v>
                </c:pt>
                <c:pt idx="5">
                  <c:v>164650</c:v>
                </c:pt>
                <c:pt idx="6">
                  <c:v>216270</c:v>
                </c:pt>
                <c:pt idx="7">
                  <c:v>258990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9-44EA-BB4A-FF3A2697DBD7}"/>
            </c:ext>
          </c:extLst>
        </c:ser>
        <c:ser>
          <c:idx val="2"/>
          <c:order val="2"/>
          <c:tx>
            <c:strRef>
              <c:f>'Old Mantis Cargo Charts'!$X$3</c:f>
              <c:strCache>
                <c:ptCount val="1"/>
                <c:pt idx="0">
                  <c:v>40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Charts'!$X$4:$X$11</c:f>
              <c:numCache>
                <c:formatCode>#,##0</c:formatCode>
                <c:ptCount val="8"/>
                <c:pt idx="0">
                  <c:v>119020</c:v>
                </c:pt>
                <c:pt idx="1">
                  <c:v>128758</c:v>
                </c:pt>
                <c:pt idx="2">
                  <c:v>138496</c:v>
                </c:pt>
                <c:pt idx="3">
                  <c:v>148234</c:v>
                </c:pt>
                <c:pt idx="4">
                  <c:v>164464</c:v>
                </c:pt>
                <c:pt idx="5">
                  <c:v>200170</c:v>
                </c:pt>
                <c:pt idx="6">
                  <c:v>262926</c:v>
                </c:pt>
                <c:pt idx="7">
                  <c:v>314862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9-44EA-BB4A-FF3A2697DBD7}"/>
            </c:ext>
          </c:extLst>
        </c:ser>
        <c:ser>
          <c:idx val="3"/>
          <c:order val="3"/>
          <c:tx>
            <c:strRef>
              <c:f>'Old Mantis Cargo Charts'!$Y$3</c:f>
              <c:strCache>
                <c:ptCount val="1"/>
                <c:pt idx="0">
                  <c:v>45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Charts'!$Y$4:$Y$11</c:f>
              <c:numCache>
                <c:formatCode>#,##0</c:formatCode>
                <c:ptCount val="8"/>
                <c:pt idx="0">
                  <c:v>135520</c:v>
                </c:pt>
                <c:pt idx="1">
                  <c:v>146608</c:v>
                </c:pt>
                <c:pt idx="2">
                  <c:v>157696</c:v>
                </c:pt>
                <c:pt idx="3">
                  <c:v>168784</c:v>
                </c:pt>
                <c:pt idx="4">
                  <c:v>187264</c:v>
                </c:pt>
                <c:pt idx="5">
                  <c:v>227920</c:v>
                </c:pt>
                <c:pt idx="6">
                  <c:v>299376</c:v>
                </c:pt>
                <c:pt idx="7">
                  <c:v>358512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9-44EA-BB4A-FF3A2697DBD7}"/>
            </c:ext>
          </c:extLst>
        </c:ser>
        <c:ser>
          <c:idx val="4"/>
          <c:order val="4"/>
          <c:tx>
            <c:strRef>
              <c:f>'Old Mantis Cargo Charts'!$Z$3</c:f>
              <c:strCache>
                <c:ptCount val="1"/>
                <c:pt idx="0">
                  <c:v>50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Charts'!$Z$4:$Z$11</c:f>
              <c:numCache>
                <c:formatCode>#,##0</c:formatCode>
                <c:ptCount val="8"/>
                <c:pt idx="0">
                  <c:v>178420</c:v>
                </c:pt>
                <c:pt idx="1">
                  <c:v>193018</c:v>
                </c:pt>
                <c:pt idx="2">
                  <c:v>207616</c:v>
                </c:pt>
                <c:pt idx="3">
                  <c:v>222213.99999999997</c:v>
                </c:pt>
                <c:pt idx="4">
                  <c:v>246543.99999999997</c:v>
                </c:pt>
                <c:pt idx="5">
                  <c:v>300070</c:v>
                </c:pt>
                <c:pt idx="6">
                  <c:v>394146</c:v>
                </c:pt>
                <c:pt idx="7">
                  <c:v>472001.99999999994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19-44EA-BB4A-FF3A2697DBD7}"/>
            </c:ext>
          </c:extLst>
        </c:ser>
        <c:ser>
          <c:idx val="5"/>
          <c:order val="5"/>
          <c:tx>
            <c:strRef>
              <c:f>'Old Mantis Cargo Charts'!$AA$3</c:f>
              <c:strCache>
                <c:ptCount val="1"/>
                <c:pt idx="0">
                  <c:v>55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Charts'!$AA$4:$AA$11</c:f>
              <c:numCache>
                <c:formatCode>#,##0</c:formatCode>
                <c:ptCount val="8"/>
                <c:pt idx="0">
                  <c:v>181500</c:v>
                </c:pt>
                <c:pt idx="1">
                  <c:v>196350</c:v>
                </c:pt>
                <c:pt idx="2">
                  <c:v>211200</c:v>
                </c:pt>
                <c:pt idx="3">
                  <c:v>226050</c:v>
                </c:pt>
                <c:pt idx="4">
                  <c:v>250800</c:v>
                </c:pt>
                <c:pt idx="5">
                  <c:v>305250</c:v>
                </c:pt>
                <c:pt idx="6">
                  <c:v>400950</c:v>
                </c:pt>
                <c:pt idx="7">
                  <c:v>480150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19-44EA-BB4A-FF3A2697DBD7}"/>
            </c:ext>
          </c:extLst>
        </c:ser>
        <c:ser>
          <c:idx val="6"/>
          <c:order val="6"/>
          <c:tx>
            <c:strRef>
              <c:f>'Old Mantis Cargo Charts'!$AB$3</c:f>
              <c:strCache>
                <c:ptCount val="1"/>
                <c:pt idx="0">
                  <c:v>60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Charts'!$AB$4:$AB$11</c:f>
              <c:numCache>
                <c:formatCode>#,##0</c:formatCode>
                <c:ptCount val="8"/>
                <c:pt idx="0">
                  <c:v>182600.00000000003</c:v>
                </c:pt>
                <c:pt idx="1">
                  <c:v>197540.00000000003</c:v>
                </c:pt>
                <c:pt idx="2">
                  <c:v>212480.00000000003</c:v>
                </c:pt>
                <c:pt idx="3">
                  <c:v>227420.00000000003</c:v>
                </c:pt>
                <c:pt idx="4">
                  <c:v>252320.00000000003</c:v>
                </c:pt>
                <c:pt idx="5">
                  <c:v>307100</c:v>
                </c:pt>
                <c:pt idx="6">
                  <c:v>403380.00000000006</c:v>
                </c:pt>
                <c:pt idx="7">
                  <c:v>483060.00000000006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19-44EA-BB4A-FF3A2697DBD7}"/>
            </c:ext>
          </c:extLst>
        </c:ser>
        <c:ser>
          <c:idx val="7"/>
          <c:order val="7"/>
          <c:tx>
            <c:v>EVERY OFFICER, RESEARCH, AND BUILDING MAXED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Charts'!$AC$4:$AC$11</c:f>
              <c:numCache>
                <c:formatCode>#,##0</c:formatCode>
                <c:ptCount val="8"/>
                <c:pt idx="0">
                  <c:v>206800</c:v>
                </c:pt>
                <c:pt idx="1">
                  <c:v>223720</c:v>
                </c:pt>
                <c:pt idx="2">
                  <c:v>240640</c:v>
                </c:pt>
                <c:pt idx="3">
                  <c:v>257560</c:v>
                </c:pt>
                <c:pt idx="4">
                  <c:v>285760</c:v>
                </c:pt>
                <c:pt idx="5">
                  <c:v>347800</c:v>
                </c:pt>
                <c:pt idx="6">
                  <c:v>456840</c:v>
                </c:pt>
                <c:pt idx="7">
                  <c:v>547080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19-44EA-BB4A-FF3A2697DBD7}"/>
            </c:ext>
          </c:extLst>
        </c:ser>
        <c:ser>
          <c:idx val="8"/>
          <c:order val="8"/>
          <c:tx>
            <c:strRef>
              <c:f>'Old Mantis Cargo Charts'!$AD$3</c:f>
              <c:strCache>
                <c:ptCount val="1"/>
                <c:pt idx="0">
                  <c:v>likely cargo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Charts'!$AD$4:$AD$11</c:f>
              <c:numCache>
                <c:formatCode>#,##0</c:formatCode>
                <c:ptCount val="8"/>
                <c:pt idx="0">
                  <c:v>97900</c:v>
                </c:pt>
                <c:pt idx="1">
                  <c:v>128758</c:v>
                </c:pt>
                <c:pt idx="2">
                  <c:v>138496</c:v>
                </c:pt>
                <c:pt idx="3">
                  <c:v>168784</c:v>
                </c:pt>
                <c:pt idx="4">
                  <c:v>187264</c:v>
                </c:pt>
                <c:pt idx="5">
                  <c:v>300070</c:v>
                </c:pt>
                <c:pt idx="6">
                  <c:v>394146</c:v>
                </c:pt>
                <c:pt idx="7">
                  <c:v>472001.99999999994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19-44EA-BB4A-FF3A2697DBD7}"/>
            </c:ext>
          </c:extLst>
        </c:ser>
        <c:ser>
          <c:idx val="9"/>
          <c:order val="9"/>
          <c:tx>
            <c:strRef>
              <c:f>'Old Mantis Cargo Charts'!$AE$3</c:f>
              <c:strCache>
                <c:ptCount val="1"/>
                <c:pt idx="0">
                  <c:v>Single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sysDot"/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Charts'!$AE$4:$AE$11</c:f>
              <c:numCache>
                <c:formatCode>#,##0</c:formatCode>
                <c:ptCount val="8"/>
                <c:pt idx="0">
                  <c:v>14000</c:v>
                </c:pt>
                <c:pt idx="1">
                  <c:v>16833.333333333336</c:v>
                </c:pt>
                <c:pt idx="2">
                  <c:v>26666.666666666664</c:v>
                </c:pt>
                <c:pt idx="3">
                  <c:v>36500</c:v>
                </c:pt>
                <c:pt idx="4">
                  <c:v>51500</c:v>
                </c:pt>
                <c:pt idx="5">
                  <c:v>66500</c:v>
                </c:pt>
                <c:pt idx="6">
                  <c:v>98333.333333333343</c:v>
                </c:pt>
                <c:pt idx="7">
                  <c:v>124666.66666666667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19-44EA-BB4A-FF3A2697DBD7}"/>
            </c:ext>
          </c:extLst>
        </c:ser>
        <c:ser>
          <c:idx val="10"/>
          <c:order val="10"/>
          <c:tx>
            <c:strRef>
              <c:f>'Old Mantis Cargo Charts'!$AF$3</c:f>
              <c:strCache>
                <c:ptCount val="1"/>
                <c:pt idx="0">
                  <c:v>Double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lgDash"/>
            </a:ln>
          </c:spPr>
          <c:marker>
            <c:symbol val="none"/>
          </c:marker>
          <c:cat>
            <c:strRef>
              <c:f>'Old Mantis Cargo Charts'!$U$4:$U$11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'Old Mantis Cargo Charts'!$AF$4:$AF$11</c:f>
              <c:numCache>
                <c:formatCode>#,##0</c:formatCode>
                <c:ptCount val="8"/>
                <c:pt idx="0">
                  <c:v>58000</c:v>
                </c:pt>
                <c:pt idx="1">
                  <c:v>70166.666666666657</c:v>
                </c:pt>
                <c:pt idx="2">
                  <c:v>111333.33333333333</c:v>
                </c:pt>
                <c:pt idx="3">
                  <c:v>152500</c:v>
                </c:pt>
                <c:pt idx="4">
                  <c:v>215500</c:v>
                </c:pt>
                <c:pt idx="5">
                  <c:v>278500</c:v>
                </c:pt>
                <c:pt idx="6">
                  <c:v>411666.66666666669</c:v>
                </c:pt>
                <c:pt idx="7">
                  <c:v>523333.33333333331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19-44EA-BB4A-FF3A2697D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57699"/>
        <c:axId val="1268210740"/>
      </c:lineChart>
      <c:catAx>
        <c:axId val="1345257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8210740"/>
        <c:crosses val="autoZero"/>
        <c:auto val="1"/>
        <c:lblAlgn val="ctr"/>
        <c:lblOffset val="100"/>
        <c:noMultiLvlLbl val="1"/>
      </c:catAx>
      <c:valAx>
        <c:axId val="126821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52576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(PRE-CARGO BOOST) Likely Mantis Max Cargo vs. Refinery Costs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'(PRE-BOOST) Simple Mantis Cargo'!$B$3</c:f>
              <c:strCache>
                <c:ptCount val="1"/>
                <c:pt idx="0">
                  <c:v>Base Cargo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Cargo'!$B$4:$B$11</c:f>
              <c:numCache>
                <c:formatCode>General</c:formatCode>
                <c:ptCount val="8"/>
                <c:pt idx="0">
                  <c:v>3000</c:v>
                </c:pt>
                <c:pt idx="1">
                  <c:v>3500</c:v>
                </c:pt>
                <c:pt idx="2">
                  <c:v>4400</c:v>
                </c:pt>
                <c:pt idx="3">
                  <c:v>5000</c:v>
                </c:pt>
                <c:pt idx="4">
                  <c:v>6750</c:v>
                </c:pt>
                <c:pt idx="5">
                  <c:v>8350</c:v>
                </c:pt>
                <c:pt idx="6">
                  <c:v>10800</c:v>
                </c:pt>
                <c:pt idx="7">
                  <c:v>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4-4BAD-A390-0E79926BECF2}"/>
            </c:ext>
          </c:extLst>
        </c:ser>
        <c:ser>
          <c:idx val="1"/>
          <c:order val="1"/>
          <c:tx>
            <c:v>ops 35 based research, officers, syndicate, treasury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Cargo'!$C$4:$C$11</c:f>
              <c:numCache>
                <c:formatCode>#,##0</c:formatCode>
                <c:ptCount val="8"/>
                <c:pt idx="0">
                  <c:v>13350</c:v>
                </c:pt>
                <c:pt idx="1">
                  <c:v>15575</c:v>
                </c:pt>
                <c:pt idx="2">
                  <c:v>19580</c:v>
                </c:pt>
                <c:pt idx="3">
                  <c:v>22250</c:v>
                </c:pt>
                <c:pt idx="4">
                  <c:v>30037.5</c:v>
                </c:pt>
                <c:pt idx="5">
                  <c:v>37157.5</c:v>
                </c:pt>
                <c:pt idx="6">
                  <c:v>48060</c:v>
                </c:pt>
                <c:pt idx="7">
                  <c:v>58740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4-4BAD-A390-0E79926BECF2}"/>
            </c:ext>
          </c:extLst>
        </c:ser>
        <c:ser>
          <c:idx val="2"/>
          <c:order val="2"/>
          <c:tx>
            <c:strRef>
              <c:f>'(PRE-BOOST) Simple Mantis Cargo'!$D$3</c:f>
              <c:strCache>
                <c:ptCount val="1"/>
                <c:pt idx="0">
                  <c:v>40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Cargo'!$D$4:$D$11</c:f>
              <c:numCache>
                <c:formatCode>#,##0</c:formatCode>
                <c:ptCount val="8"/>
                <c:pt idx="0">
                  <c:v>16230</c:v>
                </c:pt>
                <c:pt idx="1">
                  <c:v>18935</c:v>
                </c:pt>
                <c:pt idx="2">
                  <c:v>23804</c:v>
                </c:pt>
                <c:pt idx="3">
                  <c:v>27050</c:v>
                </c:pt>
                <c:pt idx="4">
                  <c:v>36517.5</c:v>
                </c:pt>
                <c:pt idx="5">
                  <c:v>45173.5</c:v>
                </c:pt>
                <c:pt idx="6">
                  <c:v>58428</c:v>
                </c:pt>
                <c:pt idx="7">
                  <c:v>71412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4-4BAD-A390-0E79926BECF2}"/>
            </c:ext>
          </c:extLst>
        </c:ser>
        <c:ser>
          <c:idx val="3"/>
          <c:order val="3"/>
          <c:tx>
            <c:strRef>
              <c:f>'(PRE-BOOST) Simple Mantis Cargo'!$E$3</c:f>
              <c:strCache>
                <c:ptCount val="1"/>
                <c:pt idx="0">
                  <c:v>45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Cargo'!$E$4:$E$11</c:f>
              <c:numCache>
                <c:formatCode>#,##0</c:formatCode>
                <c:ptCount val="8"/>
                <c:pt idx="0">
                  <c:v>18480</c:v>
                </c:pt>
                <c:pt idx="1">
                  <c:v>21560</c:v>
                </c:pt>
                <c:pt idx="2">
                  <c:v>27104</c:v>
                </c:pt>
                <c:pt idx="3">
                  <c:v>30800</c:v>
                </c:pt>
                <c:pt idx="4">
                  <c:v>41580</c:v>
                </c:pt>
                <c:pt idx="5">
                  <c:v>51436</c:v>
                </c:pt>
                <c:pt idx="6">
                  <c:v>66528</c:v>
                </c:pt>
                <c:pt idx="7">
                  <c:v>81312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4-4BAD-A390-0E79926BECF2}"/>
            </c:ext>
          </c:extLst>
        </c:ser>
        <c:ser>
          <c:idx val="4"/>
          <c:order val="4"/>
          <c:tx>
            <c:strRef>
              <c:f>'(PRE-BOOST) Simple Mantis Cargo'!$F$3</c:f>
              <c:strCache>
                <c:ptCount val="1"/>
                <c:pt idx="0">
                  <c:v>50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Cargo'!$F$4:$F$11</c:f>
              <c:numCache>
                <c:formatCode>#,##0</c:formatCode>
                <c:ptCount val="8"/>
                <c:pt idx="0">
                  <c:v>24330</c:v>
                </c:pt>
                <c:pt idx="1">
                  <c:v>28384.999999999996</c:v>
                </c:pt>
                <c:pt idx="2">
                  <c:v>35684</c:v>
                </c:pt>
                <c:pt idx="3">
                  <c:v>40550</c:v>
                </c:pt>
                <c:pt idx="4">
                  <c:v>54742.499999999993</c:v>
                </c:pt>
                <c:pt idx="5">
                  <c:v>67718.5</c:v>
                </c:pt>
                <c:pt idx="6">
                  <c:v>87588</c:v>
                </c:pt>
                <c:pt idx="7">
                  <c:v>107051.99999999999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4-4BAD-A390-0E79926BECF2}"/>
            </c:ext>
          </c:extLst>
        </c:ser>
        <c:ser>
          <c:idx val="5"/>
          <c:order val="5"/>
          <c:tx>
            <c:strRef>
              <c:f>'(PRE-BOOST) Simple Mantis Cargo'!$G$3</c:f>
              <c:strCache>
                <c:ptCount val="1"/>
                <c:pt idx="0">
                  <c:v>55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Cargo'!$G$4:$G$11</c:f>
              <c:numCache>
                <c:formatCode>#,##0</c:formatCode>
                <c:ptCount val="8"/>
                <c:pt idx="0">
                  <c:v>24750</c:v>
                </c:pt>
                <c:pt idx="1">
                  <c:v>28875</c:v>
                </c:pt>
                <c:pt idx="2">
                  <c:v>36300</c:v>
                </c:pt>
                <c:pt idx="3">
                  <c:v>41250</c:v>
                </c:pt>
                <c:pt idx="4">
                  <c:v>55687.5</c:v>
                </c:pt>
                <c:pt idx="5">
                  <c:v>68887.5</c:v>
                </c:pt>
                <c:pt idx="6">
                  <c:v>89100</c:v>
                </c:pt>
                <c:pt idx="7">
                  <c:v>108900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4-4BAD-A390-0E79926BECF2}"/>
            </c:ext>
          </c:extLst>
        </c:ser>
        <c:ser>
          <c:idx val="6"/>
          <c:order val="6"/>
          <c:tx>
            <c:strRef>
              <c:f>'(PRE-BOOST) Simple Mantis Cargo'!$H$3</c:f>
              <c:strCache>
                <c:ptCount val="1"/>
                <c:pt idx="0">
                  <c:v>60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Cargo'!$H$4:$H$11</c:f>
              <c:numCache>
                <c:formatCode>#,##0</c:formatCode>
                <c:ptCount val="8"/>
                <c:pt idx="0">
                  <c:v>24900.000000000004</c:v>
                </c:pt>
                <c:pt idx="1">
                  <c:v>29050.000000000004</c:v>
                </c:pt>
                <c:pt idx="2">
                  <c:v>36520</c:v>
                </c:pt>
                <c:pt idx="3">
                  <c:v>41500</c:v>
                </c:pt>
                <c:pt idx="4">
                  <c:v>56025.000000000007</c:v>
                </c:pt>
                <c:pt idx="5">
                  <c:v>69305</c:v>
                </c:pt>
                <c:pt idx="6">
                  <c:v>89640.000000000015</c:v>
                </c:pt>
                <c:pt idx="7">
                  <c:v>109560.00000000001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84-4BAD-A390-0E79926BECF2}"/>
            </c:ext>
          </c:extLst>
        </c:ser>
        <c:ser>
          <c:idx val="7"/>
          <c:order val="7"/>
          <c:tx>
            <c:v>EVERY OFFICER, RESEARCH, AND BUILDING MAXED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Cargo'!$I$4:$I$11</c:f>
              <c:numCache>
                <c:formatCode>#,##0</c:formatCode>
                <c:ptCount val="8"/>
                <c:pt idx="0">
                  <c:v>28200</c:v>
                </c:pt>
                <c:pt idx="1">
                  <c:v>32900</c:v>
                </c:pt>
                <c:pt idx="2">
                  <c:v>41360</c:v>
                </c:pt>
                <c:pt idx="3">
                  <c:v>47000</c:v>
                </c:pt>
                <c:pt idx="4">
                  <c:v>63450</c:v>
                </c:pt>
                <c:pt idx="5">
                  <c:v>78490</c:v>
                </c:pt>
                <c:pt idx="6">
                  <c:v>101520</c:v>
                </c:pt>
                <c:pt idx="7">
                  <c:v>124080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84-4BAD-A390-0E79926BECF2}"/>
            </c:ext>
          </c:extLst>
        </c:ser>
        <c:ser>
          <c:idx val="8"/>
          <c:order val="8"/>
          <c:tx>
            <c:strRef>
              <c:f>'(PRE-BOOST) Simple Mantis Cargo'!$J$3</c:f>
              <c:strCache>
                <c:ptCount val="1"/>
                <c:pt idx="0">
                  <c:v>likely max cargo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Cargo'!$J$4:$J$11</c:f>
              <c:numCache>
                <c:formatCode>#,##0</c:formatCode>
                <c:ptCount val="8"/>
                <c:pt idx="0">
                  <c:v>13350</c:v>
                </c:pt>
                <c:pt idx="1">
                  <c:v>18935</c:v>
                </c:pt>
                <c:pt idx="2">
                  <c:v>23804</c:v>
                </c:pt>
                <c:pt idx="3">
                  <c:v>30800</c:v>
                </c:pt>
                <c:pt idx="4">
                  <c:v>41580</c:v>
                </c:pt>
                <c:pt idx="5">
                  <c:v>67718.5</c:v>
                </c:pt>
                <c:pt idx="6">
                  <c:v>87588</c:v>
                </c:pt>
                <c:pt idx="7">
                  <c:v>107051.99999999999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84-4BAD-A390-0E79926BECF2}"/>
            </c:ext>
          </c:extLst>
        </c:ser>
        <c:ser>
          <c:idx val="9"/>
          <c:order val="9"/>
          <c:tx>
            <c:strRef>
              <c:f>'(PRE-BOOST) Simple Mantis Cargo'!$K$3</c:f>
              <c:strCache>
                <c:ptCount val="1"/>
                <c:pt idx="0">
                  <c:v>Single chest</c:v>
                </c:pt>
              </c:strCache>
            </c:strRef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Cargo'!$K$4:$K$11</c:f>
              <c:numCache>
                <c:formatCode>#,##0</c:formatCode>
                <c:ptCount val="8"/>
                <c:pt idx="0">
                  <c:v>14000</c:v>
                </c:pt>
                <c:pt idx="1">
                  <c:v>16833.333333333336</c:v>
                </c:pt>
                <c:pt idx="2">
                  <c:v>26666.666666666664</c:v>
                </c:pt>
                <c:pt idx="3">
                  <c:v>36500</c:v>
                </c:pt>
                <c:pt idx="4">
                  <c:v>51500</c:v>
                </c:pt>
                <c:pt idx="5">
                  <c:v>66500</c:v>
                </c:pt>
                <c:pt idx="6">
                  <c:v>98333.333333333343</c:v>
                </c:pt>
                <c:pt idx="7">
                  <c:v>124666.66666666667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84-4BAD-A390-0E79926BECF2}"/>
            </c:ext>
          </c:extLst>
        </c:ser>
        <c:ser>
          <c:idx val="10"/>
          <c:order val="10"/>
          <c:tx>
            <c:strRef>
              <c:f>'(PRE-BOOST) Simple Mantis Cargo'!$L$3</c:f>
              <c:strCache>
                <c:ptCount val="1"/>
                <c:pt idx="0">
                  <c:v>Double chests</c:v>
                </c:pt>
              </c:strCache>
            </c:strRef>
          </c:tx>
          <c:spPr>
            <a:ln cmpd="sng">
              <a:solidFill>
                <a:schemeClr val="dk1"/>
              </a:solidFill>
              <a:prstDash val="lgDash"/>
            </a:ln>
          </c:spPr>
          <c:marker>
            <c:symbol val="none"/>
          </c:marker>
          <c:cat>
            <c:strRef>
              <c:f>'(PRE-BOOST) Simple Mantis Cargo'!$A$4:$A$11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'(PRE-BOOST) Simple Mantis Cargo'!$L$4:$L$11</c:f>
              <c:numCache>
                <c:formatCode>#,##0</c:formatCode>
                <c:ptCount val="8"/>
                <c:pt idx="0">
                  <c:v>58000</c:v>
                </c:pt>
                <c:pt idx="1">
                  <c:v>70166.666666666657</c:v>
                </c:pt>
                <c:pt idx="2">
                  <c:v>111333.33333333333</c:v>
                </c:pt>
                <c:pt idx="3">
                  <c:v>152500</c:v>
                </c:pt>
                <c:pt idx="4">
                  <c:v>215500</c:v>
                </c:pt>
                <c:pt idx="5">
                  <c:v>278500</c:v>
                </c:pt>
                <c:pt idx="6">
                  <c:v>411666.66666666669</c:v>
                </c:pt>
                <c:pt idx="7">
                  <c:v>523333.33333333331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84-4BAD-A390-0E79926B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71636"/>
        <c:axId val="561459644"/>
      </c:lineChart>
      <c:catAx>
        <c:axId val="43207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1459644"/>
        <c:crosses val="autoZero"/>
        <c:auto val="1"/>
        <c:lblAlgn val="ctr"/>
        <c:lblOffset val="100"/>
        <c:noMultiLvlLbl val="1"/>
      </c:catAx>
      <c:valAx>
        <c:axId val="561459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20716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19</xdr:row>
      <xdr:rowOff>66675</xdr:rowOff>
    </xdr:from>
    <xdr:ext cx="2133600" cy="7620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16</xdr:row>
      <xdr:rowOff>190500</xdr:rowOff>
    </xdr:from>
    <xdr:ext cx="2133600" cy="4857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695325</xdr:colOff>
      <xdr:row>16</xdr:row>
      <xdr:rowOff>190500</xdr:rowOff>
    </xdr:from>
    <xdr:ext cx="1962150" cy="48577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609600</xdr:colOff>
      <xdr:row>19</xdr:row>
      <xdr:rowOff>66675</xdr:rowOff>
    </xdr:from>
    <xdr:ext cx="2133600" cy="76200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37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0</xdr:colOff>
      <xdr:row>37</xdr:row>
      <xdr:rowOff>47625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285750</xdr:colOff>
      <xdr:row>82</xdr:row>
      <xdr:rowOff>57150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37</xdr:row>
      <xdr:rowOff>47625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0</xdr:colOff>
      <xdr:row>37</xdr:row>
      <xdr:rowOff>47625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858000" cy="42767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85725</xdr:colOff>
      <xdr:row>31</xdr:row>
      <xdr:rowOff>114300</xdr:rowOff>
    </xdr:from>
    <xdr:ext cx="6858000" cy="42481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28</xdr:col>
      <xdr:colOff>485775</xdr:colOff>
      <xdr:row>31</xdr:row>
      <xdr:rowOff>114300</xdr:rowOff>
    </xdr:from>
    <xdr:ext cx="6858000" cy="42481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609600</xdr:colOff>
      <xdr:row>35</xdr:row>
      <xdr:rowOff>95250</xdr:rowOff>
    </xdr:from>
    <xdr:ext cx="6858000" cy="42767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35</xdr:row>
      <xdr:rowOff>38100</xdr:rowOff>
    </xdr:from>
    <xdr:ext cx="6858000" cy="42481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85725</xdr:colOff>
      <xdr:row>31</xdr:row>
      <xdr:rowOff>114300</xdr:rowOff>
    </xdr:from>
    <xdr:ext cx="6858000" cy="42481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485775</xdr:colOff>
      <xdr:row>31</xdr:row>
      <xdr:rowOff>114300</xdr:rowOff>
    </xdr:from>
    <xdr:ext cx="6858000" cy="424815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115550" cy="684847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34</xdr:row>
      <xdr:rowOff>190500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</xdr:colOff>
      <xdr:row>34</xdr:row>
      <xdr:rowOff>190500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12"/>
  <sheetViews>
    <sheetView showGridLines="0" tabSelected="1" workbookViewId="0">
      <selection sqref="A1:I1"/>
    </sheetView>
  </sheetViews>
  <sheetFormatPr defaultColWidth="12.5703125" defaultRowHeight="15.75" customHeight="1" x14ac:dyDescent="0.2"/>
  <cols>
    <col min="1" max="1" width="7" customWidth="1"/>
    <col min="2" max="3" width="9.42578125" customWidth="1"/>
    <col min="4" max="4" width="20.42578125" customWidth="1"/>
    <col min="5" max="6" width="11" customWidth="1"/>
    <col min="7" max="7" width="9.42578125" customWidth="1"/>
    <col min="8" max="8" width="11.42578125" customWidth="1"/>
    <col min="9" max="9" width="12.140625" customWidth="1"/>
    <col min="10" max="11" width="9.42578125" customWidth="1"/>
    <col min="12" max="12" width="6.140625" customWidth="1"/>
    <col min="13" max="19" width="9.42578125" hidden="1" customWidth="1"/>
  </cols>
  <sheetData>
    <row r="1" spans="1:12" ht="23.25" x14ac:dyDescent="0.35">
      <c r="A1" s="373" t="s">
        <v>0</v>
      </c>
      <c r="B1" s="374"/>
      <c r="C1" s="374"/>
      <c r="D1" s="374"/>
      <c r="E1" s="374"/>
      <c r="F1" s="374"/>
      <c r="G1" s="374"/>
      <c r="H1" s="374"/>
      <c r="I1" s="374"/>
    </row>
    <row r="2" spans="1:12" ht="12.75" x14ac:dyDescent="0.2">
      <c r="A2" s="375" t="s">
        <v>1</v>
      </c>
      <c r="B2" s="374"/>
      <c r="C2" s="374"/>
      <c r="D2" s="374"/>
      <c r="E2" s="374"/>
      <c r="F2" s="374"/>
      <c r="G2" s="374"/>
      <c r="H2" s="374"/>
      <c r="I2" s="374"/>
    </row>
    <row r="3" spans="1:12" ht="18.75" x14ac:dyDescent="0.3">
      <c r="A3" s="376" t="s">
        <v>2</v>
      </c>
      <c r="B3" s="377"/>
      <c r="C3" s="377"/>
      <c r="D3" s="377"/>
      <c r="E3" s="377"/>
      <c r="F3" s="377"/>
      <c r="G3" s="377"/>
      <c r="H3" s="377"/>
      <c r="I3" s="377"/>
    </row>
    <row r="4" spans="1:12" ht="12.75" x14ac:dyDescent="0.2">
      <c r="A4" s="378" t="s">
        <v>3</v>
      </c>
      <c r="B4" s="374"/>
      <c r="C4" s="374"/>
      <c r="D4" s="3" t="s">
        <v>4</v>
      </c>
    </row>
    <row r="5" spans="1:12" ht="12.75" x14ac:dyDescent="0.2">
      <c r="A5" s="378" t="s">
        <v>5</v>
      </c>
      <c r="B5" s="374"/>
      <c r="C5" s="374"/>
      <c r="D5" s="3" t="s">
        <v>6</v>
      </c>
    </row>
    <row r="6" spans="1:12" ht="12.75" x14ac:dyDescent="0.2">
      <c r="A6" s="2" t="s">
        <v>7</v>
      </c>
      <c r="B6" s="2"/>
      <c r="C6" s="2"/>
      <c r="D6" s="3" t="s">
        <v>8</v>
      </c>
    </row>
    <row r="7" spans="1:12" ht="12.75" x14ac:dyDescent="0.2">
      <c r="A7" s="378" t="s">
        <v>9</v>
      </c>
      <c r="B7" s="374"/>
      <c r="C7" s="374"/>
      <c r="D7" s="3" t="s">
        <v>10</v>
      </c>
      <c r="F7" s="379" t="s">
        <v>11</v>
      </c>
      <c r="G7" s="374"/>
      <c r="H7" s="374"/>
      <c r="I7" s="4" t="e">
        <f ca="1">SUM(I9:I12)</f>
        <v>#NAME?</v>
      </c>
    </row>
    <row r="8" spans="1:12" ht="12.75" x14ac:dyDescent="0.2">
      <c r="A8" s="5" t="s">
        <v>12</v>
      </c>
      <c r="B8" s="5"/>
      <c r="C8" s="5"/>
      <c r="D8" s="5"/>
      <c r="E8" s="5" t="s">
        <v>13</v>
      </c>
      <c r="F8" s="5" t="s">
        <v>14</v>
      </c>
      <c r="G8" s="5" t="s">
        <v>15</v>
      </c>
      <c r="H8" s="5" t="s">
        <v>16</v>
      </c>
      <c r="I8" s="6" t="s">
        <v>17</v>
      </c>
      <c r="K8" s="7"/>
    </row>
    <row r="9" spans="1:12" ht="12.75" x14ac:dyDescent="0.2">
      <c r="A9" s="380" t="s">
        <v>18</v>
      </c>
      <c r="B9" s="374"/>
      <c r="C9" s="374"/>
      <c r="D9" s="3" t="s">
        <v>19</v>
      </c>
      <c r="E9" s="8">
        <v>1</v>
      </c>
      <c r="F9" s="8" t="e">
        <f ca="1">_xludf.IFNA(VLOOKUP($D$4,$A$38:$U$49,_xludf.IFS(D9="1 chest",2,D9="2 chests",3),FALSE),0)</f>
        <v>#NAME?</v>
      </c>
      <c r="G9" s="8" t="e">
        <f ca="1">_xludf.IFNA(_xludf.IFS(D9="1 chest",VLOOKUP($D$4,A38:Q49,4,FALSE)*L9,D9="2 chests",VLOOKUP($D$4,A38:Q49,4,FALSE)*2*L9),0)</f>
        <v>#NAME?</v>
      </c>
      <c r="H9" s="8" t="e">
        <f t="shared" ref="H9:H12" ca="1" si="0">G9*30/E9</f>
        <v>#NAME?</v>
      </c>
      <c r="I9" s="9" t="e">
        <f t="shared" ref="I9:I12" ca="1" si="1">F9/E9</f>
        <v>#NAME?</v>
      </c>
      <c r="J9" s="7" t="s">
        <v>20</v>
      </c>
      <c r="L9" s="10" t="e">
        <f ca="1">1+_xludf.IFS(D5="Yes",0.5,D5="No",0)+_xludf.IFS(D7="Level 1 (35%)",0.35,D7="Level 2 (80%)",0.8,D7="N/A",0)</f>
        <v>#NAME?</v>
      </c>
    </row>
    <row r="10" spans="1:12" ht="12.75" x14ac:dyDescent="0.2">
      <c r="A10" s="381" t="s">
        <v>21</v>
      </c>
      <c r="B10" s="374"/>
      <c r="C10" s="374"/>
      <c r="D10" s="11" t="s">
        <v>19</v>
      </c>
      <c r="E10" s="12">
        <v>3</v>
      </c>
      <c r="F10" s="12" t="e">
        <f ca="1">_xludf.IFNA(VLOOKUP($D$4,$A$38:$U$49,_xludf.IFS(D10="1 chest",10,D10="2 chests",11),FALSE),0)</f>
        <v>#NAME?</v>
      </c>
      <c r="G10" s="12" t="e">
        <f ca="1">_xludf.IFNA(_xludf.IFS(D10="2 chests",VLOOKUP($D$4,$A$38:$U$49,IF(D6="No",12,13),FALSE)*2,D10="1 chest",VLOOKUP($D$4,$A$38:$U$49,IF(D6="No",12,13),FALSE)),0)</f>
        <v>#NAME?</v>
      </c>
      <c r="H10" s="12" t="e">
        <f t="shared" ca="1" si="0"/>
        <v>#NAME?</v>
      </c>
      <c r="I10" s="13" t="e">
        <f t="shared" ca="1" si="1"/>
        <v>#NAME?</v>
      </c>
      <c r="J10" s="7" t="s">
        <v>22</v>
      </c>
      <c r="L10" s="14" t="e">
        <f ca="1">ROUNDUP(_xludf.IFNA(VLOOKUP(D4,H70:I81,2,FALSE)/G9,0),0)</f>
        <v>#NAME?</v>
      </c>
    </row>
    <row r="11" spans="1:12" ht="12.75" x14ac:dyDescent="0.2">
      <c r="A11" s="382" t="s">
        <v>23</v>
      </c>
      <c r="B11" s="374"/>
      <c r="C11" s="374"/>
      <c r="D11" s="11" t="s">
        <v>19</v>
      </c>
      <c r="E11" s="15">
        <v>1</v>
      </c>
      <c r="F11" s="15" t="e">
        <f ca="1">_xludf.IFNA(VLOOKUP($D$4,A38:Q49,_xludf.IFS(D11="1 chest",14,D11="2 chests",15),FALSE),0)</f>
        <v>#NAME?</v>
      </c>
      <c r="G11" s="15" t="e">
        <f ca="1">_xludf.IFNA(_xludf.IFS(D11="2 chests",VLOOKUP($D$4,$A$38:$U$49,16,FALSE)*2,D11="1 chest",VLOOKUP($D$4,$A$38:$U$49,16,FALSE)),0)</f>
        <v>#NAME?</v>
      </c>
      <c r="H11" s="15" t="e">
        <f t="shared" ca="1" si="0"/>
        <v>#NAME?</v>
      </c>
      <c r="I11" s="16" t="e">
        <f t="shared" ca="1" si="1"/>
        <v>#NAME?</v>
      </c>
    </row>
    <row r="12" spans="1:12" ht="12.75" x14ac:dyDescent="0.2">
      <c r="A12" s="383" t="s">
        <v>24</v>
      </c>
      <c r="B12" s="374"/>
      <c r="C12" s="374"/>
      <c r="D12" s="11" t="s">
        <v>25</v>
      </c>
      <c r="E12" s="17">
        <v>2</v>
      </c>
      <c r="F12" s="17" t="e">
        <f ca="1">_xludf.IFNA(VLOOKUP($D$4,$A$38:$U$49,_xludf.IFS(D12="1 chest",17),FALSE),0)</f>
        <v>#NAME?</v>
      </c>
      <c r="G12" s="17" t="e">
        <f ca="1">_xludf.IFNA(_xludf.IFS(D12="2 chests",VLOOKUP($D$4,$A$38:$U$49,IF(D6="No",18,19),FALSE)*2,D12="1 chest",VLOOKUP($D$4,$A$38:$U$49,IF(D6="No",18,19),FALSE)),0)</f>
        <v>#NAME?</v>
      </c>
      <c r="H12" s="17" t="e">
        <f t="shared" ca="1" si="0"/>
        <v>#NAME?</v>
      </c>
      <c r="I12" s="18" t="e">
        <f t="shared" ca="1" si="1"/>
        <v>#NAME?</v>
      </c>
    </row>
    <row r="14" spans="1:12" ht="26.25" customHeight="1" x14ac:dyDescent="0.3">
      <c r="A14" s="384" t="s">
        <v>26</v>
      </c>
      <c r="B14" s="385"/>
      <c r="C14" s="385"/>
      <c r="D14" s="385"/>
      <c r="E14" s="385"/>
      <c r="F14" s="385"/>
      <c r="G14" s="385"/>
      <c r="H14" s="385"/>
      <c r="I14" s="385"/>
      <c r="L14" s="2" t="s">
        <v>27</v>
      </c>
    </row>
    <row r="15" spans="1:12" ht="15" x14ac:dyDescent="0.2">
      <c r="A15" s="386" t="s">
        <v>28</v>
      </c>
      <c r="B15" s="387"/>
      <c r="C15" s="387"/>
      <c r="D15" s="387"/>
      <c r="E15" s="19" t="s">
        <v>6</v>
      </c>
      <c r="F15" s="20" t="s">
        <v>29</v>
      </c>
      <c r="G15" s="21" t="e">
        <f ca="1">_xludf.IFNA(IF(E15="Yes",VLOOKUP(D4,H54:L65,5,FALSE),VLOOKUP(D4,H54:L65,4,FALSE)),0)</f>
        <v>#NAME?</v>
      </c>
      <c r="H15" s="22" t="s">
        <v>30</v>
      </c>
      <c r="I15" s="23" t="e">
        <f ca="1">G15*(1+F23+F31)</f>
        <v>#NAME?</v>
      </c>
    </row>
    <row r="16" spans="1:12" ht="12.75" x14ac:dyDescent="0.2">
      <c r="H16" s="24" t="s">
        <v>31</v>
      </c>
      <c r="I16" s="25">
        <v>2</v>
      </c>
    </row>
    <row r="17" spans="1:12" ht="12.75" x14ac:dyDescent="0.2">
      <c r="A17" s="26" t="s">
        <v>32</v>
      </c>
      <c r="B17" s="27"/>
      <c r="C17" s="27"/>
      <c r="D17" s="27" t="s">
        <v>33</v>
      </c>
      <c r="E17" s="27" t="s">
        <v>34</v>
      </c>
      <c r="F17" s="27" t="s">
        <v>35</v>
      </c>
      <c r="G17" s="388" t="s">
        <v>36</v>
      </c>
      <c r="H17" s="389"/>
      <c r="I17" s="389"/>
      <c r="J17" s="389"/>
      <c r="K17" s="389"/>
      <c r="L17" s="390"/>
    </row>
    <row r="18" spans="1:12" ht="12.75" x14ac:dyDescent="0.2">
      <c r="A18" s="28" t="s">
        <v>37</v>
      </c>
      <c r="D18" s="11" t="s">
        <v>38</v>
      </c>
      <c r="E18" s="11">
        <v>4</v>
      </c>
      <c r="F18" s="29" t="e">
        <f ca="1">_xludf.IFNA(VLOOKUP(D18,$A$103:$F$110,E18+1,FALSE),0)</f>
        <v>#NAME?</v>
      </c>
      <c r="G18" s="30"/>
      <c r="L18" s="31"/>
    </row>
    <row r="19" spans="1:12" ht="12.75" x14ac:dyDescent="0.2">
      <c r="A19" s="28" t="s">
        <v>39</v>
      </c>
      <c r="D19" s="11" t="s">
        <v>40</v>
      </c>
      <c r="E19" s="2"/>
      <c r="F19" s="29" t="e">
        <f ca="1">_xludf.IFNA(_xludf.IFS(D18="2 of 11",_xludf.IFS(D19="None/NA",0,D19="1 side (+15%)",0.15,D19="2 sides (+5% and +15%)",0.2,D19="2 sides (+15% and +15%)",0.3),D18="Mavery",IF(D19="Mavery 1 side (+20%)",0.2,0)),0)</f>
        <v>#NAME?</v>
      </c>
      <c r="G19" s="30"/>
      <c r="L19" s="31"/>
    </row>
    <row r="20" spans="1:12" ht="12.75" x14ac:dyDescent="0.2">
      <c r="A20" s="28" t="s">
        <v>41</v>
      </c>
      <c r="D20" s="3" t="s">
        <v>42</v>
      </c>
      <c r="E20" s="11">
        <v>5</v>
      </c>
      <c r="F20" s="29" t="e">
        <f t="shared" ref="F20:F21" ca="1" si="2">_xludf.IFNA(VLOOKUP(D20,$A$103:$F$110,E20+1,FALSE),0)</f>
        <v>#NAME?</v>
      </c>
      <c r="G20" s="30"/>
      <c r="L20" s="31"/>
    </row>
    <row r="21" spans="1:12" ht="12.75" x14ac:dyDescent="0.2">
      <c r="A21" s="28" t="s">
        <v>43</v>
      </c>
      <c r="D21" s="11" t="s">
        <v>44</v>
      </c>
      <c r="E21" s="11">
        <v>2</v>
      </c>
      <c r="F21" s="29" t="e">
        <f t="shared" ca="1" si="2"/>
        <v>#NAME?</v>
      </c>
      <c r="G21" s="30"/>
      <c r="L21" s="31"/>
    </row>
    <row r="22" spans="1:12" ht="12.75" x14ac:dyDescent="0.2">
      <c r="A22" s="28" t="s">
        <v>45</v>
      </c>
      <c r="D22" s="11" t="s">
        <v>8</v>
      </c>
      <c r="E22" s="11">
        <v>2</v>
      </c>
      <c r="F22" s="29" t="e">
        <f ca="1">_xludf.IFNA(_xludf.IFS(D22="yes",VLOOKUP("SNW La'an",A103:F110,E22+1,FALSE),D22="No",0),0)</f>
        <v>#NAME?</v>
      </c>
      <c r="G22" s="30"/>
      <c r="L22" s="31"/>
    </row>
    <row r="23" spans="1:12" ht="12.75" x14ac:dyDescent="0.2">
      <c r="A23" s="32"/>
      <c r="B23" s="33"/>
      <c r="C23" s="33"/>
      <c r="D23" s="399" t="s">
        <v>46</v>
      </c>
      <c r="E23" s="400"/>
      <c r="F23" s="34" t="e">
        <f ca="1">SUM(F18:F22)</f>
        <v>#NAME?</v>
      </c>
      <c r="G23" s="6"/>
      <c r="H23" s="5"/>
      <c r="I23" s="5"/>
      <c r="J23" s="5"/>
      <c r="K23" s="5"/>
      <c r="L23" s="35"/>
    </row>
    <row r="24" spans="1:12" ht="12.75" x14ac:dyDescent="0.2">
      <c r="A24" s="26" t="s">
        <v>47</v>
      </c>
      <c r="B24" s="27"/>
      <c r="C24" s="27"/>
      <c r="D24" s="27" t="s">
        <v>48</v>
      </c>
      <c r="E24" s="27" t="s">
        <v>49</v>
      </c>
      <c r="F24" s="36" t="s">
        <v>35</v>
      </c>
    </row>
    <row r="25" spans="1:12" ht="12.75" x14ac:dyDescent="0.2">
      <c r="A25" s="28" t="s">
        <v>50</v>
      </c>
      <c r="D25" s="11" t="s">
        <v>51</v>
      </c>
      <c r="F25" s="37"/>
    </row>
    <row r="26" spans="1:12" ht="12.75" x14ac:dyDescent="0.2">
      <c r="A26" s="28" t="s">
        <v>52</v>
      </c>
      <c r="D26" s="11" t="s">
        <v>53</v>
      </c>
      <c r="F26" s="37" t="e">
        <f ca="1">_xludf.IFNA(VLOOKUP(D26,B53:E57,_xludf.IFS(D25="30-39",2,D25="40-50",3,D25="51-60",4),FALSE),0)</f>
        <v>#NAME?</v>
      </c>
    </row>
    <row r="27" spans="1:12" ht="12.75" x14ac:dyDescent="0.2">
      <c r="A27" s="28" t="s">
        <v>54</v>
      </c>
      <c r="D27" s="11" t="s">
        <v>55</v>
      </c>
      <c r="E27" s="2" t="s">
        <v>56</v>
      </c>
      <c r="F27" s="37" t="e">
        <f ca="1">_xludf.IFNA(VLOOKUP(D27,B60:C72,2,FALSE),0)</f>
        <v>#NAME?</v>
      </c>
    </row>
    <row r="28" spans="1:12" ht="12.75" x14ac:dyDescent="0.2">
      <c r="A28" s="28" t="s">
        <v>57</v>
      </c>
      <c r="D28" s="38">
        <v>0</v>
      </c>
      <c r="E28" s="2" t="e">
        <f ca="1">_xludf.IFNA(VLOOKUP(D28,D62:F72,3,FALSE),0)</f>
        <v>#NAME?</v>
      </c>
      <c r="F28" s="37" t="e">
        <f ca="1">_xludf.IFNA(VLOOKUP(D28,D62:F72,2,FALSE),0)</f>
        <v>#NAME?</v>
      </c>
    </row>
    <row r="29" spans="1:12" ht="12.75" x14ac:dyDescent="0.2">
      <c r="A29" s="28" t="s">
        <v>58</v>
      </c>
      <c r="D29" s="38">
        <v>14</v>
      </c>
      <c r="E29" s="2" t="e">
        <f ca="1">_xludf.IFNA(VLOOKUP(D29,B76:D95,3,FALSE),0)</f>
        <v>#NAME?</v>
      </c>
      <c r="F29" s="37" t="e">
        <f ca="1">_xludf.IFNA(VLOOKUP(D29,B76:D95,2,FALSE),0)</f>
        <v>#NAME?</v>
      </c>
    </row>
    <row r="30" spans="1:12" ht="12.75" x14ac:dyDescent="0.2">
      <c r="A30" s="28" t="s">
        <v>59</v>
      </c>
      <c r="D30" s="3" t="s">
        <v>6</v>
      </c>
      <c r="E30" s="2" t="s">
        <v>60</v>
      </c>
      <c r="F30" s="37" t="e">
        <f ca="1">_xludf.IFNA(VLOOKUP(D30,B99:D99,2,FALSE),0)</f>
        <v>#NAME?</v>
      </c>
    </row>
    <row r="31" spans="1:12" ht="12.75" x14ac:dyDescent="0.2">
      <c r="A31" s="32"/>
      <c r="B31" s="33"/>
      <c r="C31" s="33"/>
      <c r="D31" s="399" t="s">
        <v>61</v>
      </c>
      <c r="E31" s="400"/>
      <c r="F31" s="39" t="e">
        <f ca="1">SUM(F26:F30)</f>
        <v>#NAME?</v>
      </c>
    </row>
    <row r="32" spans="1:12" ht="12.75" x14ac:dyDescent="0.2">
      <c r="A32" s="40"/>
      <c r="B32" s="41"/>
      <c r="C32" s="41"/>
      <c r="D32" s="41"/>
      <c r="E32" s="41"/>
      <c r="F32" s="41"/>
      <c r="G32" s="41"/>
      <c r="I32" s="41"/>
    </row>
    <row r="33" spans="1:19" ht="17.25" customHeight="1" x14ac:dyDescent="0.2">
      <c r="A33" s="42" t="s">
        <v>62</v>
      </c>
      <c r="B33" s="43"/>
      <c r="C33" s="43"/>
      <c r="D33" s="44" t="s">
        <v>63</v>
      </c>
      <c r="E33" s="43"/>
      <c r="F33" s="43"/>
      <c r="G33" s="43"/>
      <c r="H33" s="43"/>
      <c r="I33" s="43"/>
      <c r="J33" s="45" t="s">
        <v>64</v>
      </c>
      <c r="K33" s="46">
        <v>45020</v>
      </c>
      <c r="L33" s="43"/>
      <c r="M33" s="47"/>
      <c r="N33" s="47"/>
      <c r="O33" s="47"/>
      <c r="P33" s="47"/>
      <c r="Q33" s="47"/>
      <c r="R33" s="47"/>
      <c r="S33" s="47"/>
    </row>
    <row r="34" spans="1:19" ht="23.25" hidden="1" x14ac:dyDescent="0.35">
      <c r="A34" s="401" t="s">
        <v>65</v>
      </c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48"/>
      <c r="O34" s="48"/>
      <c r="P34" s="48"/>
      <c r="Q34" s="48"/>
      <c r="R34" s="48"/>
      <c r="S34" s="48"/>
    </row>
    <row r="35" spans="1:19" ht="12.75" hidden="1" x14ac:dyDescent="0.2">
      <c r="A35" s="49"/>
      <c r="B35" s="402" t="s">
        <v>66</v>
      </c>
      <c r="C35" s="389"/>
      <c r="D35" s="389"/>
      <c r="E35" s="389"/>
      <c r="F35" s="389"/>
      <c r="G35" s="389"/>
      <c r="H35" s="389"/>
      <c r="I35" s="390"/>
      <c r="J35" s="403" t="s">
        <v>21</v>
      </c>
      <c r="K35" s="389"/>
      <c r="L35" s="389"/>
      <c r="M35" s="390"/>
      <c r="N35" s="404" t="s">
        <v>23</v>
      </c>
      <c r="O35" s="389"/>
      <c r="P35" s="50"/>
      <c r="Q35" s="405" t="s">
        <v>24</v>
      </c>
      <c r="R35" s="389"/>
      <c r="S35" s="390"/>
    </row>
    <row r="36" spans="1:19" ht="12.75" hidden="1" x14ac:dyDescent="0.2">
      <c r="A36" s="51"/>
      <c r="B36" s="391" t="s">
        <v>67</v>
      </c>
      <c r="C36" s="374"/>
      <c r="D36" s="374"/>
      <c r="E36" s="374"/>
      <c r="F36" s="374"/>
      <c r="G36" s="374"/>
      <c r="H36" s="374"/>
      <c r="I36" s="392"/>
      <c r="J36" s="393" t="s">
        <v>68</v>
      </c>
      <c r="K36" s="374"/>
      <c r="L36" s="374"/>
      <c r="M36" s="392"/>
      <c r="N36" s="394" t="s">
        <v>67</v>
      </c>
      <c r="O36" s="374"/>
      <c r="P36" s="53"/>
      <c r="Q36" s="395" t="s">
        <v>69</v>
      </c>
      <c r="R36" s="374"/>
      <c r="S36" s="392"/>
    </row>
    <row r="37" spans="1:19" ht="12.75" hidden="1" x14ac:dyDescent="0.2">
      <c r="A37" s="54" t="s">
        <v>34</v>
      </c>
      <c r="B37" s="55" t="s">
        <v>25</v>
      </c>
      <c r="C37" s="56" t="s">
        <v>70</v>
      </c>
      <c r="D37" s="8" t="s">
        <v>71</v>
      </c>
      <c r="E37" s="8" t="s">
        <v>72</v>
      </c>
      <c r="F37" s="8" t="s">
        <v>73</v>
      </c>
      <c r="G37" s="57" t="s">
        <v>74</v>
      </c>
      <c r="H37" s="58" t="s">
        <v>72</v>
      </c>
      <c r="I37" s="58" t="s">
        <v>73</v>
      </c>
      <c r="J37" s="59" t="s">
        <v>25</v>
      </c>
      <c r="K37" s="60" t="s">
        <v>70</v>
      </c>
      <c r="L37" s="60" t="s">
        <v>71</v>
      </c>
      <c r="M37" s="61" t="s">
        <v>75</v>
      </c>
      <c r="N37" s="62" t="s">
        <v>25</v>
      </c>
      <c r="O37" s="62" t="s">
        <v>70</v>
      </c>
      <c r="P37" s="62" t="s">
        <v>71</v>
      </c>
      <c r="Q37" s="63" t="s">
        <v>25</v>
      </c>
      <c r="R37" s="64" t="s">
        <v>71</v>
      </c>
      <c r="S37" s="65" t="s">
        <v>76</v>
      </c>
    </row>
    <row r="38" spans="1:19" ht="12.75" hidden="1" x14ac:dyDescent="0.2">
      <c r="A38" s="66" t="s">
        <v>77</v>
      </c>
      <c r="B38" s="9">
        <v>3000</v>
      </c>
      <c r="C38" s="8">
        <v>15000</v>
      </c>
      <c r="D38" s="67">
        <v>150</v>
      </c>
      <c r="E38" s="67">
        <v>202.5</v>
      </c>
      <c r="F38" s="67">
        <v>270</v>
      </c>
      <c r="G38" s="68">
        <v>225</v>
      </c>
      <c r="H38" s="69">
        <v>277.5</v>
      </c>
      <c r="I38" s="70">
        <v>345</v>
      </c>
      <c r="J38" s="13">
        <v>6000</v>
      </c>
      <c r="K38" s="12">
        <v>30000</v>
      </c>
      <c r="L38" s="12">
        <v>200</v>
      </c>
      <c r="M38" s="71">
        <f t="shared" ref="M38:M49" si="3">L38*1.3</f>
        <v>260</v>
      </c>
      <c r="N38" s="15">
        <v>6000</v>
      </c>
      <c r="O38" s="15">
        <v>30000</v>
      </c>
      <c r="P38" s="15">
        <v>1510</v>
      </c>
      <c r="Q38" s="18">
        <v>6000</v>
      </c>
      <c r="R38" s="17">
        <v>1000</v>
      </c>
      <c r="S38" s="72">
        <f t="shared" ref="S38:S49" si="4">R38*1.3</f>
        <v>1300</v>
      </c>
    </row>
    <row r="39" spans="1:19" ht="12.75" hidden="1" x14ac:dyDescent="0.2">
      <c r="A39" s="66" t="s">
        <v>4</v>
      </c>
      <c r="B39" s="9">
        <v>4000</v>
      </c>
      <c r="C39" s="8">
        <v>20000</v>
      </c>
      <c r="D39" s="8">
        <v>300</v>
      </c>
      <c r="E39" s="8">
        <v>405</v>
      </c>
      <c r="F39" s="8">
        <v>540</v>
      </c>
      <c r="G39" s="68">
        <v>450</v>
      </c>
      <c r="H39" s="58">
        <v>555</v>
      </c>
      <c r="I39" s="73">
        <v>690</v>
      </c>
      <c r="J39" s="13">
        <v>7000</v>
      </c>
      <c r="K39" s="12">
        <v>35000</v>
      </c>
      <c r="L39" s="12">
        <v>400</v>
      </c>
      <c r="M39" s="71">
        <f t="shared" si="3"/>
        <v>520</v>
      </c>
      <c r="N39" s="15">
        <v>7000</v>
      </c>
      <c r="O39" s="15">
        <v>35000</v>
      </c>
      <c r="P39" s="15">
        <v>1575</v>
      </c>
      <c r="Q39" s="18">
        <v>7000</v>
      </c>
      <c r="R39" s="17">
        <v>1050</v>
      </c>
      <c r="S39" s="72">
        <f t="shared" si="4"/>
        <v>1365</v>
      </c>
    </row>
    <row r="40" spans="1:19" ht="12.75" hidden="1" x14ac:dyDescent="0.2">
      <c r="A40" s="54" t="s">
        <v>78</v>
      </c>
      <c r="B40" s="55">
        <v>6500</v>
      </c>
      <c r="C40" s="56">
        <v>32500</v>
      </c>
      <c r="D40" s="56">
        <v>750</v>
      </c>
      <c r="E40" s="56">
        <v>1012.5000000000001</v>
      </c>
      <c r="F40" s="56">
        <v>1350</v>
      </c>
      <c r="G40" s="57">
        <v>1125</v>
      </c>
      <c r="H40" s="74">
        <v>1387.5</v>
      </c>
      <c r="I40" s="75">
        <v>1724.9999999999998</v>
      </c>
      <c r="J40" s="59">
        <v>11000</v>
      </c>
      <c r="K40" s="60">
        <v>55000</v>
      </c>
      <c r="L40" s="60">
        <v>1000</v>
      </c>
      <c r="M40" s="61">
        <f t="shared" si="3"/>
        <v>1300</v>
      </c>
      <c r="N40" s="62">
        <v>11000</v>
      </c>
      <c r="O40" s="62">
        <v>55000</v>
      </c>
      <c r="P40" s="62">
        <v>1650</v>
      </c>
      <c r="Q40" s="63">
        <v>11000</v>
      </c>
      <c r="R40" s="64">
        <v>1100</v>
      </c>
      <c r="S40" s="65">
        <f t="shared" si="4"/>
        <v>1430</v>
      </c>
    </row>
    <row r="41" spans="1:19" ht="12.75" hidden="1" x14ac:dyDescent="0.2">
      <c r="A41" s="66" t="s">
        <v>79</v>
      </c>
      <c r="B41" s="9">
        <v>9000</v>
      </c>
      <c r="C41" s="8">
        <v>45000</v>
      </c>
      <c r="D41" s="8">
        <v>1500</v>
      </c>
      <c r="E41" s="8">
        <v>2025.0000000000002</v>
      </c>
      <c r="F41" s="8">
        <v>2700</v>
      </c>
      <c r="G41" s="68">
        <v>2250</v>
      </c>
      <c r="H41" s="58">
        <v>2775</v>
      </c>
      <c r="I41" s="73">
        <v>3449.9999999999995</v>
      </c>
      <c r="J41" s="13">
        <v>15000</v>
      </c>
      <c r="K41" s="12">
        <v>75000</v>
      </c>
      <c r="L41" s="12">
        <v>2000</v>
      </c>
      <c r="M41" s="71">
        <f t="shared" si="3"/>
        <v>2600</v>
      </c>
      <c r="N41" s="15">
        <v>15000</v>
      </c>
      <c r="O41" s="15">
        <v>75000</v>
      </c>
      <c r="P41" s="15">
        <v>1750</v>
      </c>
      <c r="Q41" s="18">
        <v>15000</v>
      </c>
      <c r="R41" s="17">
        <v>1150</v>
      </c>
      <c r="S41" s="72">
        <f t="shared" si="4"/>
        <v>1495</v>
      </c>
    </row>
    <row r="42" spans="1:19" ht="12.75" hidden="1" x14ac:dyDescent="0.2">
      <c r="A42" s="66" t="s">
        <v>80</v>
      </c>
      <c r="B42" s="9">
        <v>13000</v>
      </c>
      <c r="C42" s="8">
        <v>65000</v>
      </c>
      <c r="D42" s="8">
        <v>3000</v>
      </c>
      <c r="E42" s="8">
        <v>4050.0000000000005</v>
      </c>
      <c r="F42" s="8">
        <v>5400</v>
      </c>
      <c r="G42" s="68">
        <v>4500</v>
      </c>
      <c r="H42" s="58">
        <v>5550</v>
      </c>
      <c r="I42" s="73">
        <v>6899.9999999999991</v>
      </c>
      <c r="J42" s="13">
        <v>21000</v>
      </c>
      <c r="K42" s="12">
        <v>105000</v>
      </c>
      <c r="L42" s="12">
        <v>4000</v>
      </c>
      <c r="M42" s="71">
        <f t="shared" si="3"/>
        <v>5200</v>
      </c>
      <c r="N42" s="15">
        <v>21000</v>
      </c>
      <c r="O42" s="15">
        <v>105000</v>
      </c>
      <c r="P42" s="15">
        <v>1900</v>
      </c>
      <c r="Q42" s="18">
        <v>21000</v>
      </c>
      <c r="R42" s="17">
        <v>1200</v>
      </c>
      <c r="S42" s="72">
        <f t="shared" si="4"/>
        <v>1560</v>
      </c>
    </row>
    <row r="43" spans="1:19" ht="12.75" hidden="1" x14ac:dyDescent="0.2">
      <c r="A43" s="54" t="s">
        <v>81</v>
      </c>
      <c r="B43" s="55">
        <v>17000</v>
      </c>
      <c r="C43" s="56">
        <v>85000</v>
      </c>
      <c r="D43" s="56">
        <v>4500</v>
      </c>
      <c r="E43" s="56">
        <v>6075</v>
      </c>
      <c r="F43" s="56">
        <v>8100</v>
      </c>
      <c r="G43" s="57">
        <v>6750</v>
      </c>
      <c r="H43" s="74">
        <v>8325</v>
      </c>
      <c r="I43" s="75">
        <v>10350</v>
      </c>
      <c r="J43" s="59">
        <v>27000</v>
      </c>
      <c r="K43" s="60">
        <v>135000</v>
      </c>
      <c r="L43" s="60">
        <v>6000</v>
      </c>
      <c r="M43" s="61">
        <f t="shared" si="3"/>
        <v>7800</v>
      </c>
      <c r="N43" s="62">
        <v>27000</v>
      </c>
      <c r="O43" s="62">
        <v>135000</v>
      </c>
      <c r="P43" s="62">
        <v>2075</v>
      </c>
      <c r="Q43" s="63">
        <v>27000</v>
      </c>
      <c r="R43" s="64">
        <v>1250</v>
      </c>
      <c r="S43" s="65">
        <f t="shared" si="4"/>
        <v>1625</v>
      </c>
    </row>
    <row r="44" spans="1:19" ht="12.75" hidden="1" x14ac:dyDescent="0.2">
      <c r="A44" s="66" t="s">
        <v>82</v>
      </c>
      <c r="B44" s="9">
        <v>25000</v>
      </c>
      <c r="C44" s="8">
        <v>125000</v>
      </c>
      <c r="D44" s="8">
        <v>6000</v>
      </c>
      <c r="E44" s="8">
        <v>8100.0000000000009</v>
      </c>
      <c r="F44" s="8">
        <v>10800</v>
      </c>
      <c r="G44" s="68">
        <v>9000</v>
      </c>
      <c r="H44" s="58">
        <v>11100</v>
      </c>
      <c r="I44" s="73">
        <v>13799.999999999998</v>
      </c>
      <c r="J44" s="13">
        <v>40000</v>
      </c>
      <c r="K44" s="12">
        <v>200000</v>
      </c>
      <c r="L44" s="12">
        <v>8000</v>
      </c>
      <c r="M44" s="71">
        <f t="shared" si="3"/>
        <v>10400</v>
      </c>
      <c r="N44" s="15">
        <v>40000</v>
      </c>
      <c r="O44" s="15">
        <v>200000</v>
      </c>
      <c r="P44" s="15">
        <v>2250</v>
      </c>
      <c r="Q44" s="18">
        <v>40000</v>
      </c>
      <c r="R44" s="17">
        <v>1300</v>
      </c>
      <c r="S44" s="72">
        <f t="shared" si="4"/>
        <v>1690</v>
      </c>
    </row>
    <row r="45" spans="1:19" ht="12.75" hidden="1" x14ac:dyDescent="0.2">
      <c r="A45" s="66" t="s">
        <v>83</v>
      </c>
      <c r="B45" s="9">
        <v>33000</v>
      </c>
      <c r="C45" s="8">
        <v>165000</v>
      </c>
      <c r="D45" s="8">
        <v>10500</v>
      </c>
      <c r="E45" s="8">
        <v>14175.000000000002</v>
      </c>
      <c r="F45" s="8">
        <v>18900</v>
      </c>
      <c r="G45" s="68">
        <v>15750</v>
      </c>
      <c r="H45" s="58">
        <v>19425</v>
      </c>
      <c r="I45" s="73">
        <v>24149.999999999996</v>
      </c>
      <c r="J45" s="13">
        <v>50000</v>
      </c>
      <c r="K45" s="12">
        <v>250000</v>
      </c>
      <c r="L45" s="12">
        <v>14000</v>
      </c>
      <c r="M45" s="71">
        <f t="shared" si="3"/>
        <v>18200</v>
      </c>
      <c r="N45" s="15">
        <v>50000</v>
      </c>
      <c r="O45" s="15">
        <v>250000</v>
      </c>
      <c r="P45" s="15">
        <v>2475</v>
      </c>
      <c r="Q45" s="18">
        <v>50000</v>
      </c>
      <c r="R45" s="17">
        <v>1350</v>
      </c>
      <c r="S45" s="72">
        <f t="shared" si="4"/>
        <v>1755</v>
      </c>
    </row>
    <row r="46" spans="1:19" ht="12.75" hidden="1" x14ac:dyDescent="0.2">
      <c r="A46" s="54" t="s">
        <v>84</v>
      </c>
      <c r="B46" s="55">
        <v>49000</v>
      </c>
      <c r="C46" s="56">
        <v>245000</v>
      </c>
      <c r="D46" s="56">
        <v>15000</v>
      </c>
      <c r="E46" s="56">
        <v>20250</v>
      </c>
      <c r="F46" s="56">
        <v>27000</v>
      </c>
      <c r="G46" s="57">
        <v>22500</v>
      </c>
      <c r="H46" s="74">
        <v>27750</v>
      </c>
      <c r="I46" s="75">
        <v>34500</v>
      </c>
      <c r="J46" s="59">
        <v>70000</v>
      </c>
      <c r="K46" s="60">
        <v>350000</v>
      </c>
      <c r="L46" s="60">
        <v>20000</v>
      </c>
      <c r="M46" s="61">
        <f t="shared" si="3"/>
        <v>26000</v>
      </c>
      <c r="N46" s="62">
        <v>70000</v>
      </c>
      <c r="O46" s="62">
        <v>350000</v>
      </c>
      <c r="P46" s="62">
        <v>2700</v>
      </c>
      <c r="Q46" s="63">
        <v>70000</v>
      </c>
      <c r="R46" s="64">
        <v>1400</v>
      </c>
      <c r="S46" s="65">
        <f t="shared" si="4"/>
        <v>1820</v>
      </c>
    </row>
    <row r="47" spans="1:19" ht="12.75" hidden="1" x14ac:dyDescent="0.2">
      <c r="A47" s="66" t="s">
        <v>85</v>
      </c>
      <c r="B47" s="9">
        <v>67000</v>
      </c>
      <c r="C47" s="8">
        <v>335000</v>
      </c>
      <c r="D47" s="8">
        <v>25000</v>
      </c>
      <c r="E47" s="8">
        <v>33750</v>
      </c>
      <c r="F47" s="8">
        <v>45000</v>
      </c>
      <c r="G47" s="68">
        <v>37500</v>
      </c>
      <c r="H47" s="58">
        <v>46250</v>
      </c>
      <c r="I47" s="73">
        <v>57499.999999999993</v>
      </c>
      <c r="J47" s="13">
        <v>90000</v>
      </c>
      <c r="K47" s="12">
        <v>450000</v>
      </c>
      <c r="L47" s="12">
        <v>35000</v>
      </c>
      <c r="M47" s="71">
        <f t="shared" si="3"/>
        <v>45500</v>
      </c>
      <c r="N47" s="15">
        <v>90000</v>
      </c>
      <c r="O47" s="15">
        <v>450000</v>
      </c>
      <c r="P47" s="15">
        <v>3000</v>
      </c>
      <c r="Q47" s="18">
        <v>90000</v>
      </c>
      <c r="R47" s="17">
        <v>1450</v>
      </c>
      <c r="S47" s="72">
        <f t="shared" si="4"/>
        <v>1885</v>
      </c>
    </row>
    <row r="48" spans="1:19" ht="12.75" hidden="1" x14ac:dyDescent="0.2">
      <c r="A48" s="66" t="s">
        <v>86</v>
      </c>
      <c r="B48" s="9">
        <v>110000</v>
      </c>
      <c r="C48" s="8">
        <v>550000</v>
      </c>
      <c r="D48" s="8">
        <v>40000</v>
      </c>
      <c r="E48" s="8">
        <v>54000</v>
      </c>
      <c r="F48" s="8">
        <v>72000</v>
      </c>
      <c r="G48" s="68">
        <v>60000</v>
      </c>
      <c r="H48" s="58">
        <v>74000</v>
      </c>
      <c r="I48" s="73">
        <v>92000</v>
      </c>
      <c r="J48" s="13">
        <v>130000</v>
      </c>
      <c r="K48" s="12">
        <v>650000</v>
      </c>
      <c r="L48" s="12">
        <v>55000</v>
      </c>
      <c r="M48" s="71">
        <f t="shared" si="3"/>
        <v>71500</v>
      </c>
      <c r="N48" s="15">
        <v>130000</v>
      </c>
      <c r="O48" s="15">
        <v>650000</v>
      </c>
      <c r="P48" s="15">
        <v>3300</v>
      </c>
      <c r="Q48" s="18">
        <v>130000</v>
      </c>
      <c r="R48" s="17">
        <v>1500</v>
      </c>
      <c r="S48" s="72">
        <f t="shared" si="4"/>
        <v>1950</v>
      </c>
    </row>
    <row r="49" spans="1:19" ht="12.75" hidden="1" x14ac:dyDescent="0.2">
      <c r="A49" s="54" t="s">
        <v>87</v>
      </c>
      <c r="B49" s="55">
        <v>200000</v>
      </c>
      <c r="C49" s="56">
        <v>1000000</v>
      </c>
      <c r="D49" s="56">
        <v>70000</v>
      </c>
      <c r="E49" s="56">
        <v>94500</v>
      </c>
      <c r="F49" s="56">
        <v>126000</v>
      </c>
      <c r="G49" s="57">
        <v>105000</v>
      </c>
      <c r="H49" s="74">
        <v>129500</v>
      </c>
      <c r="I49" s="75">
        <v>161000</v>
      </c>
      <c r="J49" s="59">
        <v>230000</v>
      </c>
      <c r="K49" s="60">
        <v>1150000</v>
      </c>
      <c r="L49" s="60">
        <v>95000</v>
      </c>
      <c r="M49" s="61">
        <f t="shared" si="3"/>
        <v>123500</v>
      </c>
      <c r="N49" s="62">
        <v>230000</v>
      </c>
      <c r="O49" s="62">
        <v>1150000</v>
      </c>
      <c r="P49" s="62">
        <v>3750</v>
      </c>
      <c r="Q49" s="63">
        <v>230000</v>
      </c>
      <c r="R49" s="64">
        <v>1800</v>
      </c>
      <c r="S49" s="65">
        <f t="shared" si="4"/>
        <v>2340</v>
      </c>
    </row>
    <row r="50" spans="1:19" ht="12.75" hidden="1" x14ac:dyDescent="0.2">
      <c r="A50" s="76">
        <v>1</v>
      </c>
      <c r="B50" s="30">
        <v>2</v>
      </c>
      <c r="C50" s="76">
        <v>3</v>
      </c>
      <c r="D50" s="30">
        <v>4</v>
      </c>
      <c r="E50" s="76">
        <v>5</v>
      </c>
      <c r="F50" s="30">
        <v>6</v>
      </c>
      <c r="G50" s="76">
        <v>7</v>
      </c>
      <c r="H50" s="30">
        <v>8</v>
      </c>
      <c r="I50" s="76">
        <v>9</v>
      </c>
      <c r="J50" s="30">
        <v>10</v>
      </c>
      <c r="K50" s="76">
        <v>11</v>
      </c>
      <c r="L50" s="30">
        <v>12</v>
      </c>
      <c r="M50" s="76">
        <v>13</v>
      </c>
      <c r="N50" s="30">
        <v>14</v>
      </c>
      <c r="O50" s="76">
        <v>15</v>
      </c>
      <c r="P50" s="30">
        <v>16</v>
      </c>
      <c r="Q50" s="76">
        <v>17</v>
      </c>
      <c r="R50" s="30">
        <v>18</v>
      </c>
      <c r="S50" s="76">
        <v>19</v>
      </c>
    </row>
    <row r="51" spans="1:19" ht="12.75" hidden="1" x14ac:dyDescent="0.2">
      <c r="A51" s="76"/>
      <c r="B51" s="396" t="s">
        <v>88</v>
      </c>
      <c r="C51" s="389"/>
      <c r="D51" s="389"/>
      <c r="E51" s="390"/>
      <c r="F51" s="78"/>
      <c r="G51" s="78"/>
      <c r="H51" s="79"/>
      <c r="I51" s="80"/>
      <c r="J51" s="81"/>
      <c r="K51" s="81"/>
      <c r="L51" s="81"/>
      <c r="M51" s="81"/>
      <c r="N51" s="82"/>
      <c r="O51" s="82"/>
      <c r="P51" s="82"/>
      <c r="Q51" s="82"/>
      <c r="R51" s="82"/>
      <c r="S51" s="82"/>
    </row>
    <row r="52" spans="1:19" ht="12.75" hidden="1" x14ac:dyDescent="0.2">
      <c r="B52" s="76" t="s">
        <v>89</v>
      </c>
      <c r="C52" s="30" t="s">
        <v>90</v>
      </c>
      <c r="D52" s="78" t="s">
        <v>51</v>
      </c>
      <c r="E52" s="79" t="s">
        <v>91</v>
      </c>
      <c r="F52" s="29"/>
      <c r="G52" s="78"/>
      <c r="H52" s="77"/>
      <c r="I52" s="83"/>
      <c r="J52" s="84"/>
      <c r="K52" s="83" t="s">
        <v>92</v>
      </c>
      <c r="L52" s="85" t="s">
        <v>93</v>
      </c>
      <c r="M52" s="78"/>
      <c r="N52" s="78"/>
      <c r="O52" s="78"/>
      <c r="P52" s="78"/>
      <c r="Q52" s="78"/>
      <c r="R52" s="78"/>
      <c r="S52" s="78"/>
    </row>
    <row r="53" spans="1:19" ht="12.75" hidden="1" x14ac:dyDescent="0.2">
      <c r="B53" s="86" t="s">
        <v>94</v>
      </c>
      <c r="C53" s="29">
        <v>0.04</v>
      </c>
      <c r="D53" s="29">
        <v>0.06</v>
      </c>
      <c r="E53" s="87">
        <v>0.1</v>
      </c>
      <c r="F53" s="29"/>
      <c r="G53" s="88"/>
      <c r="H53" s="89" t="s">
        <v>34</v>
      </c>
      <c r="I53" s="2" t="s">
        <v>95</v>
      </c>
      <c r="J53" s="2" t="s">
        <v>96</v>
      </c>
      <c r="K53" s="2" t="s">
        <v>97</v>
      </c>
      <c r="L53" s="31" t="s">
        <v>97</v>
      </c>
      <c r="M53" s="29"/>
      <c r="N53" s="29"/>
      <c r="O53" s="29"/>
      <c r="P53" s="29"/>
      <c r="Q53" s="29"/>
      <c r="R53" s="29"/>
      <c r="S53" s="29"/>
    </row>
    <row r="54" spans="1:19" ht="12.75" hidden="1" x14ac:dyDescent="0.2">
      <c r="A54" s="78"/>
      <c r="B54" s="86" t="s">
        <v>98</v>
      </c>
      <c r="C54" s="29">
        <v>0.1</v>
      </c>
      <c r="D54" s="29">
        <v>0.16</v>
      </c>
      <c r="E54" s="87">
        <v>0.2</v>
      </c>
      <c r="F54" s="29"/>
      <c r="G54" s="88"/>
      <c r="H54" s="89" t="s">
        <v>77</v>
      </c>
      <c r="I54" s="78">
        <v>0</v>
      </c>
      <c r="J54" s="78">
        <v>11000</v>
      </c>
      <c r="K54" s="78">
        <v>11000</v>
      </c>
      <c r="L54" s="79">
        <f t="shared" ref="L54:L64" si="5">J55+I54</f>
        <v>11600</v>
      </c>
    </row>
    <row r="55" spans="1:19" ht="12.75" hidden="1" x14ac:dyDescent="0.2">
      <c r="A55" s="78"/>
      <c r="B55" s="86" t="s">
        <v>53</v>
      </c>
      <c r="C55" s="29">
        <v>0.2</v>
      </c>
      <c r="D55" s="29">
        <v>0.31</v>
      </c>
      <c r="E55" s="87">
        <v>0.4</v>
      </c>
      <c r="F55" s="29"/>
      <c r="G55" s="88"/>
      <c r="H55" s="89" t="s">
        <v>4</v>
      </c>
      <c r="I55" s="78">
        <v>300</v>
      </c>
      <c r="J55" s="78">
        <v>11600</v>
      </c>
      <c r="K55" s="78">
        <v>11900</v>
      </c>
      <c r="L55" s="79">
        <f t="shared" si="5"/>
        <v>12500</v>
      </c>
    </row>
    <row r="56" spans="1:19" ht="12.75" hidden="1" x14ac:dyDescent="0.2">
      <c r="A56" s="78"/>
      <c r="B56" s="86" t="s">
        <v>99</v>
      </c>
      <c r="C56" s="29">
        <v>0.35</v>
      </c>
      <c r="D56" s="29">
        <v>0.51</v>
      </c>
      <c r="E56" s="87">
        <v>0.65</v>
      </c>
      <c r="F56" s="29"/>
      <c r="G56" s="88"/>
      <c r="H56" s="89" t="s">
        <v>78</v>
      </c>
      <c r="I56" s="78">
        <v>600</v>
      </c>
      <c r="J56" s="78">
        <v>12200</v>
      </c>
      <c r="K56" s="78">
        <v>12800</v>
      </c>
      <c r="L56" s="79">
        <f t="shared" si="5"/>
        <v>13400</v>
      </c>
    </row>
    <row r="57" spans="1:19" ht="12.75" hidden="1" x14ac:dyDescent="0.2">
      <c r="A57" s="78"/>
      <c r="B57" s="90" t="s">
        <v>100</v>
      </c>
      <c r="C57" s="91">
        <v>0.55000000000000004</v>
      </c>
      <c r="D57" s="91">
        <v>0.81</v>
      </c>
      <c r="E57" s="92">
        <v>1.05</v>
      </c>
      <c r="F57" s="29"/>
      <c r="G57" s="88"/>
      <c r="H57" s="89" t="s">
        <v>79</v>
      </c>
      <c r="I57" s="78">
        <v>900</v>
      </c>
      <c r="J57" s="78">
        <v>12800</v>
      </c>
      <c r="K57" s="78">
        <v>13700</v>
      </c>
      <c r="L57" s="79">
        <f t="shared" si="5"/>
        <v>14900</v>
      </c>
    </row>
    <row r="58" spans="1:19" ht="12.75" hidden="1" x14ac:dyDescent="0.2">
      <c r="A58" s="78"/>
      <c r="B58" s="93" t="s">
        <v>101</v>
      </c>
      <c r="C58" s="85"/>
      <c r="D58" s="78"/>
      <c r="E58" s="78"/>
      <c r="F58" s="29"/>
      <c r="G58" s="29"/>
      <c r="H58" s="89" t="s">
        <v>80</v>
      </c>
      <c r="I58" s="78">
        <v>1200</v>
      </c>
      <c r="J58" s="78">
        <v>14000</v>
      </c>
      <c r="K58" s="78">
        <v>15200</v>
      </c>
      <c r="L58" s="79">
        <f t="shared" si="5"/>
        <v>18200</v>
      </c>
      <c r="M58" s="94"/>
      <c r="N58" s="94"/>
      <c r="O58" s="94"/>
      <c r="P58" s="94"/>
      <c r="Q58" s="94"/>
      <c r="R58" s="94"/>
      <c r="S58" s="94"/>
    </row>
    <row r="59" spans="1:19" ht="12.75" hidden="1" x14ac:dyDescent="0.2">
      <c r="A59" s="2"/>
      <c r="B59" s="30" t="s">
        <v>102</v>
      </c>
      <c r="C59" s="31" t="s">
        <v>103</v>
      </c>
      <c r="D59" s="95" t="s">
        <v>57</v>
      </c>
      <c r="E59" s="96"/>
      <c r="F59" s="96"/>
      <c r="G59" s="29"/>
      <c r="H59" s="89" t="s">
        <v>81</v>
      </c>
      <c r="I59" s="78">
        <v>1500</v>
      </c>
      <c r="J59" s="78">
        <v>17000</v>
      </c>
      <c r="K59" s="78">
        <v>18500</v>
      </c>
      <c r="L59" s="79">
        <f t="shared" si="5"/>
        <v>24000</v>
      </c>
      <c r="M59" s="29"/>
      <c r="N59" s="29"/>
      <c r="O59" s="29"/>
      <c r="P59" s="29"/>
      <c r="Q59" s="29"/>
      <c r="R59" s="29"/>
      <c r="S59" s="29"/>
    </row>
    <row r="60" spans="1:19" ht="12.75" hidden="1" x14ac:dyDescent="0.2">
      <c r="A60" s="78"/>
      <c r="B60" s="86" t="s">
        <v>104</v>
      </c>
      <c r="C60" s="87">
        <v>0.01</v>
      </c>
      <c r="D60" s="397" t="s">
        <v>105</v>
      </c>
      <c r="E60" s="374"/>
      <c r="F60" s="374"/>
      <c r="G60" s="29"/>
      <c r="H60" s="89" t="s">
        <v>82</v>
      </c>
      <c r="I60" s="78">
        <v>1800</v>
      </c>
      <c r="J60" s="78">
        <v>22500</v>
      </c>
      <c r="K60" s="78">
        <v>24300</v>
      </c>
      <c r="L60" s="79">
        <f t="shared" si="5"/>
        <v>28800</v>
      </c>
    </row>
    <row r="61" spans="1:19" ht="12.75" hidden="1" x14ac:dyDescent="0.2">
      <c r="B61" s="86" t="s">
        <v>106</v>
      </c>
      <c r="C61" s="87">
        <v>0.05</v>
      </c>
      <c r="D61" s="2" t="s">
        <v>102</v>
      </c>
      <c r="E61" s="97" t="s">
        <v>107</v>
      </c>
      <c r="F61" s="97" t="s">
        <v>108</v>
      </c>
      <c r="G61" s="98"/>
      <c r="H61" s="89" t="s">
        <v>83</v>
      </c>
      <c r="I61" s="78">
        <v>2100</v>
      </c>
      <c r="J61" s="78">
        <v>27000</v>
      </c>
      <c r="K61" s="78">
        <v>29100</v>
      </c>
      <c r="L61" s="79">
        <f t="shared" si="5"/>
        <v>38100</v>
      </c>
    </row>
    <row r="62" spans="1:19" ht="12.75" hidden="1" x14ac:dyDescent="0.2">
      <c r="B62" s="86" t="s">
        <v>109</v>
      </c>
      <c r="C62" s="87">
        <v>0.1</v>
      </c>
      <c r="D62" s="2">
        <v>0</v>
      </c>
      <c r="E62" s="99">
        <v>0</v>
      </c>
      <c r="F62" s="100">
        <v>0</v>
      </c>
      <c r="H62" s="89" t="s">
        <v>84</v>
      </c>
      <c r="I62" s="78">
        <v>2400</v>
      </c>
      <c r="J62" s="78">
        <v>36000</v>
      </c>
      <c r="K62" s="78">
        <v>38400</v>
      </c>
      <c r="L62" s="79">
        <f t="shared" si="5"/>
        <v>45400</v>
      </c>
    </row>
    <row r="63" spans="1:19" ht="12.75" hidden="1" x14ac:dyDescent="0.2">
      <c r="A63" s="78"/>
      <c r="B63" s="86" t="s">
        <v>110</v>
      </c>
      <c r="C63" s="87">
        <v>0.15</v>
      </c>
      <c r="D63" s="2">
        <v>1</v>
      </c>
      <c r="E63" s="99">
        <v>0.05</v>
      </c>
      <c r="F63" s="100" t="s">
        <v>111</v>
      </c>
      <c r="H63" s="89" t="s">
        <v>85</v>
      </c>
      <c r="I63" s="78">
        <v>2700</v>
      </c>
      <c r="J63" s="78">
        <v>43000</v>
      </c>
      <c r="K63" s="78">
        <v>45700</v>
      </c>
      <c r="L63" s="79">
        <f t="shared" si="5"/>
        <v>64700</v>
      </c>
    </row>
    <row r="64" spans="1:19" ht="12.75" hidden="1" x14ac:dyDescent="0.2">
      <c r="B64" s="86" t="s">
        <v>112</v>
      </c>
      <c r="C64" s="87">
        <v>0.2</v>
      </c>
      <c r="D64" s="2">
        <v>2</v>
      </c>
      <c r="E64" s="99">
        <v>0.1</v>
      </c>
      <c r="F64" s="100" t="s">
        <v>111</v>
      </c>
      <c r="H64" s="89" t="s">
        <v>86</v>
      </c>
      <c r="I64" s="78">
        <v>3000</v>
      </c>
      <c r="J64" s="78">
        <v>62000</v>
      </c>
      <c r="K64" s="78">
        <v>65000</v>
      </c>
      <c r="L64" s="79">
        <f t="shared" si="5"/>
        <v>91000</v>
      </c>
      <c r="M64" s="101"/>
      <c r="N64" s="101"/>
      <c r="O64" s="101"/>
      <c r="P64" s="101"/>
      <c r="Q64" s="101"/>
      <c r="R64" s="101"/>
      <c r="S64" s="101"/>
    </row>
    <row r="65" spans="2:19" ht="12.75" hidden="1" x14ac:dyDescent="0.2">
      <c r="B65" s="86" t="s">
        <v>113</v>
      </c>
      <c r="C65" s="87">
        <v>0.25</v>
      </c>
      <c r="D65" s="2">
        <v>3</v>
      </c>
      <c r="E65" s="99">
        <v>0.15</v>
      </c>
      <c r="F65" s="100" t="s">
        <v>114</v>
      </c>
      <c r="H65" s="102" t="s">
        <v>87</v>
      </c>
      <c r="I65" s="103">
        <v>3300</v>
      </c>
      <c r="J65" s="103">
        <v>88000</v>
      </c>
      <c r="K65" s="103">
        <v>91300</v>
      </c>
      <c r="L65" s="104">
        <v>91300</v>
      </c>
      <c r="M65" s="105"/>
      <c r="N65" s="105"/>
      <c r="O65" s="105"/>
      <c r="P65" s="105"/>
      <c r="Q65" s="105"/>
      <c r="R65" s="105"/>
      <c r="S65" s="105"/>
    </row>
    <row r="66" spans="2:19" ht="12.75" hidden="1" x14ac:dyDescent="0.2">
      <c r="B66" s="86" t="s">
        <v>115</v>
      </c>
      <c r="C66" s="87">
        <v>0.3</v>
      </c>
      <c r="D66" s="2">
        <v>4</v>
      </c>
      <c r="E66" s="99">
        <v>0.2</v>
      </c>
      <c r="F66" s="100" t="s">
        <v>116</v>
      </c>
    </row>
    <row r="67" spans="2:19" ht="12.75" hidden="1" x14ac:dyDescent="0.2">
      <c r="B67" s="86" t="s">
        <v>117</v>
      </c>
      <c r="C67" s="87">
        <v>0.35</v>
      </c>
      <c r="D67" s="2">
        <v>5</v>
      </c>
      <c r="E67" s="99">
        <v>0.24</v>
      </c>
      <c r="F67" s="100" t="s">
        <v>116</v>
      </c>
    </row>
    <row r="68" spans="2:19" ht="12.75" hidden="1" x14ac:dyDescent="0.2">
      <c r="B68" s="86" t="s">
        <v>118</v>
      </c>
      <c r="C68" s="87">
        <v>0.4</v>
      </c>
      <c r="D68" s="2">
        <v>6</v>
      </c>
      <c r="E68" s="99">
        <v>0.27</v>
      </c>
      <c r="F68" s="100" t="s">
        <v>119</v>
      </c>
      <c r="H68" s="396" t="s">
        <v>120</v>
      </c>
      <c r="I68" s="389"/>
      <c r="J68" s="390"/>
    </row>
    <row r="69" spans="2:19" ht="12.75" hidden="1" x14ac:dyDescent="0.2">
      <c r="B69" s="86" t="s">
        <v>55</v>
      </c>
      <c r="C69" s="87">
        <v>0.45</v>
      </c>
      <c r="D69" s="2">
        <v>7</v>
      </c>
      <c r="E69" s="99">
        <v>0.3</v>
      </c>
      <c r="F69" s="100" t="s">
        <v>119</v>
      </c>
      <c r="H69" s="89" t="s">
        <v>34</v>
      </c>
      <c r="I69" s="2" t="s">
        <v>121</v>
      </c>
      <c r="J69" s="31"/>
    </row>
    <row r="70" spans="2:19" ht="12.75" hidden="1" x14ac:dyDescent="0.2">
      <c r="B70" s="86" t="s">
        <v>122</v>
      </c>
      <c r="C70" s="87">
        <v>0.5</v>
      </c>
      <c r="D70" s="2">
        <v>8</v>
      </c>
      <c r="E70" s="99">
        <v>0.35</v>
      </c>
      <c r="F70" s="100" t="s">
        <v>123</v>
      </c>
      <c r="H70" s="89" t="s">
        <v>77</v>
      </c>
      <c r="I70" s="2">
        <v>0</v>
      </c>
      <c r="J70" s="79"/>
    </row>
    <row r="71" spans="2:19" ht="12.75" hidden="1" x14ac:dyDescent="0.2">
      <c r="B71" s="106" t="s">
        <v>124</v>
      </c>
      <c r="C71" s="87">
        <v>0.55000000000000004</v>
      </c>
      <c r="D71" s="2">
        <v>9</v>
      </c>
      <c r="E71" s="99">
        <v>0.4</v>
      </c>
      <c r="F71" s="100" t="s">
        <v>125</v>
      </c>
      <c r="H71" s="89" t="s">
        <v>4</v>
      </c>
      <c r="I71" s="78">
        <v>450</v>
      </c>
      <c r="J71" s="79"/>
    </row>
    <row r="72" spans="2:19" ht="12.75" hidden="1" x14ac:dyDescent="0.2">
      <c r="B72" s="107">
        <v>60</v>
      </c>
      <c r="C72" s="92">
        <v>0.6</v>
      </c>
      <c r="D72" s="2">
        <v>10</v>
      </c>
      <c r="E72" s="99">
        <v>0.5</v>
      </c>
      <c r="F72" s="100" t="s">
        <v>126</v>
      </c>
      <c r="H72" s="89" t="s">
        <v>78</v>
      </c>
      <c r="I72" s="78">
        <v>2095</v>
      </c>
      <c r="J72" s="79"/>
    </row>
    <row r="73" spans="2:19" ht="12.75" hidden="1" x14ac:dyDescent="0.2">
      <c r="H73" s="89" t="s">
        <v>79</v>
      </c>
      <c r="I73" s="78">
        <v>12000</v>
      </c>
      <c r="J73" s="79"/>
    </row>
    <row r="74" spans="2:19" ht="12.75" hidden="1" x14ac:dyDescent="0.2">
      <c r="B74" s="77" t="s">
        <v>127</v>
      </c>
      <c r="C74" s="83"/>
      <c r="D74" s="108"/>
      <c r="H74" s="89" t="s">
        <v>80</v>
      </c>
      <c r="I74" s="78">
        <v>48000</v>
      </c>
      <c r="J74" s="79"/>
    </row>
    <row r="75" spans="2:19" ht="12.75" hidden="1" x14ac:dyDescent="0.2">
      <c r="B75" s="30" t="s">
        <v>128</v>
      </c>
      <c r="C75" s="2" t="s">
        <v>129</v>
      </c>
      <c r="D75" s="31" t="s">
        <v>130</v>
      </c>
      <c r="E75" s="109" t="s">
        <v>131</v>
      </c>
      <c r="H75" s="89" t="s">
        <v>81</v>
      </c>
      <c r="I75" s="78">
        <v>264000</v>
      </c>
      <c r="J75" s="79"/>
    </row>
    <row r="76" spans="2:19" ht="12.75" hidden="1" x14ac:dyDescent="0.2">
      <c r="B76" s="110">
        <v>1</v>
      </c>
      <c r="C76" s="29">
        <v>0.6</v>
      </c>
      <c r="D76" s="111" t="s">
        <v>132</v>
      </c>
      <c r="E76" s="29">
        <v>0.6</v>
      </c>
      <c r="H76" s="89" t="s">
        <v>82</v>
      </c>
      <c r="I76" s="78">
        <v>459000</v>
      </c>
      <c r="J76" s="79"/>
    </row>
    <row r="77" spans="2:19" ht="12.75" hidden="1" x14ac:dyDescent="0.2">
      <c r="B77" s="110">
        <v>2</v>
      </c>
      <c r="C77" s="29">
        <v>0.8</v>
      </c>
      <c r="D77" s="111" t="s">
        <v>132</v>
      </c>
      <c r="E77" s="29">
        <f t="shared" ref="E77:E95" si="6">C77-C76</f>
        <v>0.20000000000000007</v>
      </c>
      <c r="H77" s="89" t="s">
        <v>83</v>
      </c>
      <c r="I77" s="78">
        <v>684000</v>
      </c>
      <c r="J77" s="79"/>
    </row>
    <row r="78" spans="2:19" ht="12.75" hidden="1" x14ac:dyDescent="0.2">
      <c r="B78" s="110">
        <v>3</v>
      </c>
      <c r="C78" s="29">
        <v>1</v>
      </c>
      <c r="D78" s="111" t="s">
        <v>133</v>
      </c>
      <c r="E78" s="29">
        <f t="shared" si="6"/>
        <v>0.19999999999999996</v>
      </c>
      <c r="H78" s="89" t="s">
        <v>84</v>
      </c>
      <c r="I78" s="78">
        <v>1430000</v>
      </c>
      <c r="J78" s="79"/>
    </row>
    <row r="79" spans="2:19" ht="12.75" hidden="1" x14ac:dyDescent="0.2">
      <c r="B79" s="110">
        <v>4</v>
      </c>
      <c r="C79" s="29">
        <v>1.4</v>
      </c>
      <c r="D79" s="111" t="s">
        <v>134</v>
      </c>
      <c r="E79" s="29">
        <f t="shared" si="6"/>
        <v>0.39999999999999991</v>
      </c>
      <c r="H79" s="89" t="s">
        <v>85</v>
      </c>
      <c r="I79" s="78">
        <v>2400000</v>
      </c>
      <c r="J79" s="79"/>
    </row>
    <row r="80" spans="2:19" ht="12.75" hidden="1" x14ac:dyDescent="0.2">
      <c r="B80" s="110">
        <v>5</v>
      </c>
      <c r="C80" s="29">
        <v>1.7</v>
      </c>
      <c r="D80" s="111" t="s">
        <v>134</v>
      </c>
      <c r="E80" s="29">
        <f t="shared" si="6"/>
        <v>0.30000000000000004</v>
      </c>
      <c r="H80" s="89" t="s">
        <v>86</v>
      </c>
      <c r="I80" s="78">
        <v>4400000</v>
      </c>
      <c r="J80" s="79"/>
    </row>
    <row r="81" spans="2:10" ht="12.75" hidden="1" x14ac:dyDescent="0.2">
      <c r="B81" s="110">
        <v>6</v>
      </c>
      <c r="C81" s="29">
        <v>2</v>
      </c>
      <c r="D81" s="111" t="s">
        <v>135</v>
      </c>
      <c r="E81" s="29">
        <f t="shared" si="6"/>
        <v>0.30000000000000004</v>
      </c>
      <c r="H81" s="102" t="s">
        <v>87</v>
      </c>
      <c r="I81" s="103">
        <v>8080000</v>
      </c>
      <c r="J81" s="104"/>
    </row>
    <row r="82" spans="2:10" ht="12.75" hidden="1" x14ac:dyDescent="0.2">
      <c r="B82" s="110">
        <v>7</v>
      </c>
      <c r="C82" s="29">
        <v>2.15</v>
      </c>
      <c r="D82" s="111" t="s">
        <v>136</v>
      </c>
      <c r="E82" s="29">
        <f t="shared" si="6"/>
        <v>0.14999999999999991</v>
      </c>
      <c r="H82" s="2" t="s">
        <v>137</v>
      </c>
      <c r="I82" s="78">
        <f>SUM(I70:I81)</f>
        <v>17779545</v>
      </c>
    </row>
    <row r="83" spans="2:10" ht="12.75" hidden="1" x14ac:dyDescent="0.2">
      <c r="B83" s="110">
        <v>8</v>
      </c>
      <c r="C83" s="29">
        <v>2.1999999999999997</v>
      </c>
      <c r="D83" s="111" t="s">
        <v>138</v>
      </c>
      <c r="E83" s="29">
        <f t="shared" si="6"/>
        <v>4.9999999999999822E-2</v>
      </c>
      <c r="F83" s="2" t="s">
        <v>139</v>
      </c>
    </row>
    <row r="84" spans="2:10" ht="12.75" hidden="1" x14ac:dyDescent="0.2">
      <c r="B84" s="110">
        <v>9</v>
      </c>
      <c r="C84" s="29">
        <v>2.4</v>
      </c>
      <c r="D84" s="111" t="s">
        <v>140</v>
      </c>
      <c r="E84" s="29">
        <f t="shared" si="6"/>
        <v>0.20000000000000018</v>
      </c>
    </row>
    <row r="85" spans="2:10" ht="12.75" hidden="1" x14ac:dyDescent="0.2">
      <c r="B85" s="110">
        <v>10</v>
      </c>
      <c r="C85" s="29">
        <v>2.4499999999999997</v>
      </c>
      <c r="D85" s="111" t="s">
        <v>141</v>
      </c>
      <c r="E85" s="29">
        <f t="shared" si="6"/>
        <v>4.9999999999999822E-2</v>
      </c>
      <c r="F85" s="2" t="s">
        <v>142</v>
      </c>
    </row>
    <row r="86" spans="2:10" ht="12.75" hidden="1" x14ac:dyDescent="0.2">
      <c r="B86" s="110">
        <v>11</v>
      </c>
      <c r="C86" s="29">
        <v>2.4999999999999996</v>
      </c>
      <c r="D86" s="111" t="s">
        <v>141</v>
      </c>
      <c r="E86" s="29">
        <f t="shared" si="6"/>
        <v>4.9999999999999822E-2</v>
      </c>
      <c r="F86" s="2" t="s">
        <v>143</v>
      </c>
    </row>
    <row r="87" spans="2:10" ht="12.75" hidden="1" x14ac:dyDescent="0.2">
      <c r="B87" s="110">
        <v>12</v>
      </c>
      <c r="C87" s="29">
        <v>2.5999999999999996</v>
      </c>
      <c r="D87" s="111" t="s">
        <v>144</v>
      </c>
      <c r="E87" s="29">
        <f t="shared" si="6"/>
        <v>0.10000000000000009</v>
      </c>
    </row>
    <row r="88" spans="2:10" ht="12.75" hidden="1" x14ac:dyDescent="0.2">
      <c r="B88" s="110">
        <v>13</v>
      </c>
      <c r="C88" s="29">
        <v>2.7499999999999996</v>
      </c>
      <c r="D88" s="111" t="s">
        <v>144</v>
      </c>
      <c r="E88" s="29">
        <f t="shared" si="6"/>
        <v>0.14999999999999991</v>
      </c>
    </row>
    <row r="89" spans="2:10" ht="12.75" hidden="1" x14ac:dyDescent="0.2">
      <c r="B89" s="110">
        <v>14</v>
      </c>
      <c r="C89" s="29">
        <v>2.7999999999999994</v>
      </c>
      <c r="D89" s="111" t="s">
        <v>145</v>
      </c>
      <c r="E89" s="29">
        <f t="shared" si="6"/>
        <v>4.9999999999999822E-2</v>
      </c>
      <c r="F89" s="2" t="s">
        <v>146</v>
      </c>
    </row>
    <row r="90" spans="2:10" ht="12.75" hidden="1" x14ac:dyDescent="0.2">
      <c r="B90" s="110">
        <v>15</v>
      </c>
      <c r="C90" s="29">
        <v>3.0999999999999992</v>
      </c>
      <c r="D90" s="111" t="s">
        <v>147</v>
      </c>
      <c r="E90" s="29">
        <f t="shared" si="6"/>
        <v>0.29999999999999982</v>
      </c>
    </row>
    <row r="91" spans="2:10" ht="12.75" hidden="1" x14ac:dyDescent="0.2">
      <c r="B91" s="110">
        <v>16</v>
      </c>
      <c r="C91" s="29">
        <v>3.2499999999999991</v>
      </c>
      <c r="D91" s="111" t="s">
        <v>148</v>
      </c>
      <c r="E91" s="29">
        <f t="shared" si="6"/>
        <v>0.14999999999999991</v>
      </c>
    </row>
    <row r="92" spans="2:10" ht="12.75" hidden="1" x14ac:dyDescent="0.2">
      <c r="B92" s="110">
        <v>17</v>
      </c>
      <c r="C92" s="29">
        <v>3.4999999999999991</v>
      </c>
      <c r="D92" s="111" t="s">
        <v>148</v>
      </c>
      <c r="E92" s="29">
        <f t="shared" si="6"/>
        <v>0.25</v>
      </c>
    </row>
    <row r="93" spans="2:10" ht="12.75" hidden="1" x14ac:dyDescent="0.2">
      <c r="B93" s="110">
        <v>18</v>
      </c>
      <c r="C93" s="29">
        <v>3.9999999999999991</v>
      </c>
      <c r="D93" s="111" t="s">
        <v>149</v>
      </c>
      <c r="E93" s="29">
        <f t="shared" si="6"/>
        <v>0.5</v>
      </c>
    </row>
    <row r="94" spans="2:10" ht="12.75" hidden="1" x14ac:dyDescent="0.2">
      <c r="B94" s="110">
        <v>19</v>
      </c>
      <c r="C94" s="29">
        <v>4.4999999999999991</v>
      </c>
      <c r="D94" s="111" t="s">
        <v>149</v>
      </c>
      <c r="E94" s="29">
        <f t="shared" si="6"/>
        <v>0.5</v>
      </c>
    </row>
    <row r="95" spans="2:10" ht="12.75" hidden="1" x14ac:dyDescent="0.2">
      <c r="B95" s="112">
        <v>20</v>
      </c>
      <c r="C95" s="91">
        <v>4.9999999999999991</v>
      </c>
      <c r="D95" s="113" t="s">
        <v>149</v>
      </c>
      <c r="E95" s="29">
        <f t="shared" si="6"/>
        <v>0.5</v>
      </c>
    </row>
    <row r="96" spans="2:10" ht="12.75" hidden="1" x14ac:dyDescent="0.2"/>
    <row r="97" spans="1:6" ht="12.75" hidden="1" x14ac:dyDescent="0.2">
      <c r="B97" s="77" t="s">
        <v>150</v>
      </c>
      <c r="C97" s="83"/>
      <c r="D97" s="108"/>
    </row>
    <row r="98" spans="1:6" ht="12.75" hidden="1" x14ac:dyDescent="0.2">
      <c r="B98" s="30" t="s">
        <v>128</v>
      </c>
      <c r="C98" s="2" t="s">
        <v>129</v>
      </c>
      <c r="D98" s="31" t="s">
        <v>130</v>
      </c>
    </row>
    <row r="99" spans="1:6" ht="12.75" hidden="1" x14ac:dyDescent="0.2">
      <c r="B99" s="6" t="s">
        <v>151</v>
      </c>
      <c r="C99" s="91">
        <v>0.3</v>
      </c>
      <c r="D99" s="35" t="s">
        <v>152</v>
      </c>
    </row>
    <row r="100" spans="1:6" ht="12.75" hidden="1" x14ac:dyDescent="0.2"/>
    <row r="101" spans="1:6" ht="12.75" hidden="1" x14ac:dyDescent="0.2">
      <c r="A101" s="77"/>
      <c r="B101" s="398" t="s">
        <v>34</v>
      </c>
      <c r="C101" s="389"/>
      <c r="D101" s="389"/>
      <c r="E101" s="389"/>
      <c r="F101" s="390"/>
    </row>
    <row r="102" spans="1:6" ht="12.75" hidden="1" x14ac:dyDescent="0.2">
      <c r="A102" s="6" t="s">
        <v>153</v>
      </c>
      <c r="B102" s="5">
        <v>1</v>
      </c>
      <c r="C102" s="5">
        <v>2</v>
      </c>
      <c r="D102" s="5">
        <v>3</v>
      </c>
      <c r="E102" s="5">
        <v>4</v>
      </c>
      <c r="F102" s="35">
        <v>5</v>
      </c>
    </row>
    <row r="103" spans="1:6" ht="12.75" hidden="1" x14ac:dyDescent="0.2">
      <c r="A103" s="30" t="s">
        <v>38</v>
      </c>
      <c r="B103" s="29">
        <v>0.2</v>
      </c>
      <c r="C103" s="29">
        <v>0.2</v>
      </c>
      <c r="D103" s="29">
        <v>0.2</v>
      </c>
      <c r="E103" s="29">
        <v>0.2</v>
      </c>
      <c r="F103" s="87">
        <v>0.2</v>
      </c>
    </row>
    <row r="104" spans="1:6" ht="12.75" hidden="1" x14ac:dyDescent="0.2">
      <c r="A104" s="30" t="s">
        <v>154</v>
      </c>
      <c r="B104" s="29">
        <v>0.15</v>
      </c>
      <c r="C104" s="29">
        <v>0.05</v>
      </c>
      <c r="D104" s="29"/>
      <c r="E104" s="29"/>
      <c r="F104" s="87"/>
    </row>
    <row r="105" spans="1:6" ht="12.75" hidden="1" x14ac:dyDescent="0.2">
      <c r="A105" s="30" t="s">
        <v>155</v>
      </c>
      <c r="B105" s="29">
        <v>0.4</v>
      </c>
      <c r="C105" s="29">
        <v>0.4</v>
      </c>
      <c r="D105" s="29">
        <v>0.4</v>
      </c>
      <c r="E105" s="29">
        <v>0.4</v>
      </c>
      <c r="F105" s="29">
        <v>0.4</v>
      </c>
    </row>
    <row r="106" spans="1:6" ht="12.75" hidden="1" x14ac:dyDescent="0.2">
      <c r="A106" s="30" t="s">
        <v>154</v>
      </c>
      <c r="B106" s="29">
        <f>20%</f>
        <v>0.2</v>
      </c>
      <c r="C106" s="29"/>
      <c r="D106" s="29"/>
      <c r="E106" s="29"/>
      <c r="F106" s="87"/>
    </row>
    <row r="107" spans="1:6" ht="12.75" hidden="1" x14ac:dyDescent="0.2">
      <c r="A107" s="30" t="s">
        <v>156</v>
      </c>
      <c r="B107" s="29">
        <v>0.4</v>
      </c>
      <c r="C107" s="29">
        <v>0.45</v>
      </c>
      <c r="D107" s="29">
        <v>0.5</v>
      </c>
      <c r="E107" s="29">
        <v>0.55000000000000004</v>
      </c>
      <c r="F107" s="87">
        <v>0.6</v>
      </c>
    </row>
    <row r="108" spans="1:6" ht="12.75" hidden="1" x14ac:dyDescent="0.2">
      <c r="A108" s="30" t="s">
        <v>42</v>
      </c>
      <c r="B108" s="29">
        <v>0.2</v>
      </c>
      <c r="C108" s="29">
        <v>0.25</v>
      </c>
      <c r="D108" s="29">
        <v>0.3</v>
      </c>
      <c r="E108" s="29">
        <v>0.35</v>
      </c>
      <c r="F108" s="87">
        <v>0.4</v>
      </c>
    </row>
    <row r="109" spans="1:6" ht="12.75" hidden="1" x14ac:dyDescent="0.2">
      <c r="A109" s="30" t="s">
        <v>44</v>
      </c>
      <c r="B109" s="29">
        <v>0</v>
      </c>
      <c r="C109" s="29">
        <v>0</v>
      </c>
      <c r="D109" s="29">
        <v>0</v>
      </c>
      <c r="E109" s="29">
        <v>0</v>
      </c>
      <c r="F109" s="87">
        <v>0</v>
      </c>
    </row>
    <row r="110" spans="1:6" ht="12.75" hidden="1" x14ac:dyDescent="0.2">
      <c r="A110" s="6" t="s">
        <v>157</v>
      </c>
      <c r="B110" s="91">
        <v>0.25</v>
      </c>
      <c r="C110" s="91">
        <v>0.3</v>
      </c>
      <c r="D110" s="91">
        <v>0.35</v>
      </c>
      <c r="E110" s="91">
        <v>0.4</v>
      </c>
      <c r="F110" s="92">
        <v>0.5</v>
      </c>
    </row>
    <row r="111" spans="1:6" ht="12.75" hidden="1" x14ac:dyDescent="0.2">
      <c r="A111" s="30" t="s">
        <v>158</v>
      </c>
      <c r="B111" s="29">
        <v>0.15</v>
      </c>
      <c r="C111" s="29">
        <v>0.15</v>
      </c>
      <c r="D111" s="29">
        <v>0.15</v>
      </c>
      <c r="E111" s="29">
        <v>0.15</v>
      </c>
      <c r="F111" s="87">
        <v>0.15</v>
      </c>
    </row>
    <row r="112" spans="1:6" ht="12.75" hidden="1" x14ac:dyDescent="0.2"/>
  </sheetData>
  <mergeCells count="29">
    <mergeCell ref="N35:O35"/>
    <mergeCell ref="Q35:S35"/>
    <mergeCell ref="B101:F101"/>
    <mergeCell ref="D23:E23"/>
    <mergeCell ref="D31:E31"/>
    <mergeCell ref="A34:M34"/>
    <mergeCell ref="B35:I35"/>
    <mergeCell ref="J35:M35"/>
    <mergeCell ref="N36:O36"/>
    <mergeCell ref="Q36:S36"/>
    <mergeCell ref="B51:E51"/>
    <mergeCell ref="D60:F60"/>
    <mergeCell ref="H68:J68"/>
    <mergeCell ref="A12:C12"/>
    <mergeCell ref="A14:I14"/>
    <mergeCell ref="A15:D15"/>
    <mergeCell ref="G17:L17"/>
    <mergeCell ref="B36:I36"/>
    <mergeCell ref="J36:M36"/>
    <mergeCell ref="A7:C7"/>
    <mergeCell ref="F7:H7"/>
    <mergeCell ref="A9:C9"/>
    <mergeCell ref="A10:C10"/>
    <mergeCell ref="A11:C11"/>
    <mergeCell ref="A1:I1"/>
    <mergeCell ref="A2:I2"/>
    <mergeCell ref="A3:I3"/>
    <mergeCell ref="A4:C4"/>
    <mergeCell ref="A5:C5"/>
  </mergeCells>
  <dataValidations count="14">
    <dataValidation type="list" allowBlank="1" sqref="D4" xr:uid="{00000000-0002-0000-0000-000000000000}">
      <formula1>$A$38:$A$49</formula1>
    </dataValidation>
    <dataValidation type="list" allowBlank="1" showErrorMessage="1" sqref="D26" xr:uid="{00000000-0002-0000-0000-000001000000}">
      <formula1>$B$53:$B$57</formula1>
    </dataValidation>
    <dataValidation type="list" allowBlank="1" showErrorMessage="1" sqref="D7" xr:uid="{00000000-0002-0000-0000-000002000000}">
      <formula1>"N/A,Level 1 (35%),Level 2 (80%)"</formula1>
    </dataValidation>
    <dataValidation type="list" allowBlank="1" showErrorMessage="1" sqref="D27" xr:uid="{00000000-0002-0000-0000-000003000000}">
      <formula1>$B$60:$B$72</formula1>
    </dataValidation>
    <dataValidation type="list" allowBlank="1" showErrorMessage="1" sqref="D18" xr:uid="{00000000-0002-0000-0000-000004000000}">
      <formula1>"2 of 11,Mavery,Non-cargo officer"</formula1>
    </dataValidation>
    <dataValidation type="list" allowBlank="1" showErrorMessage="1" sqref="D25" xr:uid="{00000000-0002-0000-0000-000005000000}">
      <formula1>$C$52:$E$52</formula1>
    </dataValidation>
    <dataValidation type="list" allowBlank="1" showErrorMessage="1" sqref="D12" xr:uid="{00000000-0002-0000-0000-000006000000}">
      <formula1>"No chest,1 chest"</formula1>
    </dataValidation>
    <dataValidation type="list" allowBlank="1" showErrorMessage="1" sqref="D28" xr:uid="{00000000-0002-0000-0000-000007000000}">
      <formula1>$D$62:$D$72</formula1>
    </dataValidation>
    <dataValidation type="list" allowBlank="1" sqref="D19" xr:uid="{00000000-0002-0000-0000-000008000000}">
      <formula1>"None/NA,1 side (+15%),2 sides (+5% and +15%),2 sides (+15% and +15%),Mavery 1 side (+20%)"</formula1>
    </dataValidation>
    <dataValidation type="list" allowBlank="1" showErrorMessage="1" sqref="D5:D6 E15 D22 D30" xr:uid="{00000000-0002-0000-0000-000009000000}">
      <formula1>"Yes,No"</formula1>
    </dataValidation>
    <dataValidation type="list" allowBlank="1" showErrorMessage="1" sqref="D20:D21" xr:uid="{00000000-0002-0000-0000-00000A000000}">
      <formula1>$A$107:$A$109</formula1>
    </dataValidation>
    <dataValidation type="list" allowBlank="1" showErrorMessage="1" sqref="E18 E20:E22" xr:uid="{00000000-0002-0000-0000-00000B000000}">
      <formula1>$B$102:$F$102</formula1>
    </dataValidation>
    <dataValidation type="list" allowBlank="1" showErrorMessage="1" sqref="D29" xr:uid="{00000000-0002-0000-0000-00000C000000}">
      <formula1>$B$76:$B$95</formula1>
    </dataValidation>
    <dataValidation type="list" allowBlank="1" showErrorMessage="1" sqref="D9:D11" xr:uid="{00000000-0002-0000-0000-00000D000000}">
      <formula1>"No chest,1 chest,2 chests"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showGridLines="0"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968"/>
  <sheetViews>
    <sheetView workbookViewId="0"/>
  </sheetViews>
  <sheetFormatPr defaultColWidth="12.5703125" defaultRowHeight="15.75" customHeight="1" x14ac:dyDescent="0.2"/>
  <cols>
    <col min="1" max="1" width="6.28515625" customWidth="1"/>
    <col min="2" max="11" width="7.5703125" customWidth="1"/>
    <col min="12" max="14" width="9.7109375" customWidth="1"/>
    <col min="15" max="16" width="9.140625" customWidth="1"/>
    <col min="17" max="18" width="8.42578125" customWidth="1"/>
    <col min="19" max="21" width="9.28515625" customWidth="1"/>
    <col min="22" max="22" width="7.85546875" customWidth="1"/>
    <col min="23" max="24" width="8.7109375" customWidth="1"/>
    <col min="25" max="25" width="12" customWidth="1"/>
    <col min="26" max="26" width="11" customWidth="1"/>
    <col min="27" max="27" width="9.5703125" customWidth="1"/>
  </cols>
  <sheetData>
    <row r="1" spans="1:29" ht="15.75" customHeight="1" x14ac:dyDescent="0.35">
      <c r="A1" s="416" t="s">
        <v>159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455" t="s">
        <v>160</v>
      </c>
      <c r="T1" s="374"/>
      <c r="U1" s="374"/>
      <c r="V1" s="78"/>
      <c r="Y1" s="460" t="s">
        <v>312</v>
      </c>
      <c r="Z1" s="374"/>
      <c r="AA1" s="325"/>
      <c r="AB1" s="78"/>
      <c r="AC1" s="78"/>
    </row>
    <row r="2" spans="1:29" x14ac:dyDescent="0.2">
      <c r="A2" s="165"/>
      <c r="B2" s="457" t="s">
        <v>66</v>
      </c>
      <c r="C2" s="374"/>
      <c r="D2" s="374"/>
      <c r="E2" s="374"/>
      <c r="F2" s="418" t="s">
        <v>21</v>
      </c>
      <c r="G2" s="374"/>
      <c r="H2" s="374"/>
      <c r="I2" s="394" t="s">
        <v>23</v>
      </c>
      <c r="J2" s="374"/>
      <c r="K2" s="374"/>
      <c r="L2" s="170"/>
      <c r="M2" s="419" t="s">
        <v>24</v>
      </c>
      <c r="N2" s="374"/>
      <c r="O2" s="461" t="s">
        <v>165</v>
      </c>
      <c r="P2" s="374"/>
      <c r="Q2" s="374"/>
      <c r="R2" s="374"/>
      <c r="S2" s="456" t="s">
        <v>166</v>
      </c>
      <c r="T2" s="374"/>
      <c r="U2" s="374"/>
      <c r="V2" s="458" t="s">
        <v>167</v>
      </c>
      <c r="W2" s="374"/>
      <c r="X2" s="374"/>
      <c r="Y2" s="459" t="s">
        <v>313</v>
      </c>
      <c r="Z2" s="374"/>
      <c r="AB2" s="78"/>
      <c r="AC2" s="78"/>
    </row>
    <row r="3" spans="1:29" x14ac:dyDescent="0.2">
      <c r="A3" s="165"/>
      <c r="B3" s="457" t="s">
        <v>67</v>
      </c>
      <c r="C3" s="374"/>
      <c r="D3" s="374"/>
      <c r="E3" s="374"/>
      <c r="F3" s="418" t="s">
        <v>68</v>
      </c>
      <c r="G3" s="374"/>
      <c r="H3" s="374"/>
      <c r="I3" s="394" t="s">
        <v>67</v>
      </c>
      <c r="J3" s="374"/>
      <c r="K3" s="374"/>
      <c r="L3" s="170"/>
      <c r="M3" s="419" t="s">
        <v>69</v>
      </c>
      <c r="N3" s="374"/>
      <c r="O3" s="374"/>
      <c r="P3" s="374"/>
      <c r="Q3" s="374"/>
      <c r="R3" s="374"/>
      <c r="S3" s="116" t="s">
        <v>168</v>
      </c>
      <c r="T3" s="116">
        <v>1000</v>
      </c>
      <c r="U3" s="116">
        <v>2000</v>
      </c>
      <c r="V3" s="374"/>
      <c r="W3" s="374"/>
      <c r="X3" s="374"/>
      <c r="Y3" s="411"/>
      <c r="Z3" s="374"/>
      <c r="AB3" s="78"/>
      <c r="AC3" s="78"/>
    </row>
    <row r="4" spans="1:29" x14ac:dyDescent="0.2">
      <c r="A4" s="171" t="s">
        <v>34</v>
      </c>
      <c r="B4" s="55" t="s">
        <v>25</v>
      </c>
      <c r="C4" s="56" t="s">
        <v>70</v>
      </c>
      <c r="D4" s="56" t="s">
        <v>71</v>
      </c>
      <c r="E4" s="74" t="s">
        <v>74</v>
      </c>
      <c r="F4" s="60" t="s">
        <v>25</v>
      </c>
      <c r="G4" s="60" t="s">
        <v>70</v>
      </c>
      <c r="H4" s="60" t="s">
        <v>71</v>
      </c>
      <c r="I4" s="62" t="s">
        <v>25</v>
      </c>
      <c r="J4" s="62" t="s">
        <v>70</v>
      </c>
      <c r="K4" s="62" t="s">
        <v>71</v>
      </c>
      <c r="L4" s="64"/>
      <c r="M4" s="64" t="s">
        <v>25</v>
      </c>
      <c r="N4" s="64" t="s">
        <v>71</v>
      </c>
      <c r="O4" s="158" t="s">
        <v>171</v>
      </c>
      <c r="P4" s="245" t="s">
        <v>172</v>
      </c>
      <c r="Q4" s="245" t="s">
        <v>173</v>
      </c>
      <c r="R4" s="245" t="s">
        <v>13</v>
      </c>
      <c r="S4" s="365" t="s">
        <v>169</v>
      </c>
      <c r="T4" s="248" t="s">
        <v>174</v>
      </c>
      <c r="U4" s="248" t="s">
        <v>175</v>
      </c>
      <c r="V4" s="251" t="s">
        <v>34</v>
      </c>
      <c r="W4" s="251" t="s">
        <v>25</v>
      </c>
      <c r="X4" s="251" t="s">
        <v>19</v>
      </c>
      <c r="Y4" s="366" t="s">
        <v>314</v>
      </c>
      <c r="Z4" s="251" t="s">
        <v>315</v>
      </c>
      <c r="AB4" s="78"/>
      <c r="AC4" s="78"/>
    </row>
    <row r="5" spans="1:29" x14ac:dyDescent="0.2">
      <c r="A5" s="175" t="s">
        <v>77</v>
      </c>
      <c r="B5" s="9">
        <v>3000</v>
      </c>
      <c r="C5" s="8">
        <v>15000</v>
      </c>
      <c r="D5" s="8">
        <v>150</v>
      </c>
      <c r="E5" s="58">
        <v>225</v>
      </c>
      <c r="F5" s="12">
        <v>6000</v>
      </c>
      <c r="G5" s="12">
        <v>30000</v>
      </c>
      <c r="H5" s="12">
        <v>200</v>
      </c>
      <c r="I5" s="15">
        <v>6000</v>
      </c>
      <c r="J5" s="15">
        <v>30000</v>
      </c>
      <c r="K5" s="15">
        <v>1506</v>
      </c>
      <c r="L5" s="17">
        <v>1510</v>
      </c>
      <c r="M5" s="17">
        <v>6000</v>
      </c>
      <c r="N5" s="17">
        <v>1000</v>
      </c>
      <c r="O5" s="145">
        <v>-0.5</v>
      </c>
      <c r="P5" s="145">
        <v>-0.5</v>
      </c>
      <c r="Q5" s="146" t="s">
        <v>176</v>
      </c>
      <c r="R5" s="146" t="s">
        <v>177</v>
      </c>
      <c r="S5" s="367">
        <v>33</v>
      </c>
      <c r="T5" s="116">
        <v>680</v>
      </c>
      <c r="U5" s="116">
        <v>2000</v>
      </c>
      <c r="V5" s="364" t="s">
        <v>77</v>
      </c>
      <c r="W5" s="259">
        <f t="shared" ref="W5:W16" si="0">(B5)+(F5/3)+(I5)+(M5/2)</f>
        <v>14000</v>
      </c>
      <c r="X5" s="259">
        <f t="shared" ref="X5:X16" si="1">(C5)+(G5/3)+(J5)+(M5/2)</f>
        <v>58000</v>
      </c>
      <c r="Y5" s="368">
        <f>X5/('Actian Hostile Loot'!B7*2.5)</f>
        <v>118.97435897435898</v>
      </c>
      <c r="Z5" s="369">
        <f>X5/('Actian Hostile Loot'!C7*2.5)</f>
        <v>19.795221843003414</v>
      </c>
      <c r="AB5" s="336">
        <f t="shared" ref="AB5:AB16" si="2">X5/W5</f>
        <v>4.1428571428571432</v>
      </c>
      <c r="AC5" s="78"/>
    </row>
    <row r="6" spans="1:29" x14ac:dyDescent="0.2">
      <c r="A6" s="175" t="s">
        <v>4</v>
      </c>
      <c r="B6" s="9">
        <v>4000</v>
      </c>
      <c r="C6" s="8">
        <v>20000</v>
      </c>
      <c r="D6" s="8">
        <f>E6*(D5/E5)</f>
        <v>300</v>
      </c>
      <c r="E6" s="58">
        <v>450</v>
      </c>
      <c r="F6" s="12">
        <v>7000</v>
      </c>
      <c r="G6" s="12">
        <v>35000</v>
      </c>
      <c r="H6" s="12">
        <v>400</v>
      </c>
      <c r="I6" s="15">
        <v>7000</v>
      </c>
      <c r="J6" s="15">
        <v>35000</v>
      </c>
      <c r="K6" s="15">
        <v>1569</v>
      </c>
      <c r="L6" s="17">
        <v>1575</v>
      </c>
      <c r="M6" s="17">
        <v>7000</v>
      </c>
      <c r="N6" s="17">
        <v>1050</v>
      </c>
      <c r="O6" s="145">
        <v>-0.51</v>
      </c>
      <c r="P6" s="145">
        <v>-0.51</v>
      </c>
      <c r="Q6" s="146" t="s">
        <v>178</v>
      </c>
      <c r="R6" s="146" t="s">
        <v>179</v>
      </c>
      <c r="S6" s="370">
        <v>34</v>
      </c>
      <c r="T6" s="116">
        <v>714</v>
      </c>
      <c r="U6" s="116">
        <v>2100</v>
      </c>
      <c r="V6" s="364" t="s">
        <v>4</v>
      </c>
      <c r="W6" s="259">
        <f t="shared" si="0"/>
        <v>16833.333333333336</v>
      </c>
      <c r="X6" s="259">
        <f t="shared" si="1"/>
        <v>70166.666666666657</v>
      </c>
      <c r="Y6" s="368">
        <f>X6/('Actian Hostile Loot'!B8*2.5)</f>
        <v>103.95061728395061</v>
      </c>
      <c r="Z6" s="369">
        <f>X6/('Actian Hostile Loot'!C8*2.5)</f>
        <v>17.454394693200662</v>
      </c>
      <c r="AB6" s="336">
        <f t="shared" si="2"/>
        <v>4.1683168316831676</v>
      </c>
      <c r="AC6" s="78"/>
    </row>
    <row r="7" spans="1:29" x14ac:dyDescent="0.2">
      <c r="A7" s="171" t="s">
        <v>78</v>
      </c>
      <c r="B7" s="55">
        <v>6500</v>
      </c>
      <c r="C7" s="56">
        <v>32500</v>
      </c>
      <c r="D7" s="262">
        <f t="shared" ref="D7:D16" si="3">E7*(2/3)</f>
        <v>750</v>
      </c>
      <c r="E7" s="74">
        <v>1125</v>
      </c>
      <c r="F7" s="60">
        <v>11000</v>
      </c>
      <c r="G7" s="60">
        <v>55000</v>
      </c>
      <c r="H7" s="60">
        <v>1000</v>
      </c>
      <c r="I7" s="62">
        <v>11000</v>
      </c>
      <c r="J7" s="62">
        <v>55000</v>
      </c>
      <c r="K7" s="62">
        <v>1632</v>
      </c>
      <c r="L7" s="64"/>
      <c r="M7" s="64">
        <v>11000</v>
      </c>
      <c r="N7" s="64">
        <v>1100</v>
      </c>
      <c r="O7" s="157">
        <v>-0.52</v>
      </c>
      <c r="P7" s="157">
        <v>-0.52</v>
      </c>
      <c r="Q7" s="158" t="s">
        <v>177</v>
      </c>
      <c r="R7" s="158" t="s">
        <v>180</v>
      </c>
      <c r="S7" s="367">
        <v>35</v>
      </c>
      <c r="T7" s="116">
        <v>748</v>
      </c>
      <c r="U7" s="116">
        <v>2200</v>
      </c>
      <c r="V7" s="364" t="s">
        <v>78</v>
      </c>
      <c r="W7" s="259">
        <f t="shared" si="0"/>
        <v>26666.666666666664</v>
      </c>
      <c r="X7" s="259">
        <f t="shared" si="1"/>
        <v>111333.33333333333</v>
      </c>
      <c r="Y7" s="368">
        <f>X7/('Actian Hostile Loot'!B9*2.5)</f>
        <v>130.98039215686273</v>
      </c>
      <c r="Z7" s="369">
        <f>X7/('Actian Hostile Loot'!C9*2.5)</f>
        <v>21.48255346518733</v>
      </c>
      <c r="AB7" s="336">
        <f t="shared" si="2"/>
        <v>4.1749999999999998</v>
      </c>
      <c r="AC7" s="78"/>
    </row>
    <row r="8" spans="1:29" x14ac:dyDescent="0.2">
      <c r="A8" s="175" t="s">
        <v>79</v>
      </c>
      <c r="B8" s="9">
        <v>9000</v>
      </c>
      <c r="C8" s="8">
        <v>45000</v>
      </c>
      <c r="D8" s="265">
        <f t="shared" si="3"/>
        <v>1500</v>
      </c>
      <c r="E8" s="58">
        <v>2250</v>
      </c>
      <c r="F8" s="12">
        <v>15000</v>
      </c>
      <c r="G8" s="12">
        <v>75000</v>
      </c>
      <c r="H8" s="12">
        <v>2000</v>
      </c>
      <c r="I8" s="15">
        <v>15000</v>
      </c>
      <c r="J8" s="15">
        <v>75000</v>
      </c>
      <c r="K8" s="15">
        <v>1694</v>
      </c>
      <c r="L8" s="17"/>
      <c r="M8" s="17">
        <v>15000</v>
      </c>
      <c r="N8" s="17">
        <v>1150</v>
      </c>
      <c r="O8" s="145">
        <v>-0.53</v>
      </c>
      <c r="P8" s="145">
        <v>-0.53</v>
      </c>
      <c r="Q8" s="146" t="s">
        <v>181</v>
      </c>
      <c r="R8" s="146" t="s">
        <v>182</v>
      </c>
      <c r="S8" s="370" t="s">
        <v>183</v>
      </c>
      <c r="T8" s="116">
        <v>782</v>
      </c>
      <c r="U8" s="116">
        <v>2300</v>
      </c>
      <c r="V8" s="364" t="s">
        <v>79</v>
      </c>
      <c r="W8" s="259">
        <f t="shared" si="0"/>
        <v>36500</v>
      </c>
      <c r="X8" s="259">
        <f t="shared" si="1"/>
        <v>152500</v>
      </c>
      <c r="Y8" s="368">
        <f>X8/('Actian Hostile Loot'!B10*2.5)</f>
        <v>160.52631578947367</v>
      </c>
      <c r="Z8" s="369">
        <f>X8/('Actian Hostile Loot'!C10*2.5)</f>
        <v>26.66083916083916</v>
      </c>
      <c r="AB8" s="336">
        <f t="shared" si="2"/>
        <v>4.1780821917808222</v>
      </c>
      <c r="AC8" s="78"/>
    </row>
    <row r="9" spans="1:29" x14ac:dyDescent="0.2">
      <c r="A9" s="175" t="s">
        <v>80</v>
      </c>
      <c r="B9" s="9">
        <v>13000</v>
      </c>
      <c r="C9" s="8">
        <v>65000</v>
      </c>
      <c r="D9" s="265">
        <f t="shared" si="3"/>
        <v>3000</v>
      </c>
      <c r="E9" s="58">
        <v>4500</v>
      </c>
      <c r="F9" s="12">
        <v>21000</v>
      </c>
      <c r="G9" s="12">
        <v>105000</v>
      </c>
      <c r="H9" s="12">
        <v>4000</v>
      </c>
      <c r="I9" s="15">
        <v>21000</v>
      </c>
      <c r="J9" s="15">
        <v>105000</v>
      </c>
      <c r="K9" s="15">
        <v>1757</v>
      </c>
      <c r="L9" s="17"/>
      <c r="M9" s="17">
        <v>21000</v>
      </c>
      <c r="N9" s="17">
        <v>1200</v>
      </c>
      <c r="O9" s="145">
        <v>-0.54</v>
      </c>
      <c r="P9" s="145">
        <v>-0.54</v>
      </c>
      <c r="Q9" s="146" t="s">
        <v>184</v>
      </c>
      <c r="R9" s="146" t="s">
        <v>185</v>
      </c>
      <c r="S9" s="370">
        <v>38</v>
      </c>
      <c r="T9" s="116">
        <v>816</v>
      </c>
      <c r="U9" s="116">
        <v>2400</v>
      </c>
      <c r="V9" s="364" t="s">
        <v>80</v>
      </c>
      <c r="W9" s="259">
        <f t="shared" si="0"/>
        <v>51500</v>
      </c>
      <c r="X9" s="259">
        <f t="shared" si="1"/>
        <v>215500</v>
      </c>
      <c r="Y9" s="368">
        <f>X9/('Actian Hostile Loot'!B11*2.5)</f>
        <v>195.02262443438914</v>
      </c>
      <c r="Z9" s="369">
        <f>X9/('Actian Hostile Loot'!C11*2.5)</f>
        <v>30.818734358240974</v>
      </c>
      <c r="AB9" s="336">
        <f t="shared" si="2"/>
        <v>4.1844660194174761</v>
      </c>
      <c r="AC9" s="78"/>
    </row>
    <row r="10" spans="1:29" x14ac:dyDescent="0.2">
      <c r="A10" s="171" t="s">
        <v>81</v>
      </c>
      <c r="B10" s="55">
        <v>17000</v>
      </c>
      <c r="C10" s="56">
        <v>85000</v>
      </c>
      <c r="D10" s="262">
        <f t="shared" si="3"/>
        <v>4500</v>
      </c>
      <c r="E10" s="74">
        <v>6750</v>
      </c>
      <c r="F10" s="60">
        <v>27000</v>
      </c>
      <c r="G10" s="60">
        <v>135000</v>
      </c>
      <c r="H10" s="60">
        <v>6000</v>
      </c>
      <c r="I10" s="62">
        <v>27000</v>
      </c>
      <c r="J10" s="62">
        <v>135000</v>
      </c>
      <c r="K10" s="62">
        <v>1820</v>
      </c>
      <c r="L10" s="64"/>
      <c r="M10" s="64">
        <v>27000</v>
      </c>
      <c r="N10" s="64">
        <v>1250</v>
      </c>
      <c r="O10" s="157">
        <v>-0.55000000000000004</v>
      </c>
      <c r="P10" s="157">
        <v>-0.55000000000000004</v>
      </c>
      <c r="Q10" s="158" t="s">
        <v>186</v>
      </c>
      <c r="R10" s="158" t="s">
        <v>187</v>
      </c>
      <c r="S10" s="367">
        <v>39</v>
      </c>
      <c r="T10" s="116">
        <v>850</v>
      </c>
      <c r="U10" s="116">
        <v>2500</v>
      </c>
      <c r="V10" s="364" t="s">
        <v>81</v>
      </c>
      <c r="W10" s="259">
        <f t="shared" si="0"/>
        <v>66500</v>
      </c>
      <c r="X10" s="259">
        <f t="shared" si="1"/>
        <v>278500</v>
      </c>
      <c r="Y10" s="368">
        <f>X10/('Actian Hostile Loot'!B12*2.5)</f>
        <v>164.79289940828403</v>
      </c>
      <c r="Z10" s="369">
        <f>X10/('Actian Hostile Loot'!C12*2.5)</f>
        <v>27.391197442832556</v>
      </c>
      <c r="AB10" s="336">
        <f t="shared" si="2"/>
        <v>4.1879699248120303</v>
      </c>
      <c r="AC10" s="78"/>
    </row>
    <row r="11" spans="1:29" x14ac:dyDescent="0.2">
      <c r="A11" s="175" t="s">
        <v>82</v>
      </c>
      <c r="B11" s="9">
        <v>25000</v>
      </c>
      <c r="C11" s="8">
        <v>125000</v>
      </c>
      <c r="D11" s="265">
        <f t="shared" si="3"/>
        <v>6000</v>
      </c>
      <c r="E11" s="58">
        <v>9000</v>
      </c>
      <c r="F11" s="12">
        <v>40000</v>
      </c>
      <c r="G11" s="12">
        <v>200000</v>
      </c>
      <c r="H11" s="12">
        <v>8000</v>
      </c>
      <c r="I11" s="15">
        <v>40000</v>
      </c>
      <c r="J11" s="15">
        <v>200000</v>
      </c>
      <c r="K11" s="15">
        <v>1883</v>
      </c>
      <c r="L11" s="17"/>
      <c r="M11" s="17">
        <v>40000</v>
      </c>
      <c r="N11" s="17">
        <v>1300</v>
      </c>
      <c r="O11" s="269">
        <v>-0.56000000000000005</v>
      </c>
      <c r="P11" s="269">
        <v>-0.56000000000000005</v>
      </c>
      <c r="Q11" s="146" t="s">
        <v>188</v>
      </c>
      <c r="R11" s="146" t="s">
        <v>178</v>
      </c>
      <c r="S11" s="370">
        <v>40</v>
      </c>
      <c r="T11" s="116">
        <v>884</v>
      </c>
      <c r="U11" s="116">
        <v>2600</v>
      </c>
      <c r="V11" s="364" t="s">
        <v>82</v>
      </c>
      <c r="W11" s="259">
        <f t="shared" si="0"/>
        <v>98333.333333333343</v>
      </c>
      <c r="X11" s="259">
        <f t="shared" si="1"/>
        <v>411666.66666666669</v>
      </c>
      <c r="Y11" s="368">
        <f>X11/('Actian Hostile Loot'!B13*2.5)</f>
        <v>229.02178952248494</v>
      </c>
      <c r="Z11" s="369">
        <f>X11/('Actian Hostile Loot'!C13*2.5)</f>
        <v>35.68075117370892</v>
      </c>
      <c r="AB11" s="336">
        <f t="shared" si="2"/>
        <v>4.1864406779661012</v>
      </c>
      <c r="AC11" s="78"/>
    </row>
    <row r="12" spans="1:29" x14ac:dyDescent="0.2">
      <c r="A12" s="175" t="s">
        <v>83</v>
      </c>
      <c r="B12" s="9">
        <v>33000</v>
      </c>
      <c r="C12" s="8">
        <v>165000</v>
      </c>
      <c r="D12" s="265">
        <f t="shared" si="3"/>
        <v>10500</v>
      </c>
      <c r="E12" s="58">
        <v>15750</v>
      </c>
      <c r="F12" s="12">
        <v>50000</v>
      </c>
      <c r="G12" s="12">
        <v>250000</v>
      </c>
      <c r="H12" s="12">
        <v>14000</v>
      </c>
      <c r="I12" s="15">
        <v>50000</v>
      </c>
      <c r="J12" s="15">
        <v>250000</v>
      </c>
      <c r="K12" s="15">
        <v>1945</v>
      </c>
      <c r="L12" s="17"/>
      <c r="M12" s="17">
        <v>50000</v>
      </c>
      <c r="N12" s="17">
        <v>1350</v>
      </c>
      <c r="O12" s="269">
        <v>-0.56999999999999995</v>
      </c>
      <c r="P12" s="269">
        <v>-0.56999999999999995</v>
      </c>
      <c r="Q12" s="146" t="s">
        <v>189</v>
      </c>
      <c r="R12" s="146" t="s">
        <v>190</v>
      </c>
      <c r="S12" s="367" t="s">
        <v>191</v>
      </c>
      <c r="T12" s="116">
        <v>918</v>
      </c>
      <c r="U12" s="116">
        <v>2700</v>
      </c>
      <c r="V12" s="364" t="s">
        <v>83</v>
      </c>
      <c r="W12" s="259">
        <f t="shared" si="0"/>
        <v>124666.66666666667</v>
      </c>
      <c r="X12" s="259">
        <f t="shared" si="1"/>
        <v>523333.33333333331</v>
      </c>
      <c r="Y12" s="368">
        <f>X12/('Actian Hostile Loot'!B14*2.5)</f>
        <v>217.82865071106485</v>
      </c>
      <c r="Z12" s="369">
        <f>X12/('Actian Hostile Loot'!C14*2.5)</f>
        <v>42.043248309566849</v>
      </c>
      <c r="AB12" s="336">
        <f t="shared" si="2"/>
        <v>4.1978609625668444</v>
      </c>
      <c r="AC12" s="78"/>
    </row>
    <row r="13" spans="1:29" x14ac:dyDescent="0.2">
      <c r="A13" s="171" t="s">
        <v>84</v>
      </c>
      <c r="B13" s="55"/>
      <c r="C13" s="56"/>
      <c r="D13" s="262">
        <f t="shared" si="3"/>
        <v>0</v>
      </c>
      <c r="E13" s="74"/>
      <c r="F13" s="60"/>
      <c r="G13" s="60"/>
      <c r="H13" s="60"/>
      <c r="I13" s="62"/>
      <c r="J13" s="62"/>
      <c r="K13" s="62"/>
      <c r="L13" s="64"/>
      <c r="M13" s="64"/>
      <c r="N13" s="64"/>
      <c r="O13" s="267"/>
      <c r="P13" s="267"/>
      <c r="Q13" s="158" t="s">
        <v>192</v>
      </c>
      <c r="R13" s="158" t="s">
        <v>193</v>
      </c>
      <c r="S13" s="367" t="s">
        <v>194</v>
      </c>
      <c r="T13" s="116">
        <v>952</v>
      </c>
      <c r="U13" s="116">
        <v>2800</v>
      </c>
      <c r="V13" s="364" t="s">
        <v>84</v>
      </c>
      <c r="W13" s="259">
        <f t="shared" si="0"/>
        <v>0</v>
      </c>
      <c r="X13" s="259">
        <f t="shared" si="1"/>
        <v>0</v>
      </c>
      <c r="Y13" s="368">
        <f>X13/('Actian Hostile Loot'!B15*2.5)</f>
        <v>0</v>
      </c>
      <c r="Z13" s="369">
        <f>X13/('Actian Hostile Loot'!C15*2.5)</f>
        <v>0</v>
      </c>
      <c r="AB13" s="336" t="e">
        <f t="shared" si="2"/>
        <v>#DIV/0!</v>
      </c>
      <c r="AC13" s="78"/>
    </row>
    <row r="14" spans="1:29" x14ac:dyDescent="0.2">
      <c r="A14" s="175" t="s">
        <v>85</v>
      </c>
      <c r="B14" s="9"/>
      <c r="C14" s="8"/>
      <c r="D14" s="265">
        <f t="shared" si="3"/>
        <v>0</v>
      </c>
      <c r="E14" s="58"/>
      <c r="F14" s="12"/>
      <c r="G14" s="12"/>
      <c r="H14" s="12"/>
      <c r="I14" s="15"/>
      <c r="J14" s="15"/>
      <c r="K14" s="15"/>
      <c r="L14" s="17"/>
      <c r="M14" s="17"/>
      <c r="N14" s="17"/>
      <c r="O14" s="269"/>
      <c r="P14" s="269"/>
      <c r="Q14" s="146" t="s">
        <v>195</v>
      </c>
      <c r="R14" s="146" t="s">
        <v>196</v>
      </c>
      <c r="S14" s="367" t="s">
        <v>197</v>
      </c>
      <c r="T14" s="116">
        <v>986</v>
      </c>
      <c r="U14" s="116">
        <v>2900</v>
      </c>
      <c r="V14" s="364" t="s">
        <v>85</v>
      </c>
      <c r="W14" s="259">
        <f t="shared" si="0"/>
        <v>0</v>
      </c>
      <c r="X14" s="259">
        <f t="shared" si="1"/>
        <v>0</v>
      </c>
      <c r="Y14" s="368">
        <f>X14/('Actian Hostile Loot'!B16*2.5)</f>
        <v>0</v>
      </c>
      <c r="Z14" s="369">
        <f>X14/('Actian Hostile Loot'!C16*2.5)</f>
        <v>0</v>
      </c>
      <c r="AB14" s="336" t="e">
        <f t="shared" si="2"/>
        <v>#DIV/0!</v>
      </c>
      <c r="AC14" s="78"/>
    </row>
    <row r="15" spans="1:29" x14ac:dyDescent="0.2">
      <c r="A15" s="175" t="s">
        <v>86</v>
      </c>
      <c r="B15" s="9"/>
      <c r="C15" s="8"/>
      <c r="D15" s="265">
        <f t="shared" si="3"/>
        <v>0</v>
      </c>
      <c r="E15" s="58"/>
      <c r="F15" s="12"/>
      <c r="G15" s="12"/>
      <c r="H15" s="12"/>
      <c r="I15" s="15"/>
      <c r="J15" s="15"/>
      <c r="K15" s="15"/>
      <c r="L15" s="17"/>
      <c r="M15" s="17"/>
      <c r="N15" s="17"/>
      <c r="O15" s="269"/>
      <c r="P15" s="269"/>
      <c r="Q15" s="146" t="s">
        <v>198</v>
      </c>
      <c r="R15" s="146" t="s">
        <v>176</v>
      </c>
      <c r="S15" s="370" t="s">
        <v>199</v>
      </c>
      <c r="T15" s="116">
        <v>1020</v>
      </c>
      <c r="U15" s="116">
        <v>3000</v>
      </c>
      <c r="V15" s="364" t="s">
        <v>86</v>
      </c>
      <c r="W15" s="259">
        <f t="shared" si="0"/>
        <v>0</v>
      </c>
      <c r="X15" s="259">
        <f t="shared" si="1"/>
        <v>0</v>
      </c>
      <c r="Y15" s="368">
        <f>X15/('Actian Hostile Loot'!B17*2.5)</f>
        <v>0</v>
      </c>
      <c r="Z15" s="369">
        <f>X15/('Actian Hostile Loot'!C17*2.5)</f>
        <v>0</v>
      </c>
      <c r="AB15" s="336" t="e">
        <f t="shared" si="2"/>
        <v>#DIV/0!</v>
      </c>
      <c r="AC15" s="78"/>
    </row>
    <row r="16" spans="1:29" x14ac:dyDescent="0.2">
      <c r="A16" s="175" t="s">
        <v>87</v>
      </c>
      <c r="B16" s="9">
        <v>200000</v>
      </c>
      <c r="C16" s="8">
        <v>1000000</v>
      </c>
      <c r="D16" s="265">
        <f t="shared" si="3"/>
        <v>70000</v>
      </c>
      <c r="E16" s="58">
        <v>105000</v>
      </c>
      <c r="F16" s="12">
        <v>230000</v>
      </c>
      <c r="G16" s="12">
        <v>1150000</v>
      </c>
      <c r="H16" s="12">
        <v>95000</v>
      </c>
      <c r="I16" s="15">
        <v>230000</v>
      </c>
      <c r="J16" s="15">
        <v>1150000</v>
      </c>
      <c r="K16" s="15">
        <v>2510</v>
      </c>
      <c r="L16" s="17">
        <v>3750</v>
      </c>
      <c r="M16" s="17">
        <v>230000</v>
      </c>
      <c r="N16" s="17">
        <v>1800</v>
      </c>
      <c r="O16" s="145">
        <v>-0.7</v>
      </c>
      <c r="P16" s="145">
        <v>-0.7</v>
      </c>
      <c r="Q16" s="146" t="s">
        <v>200</v>
      </c>
      <c r="R16" s="146" t="s">
        <v>201</v>
      </c>
      <c r="S16" s="367" t="s">
        <v>202</v>
      </c>
      <c r="T16" s="116">
        <v>1224</v>
      </c>
      <c r="U16" s="116">
        <v>3600</v>
      </c>
      <c r="V16" s="364" t="s">
        <v>87</v>
      </c>
      <c r="W16" s="259">
        <f t="shared" si="0"/>
        <v>621666.66666666674</v>
      </c>
      <c r="X16" s="259">
        <f t="shared" si="1"/>
        <v>2648333.333333333</v>
      </c>
      <c r="Y16" s="368">
        <f>X16/('Actian Hostile Loot'!B18*2.5)</f>
        <v>642.40954113604198</v>
      </c>
      <c r="Z16" s="369">
        <f>X16/('Actian Hostile Loot'!C18*2.5)</f>
        <v>119.91547807712624</v>
      </c>
      <c r="AB16" s="336">
        <f t="shared" si="2"/>
        <v>4.2600536193029477</v>
      </c>
      <c r="AC16" s="78"/>
    </row>
    <row r="17" spans="1:29" x14ac:dyDescent="0.2">
      <c r="A17" s="114" t="s">
        <v>258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V17" s="78"/>
      <c r="W17" s="78"/>
      <c r="X17" s="78"/>
      <c r="Y17" s="78"/>
      <c r="Z17" s="78"/>
      <c r="AA17" s="78"/>
      <c r="AB17" s="78"/>
      <c r="AC17" s="78"/>
    </row>
    <row r="18" spans="1:29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</row>
    <row r="19" spans="1:29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spans="1:29" ht="15.75" customHeight="1" x14ac:dyDescent="0.35">
      <c r="A20" s="416" t="s">
        <v>208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164"/>
      <c r="M20" s="164"/>
      <c r="N20" s="416" t="s">
        <v>209</v>
      </c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78"/>
      <c r="Z20" s="78">
        <v>2</v>
      </c>
      <c r="AA20" s="78"/>
      <c r="AB20" s="78"/>
      <c r="AC20" s="78"/>
    </row>
    <row r="21" spans="1:29" x14ac:dyDescent="0.2">
      <c r="A21" s="165"/>
      <c r="B21" s="457" t="s">
        <v>210</v>
      </c>
      <c r="C21" s="374"/>
      <c r="D21" s="374"/>
      <c r="E21" s="374"/>
      <c r="F21" s="418" t="s">
        <v>211</v>
      </c>
      <c r="G21" s="374"/>
      <c r="H21" s="394" t="s">
        <v>23</v>
      </c>
      <c r="I21" s="374"/>
      <c r="J21" s="419" t="s">
        <v>212</v>
      </c>
      <c r="K21" s="374"/>
      <c r="N21" s="165"/>
      <c r="O21" s="457" t="s">
        <v>210</v>
      </c>
      <c r="P21" s="374"/>
      <c r="Q21" s="374"/>
      <c r="R21" s="374"/>
      <c r="S21" s="418" t="s">
        <v>211</v>
      </c>
      <c r="T21" s="374"/>
      <c r="U21" s="394" t="s">
        <v>23</v>
      </c>
      <c r="V21" s="374"/>
      <c r="W21" s="419" t="s">
        <v>212</v>
      </c>
      <c r="X21" s="374"/>
      <c r="Y21" s="78"/>
      <c r="Z21" s="78"/>
      <c r="AA21" s="78"/>
      <c r="AB21" s="78"/>
      <c r="AC21" s="78"/>
    </row>
    <row r="22" spans="1:29" x14ac:dyDescent="0.2">
      <c r="A22" s="165"/>
      <c r="B22" s="457" t="s">
        <v>67</v>
      </c>
      <c r="C22" s="374"/>
      <c r="D22" s="374"/>
      <c r="E22" s="374"/>
      <c r="F22" s="418" t="s">
        <v>68</v>
      </c>
      <c r="G22" s="374"/>
      <c r="H22" s="394" t="s">
        <v>67</v>
      </c>
      <c r="I22" s="374"/>
      <c r="J22" s="419" t="s">
        <v>69</v>
      </c>
      <c r="K22" s="374"/>
      <c r="N22" s="165"/>
      <c r="O22" s="457" t="s">
        <v>67</v>
      </c>
      <c r="P22" s="374"/>
      <c r="Q22" s="374"/>
      <c r="R22" s="374"/>
      <c r="S22" s="418" t="s">
        <v>68</v>
      </c>
      <c r="T22" s="374"/>
      <c r="U22" s="394" t="s">
        <v>67</v>
      </c>
      <c r="V22" s="374"/>
      <c r="W22" s="419" t="s">
        <v>69</v>
      </c>
      <c r="X22" s="374"/>
      <c r="Y22" s="78"/>
      <c r="Z22" s="78"/>
      <c r="AA22" s="78"/>
      <c r="AB22" s="78"/>
      <c r="AC22" s="78"/>
    </row>
    <row r="23" spans="1:29" x14ac:dyDescent="0.2">
      <c r="A23" s="171" t="s">
        <v>34</v>
      </c>
      <c r="B23" s="55" t="s">
        <v>25</v>
      </c>
      <c r="C23" s="56" t="s">
        <v>70</v>
      </c>
      <c r="D23" s="74" t="s">
        <v>74</v>
      </c>
      <c r="E23" s="74" t="s">
        <v>74</v>
      </c>
      <c r="F23" s="60" t="s">
        <v>25</v>
      </c>
      <c r="G23" s="60" t="s">
        <v>70</v>
      </c>
      <c r="H23" s="62" t="s">
        <v>25</v>
      </c>
      <c r="I23" s="62" t="s">
        <v>70</v>
      </c>
      <c r="J23" s="64" t="s">
        <v>25</v>
      </c>
      <c r="K23" s="64"/>
      <c r="N23" s="171" t="s">
        <v>34</v>
      </c>
      <c r="O23" s="55" t="s">
        <v>25</v>
      </c>
      <c r="P23" s="56" t="s">
        <v>70</v>
      </c>
      <c r="Q23" s="74" t="s">
        <v>74</v>
      </c>
      <c r="R23" s="74" t="s">
        <v>74</v>
      </c>
      <c r="S23" s="60" t="s">
        <v>25</v>
      </c>
      <c r="T23" s="60" t="s">
        <v>70</v>
      </c>
      <c r="U23" s="62" t="s">
        <v>25</v>
      </c>
      <c r="V23" s="62" t="s">
        <v>70</v>
      </c>
      <c r="W23" s="64" t="s">
        <v>25</v>
      </c>
      <c r="X23" s="64"/>
      <c r="Y23" s="78"/>
      <c r="Z23" s="78"/>
      <c r="AA23" s="78"/>
      <c r="AB23" s="78"/>
      <c r="AC23" s="78"/>
    </row>
    <row r="24" spans="1:29" ht="12.75" x14ac:dyDescent="0.2">
      <c r="A24" s="175" t="s">
        <v>77</v>
      </c>
      <c r="B24" s="9">
        <f t="shared" ref="B24:B31" si="4">B5/D5</f>
        <v>20</v>
      </c>
      <c r="C24" s="8">
        <f t="shared" ref="C24:C31" si="5">C5/D5</f>
        <v>100</v>
      </c>
      <c r="D24" s="58">
        <f t="shared" ref="D24:D31" si="6">B5/E5</f>
        <v>13.333333333333334</v>
      </c>
      <c r="E24" s="58">
        <f t="shared" ref="E24:E31" si="7">C5/E5</f>
        <v>66.666666666666671</v>
      </c>
      <c r="F24" s="12">
        <f t="shared" ref="F24:F31" si="8">F5/H5</f>
        <v>30</v>
      </c>
      <c r="G24" s="12">
        <f t="shared" ref="G24:G31" si="9">G5/H5</f>
        <v>150</v>
      </c>
      <c r="H24" s="15">
        <f t="shared" ref="H24:H31" si="10">I5/K5</f>
        <v>3.9840637450199203</v>
      </c>
      <c r="I24" s="15">
        <f t="shared" ref="I24:I31" si="11">J5/K5</f>
        <v>19.920318725099602</v>
      </c>
      <c r="J24" s="17">
        <f t="shared" ref="J24:J31" si="12">M5/N5</f>
        <v>6</v>
      </c>
      <c r="K24" s="17"/>
      <c r="N24" s="175" t="s">
        <v>77</v>
      </c>
      <c r="O24" s="183">
        <f t="shared" ref="O24:O31" si="13">D5/B5</f>
        <v>0.05</v>
      </c>
      <c r="P24" s="184">
        <f t="shared" ref="P24:P31" si="14">D5/C5</f>
        <v>0.01</v>
      </c>
      <c r="Q24" s="185">
        <f t="shared" ref="Q24:Q31" si="15">E5/B5</f>
        <v>7.4999999999999997E-2</v>
      </c>
      <c r="R24" s="185">
        <f t="shared" ref="R24:R31" si="16">E5/C5</f>
        <v>1.4999999999999999E-2</v>
      </c>
      <c r="S24" s="186">
        <f t="shared" ref="S24:S31" si="17">H5/F5</f>
        <v>3.3333333333333333E-2</v>
      </c>
      <c r="T24" s="186">
        <f t="shared" ref="T24:T31" si="18">H5/G5</f>
        <v>6.6666666666666671E-3</v>
      </c>
      <c r="U24" s="187">
        <f t="shared" ref="U24:U31" si="19">K5/I5</f>
        <v>0.251</v>
      </c>
      <c r="V24" s="187">
        <f t="shared" ref="V24:V31" si="20">K5/J5</f>
        <v>5.0200000000000002E-2</v>
      </c>
      <c r="W24" s="189">
        <f t="shared" ref="W24:W31" si="21">N5/M5</f>
        <v>0.16666666666666666</v>
      </c>
      <c r="X24" s="189"/>
      <c r="Y24" s="78"/>
      <c r="Z24" s="78"/>
      <c r="AA24" s="78"/>
      <c r="AB24" s="78"/>
      <c r="AC24" s="78"/>
    </row>
    <row r="25" spans="1:29" ht="12.75" x14ac:dyDescent="0.2">
      <c r="A25" s="175" t="s">
        <v>4</v>
      </c>
      <c r="B25" s="9">
        <f t="shared" si="4"/>
        <v>13.333333333333334</v>
      </c>
      <c r="C25" s="8">
        <f t="shared" si="5"/>
        <v>66.666666666666671</v>
      </c>
      <c r="D25" s="58">
        <f t="shared" si="6"/>
        <v>8.8888888888888893</v>
      </c>
      <c r="E25" s="58">
        <f t="shared" si="7"/>
        <v>44.444444444444443</v>
      </c>
      <c r="F25" s="12">
        <f t="shared" si="8"/>
        <v>17.5</v>
      </c>
      <c r="G25" s="12">
        <f t="shared" si="9"/>
        <v>87.5</v>
      </c>
      <c r="H25" s="15">
        <f t="shared" si="10"/>
        <v>4.4614404079031234</v>
      </c>
      <c r="I25" s="15">
        <f t="shared" si="11"/>
        <v>22.307202039515616</v>
      </c>
      <c r="J25" s="17">
        <f t="shared" si="12"/>
        <v>6.666666666666667</v>
      </c>
      <c r="K25" s="17"/>
      <c r="N25" s="175" t="s">
        <v>4</v>
      </c>
      <c r="O25" s="183">
        <f t="shared" si="13"/>
        <v>7.4999999999999997E-2</v>
      </c>
      <c r="P25" s="184">
        <f t="shared" si="14"/>
        <v>1.4999999999999999E-2</v>
      </c>
      <c r="Q25" s="185">
        <f t="shared" si="15"/>
        <v>0.1125</v>
      </c>
      <c r="R25" s="185">
        <f t="shared" si="16"/>
        <v>2.2499999999999999E-2</v>
      </c>
      <c r="S25" s="186">
        <f t="shared" si="17"/>
        <v>5.7142857142857141E-2</v>
      </c>
      <c r="T25" s="186">
        <f t="shared" si="18"/>
        <v>1.1428571428571429E-2</v>
      </c>
      <c r="U25" s="187">
        <f t="shared" si="19"/>
        <v>0.22414285714285714</v>
      </c>
      <c r="V25" s="187">
        <f t="shared" si="20"/>
        <v>4.4828571428571426E-2</v>
      </c>
      <c r="W25" s="189">
        <f t="shared" si="21"/>
        <v>0.15</v>
      </c>
      <c r="X25" s="189"/>
      <c r="Y25" s="78"/>
      <c r="Z25" s="78"/>
      <c r="AA25" s="78"/>
      <c r="AB25" s="78"/>
      <c r="AC25" s="78"/>
    </row>
    <row r="26" spans="1:29" ht="12.75" x14ac:dyDescent="0.2">
      <c r="A26" s="171" t="s">
        <v>78</v>
      </c>
      <c r="B26" s="55">
        <f t="shared" si="4"/>
        <v>8.6666666666666661</v>
      </c>
      <c r="C26" s="56">
        <f t="shared" si="5"/>
        <v>43.333333333333336</v>
      </c>
      <c r="D26" s="74">
        <f t="shared" si="6"/>
        <v>5.7777777777777777</v>
      </c>
      <c r="E26" s="74">
        <f t="shared" si="7"/>
        <v>28.888888888888889</v>
      </c>
      <c r="F26" s="60">
        <f t="shared" si="8"/>
        <v>11</v>
      </c>
      <c r="G26" s="60">
        <f t="shared" si="9"/>
        <v>55</v>
      </c>
      <c r="H26" s="62">
        <f t="shared" si="10"/>
        <v>6.7401960784313726</v>
      </c>
      <c r="I26" s="62">
        <f t="shared" si="11"/>
        <v>33.700980392156865</v>
      </c>
      <c r="J26" s="64">
        <f t="shared" si="12"/>
        <v>10</v>
      </c>
      <c r="K26" s="64"/>
      <c r="N26" s="171" t="s">
        <v>78</v>
      </c>
      <c r="O26" s="190">
        <f t="shared" si="13"/>
        <v>0.11538461538461539</v>
      </c>
      <c r="P26" s="191">
        <f t="shared" si="14"/>
        <v>2.3076923076923078E-2</v>
      </c>
      <c r="Q26" s="192">
        <f t="shared" si="15"/>
        <v>0.17307692307692307</v>
      </c>
      <c r="R26" s="192">
        <f t="shared" si="16"/>
        <v>3.4615384615384617E-2</v>
      </c>
      <c r="S26" s="193">
        <f t="shared" si="17"/>
        <v>9.0909090909090912E-2</v>
      </c>
      <c r="T26" s="193">
        <f t="shared" si="18"/>
        <v>1.8181818181818181E-2</v>
      </c>
      <c r="U26" s="194">
        <f t="shared" si="19"/>
        <v>0.14836363636363636</v>
      </c>
      <c r="V26" s="194">
        <f t="shared" si="20"/>
        <v>2.9672727272727274E-2</v>
      </c>
      <c r="W26" s="196">
        <f t="shared" si="21"/>
        <v>0.1</v>
      </c>
      <c r="X26" s="196"/>
      <c r="Y26" s="78"/>
      <c r="Z26" s="78"/>
      <c r="AA26" s="78"/>
      <c r="AB26" s="78"/>
      <c r="AC26" s="78"/>
    </row>
    <row r="27" spans="1:29" ht="12.75" x14ac:dyDescent="0.2">
      <c r="A27" s="175" t="s">
        <v>79</v>
      </c>
      <c r="B27" s="9">
        <f t="shared" si="4"/>
        <v>6</v>
      </c>
      <c r="C27" s="8">
        <f t="shared" si="5"/>
        <v>30</v>
      </c>
      <c r="D27" s="58">
        <f t="shared" si="6"/>
        <v>4</v>
      </c>
      <c r="E27" s="58">
        <f t="shared" si="7"/>
        <v>20</v>
      </c>
      <c r="F27" s="12">
        <f t="shared" si="8"/>
        <v>7.5</v>
      </c>
      <c r="G27" s="12">
        <f t="shared" si="9"/>
        <v>37.5</v>
      </c>
      <c r="H27" s="15">
        <f t="shared" si="10"/>
        <v>8.8547815820543097</v>
      </c>
      <c r="I27" s="15">
        <f t="shared" si="11"/>
        <v>44.273907910271546</v>
      </c>
      <c r="J27" s="17">
        <f t="shared" si="12"/>
        <v>13.043478260869565</v>
      </c>
      <c r="K27" s="17"/>
      <c r="N27" s="175" t="s">
        <v>79</v>
      </c>
      <c r="O27" s="183">
        <f t="shared" si="13"/>
        <v>0.16666666666666666</v>
      </c>
      <c r="P27" s="184">
        <f t="shared" si="14"/>
        <v>3.3333333333333333E-2</v>
      </c>
      <c r="Q27" s="185">
        <f t="shared" si="15"/>
        <v>0.25</v>
      </c>
      <c r="R27" s="185">
        <f t="shared" si="16"/>
        <v>0.05</v>
      </c>
      <c r="S27" s="186">
        <f t="shared" si="17"/>
        <v>0.13333333333333333</v>
      </c>
      <c r="T27" s="186">
        <f t="shared" si="18"/>
        <v>2.6666666666666668E-2</v>
      </c>
      <c r="U27" s="187">
        <f t="shared" si="19"/>
        <v>0.11293333333333333</v>
      </c>
      <c r="V27" s="187">
        <f t="shared" si="20"/>
        <v>2.2586666666666668E-2</v>
      </c>
      <c r="W27" s="189">
        <f t="shared" si="21"/>
        <v>7.6666666666666661E-2</v>
      </c>
      <c r="X27" s="189"/>
      <c r="Y27" s="78"/>
      <c r="Z27" s="78"/>
      <c r="AA27" s="78"/>
      <c r="AB27" s="78"/>
      <c r="AC27" s="78"/>
    </row>
    <row r="28" spans="1:29" ht="12.75" x14ac:dyDescent="0.2">
      <c r="A28" s="175" t="s">
        <v>80</v>
      </c>
      <c r="B28" s="9">
        <f t="shared" si="4"/>
        <v>4.333333333333333</v>
      </c>
      <c r="C28" s="8">
        <f t="shared" si="5"/>
        <v>21.666666666666668</v>
      </c>
      <c r="D28" s="58">
        <f t="shared" si="6"/>
        <v>2.8888888888888888</v>
      </c>
      <c r="E28" s="58">
        <f t="shared" si="7"/>
        <v>14.444444444444445</v>
      </c>
      <c r="F28" s="12">
        <f t="shared" si="8"/>
        <v>5.25</v>
      </c>
      <c r="G28" s="12">
        <f t="shared" si="9"/>
        <v>26.25</v>
      </c>
      <c r="H28" s="15">
        <f t="shared" si="10"/>
        <v>11.952191235059761</v>
      </c>
      <c r="I28" s="15">
        <f t="shared" si="11"/>
        <v>59.760956175298801</v>
      </c>
      <c r="J28" s="17">
        <f t="shared" si="12"/>
        <v>17.5</v>
      </c>
      <c r="K28" s="17"/>
      <c r="N28" s="175" t="s">
        <v>80</v>
      </c>
      <c r="O28" s="183">
        <f t="shared" si="13"/>
        <v>0.23076923076923078</v>
      </c>
      <c r="P28" s="184">
        <f t="shared" si="14"/>
        <v>4.6153846153846156E-2</v>
      </c>
      <c r="Q28" s="185">
        <f t="shared" si="15"/>
        <v>0.34615384615384615</v>
      </c>
      <c r="R28" s="185">
        <f t="shared" si="16"/>
        <v>6.9230769230769235E-2</v>
      </c>
      <c r="S28" s="186">
        <f t="shared" si="17"/>
        <v>0.19047619047619047</v>
      </c>
      <c r="T28" s="186">
        <f t="shared" si="18"/>
        <v>3.8095238095238099E-2</v>
      </c>
      <c r="U28" s="187">
        <f t="shared" si="19"/>
        <v>8.3666666666666667E-2</v>
      </c>
      <c r="V28" s="187">
        <f t="shared" si="20"/>
        <v>1.6733333333333333E-2</v>
      </c>
      <c r="W28" s="189">
        <f t="shared" si="21"/>
        <v>5.7142857142857141E-2</v>
      </c>
      <c r="X28" s="189"/>
      <c r="Y28" s="78"/>
      <c r="Z28" s="78"/>
      <c r="AA28" s="78"/>
      <c r="AB28" s="78"/>
      <c r="AC28" s="78"/>
    </row>
    <row r="29" spans="1:29" ht="12.75" x14ac:dyDescent="0.2">
      <c r="A29" s="171" t="s">
        <v>81</v>
      </c>
      <c r="B29" s="9">
        <f t="shared" si="4"/>
        <v>3.7777777777777777</v>
      </c>
      <c r="C29" s="8">
        <f t="shared" si="5"/>
        <v>18.888888888888889</v>
      </c>
      <c r="D29" s="58">
        <f t="shared" si="6"/>
        <v>2.5185185185185186</v>
      </c>
      <c r="E29" s="58">
        <f t="shared" si="7"/>
        <v>12.592592592592593</v>
      </c>
      <c r="F29" s="12">
        <f t="shared" si="8"/>
        <v>4.5</v>
      </c>
      <c r="G29" s="12">
        <f t="shared" si="9"/>
        <v>22.5</v>
      </c>
      <c r="H29" s="15">
        <f t="shared" si="10"/>
        <v>14.835164835164836</v>
      </c>
      <c r="I29" s="15">
        <f t="shared" si="11"/>
        <v>74.175824175824175</v>
      </c>
      <c r="J29" s="17">
        <f t="shared" si="12"/>
        <v>21.6</v>
      </c>
      <c r="K29" s="17"/>
      <c r="N29" s="171" t="s">
        <v>81</v>
      </c>
      <c r="O29" s="183">
        <f t="shared" si="13"/>
        <v>0.26470588235294118</v>
      </c>
      <c r="P29" s="184">
        <f t="shared" si="14"/>
        <v>5.2941176470588235E-2</v>
      </c>
      <c r="Q29" s="185">
        <f t="shared" si="15"/>
        <v>0.39705882352941174</v>
      </c>
      <c r="R29" s="185">
        <f t="shared" si="16"/>
        <v>7.9411764705882348E-2</v>
      </c>
      <c r="S29" s="186">
        <f t="shared" si="17"/>
        <v>0.22222222222222221</v>
      </c>
      <c r="T29" s="186">
        <f t="shared" si="18"/>
        <v>4.4444444444444446E-2</v>
      </c>
      <c r="U29" s="187">
        <f t="shared" si="19"/>
        <v>6.7407407407407402E-2</v>
      </c>
      <c r="V29" s="187">
        <f t="shared" si="20"/>
        <v>1.3481481481481481E-2</v>
      </c>
      <c r="W29" s="189">
        <f t="shared" si="21"/>
        <v>4.6296296296296294E-2</v>
      </c>
      <c r="X29" s="189"/>
      <c r="Y29" s="78"/>
      <c r="Z29" s="78"/>
      <c r="AA29" s="78"/>
      <c r="AB29" s="78"/>
      <c r="AC29" s="78"/>
    </row>
    <row r="30" spans="1:29" ht="12.75" x14ac:dyDescent="0.2">
      <c r="A30" s="175" t="s">
        <v>82</v>
      </c>
      <c r="B30" s="201">
        <f t="shared" si="4"/>
        <v>4.166666666666667</v>
      </c>
      <c r="C30" s="67">
        <f t="shared" si="5"/>
        <v>20.833333333333332</v>
      </c>
      <c r="D30" s="69">
        <f t="shared" si="6"/>
        <v>2.7777777777777777</v>
      </c>
      <c r="E30" s="69">
        <f t="shared" si="7"/>
        <v>13.888888888888889</v>
      </c>
      <c r="F30" s="371">
        <f t="shared" si="8"/>
        <v>5</v>
      </c>
      <c r="G30" s="371">
        <f t="shared" si="9"/>
        <v>25</v>
      </c>
      <c r="H30" s="372">
        <f t="shared" si="10"/>
        <v>21.242697822623473</v>
      </c>
      <c r="I30" s="372">
        <f t="shared" si="11"/>
        <v>106.21348911311736</v>
      </c>
      <c r="J30" s="142">
        <f t="shared" si="12"/>
        <v>30.76923076923077</v>
      </c>
      <c r="K30" s="142"/>
      <c r="N30" s="175" t="s">
        <v>82</v>
      </c>
      <c r="O30" s="176">
        <f t="shared" si="13"/>
        <v>0.24</v>
      </c>
      <c r="P30" s="177">
        <f t="shared" si="14"/>
        <v>4.8000000000000001E-2</v>
      </c>
      <c r="Q30" s="178">
        <f t="shared" si="15"/>
        <v>0.36</v>
      </c>
      <c r="R30" s="178">
        <f t="shared" si="16"/>
        <v>7.1999999999999995E-2</v>
      </c>
      <c r="S30" s="179">
        <f t="shared" si="17"/>
        <v>0.2</v>
      </c>
      <c r="T30" s="179">
        <f t="shared" si="18"/>
        <v>0.04</v>
      </c>
      <c r="U30" s="180">
        <f t="shared" si="19"/>
        <v>4.7074999999999999E-2</v>
      </c>
      <c r="V30" s="180">
        <f t="shared" si="20"/>
        <v>9.4149999999999998E-3</v>
      </c>
      <c r="W30" s="182">
        <f t="shared" si="21"/>
        <v>3.2500000000000001E-2</v>
      </c>
      <c r="X30" s="182"/>
      <c r="Y30" s="78"/>
      <c r="Z30" s="78"/>
      <c r="AA30" s="78"/>
      <c r="AB30" s="78"/>
      <c r="AC30" s="78"/>
    </row>
    <row r="31" spans="1:29" ht="12.75" x14ac:dyDescent="0.2">
      <c r="A31" s="175" t="s">
        <v>83</v>
      </c>
      <c r="B31" s="9">
        <f t="shared" si="4"/>
        <v>3.1428571428571428</v>
      </c>
      <c r="C31" s="8">
        <f t="shared" si="5"/>
        <v>15.714285714285714</v>
      </c>
      <c r="D31" s="58">
        <f t="shared" si="6"/>
        <v>2.0952380952380953</v>
      </c>
      <c r="E31" s="58">
        <f t="shared" si="7"/>
        <v>10.476190476190476</v>
      </c>
      <c r="F31" s="12">
        <f t="shared" si="8"/>
        <v>3.5714285714285716</v>
      </c>
      <c r="G31" s="12">
        <f t="shared" si="9"/>
        <v>17.857142857142858</v>
      </c>
      <c r="H31" s="15">
        <f t="shared" si="10"/>
        <v>25.70694087403599</v>
      </c>
      <c r="I31" s="15">
        <f t="shared" si="11"/>
        <v>128.53470437017995</v>
      </c>
      <c r="J31" s="17">
        <f t="shared" si="12"/>
        <v>37.037037037037038</v>
      </c>
      <c r="K31" s="17"/>
      <c r="N31" s="175" t="s">
        <v>83</v>
      </c>
      <c r="O31" s="183">
        <f t="shared" si="13"/>
        <v>0.31818181818181818</v>
      </c>
      <c r="P31" s="184">
        <f t="shared" si="14"/>
        <v>6.363636363636363E-2</v>
      </c>
      <c r="Q31" s="185">
        <f t="shared" si="15"/>
        <v>0.47727272727272729</v>
      </c>
      <c r="R31" s="185">
        <f t="shared" si="16"/>
        <v>9.5454545454545459E-2</v>
      </c>
      <c r="S31" s="186">
        <f t="shared" si="17"/>
        <v>0.28000000000000003</v>
      </c>
      <c r="T31" s="186">
        <f t="shared" si="18"/>
        <v>5.6000000000000001E-2</v>
      </c>
      <c r="U31" s="187">
        <f t="shared" si="19"/>
        <v>3.8899999999999997E-2</v>
      </c>
      <c r="V31" s="187">
        <f t="shared" si="20"/>
        <v>7.7799999999999996E-3</v>
      </c>
      <c r="W31" s="189">
        <f t="shared" si="21"/>
        <v>2.7E-2</v>
      </c>
      <c r="X31" s="189"/>
      <c r="Y31" s="78"/>
      <c r="Z31" s="78"/>
      <c r="AA31" s="78"/>
      <c r="AB31" s="78"/>
      <c r="AC31" s="78"/>
    </row>
    <row r="32" spans="1:29" ht="12.75" x14ac:dyDescent="0.2">
      <c r="A32" s="171" t="s">
        <v>84</v>
      </c>
      <c r="B32" s="9"/>
      <c r="C32" s="8"/>
      <c r="D32" s="58"/>
      <c r="E32" s="58"/>
      <c r="F32" s="12"/>
      <c r="G32" s="12"/>
      <c r="H32" s="15"/>
      <c r="I32" s="15"/>
      <c r="J32" s="17"/>
      <c r="K32" s="17"/>
      <c r="N32" s="171" t="s">
        <v>84</v>
      </c>
      <c r="O32" s="183"/>
      <c r="P32" s="184"/>
      <c r="Q32" s="185"/>
      <c r="R32" s="185"/>
      <c r="S32" s="186"/>
      <c r="T32" s="186"/>
      <c r="U32" s="187"/>
      <c r="V32" s="187"/>
      <c r="W32" s="189"/>
      <c r="X32" s="189"/>
      <c r="Y32" s="78"/>
      <c r="Z32" s="78"/>
      <c r="AA32" s="78"/>
      <c r="AB32" s="78"/>
      <c r="AC32" s="78"/>
    </row>
    <row r="33" spans="1:29" ht="12.75" x14ac:dyDescent="0.2">
      <c r="A33" s="175" t="s">
        <v>85</v>
      </c>
      <c r="B33" s="201"/>
      <c r="C33" s="67"/>
      <c r="D33" s="69"/>
      <c r="E33" s="69"/>
      <c r="F33" s="371"/>
      <c r="G33" s="371"/>
      <c r="H33" s="372"/>
      <c r="I33" s="372"/>
      <c r="J33" s="142"/>
      <c r="K33" s="142"/>
      <c r="N33" s="175" t="s">
        <v>85</v>
      </c>
      <c r="O33" s="176"/>
      <c r="P33" s="177"/>
      <c r="Q33" s="178"/>
      <c r="R33" s="178"/>
      <c r="S33" s="179"/>
      <c r="T33" s="179"/>
      <c r="U33" s="180"/>
      <c r="V33" s="180"/>
      <c r="W33" s="182"/>
      <c r="X33" s="182"/>
      <c r="Y33" s="78"/>
      <c r="Z33" s="78"/>
      <c r="AA33" s="78"/>
      <c r="AB33" s="78"/>
      <c r="AC33" s="78"/>
    </row>
    <row r="34" spans="1:29" ht="12.75" x14ac:dyDescent="0.2">
      <c r="A34" s="175" t="s">
        <v>86</v>
      </c>
      <c r="B34" s="9"/>
      <c r="C34" s="8"/>
      <c r="D34" s="58"/>
      <c r="E34" s="58"/>
      <c r="F34" s="12"/>
      <c r="G34" s="12"/>
      <c r="H34" s="15"/>
      <c r="I34" s="15"/>
      <c r="J34" s="17"/>
      <c r="K34" s="17"/>
      <c r="N34" s="175" t="s">
        <v>86</v>
      </c>
      <c r="O34" s="183"/>
      <c r="P34" s="184"/>
      <c r="Q34" s="185"/>
      <c r="R34" s="185"/>
      <c r="S34" s="186"/>
      <c r="T34" s="186"/>
      <c r="U34" s="187"/>
      <c r="V34" s="187"/>
      <c r="W34" s="189"/>
      <c r="X34" s="189"/>
      <c r="Y34" s="78"/>
      <c r="Z34" s="78"/>
      <c r="AA34" s="78"/>
      <c r="AB34" s="78"/>
      <c r="AC34" s="78"/>
    </row>
    <row r="35" spans="1:29" ht="12.75" x14ac:dyDescent="0.2">
      <c r="A35" s="175" t="s">
        <v>87</v>
      </c>
      <c r="B35" s="9"/>
      <c r="C35" s="8"/>
      <c r="D35" s="58"/>
      <c r="E35" s="58"/>
      <c r="F35" s="12"/>
      <c r="G35" s="12"/>
      <c r="H35" s="15">
        <f>I16/K16</f>
        <v>91.633466135458164</v>
      </c>
      <c r="I35" s="15">
        <f>J16/K16</f>
        <v>458.16733067729086</v>
      </c>
      <c r="J35" s="17"/>
      <c r="K35" s="17"/>
      <c r="N35" s="175" t="s">
        <v>87</v>
      </c>
      <c r="O35" s="183"/>
      <c r="P35" s="184"/>
      <c r="Q35" s="185"/>
      <c r="R35" s="185"/>
      <c r="S35" s="186"/>
      <c r="T35" s="186"/>
      <c r="U35" s="187">
        <f>K16/I16</f>
        <v>1.0913043478260869E-2</v>
      </c>
      <c r="V35" s="187">
        <f>K16/J16</f>
        <v>2.1826086956521738E-3</v>
      </c>
      <c r="W35" s="189"/>
      <c r="X35" s="189"/>
      <c r="Y35" s="78"/>
      <c r="Z35" s="78"/>
      <c r="AA35" s="78"/>
      <c r="AB35" s="78"/>
      <c r="AC35" s="78"/>
    </row>
    <row r="36" spans="1:29" ht="23.25" x14ac:dyDescent="0.3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164"/>
      <c r="P36" s="164"/>
      <c r="Q36" s="164"/>
      <c r="R36" s="164"/>
      <c r="S36" s="164"/>
      <c r="T36" s="164"/>
      <c r="U36" s="78"/>
      <c r="V36" s="78"/>
      <c r="W36" s="78"/>
      <c r="X36" s="78"/>
      <c r="Y36" s="78"/>
      <c r="Z36" s="78"/>
      <c r="AA36" s="78"/>
      <c r="AB36" s="78"/>
      <c r="AC36" s="78"/>
    </row>
    <row r="37" spans="1:29" ht="12.75" x14ac:dyDescent="0.2"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spans="1:29" ht="12.75" x14ac:dyDescent="0.2"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 ht="12.75" x14ac:dyDescent="0.2"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ht="12.75" x14ac:dyDescent="0.2"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29" ht="12.75" x14ac:dyDescent="0.2"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29" ht="12.75" x14ac:dyDescent="0.2"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29" ht="12.75" x14ac:dyDescent="0.2"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spans="1:29" ht="12.75" x14ac:dyDescent="0.2"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29" ht="12.75" x14ac:dyDescent="0.2"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29" ht="12.75" x14ac:dyDescent="0.2"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spans="1:29" ht="12.75" x14ac:dyDescent="0.2"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29" ht="12.75" x14ac:dyDescent="0.2"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12.75" x14ac:dyDescent="0.2"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ht="12.75" x14ac:dyDescent="0.2"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12.75" x14ac:dyDescent="0.2"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12.75" x14ac:dyDescent="0.2"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ht="12.7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ht="12.75" x14ac:dyDescent="0.2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ht="12.75" x14ac:dyDescent="0.2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ht="12.75" x14ac:dyDescent="0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 ht="12.75" x14ac:dyDescent="0.2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 ht="12.75" x14ac:dyDescent="0.2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 ht="12.7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 ht="12.7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 ht="12.75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 ht="12.75" x14ac:dyDescent="0.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 ht="12.75" x14ac:dyDescent="0.2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 ht="12.75" x14ac:dyDescent="0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 ht="12.75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 ht="12.75" x14ac:dyDescent="0.2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 ht="12.75" x14ac:dyDescent="0.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 ht="12.75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 ht="12.75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 ht="12.75" x14ac:dyDescent="0.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 ht="12.75" x14ac:dyDescent="0.2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 ht="12.75" x14ac:dyDescent="0.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 ht="12.75" x14ac:dyDescent="0.2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 ht="12.75" x14ac:dyDescent="0.2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 ht="12.75" x14ac:dyDescent="0.2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29" ht="12.75" x14ac:dyDescent="0.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 ht="12.75" x14ac:dyDescent="0.2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 ht="12.75" x14ac:dyDescent="0.2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 ht="12.7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29" ht="12.7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29" ht="12.75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29" ht="12.75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29" ht="12.75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29" ht="12.75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29" ht="12.75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29" ht="12.75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29" ht="12.75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29" ht="12.7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29" ht="12.7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29" ht="12.75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29" ht="12.75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29" ht="12.75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29" ht="12.75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29" ht="12.75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29" ht="12.75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29" ht="12.75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29" ht="12.75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29" ht="12.75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29" ht="12.75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29" ht="12.7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29" ht="12.7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29" ht="12.75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29" ht="12.75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29" ht="12.75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29" ht="12.75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29" ht="12.75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29" ht="12.75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29" ht="12.75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 ht="12.75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 ht="12.7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 ht="12.7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 ht="12.75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 ht="12.75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 ht="12.75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 ht="12.75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 ht="12.75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 ht="12.7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 ht="12.7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 ht="12.75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 ht="12.75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 ht="12.75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 ht="12.75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 ht="12.75" x14ac:dyDescent="0.2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 ht="12.75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 ht="12.7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 ht="12.7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 ht="12.75" x14ac:dyDescent="0.2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 ht="12.75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29" ht="12.75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29" ht="12.75" x14ac:dyDescent="0.2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29" ht="12.75" x14ac:dyDescent="0.2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  <row r="132" spans="1:29" ht="12.75" x14ac:dyDescent="0.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</row>
    <row r="133" spans="1:29" ht="12.7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</row>
    <row r="134" spans="1:29" ht="12.7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</row>
    <row r="135" spans="1:29" ht="12.75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</row>
    <row r="136" spans="1:29" ht="12.75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</row>
    <row r="137" spans="1:29" ht="12.75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</row>
    <row r="138" spans="1:29" ht="12.75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</row>
    <row r="139" spans="1:29" ht="12.75" x14ac:dyDescent="0.2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</row>
    <row r="140" spans="1:29" ht="12.75" x14ac:dyDescent="0.2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</row>
    <row r="141" spans="1:29" ht="12.75" x14ac:dyDescent="0.2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</row>
    <row r="142" spans="1:29" ht="12.75" x14ac:dyDescent="0.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</row>
    <row r="143" spans="1:29" ht="12.75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</row>
    <row r="144" spans="1:29" ht="12.75" x14ac:dyDescent="0.2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</row>
    <row r="145" spans="1:29" ht="12.75" x14ac:dyDescent="0.2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</row>
    <row r="146" spans="1:29" ht="12.75" x14ac:dyDescent="0.2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</row>
    <row r="147" spans="1:29" ht="12.75" x14ac:dyDescent="0.2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</row>
    <row r="148" spans="1:29" ht="12.75" x14ac:dyDescent="0.2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</row>
    <row r="149" spans="1:29" ht="12.75" x14ac:dyDescent="0.2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</row>
    <row r="150" spans="1:29" ht="12.75" x14ac:dyDescent="0.2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</row>
    <row r="151" spans="1:29" ht="12.75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</row>
    <row r="152" spans="1:29" ht="12.7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</row>
    <row r="153" spans="1:29" ht="12.7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</row>
    <row r="154" spans="1:29" ht="12.75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</row>
    <row r="155" spans="1:29" ht="12.75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</row>
    <row r="156" spans="1:29" ht="12.7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</row>
    <row r="157" spans="1:29" ht="12.7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</row>
    <row r="158" spans="1:29" ht="12.75" x14ac:dyDescent="0.2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</row>
    <row r="159" spans="1:29" ht="12.75" x14ac:dyDescent="0.2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</row>
    <row r="160" spans="1:29" ht="12.75" x14ac:dyDescent="0.2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</row>
    <row r="161" spans="1:29" ht="12.75" x14ac:dyDescent="0.2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</row>
    <row r="162" spans="1:29" ht="12.75" x14ac:dyDescent="0.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</row>
    <row r="163" spans="1:29" ht="12.75" x14ac:dyDescent="0.2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</row>
    <row r="164" spans="1:29" ht="12.75" x14ac:dyDescent="0.2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</row>
    <row r="165" spans="1:29" ht="12.75" x14ac:dyDescent="0.2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</row>
    <row r="166" spans="1:29" ht="12.75" x14ac:dyDescent="0.2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</row>
    <row r="167" spans="1:29" ht="12.75" x14ac:dyDescent="0.2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</row>
    <row r="168" spans="1:29" ht="12.75" x14ac:dyDescent="0.2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</row>
    <row r="169" spans="1:29" ht="12.75" x14ac:dyDescent="0.2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</row>
    <row r="170" spans="1:29" ht="12.75" x14ac:dyDescent="0.2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</row>
    <row r="171" spans="1:29" ht="12.75" x14ac:dyDescent="0.2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</row>
    <row r="172" spans="1:29" ht="12.75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</row>
    <row r="173" spans="1:29" ht="12.75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</row>
    <row r="174" spans="1:29" ht="12.75" x14ac:dyDescent="0.2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</row>
    <row r="175" spans="1:29" ht="12.7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</row>
    <row r="176" spans="1:29" ht="12.7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</row>
    <row r="177" spans="1:29" ht="12.75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</row>
    <row r="178" spans="1:29" ht="12.75" x14ac:dyDescent="0.2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</row>
    <row r="179" spans="1:29" ht="12.75" x14ac:dyDescent="0.2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</row>
    <row r="180" spans="1:29" ht="12.75" x14ac:dyDescent="0.2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</row>
    <row r="181" spans="1:29" ht="12.75" x14ac:dyDescent="0.2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</row>
    <row r="182" spans="1:29" ht="12.75" x14ac:dyDescent="0.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</row>
    <row r="183" spans="1:29" ht="12.75" x14ac:dyDescent="0.2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</row>
    <row r="184" spans="1:29" ht="12.75" x14ac:dyDescent="0.2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</row>
    <row r="185" spans="1:29" ht="12.75" x14ac:dyDescent="0.2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</row>
    <row r="186" spans="1:29" ht="12.75" x14ac:dyDescent="0.2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</row>
    <row r="187" spans="1:29" ht="12.75" x14ac:dyDescent="0.2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</row>
    <row r="188" spans="1:29" ht="12.75" x14ac:dyDescent="0.2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</row>
    <row r="189" spans="1:29" ht="12.75" x14ac:dyDescent="0.2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</row>
    <row r="190" spans="1:29" ht="12.75" x14ac:dyDescent="0.2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</row>
    <row r="191" spans="1:29" ht="12.75" x14ac:dyDescent="0.2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</row>
    <row r="192" spans="1:29" ht="12.75" x14ac:dyDescent="0.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</row>
    <row r="193" spans="1:29" ht="12.75" x14ac:dyDescent="0.2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</row>
    <row r="194" spans="1:29" ht="12.75" x14ac:dyDescent="0.2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</row>
    <row r="195" spans="1:29" ht="12.75" x14ac:dyDescent="0.2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</row>
    <row r="196" spans="1:29" ht="12.75" x14ac:dyDescent="0.2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</row>
    <row r="197" spans="1:29" ht="12.75" x14ac:dyDescent="0.2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</row>
    <row r="198" spans="1:29" ht="12.75" x14ac:dyDescent="0.2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</row>
    <row r="199" spans="1:29" ht="12.75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</row>
    <row r="200" spans="1:29" ht="12.75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</row>
    <row r="201" spans="1:29" ht="12.75" x14ac:dyDescent="0.2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</row>
    <row r="202" spans="1:29" ht="12.7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</row>
    <row r="203" spans="1:29" ht="12.7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</row>
    <row r="204" spans="1:29" ht="12.75" x14ac:dyDescent="0.2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</row>
    <row r="205" spans="1:29" ht="12.75" x14ac:dyDescent="0.2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</row>
    <row r="206" spans="1:29" ht="12.75" x14ac:dyDescent="0.2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</row>
    <row r="207" spans="1:29" ht="12.75" x14ac:dyDescent="0.2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</row>
    <row r="208" spans="1:29" ht="12.75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</row>
    <row r="209" spans="1:29" ht="12.75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</row>
    <row r="210" spans="1:29" ht="12.75" x14ac:dyDescent="0.2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</row>
    <row r="211" spans="1:29" ht="12.7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</row>
    <row r="212" spans="1:29" ht="12.7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</row>
    <row r="213" spans="1:29" ht="12.75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</row>
    <row r="214" spans="1:29" ht="12.75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</row>
    <row r="215" spans="1:29" ht="12.75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</row>
    <row r="216" spans="1:29" ht="12.75" x14ac:dyDescent="0.2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</row>
    <row r="217" spans="1:29" ht="12.7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</row>
    <row r="218" spans="1:29" ht="12.7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</row>
    <row r="219" spans="1:29" ht="12.75" x14ac:dyDescent="0.2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</row>
    <row r="220" spans="1:29" ht="12.75" x14ac:dyDescent="0.2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</row>
    <row r="221" spans="1:29" ht="12.75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</row>
    <row r="222" spans="1:29" ht="12.75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</row>
    <row r="223" spans="1:29" ht="12.75" x14ac:dyDescent="0.2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</row>
    <row r="224" spans="1:29" ht="12.7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</row>
    <row r="225" spans="1:29" ht="12.7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</row>
    <row r="226" spans="1:29" ht="12.75" x14ac:dyDescent="0.2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</row>
    <row r="227" spans="1:29" ht="12.75" x14ac:dyDescent="0.2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</row>
    <row r="228" spans="1:29" ht="12.75" x14ac:dyDescent="0.2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</row>
    <row r="229" spans="1:29" ht="12.75" x14ac:dyDescent="0.2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</row>
    <row r="230" spans="1:29" ht="12.75" x14ac:dyDescent="0.2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</row>
    <row r="231" spans="1:29" ht="12.75" x14ac:dyDescent="0.2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</row>
    <row r="232" spans="1:29" ht="12.75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</row>
    <row r="233" spans="1:29" ht="12.75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</row>
    <row r="234" spans="1:29" ht="12.75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</row>
    <row r="235" spans="1:29" ht="12.7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</row>
    <row r="236" spans="1:29" ht="12.7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</row>
    <row r="237" spans="1:29" ht="12.75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</row>
    <row r="238" spans="1:29" ht="12.75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</row>
    <row r="239" spans="1:29" ht="12.75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</row>
    <row r="240" spans="1:29" ht="12.7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</row>
    <row r="241" spans="1:29" ht="12.7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</row>
    <row r="242" spans="1:29" ht="12.75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</row>
    <row r="243" spans="1:29" ht="12.75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</row>
    <row r="244" spans="1:29" ht="12.75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</row>
    <row r="245" spans="1:29" ht="12.75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</row>
    <row r="246" spans="1:29" ht="12.7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</row>
    <row r="247" spans="1:29" ht="12.7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</row>
    <row r="248" spans="1:29" ht="12.75" x14ac:dyDescent="0.2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</row>
    <row r="249" spans="1:29" ht="12.75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</row>
    <row r="250" spans="1:29" ht="12.75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</row>
    <row r="251" spans="1:29" ht="12.75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</row>
    <row r="252" spans="1:29" ht="12.7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</row>
    <row r="253" spans="1:29" ht="12.7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</row>
    <row r="254" spans="1:29" ht="12.75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</row>
    <row r="255" spans="1:29" ht="12.75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</row>
    <row r="256" spans="1:29" ht="12.7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</row>
    <row r="257" spans="1:29" ht="12.7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</row>
    <row r="258" spans="1:29" ht="12.75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</row>
    <row r="259" spans="1:29" ht="12.75" x14ac:dyDescent="0.2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</row>
    <row r="260" spans="1:29" ht="12.7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</row>
    <row r="261" spans="1:29" ht="12.7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</row>
    <row r="262" spans="1:29" ht="12.75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</row>
    <row r="263" spans="1:29" ht="12.75" x14ac:dyDescent="0.2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</row>
    <row r="264" spans="1:29" ht="12.7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</row>
    <row r="265" spans="1:29" ht="12.7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</row>
    <row r="266" spans="1:29" ht="12.75" x14ac:dyDescent="0.2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</row>
    <row r="267" spans="1:29" ht="12.75" x14ac:dyDescent="0.2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</row>
    <row r="268" spans="1:29" ht="12.75" x14ac:dyDescent="0.2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</row>
    <row r="269" spans="1:29" ht="12.75" x14ac:dyDescent="0.2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</row>
    <row r="270" spans="1:29" ht="12.75" x14ac:dyDescent="0.2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</row>
    <row r="271" spans="1:29" ht="12.75" x14ac:dyDescent="0.2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</row>
    <row r="272" spans="1:29" ht="12.75" x14ac:dyDescent="0.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</row>
    <row r="273" spans="1:29" ht="12.75" x14ac:dyDescent="0.2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</row>
    <row r="274" spans="1:29" ht="12.75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</row>
    <row r="275" spans="1:29" ht="12.75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</row>
    <row r="276" spans="1:29" ht="12.75" x14ac:dyDescent="0.2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</row>
    <row r="277" spans="1:29" ht="12.7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</row>
    <row r="278" spans="1:29" ht="12.7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</row>
    <row r="279" spans="1:29" ht="12.75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</row>
    <row r="280" spans="1:29" ht="12.75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</row>
    <row r="281" spans="1:29" ht="12.75" x14ac:dyDescent="0.2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</row>
    <row r="282" spans="1:29" ht="12.7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</row>
    <row r="283" spans="1:29" ht="12.7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</row>
    <row r="284" spans="1:29" ht="12.75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</row>
    <row r="285" spans="1:29" ht="12.75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</row>
    <row r="286" spans="1:29" ht="12.75" x14ac:dyDescent="0.2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</row>
    <row r="287" spans="1:29" ht="12.7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</row>
    <row r="288" spans="1:29" ht="12.7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</row>
    <row r="289" spans="1:29" ht="12.75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</row>
    <row r="290" spans="1:29" ht="12.75" x14ac:dyDescent="0.2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</row>
    <row r="291" spans="1:29" ht="12.7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</row>
    <row r="292" spans="1:29" ht="12.7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</row>
    <row r="293" spans="1:29" ht="12.75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</row>
    <row r="294" spans="1:29" ht="12.75" x14ac:dyDescent="0.2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</row>
    <row r="295" spans="1:29" ht="12.7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</row>
    <row r="296" spans="1:29" ht="12.7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</row>
    <row r="297" spans="1:29" ht="12.75" x14ac:dyDescent="0.2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</row>
    <row r="298" spans="1:29" ht="12.75" x14ac:dyDescent="0.2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</row>
    <row r="299" spans="1:29" ht="12.75" x14ac:dyDescent="0.2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</row>
    <row r="300" spans="1:29" ht="12.75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</row>
    <row r="301" spans="1:29" ht="12.75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</row>
    <row r="302" spans="1:29" ht="12.75" x14ac:dyDescent="0.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</row>
    <row r="303" spans="1:29" ht="12.7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</row>
    <row r="304" spans="1:29" ht="12.7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</row>
    <row r="305" spans="1:29" ht="12.75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</row>
    <row r="306" spans="1:29" ht="12.75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</row>
    <row r="307" spans="1:29" ht="12.75" x14ac:dyDescent="0.2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</row>
    <row r="308" spans="1:29" ht="12.7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</row>
    <row r="309" spans="1:29" ht="12.7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</row>
    <row r="310" spans="1:29" ht="12.75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</row>
    <row r="311" spans="1:29" ht="12.75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</row>
    <row r="312" spans="1:29" ht="12.75" x14ac:dyDescent="0.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</row>
    <row r="313" spans="1:29" ht="12.75" x14ac:dyDescent="0.2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</row>
    <row r="314" spans="1:29" ht="12.75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</row>
    <row r="315" spans="1:29" ht="12.7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</row>
    <row r="316" spans="1:29" ht="12.7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</row>
    <row r="317" spans="1:29" ht="12.75" x14ac:dyDescent="0.2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</row>
    <row r="318" spans="1:29" ht="12.75" x14ac:dyDescent="0.2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</row>
    <row r="319" spans="1:29" ht="12.75" x14ac:dyDescent="0.2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</row>
    <row r="320" spans="1:29" ht="12.7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</row>
    <row r="321" spans="1:29" ht="12.7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</row>
    <row r="322" spans="1:29" ht="12.75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</row>
    <row r="323" spans="1:29" ht="12.75" x14ac:dyDescent="0.2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</row>
    <row r="324" spans="1:29" ht="12.75" x14ac:dyDescent="0.2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</row>
    <row r="325" spans="1:29" ht="12.75" x14ac:dyDescent="0.2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</row>
    <row r="326" spans="1:29" ht="12.75" x14ac:dyDescent="0.2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</row>
    <row r="327" spans="1:29" ht="12.7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</row>
    <row r="328" spans="1:29" ht="12.7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</row>
    <row r="329" spans="1:29" ht="12.75" x14ac:dyDescent="0.2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</row>
    <row r="330" spans="1:29" ht="12.75" x14ac:dyDescent="0.2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</row>
    <row r="331" spans="1:29" ht="12.75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</row>
    <row r="332" spans="1:29" ht="12.75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</row>
    <row r="333" spans="1:29" ht="12.75" x14ac:dyDescent="0.2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</row>
    <row r="334" spans="1:29" ht="12.75" x14ac:dyDescent="0.2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</row>
    <row r="335" spans="1:29" ht="12.75" x14ac:dyDescent="0.2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</row>
    <row r="336" spans="1:29" ht="12.75" x14ac:dyDescent="0.2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</row>
    <row r="337" spans="1:29" ht="12.7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</row>
    <row r="338" spans="1:29" ht="12.7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</row>
    <row r="339" spans="1:29" ht="12.75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</row>
    <row r="340" spans="1:29" ht="12.75" x14ac:dyDescent="0.2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</row>
    <row r="341" spans="1:29" ht="12.75" x14ac:dyDescent="0.2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</row>
    <row r="342" spans="1:29" ht="12.75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</row>
    <row r="343" spans="1:29" ht="12.75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</row>
    <row r="344" spans="1:29" ht="12.7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</row>
    <row r="345" spans="1:29" ht="12.7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</row>
    <row r="346" spans="1:29" ht="12.75" x14ac:dyDescent="0.2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</row>
    <row r="347" spans="1:29" ht="12.75" x14ac:dyDescent="0.2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</row>
    <row r="348" spans="1:29" ht="12.7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</row>
    <row r="349" spans="1:29" ht="12.7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</row>
    <row r="350" spans="1:29" ht="12.75" x14ac:dyDescent="0.2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</row>
    <row r="351" spans="1:29" ht="12.75" x14ac:dyDescent="0.2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</row>
    <row r="352" spans="1:29" ht="12.75" x14ac:dyDescent="0.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</row>
    <row r="353" spans="1:29" ht="12.75" x14ac:dyDescent="0.2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</row>
    <row r="354" spans="1:29" ht="12.7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</row>
    <row r="355" spans="1:29" ht="12.7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</row>
    <row r="356" spans="1:29" ht="12.75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</row>
    <row r="357" spans="1:29" ht="12.75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</row>
    <row r="358" spans="1:29" ht="12.75" x14ac:dyDescent="0.2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</row>
    <row r="359" spans="1:29" ht="12.75" x14ac:dyDescent="0.2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</row>
    <row r="360" spans="1:29" ht="12.75" x14ac:dyDescent="0.2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</row>
    <row r="361" spans="1:29" ht="12.75" x14ac:dyDescent="0.2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</row>
    <row r="362" spans="1:29" ht="12.7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</row>
    <row r="363" spans="1:29" ht="12.7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</row>
    <row r="364" spans="1:29" ht="12.75" x14ac:dyDescent="0.2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</row>
    <row r="365" spans="1:29" ht="12.75" x14ac:dyDescent="0.2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</row>
    <row r="366" spans="1:29" ht="12.75" x14ac:dyDescent="0.2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</row>
    <row r="367" spans="1:29" ht="12.75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</row>
    <row r="368" spans="1:29" ht="12.75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</row>
    <row r="369" spans="1:29" ht="12.75" x14ac:dyDescent="0.2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</row>
    <row r="370" spans="1:29" ht="12.75" x14ac:dyDescent="0.2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</row>
    <row r="371" spans="1:29" ht="12.75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</row>
    <row r="372" spans="1:29" ht="12.75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</row>
    <row r="373" spans="1:29" ht="12.75" x14ac:dyDescent="0.2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</row>
    <row r="374" spans="1:29" ht="12.75" x14ac:dyDescent="0.2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</row>
    <row r="375" spans="1:29" ht="12.75" x14ac:dyDescent="0.2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</row>
    <row r="376" spans="1:29" ht="12.75" x14ac:dyDescent="0.2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</row>
    <row r="377" spans="1:29" ht="12.7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</row>
    <row r="378" spans="1:29" ht="12.7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</row>
    <row r="379" spans="1:29" ht="12.75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</row>
    <row r="380" spans="1:29" ht="12.75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</row>
    <row r="381" spans="1:29" ht="12.75" x14ac:dyDescent="0.2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</row>
    <row r="382" spans="1:29" ht="12.7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</row>
    <row r="383" spans="1:29" ht="12.7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</row>
    <row r="384" spans="1:29" ht="12.75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</row>
    <row r="385" spans="1:29" ht="12.75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</row>
    <row r="386" spans="1:29" ht="12.75" x14ac:dyDescent="0.2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</row>
    <row r="387" spans="1:29" ht="12.75" x14ac:dyDescent="0.2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</row>
    <row r="388" spans="1:29" ht="12.75" x14ac:dyDescent="0.2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</row>
    <row r="389" spans="1:29" ht="12.75" x14ac:dyDescent="0.2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</row>
    <row r="390" spans="1:29" ht="12.75" x14ac:dyDescent="0.2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</row>
    <row r="391" spans="1:29" ht="12.7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</row>
    <row r="392" spans="1:29" ht="12.7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</row>
    <row r="393" spans="1:29" ht="12.75" x14ac:dyDescent="0.2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</row>
    <row r="394" spans="1:29" ht="12.75" x14ac:dyDescent="0.2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</row>
    <row r="395" spans="1:29" ht="12.75" x14ac:dyDescent="0.2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</row>
    <row r="396" spans="1:29" ht="12.7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</row>
    <row r="397" spans="1:29" ht="12.7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</row>
    <row r="398" spans="1:29" ht="12.75" x14ac:dyDescent="0.2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</row>
    <row r="399" spans="1:29" ht="12.75" x14ac:dyDescent="0.2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</row>
    <row r="400" spans="1:29" ht="12.75" x14ac:dyDescent="0.2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</row>
    <row r="401" spans="1:29" ht="12.75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</row>
    <row r="402" spans="1:29" ht="12.75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</row>
    <row r="403" spans="1:29" ht="12.7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</row>
    <row r="404" spans="1:29" ht="12.7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</row>
    <row r="405" spans="1:29" ht="12.75" x14ac:dyDescent="0.2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</row>
    <row r="406" spans="1:29" ht="12.75" x14ac:dyDescent="0.2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</row>
    <row r="407" spans="1:29" ht="12.75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</row>
    <row r="408" spans="1:29" ht="12.7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</row>
    <row r="409" spans="1:29" ht="12.7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</row>
    <row r="410" spans="1:29" ht="12.75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</row>
    <row r="411" spans="1:29" ht="12.75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</row>
    <row r="412" spans="1:29" ht="12.75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</row>
    <row r="413" spans="1:29" ht="12.7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</row>
    <row r="414" spans="1:29" ht="12.7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</row>
    <row r="415" spans="1:29" ht="12.75" x14ac:dyDescent="0.2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</row>
    <row r="416" spans="1:29" ht="12.75" x14ac:dyDescent="0.2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</row>
    <row r="417" spans="1:29" ht="12.75" x14ac:dyDescent="0.2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</row>
    <row r="418" spans="1:29" ht="12.75" x14ac:dyDescent="0.2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</row>
    <row r="419" spans="1:29" ht="12.75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</row>
    <row r="420" spans="1:29" ht="12.75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</row>
    <row r="421" spans="1:29" ht="12.75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</row>
    <row r="422" spans="1:29" ht="12.75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</row>
    <row r="423" spans="1:29" ht="12.75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</row>
    <row r="424" spans="1:29" ht="12.75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</row>
    <row r="425" spans="1:29" ht="12.75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</row>
    <row r="426" spans="1:29" ht="12.7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</row>
    <row r="427" spans="1:29" ht="12.75" x14ac:dyDescent="0.2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</row>
    <row r="428" spans="1:29" ht="12.75" x14ac:dyDescent="0.2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</row>
    <row r="429" spans="1:29" ht="12.75" x14ac:dyDescent="0.2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</row>
    <row r="430" spans="1:29" ht="12.75" x14ac:dyDescent="0.2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</row>
    <row r="431" spans="1:29" ht="12.75" x14ac:dyDescent="0.2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</row>
    <row r="432" spans="1:29" ht="12.75" x14ac:dyDescent="0.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</row>
    <row r="433" spans="1:29" ht="12.75" x14ac:dyDescent="0.2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</row>
    <row r="434" spans="1:29" ht="12.75" x14ac:dyDescent="0.2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</row>
    <row r="435" spans="1:29" ht="12.75" x14ac:dyDescent="0.2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</row>
    <row r="436" spans="1:29" ht="12.75" x14ac:dyDescent="0.2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</row>
    <row r="437" spans="1:29" ht="12.75" x14ac:dyDescent="0.2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</row>
    <row r="438" spans="1:29" ht="12.75" x14ac:dyDescent="0.2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</row>
    <row r="439" spans="1:29" ht="12.75" x14ac:dyDescent="0.2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</row>
    <row r="440" spans="1:29" ht="12.75" x14ac:dyDescent="0.2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</row>
    <row r="441" spans="1:29" ht="12.75" x14ac:dyDescent="0.2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</row>
    <row r="442" spans="1:29" ht="12.75" x14ac:dyDescent="0.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</row>
    <row r="443" spans="1:29" ht="12.75" x14ac:dyDescent="0.2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</row>
    <row r="444" spans="1:29" ht="12.75" x14ac:dyDescent="0.2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</row>
    <row r="445" spans="1:29" ht="12.75" x14ac:dyDescent="0.2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</row>
    <row r="446" spans="1:29" ht="12.75" x14ac:dyDescent="0.2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</row>
    <row r="447" spans="1:29" ht="12.75" x14ac:dyDescent="0.2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</row>
    <row r="448" spans="1:29" ht="12.75" x14ac:dyDescent="0.2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</row>
    <row r="449" spans="1:29" ht="12.75" x14ac:dyDescent="0.2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</row>
    <row r="450" spans="1:29" ht="12.75" x14ac:dyDescent="0.2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</row>
    <row r="451" spans="1:29" ht="12.75" x14ac:dyDescent="0.2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</row>
    <row r="452" spans="1:29" ht="12.75" x14ac:dyDescent="0.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</row>
    <row r="453" spans="1:29" ht="12.75" x14ac:dyDescent="0.2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</row>
    <row r="454" spans="1:29" ht="12.75" x14ac:dyDescent="0.2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</row>
    <row r="455" spans="1:29" ht="12.75" x14ac:dyDescent="0.2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</row>
    <row r="456" spans="1:29" ht="12.75" x14ac:dyDescent="0.2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</row>
    <row r="457" spans="1:29" ht="12.75" x14ac:dyDescent="0.2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</row>
    <row r="458" spans="1:29" ht="12.75" x14ac:dyDescent="0.2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</row>
    <row r="459" spans="1:29" ht="12.75" x14ac:dyDescent="0.2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</row>
    <row r="460" spans="1:29" ht="12.75" x14ac:dyDescent="0.2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</row>
    <row r="461" spans="1:29" ht="12.75" x14ac:dyDescent="0.2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</row>
    <row r="462" spans="1:29" ht="12.75" x14ac:dyDescent="0.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</row>
    <row r="463" spans="1:29" ht="12.75" x14ac:dyDescent="0.2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</row>
    <row r="464" spans="1:29" ht="12.75" x14ac:dyDescent="0.2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</row>
    <row r="465" spans="1:29" ht="12.75" x14ac:dyDescent="0.2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</row>
    <row r="466" spans="1:29" ht="12.75" x14ac:dyDescent="0.2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</row>
    <row r="467" spans="1:29" ht="12.75" x14ac:dyDescent="0.2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</row>
    <row r="468" spans="1:29" ht="12.75" x14ac:dyDescent="0.2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</row>
    <row r="469" spans="1:29" ht="12.75" x14ac:dyDescent="0.2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</row>
    <row r="470" spans="1:29" ht="12.75" x14ac:dyDescent="0.2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</row>
    <row r="471" spans="1:29" ht="12.75" x14ac:dyDescent="0.2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</row>
    <row r="472" spans="1:29" ht="12.75" x14ac:dyDescent="0.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</row>
    <row r="473" spans="1:29" ht="12.75" x14ac:dyDescent="0.2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</row>
    <row r="474" spans="1:29" ht="12.75" x14ac:dyDescent="0.2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</row>
    <row r="475" spans="1:29" ht="12.75" x14ac:dyDescent="0.2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</row>
    <row r="476" spans="1:29" ht="12.75" x14ac:dyDescent="0.2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</row>
    <row r="477" spans="1:29" ht="12.75" x14ac:dyDescent="0.2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</row>
    <row r="478" spans="1:29" ht="12.75" x14ac:dyDescent="0.2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</row>
    <row r="479" spans="1:29" ht="12.75" x14ac:dyDescent="0.2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</row>
    <row r="480" spans="1:29" ht="12.75" x14ac:dyDescent="0.2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</row>
    <row r="481" spans="1:29" ht="12.75" x14ac:dyDescent="0.2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</row>
    <row r="482" spans="1:29" ht="12.75" x14ac:dyDescent="0.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</row>
    <row r="483" spans="1:29" ht="12.75" x14ac:dyDescent="0.2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</row>
    <row r="484" spans="1:29" ht="12.75" x14ac:dyDescent="0.2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</row>
    <row r="485" spans="1:29" ht="12.75" x14ac:dyDescent="0.2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</row>
    <row r="486" spans="1:29" ht="12.75" x14ac:dyDescent="0.2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</row>
    <row r="487" spans="1:29" ht="12.75" x14ac:dyDescent="0.2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</row>
    <row r="488" spans="1:29" ht="12.75" x14ac:dyDescent="0.2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</row>
    <row r="489" spans="1:29" ht="12.75" x14ac:dyDescent="0.2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</row>
    <row r="490" spans="1:29" ht="12.75" x14ac:dyDescent="0.2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</row>
    <row r="491" spans="1:29" ht="12.75" x14ac:dyDescent="0.2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</row>
    <row r="492" spans="1:29" ht="12.75" x14ac:dyDescent="0.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</row>
    <row r="493" spans="1:29" ht="12.75" x14ac:dyDescent="0.2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</row>
    <row r="494" spans="1:29" ht="12.75" x14ac:dyDescent="0.2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</row>
    <row r="495" spans="1:29" ht="12.75" x14ac:dyDescent="0.2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</row>
    <row r="496" spans="1:29" ht="12.75" x14ac:dyDescent="0.2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</row>
    <row r="497" spans="1:29" ht="12.75" x14ac:dyDescent="0.2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</row>
    <row r="498" spans="1:29" ht="12.75" x14ac:dyDescent="0.2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</row>
    <row r="499" spans="1:29" ht="12.75" x14ac:dyDescent="0.2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</row>
    <row r="500" spans="1:29" ht="12.75" x14ac:dyDescent="0.2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</row>
    <row r="501" spans="1:29" ht="12.75" x14ac:dyDescent="0.2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</row>
    <row r="502" spans="1:29" ht="12.75" x14ac:dyDescent="0.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</row>
    <row r="503" spans="1:29" ht="12.75" x14ac:dyDescent="0.2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</row>
    <row r="504" spans="1:29" ht="12.75" x14ac:dyDescent="0.2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</row>
    <row r="505" spans="1:29" ht="12.75" x14ac:dyDescent="0.2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</row>
    <row r="506" spans="1:29" ht="12.75" x14ac:dyDescent="0.2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</row>
    <row r="507" spans="1:29" ht="12.75" x14ac:dyDescent="0.2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</row>
    <row r="508" spans="1:29" ht="12.75" x14ac:dyDescent="0.2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</row>
    <row r="509" spans="1:29" ht="12.75" x14ac:dyDescent="0.2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</row>
    <row r="510" spans="1:29" ht="12.75" x14ac:dyDescent="0.2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</row>
    <row r="511" spans="1:29" ht="12.75" x14ac:dyDescent="0.2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</row>
    <row r="512" spans="1:29" ht="12.75" x14ac:dyDescent="0.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</row>
    <row r="513" spans="1:29" ht="12.75" x14ac:dyDescent="0.2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</row>
    <row r="514" spans="1:29" ht="12.75" x14ac:dyDescent="0.2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</row>
    <row r="515" spans="1:29" ht="12.75" x14ac:dyDescent="0.2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</row>
    <row r="516" spans="1:29" ht="12.75" x14ac:dyDescent="0.2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</row>
    <row r="517" spans="1:29" ht="12.75" x14ac:dyDescent="0.2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</row>
    <row r="518" spans="1:29" ht="12.75" x14ac:dyDescent="0.2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</row>
    <row r="519" spans="1:29" ht="12.75" x14ac:dyDescent="0.2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</row>
    <row r="520" spans="1:29" ht="12.75" x14ac:dyDescent="0.2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</row>
    <row r="521" spans="1:29" ht="12.75" x14ac:dyDescent="0.2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</row>
    <row r="522" spans="1:29" ht="12.75" x14ac:dyDescent="0.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</row>
    <row r="523" spans="1:29" ht="12.75" x14ac:dyDescent="0.2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</row>
    <row r="524" spans="1:29" ht="12.75" x14ac:dyDescent="0.2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</row>
    <row r="525" spans="1:29" ht="12.75" x14ac:dyDescent="0.2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</row>
    <row r="526" spans="1:29" ht="12.75" x14ac:dyDescent="0.2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</row>
    <row r="527" spans="1:29" ht="12.75" x14ac:dyDescent="0.2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</row>
    <row r="528" spans="1:29" ht="12.75" x14ac:dyDescent="0.2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</row>
    <row r="529" spans="1:29" ht="12.75" x14ac:dyDescent="0.2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</row>
    <row r="530" spans="1:29" ht="12.75" x14ac:dyDescent="0.2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</row>
    <row r="531" spans="1:29" ht="12.75" x14ac:dyDescent="0.2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</row>
    <row r="532" spans="1:29" ht="12.75" x14ac:dyDescent="0.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</row>
    <row r="533" spans="1:29" ht="12.75" x14ac:dyDescent="0.2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</row>
    <row r="534" spans="1:29" ht="12.75" x14ac:dyDescent="0.2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</row>
    <row r="535" spans="1:29" ht="12.75" x14ac:dyDescent="0.2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</row>
    <row r="536" spans="1:29" ht="12.75" x14ac:dyDescent="0.2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</row>
    <row r="537" spans="1:29" ht="12.75" x14ac:dyDescent="0.2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</row>
    <row r="538" spans="1:29" ht="12.75" x14ac:dyDescent="0.2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</row>
    <row r="539" spans="1:29" ht="12.75" x14ac:dyDescent="0.2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</row>
    <row r="540" spans="1:29" ht="12.75" x14ac:dyDescent="0.2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</row>
    <row r="541" spans="1:29" ht="12.75" x14ac:dyDescent="0.2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</row>
    <row r="542" spans="1:29" ht="12.75" x14ac:dyDescent="0.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</row>
    <row r="543" spans="1:29" ht="12.75" x14ac:dyDescent="0.2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</row>
    <row r="544" spans="1:29" ht="12.75" x14ac:dyDescent="0.2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</row>
    <row r="545" spans="1:29" ht="12.75" x14ac:dyDescent="0.2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</row>
    <row r="546" spans="1:29" ht="12.75" x14ac:dyDescent="0.2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</row>
    <row r="547" spans="1:29" ht="12.75" x14ac:dyDescent="0.2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</row>
    <row r="548" spans="1:29" ht="12.75" x14ac:dyDescent="0.2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</row>
    <row r="549" spans="1:29" ht="12.75" x14ac:dyDescent="0.2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</row>
    <row r="550" spans="1:29" ht="12.75" x14ac:dyDescent="0.2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</row>
    <row r="551" spans="1:29" ht="12.75" x14ac:dyDescent="0.2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</row>
    <row r="552" spans="1:29" ht="12.75" x14ac:dyDescent="0.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</row>
    <row r="553" spans="1:29" ht="12.75" x14ac:dyDescent="0.2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</row>
    <row r="554" spans="1:29" ht="12.75" x14ac:dyDescent="0.2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</row>
    <row r="555" spans="1:29" ht="12.75" x14ac:dyDescent="0.2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</row>
    <row r="556" spans="1:29" ht="12.75" x14ac:dyDescent="0.2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</row>
    <row r="557" spans="1:29" ht="12.75" x14ac:dyDescent="0.2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</row>
    <row r="558" spans="1:29" ht="12.75" x14ac:dyDescent="0.2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</row>
    <row r="559" spans="1:29" ht="12.75" x14ac:dyDescent="0.2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</row>
    <row r="560" spans="1:29" ht="12.75" x14ac:dyDescent="0.2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</row>
    <row r="561" spans="1:29" ht="12.75" x14ac:dyDescent="0.2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</row>
    <row r="562" spans="1:29" ht="12.75" x14ac:dyDescent="0.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</row>
    <row r="563" spans="1:29" ht="12.75" x14ac:dyDescent="0.2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</row>
    <row r="564" spans="1:29" ht="12.75" x14ac:dyDescent="0.2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</row>
    <row r="565" spans="1:29" ht="12.75" x14ac:dyDescent="0.2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</row>
    <row r="566" spans="1:29" ht="12.75" x14ac:dyDescent="0.2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</row>
    <row r="567" spans="1:29" ht="12.75" x14ac:dyDescent="0.2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</row>
    <row r="568" spans="1:29" ht="12.75" x14ac:dyDescent="0.2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</row>
    <row r="569" spans="1:29" ht="12.75" x14ac:dyDescent="0.2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</row>
    <row r="570" spans="1:29" ht="12.75" x14ac:dyDescent="0.2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</row>
    <row r="571" spans="1:29" ht="12.75" x14ac:dyDescent="0.2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</row>
    <row r="572" spans="1:29" ht="12.75" x14ac:dyDescent="0.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</row>
    <row r="573" spans="1:29" ht="12.75" x14ac:dyDescent="0.2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</row>
    <row r="574" spans="1:29" ht="12.75" x14ac:dyDescent="0.2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</row>
    <row r="575" spans="1:29" ht="12.75" x14ac:dyDescent="0.2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</row>
    <row r="576" spans="1:29" ht="12.75" x14ac:dyDescent="0.2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</row>
    <row r="577" spans="1:29" ht="12.75" x14ac:dyDescent="0.2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</row>
    <row r="578" spans="1:29" ht="12.75" x14ac:dyDescent="0.2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</row>
    <row r="579" spans="1:29" ht="12.75" x14ac:dyDescent="0.2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</row>
    <row r="580" spans="1:29" ht="12.75" x14ac:dyDescent="0.2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</row>
    <row r="581" spans="1:29" ht="12.75" x14ac:dyDescent="0.2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</row>
    <row r="582" spans="1:29" ht="12.75" x14ac:dyDescent="0.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</row>
    <row r="583" spans="1:29" ht="12.75" x14ac:dyDescent="0.2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</row>
    <row r="584" spans="1:29" ht="12.75" x14ac:dyDescent="0.2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</row>
    <row r="585" spans="1:29" ht="12.75" x14ac:dyDescent="0.2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</row>
    <row r="586" spans="1:29" ht="12.75" x14ac:dyDescent="0.2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</row>
    <row r="587" spans="1:29" ht="12.75" x14ac:dyDescent="0.2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</row>
    <row r="588" spans="1:29" ht="12.75" x14ac:dyDescent="0.2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</row>
    <row r="589" spans="1:29" ht="12.75" x14ac:dyDescent="0.2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</row>
    <row r="590" spans="1:29" ht="12.75" x14ac:dyDescent="0.2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</row>
    <row r="591" spans="1:29" ht="12.75" x14ac:dyDescent="0.2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</row>
    <row r="592" spans="1:29" ht="12.75" x14ac:dyDescent="0.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</row>
    <row r="593" spans="1:29" ht="12.75" x14ac:dyDescent="0.2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</row>
    <row r="594" spans="1:29" ht="12.75" x14ac:dyDescent="0.2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</row>
    <row r="595" spans="1:29" ht="12.75" x14ac:dyDescent="0.2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</row>
    <row r="596" spans="1:29" ht="12.75" x14ac:dyDescent="0.2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</row>
    <row r="597" spans="1:29" ht="12.75" x14ac:dyDescent="0.2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</row>
    <row r="598" spans="1:29" ht="12.75" x14ac:dyDescent="0.2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</row>
    <row r="599" spans="1:29" ht="12.75" x14ac:dyDescent="0.2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</row>
    <row r="600" spans="1:29" ht="12.75" x14ac:dyDescent="0.2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</row>
    <row r="601" spans="1:29" ht="12.75" x14ac:dyDescent="0.2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</row>
    <row r="602" spans="1:29" ht="12.75" x14ac:dyDescent="0.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</row>
    <row r="603" spans="1:29" ht="12.75" x14ac:dyDescent="0.2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</row>
    <row r="604" spans="1:29" ht="12.75" x14ac:dyDescent="0.2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</row>
    <row r="605" spans="1:29" ht="12.75" x14ac:dyDescent="0.2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</row>
    <row r="606" spans="1:29" ht="12.75" x14ac:dyDescent="0.2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</row>
    <row r="607" spans="1:29" ht="12.75" x14ac:dyDescent="0.2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</row>
    <row r="608" spans="1:29" ht="12.75" x14ac:dyDescent="0.2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</row>
    <row r="609" spans="1:29" ht="12.75" x14ac:dyDescent="0.2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</row>
    <row r="610" spans="1:29" ht="12.75" x14ac:dyDescent="0.2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</row>
    <row r="611" spans="1:29" ht="12.75" x14ac:dyDescent="0.2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</row>
    <row r="612" spans="1:29" ht="12.75" x14ac:dyDescent="0.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</row>
    <row r="613" spans="1:29" ht="12.75" x14ac:dyDescent="0.2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</row>
    <row r="614" spans="1:29" ht="12.75" x14ac:dyDescent="0.2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</row>
    <row r="615" spans="1:29" ht="12.75" x14ac:dyDescent="0.2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</row>
    <row r="616" spans="1:29" ht="12.75" x14ac:dyDescent="0.2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</row>
    <row r="617" spans="1:29" ht="12.75" x14ac:dyDescent="0.2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</row>
    <row r="618" spans="1:29" ht="12.75" x14ac:dyDescent="0.2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</row>
    <row r="619" spans="1:29" ht="12.75" x14ac:dyDescent="0.2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</row>
    <row r="620" spans="1:29" ht="12.75" x14ac:dyDescent="0.2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</row>
    <row r="621" spans="1:29" ht="12.75" x14ac:dyDescent="0.2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</row>
    <row r="622" spans="1:29" ht="12.75" x14ac:dyDescent="0.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</row>
    <row r="623" spans="1:29" ht="12.75" x14ac:dyDescent="0.2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</row>
    <row r="624" spans="1:29" ht="12.75" x14ac:dyDescent="0.2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</row>
    <row r="625" spans="1:29" ht="12.75" x14ac:dyDescent="0.2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</row>
    <row r="626" spans="1:29" ht="12.75" x14ac:dyDescent="0.2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</row>
    <row r="627" spans="1:29" ht="12.75" x14ac:dyDescent="0.2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</row>
    <row r="628" spans="1:29" ht="12.75" x14ac:dyDescent="0.2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</row>
    <row r="629" spans="1:29" ht="12.75" x14ac:dyDescent="0.2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</row>
    <row r="630" spans="1:29" ht="12.75" x14ac:dyDescent="0.2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</row>
    <row r="631" spans="1:29" ht="12.75" x14ac:dyDescent="0.2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</row>
    <row r="632" spans="1:29" ht="12.75" x14ac:dyDescent="0.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</row>
    <row r="633" spans="1:29" ht="12.75" x14ac:dyDescent="0.2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</row>
    <row r="634" spans="1:29" ht="12.75" x14ac:dyDescent="0.2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</row>
    <row r="635" spans="1:29" ht="12.75" x14ac:dyDescent="0.2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</row>
    <row r="636" spans="1:29" ht="12.75" x14ac:dyDescent="0.2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</row>
    <row r="637" spans="1:29" ht="12.75" x14ac:dyDescent="0.2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</row>
    <row r="638" spans="1:29" ht="12.75" x14ac:dyDescent="0.2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</row>
    <row r="639" spans="1:29" ht="12.75" x14ac:dyDescent="0.2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</row>
    <row r="640" spans="1:29" ht="12.75" x14ac:dyDescent="0.2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</row>
    <row r="641" spans="1:29" ht="12.75" x14ac:dyDescent="0.2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</row>
    <row r="642" spans="1:29" ht="12.75" x14ac:dyDescent="0.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</row>
    <row r="643" spans="1:29" ht="12.75" x14ac:dyDescent="0.2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</row>
    <row r="644" spans="1:29" ht="12.75" x14ac:dyDescent="0.2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</row>
    <row r="645" spans="1:29" ht="12.75" x14ac:dyDescent="0.2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</row>
    <row r="646" spans="1:29" ht="12.75" x14ac:dyDescent="0.2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</row>
    <row r="647" spans="1:29" ht="12.75" x14ac:dyDescent="0.2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</row>
    <row r="648" spans="1:29" ht="12.75" x14ac:dyDescent="0.2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</row>
    <row r="649" spans="1:29" ht="12.75" x14ac:dyDescent="0.2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</row>
    <row r="650" spans="1:29" ht="12.75" x14ac:dyDescent="0.2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</row>
    <row r="651" spans="1:29" ht="12.75" x14ac:dyDescent="0.2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</row>
    <row r="652" spans="1:29" ht="12.75" x14ac:dyDescent="0.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</row>
    <row r="653" spans="1:29" ht="12.75" x14ac:dyDescent="0.2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</row>
    <row r="654" spans="1:29" ht="12.75" x14ac:dyDescent="0.2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</row>
    <row r="655" spans="1:29" ht="12.75" x14ac:dyDescent="0.2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</row>
    <row r="656" spans="1:29" ht="12.75" x14ac:dyDescent="0.2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</row>
    <row r="657" spans="1:29" ht="12.75" x14ac:dyDescent="0.2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</row>
    <row r="658" spans="1:29" ht="12.75" x14ac:dyDescent="0.2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</row>
    <row r="659" spans="1:29" ht="12.75" x14ac:dyDescent="0.2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</row>
    <row r="660" spans="1:29" ht="12.75" x14ac:dyDescent="0.2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</row>
    <row r="661" spans="1:29" ht="12.75" x14ac:dyDescent="0.2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</row>
    <row r="662" spans="1:29" ht="12.75" x14ac:dyDescent="0.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</row>
    <row r="663" spans="1:29" ht="12.75" x14ac:dyDescent="0.2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</row>
    <row r="664" spans="1:29" ht="12.75" x14ac:dyDescent="0.2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</row>
    <row r="665" spans="1:29" ht="12.75" x14ac:dyDescent="0.2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</row>
    <row r="666" spans="1:29" ht="12.75" x14ac:dyDescent="0.2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</row>
    <row r="667" spans="1:29" ht="12.75" x14ac:dyDescent="0.2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</row>
    <row r="668" spans="1:29" ht="12.75" x14ac:dyDescent="0.2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</row>
    <row r="669" spans="1:29" ht="12.75" x14ac:dyDescent="0.2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</row>
    <row r="670" spans="1:29" ht="12.75" x14ac:dyDescent="0.2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</row>
    <row r="671" spans="1:29" ht="12.75" x14ac:dyDescent="0.2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</row>
    <row r="672" spans="1:29" ht="12.75" x14ac:dyDescent="0.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</row>
    <row r="673" spans="1:29" ht="12.75" x14ac:dyDescent="0.2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</row>
    <row r="674" spans="1:29" ht="12.75" x14ac:dyDescent="0.2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</row>
    <row r="675" spans="1:29" ht="12.75" x14ac:dyDescent="0.2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</row>
    <row r="676" spans="1:29" ht="12.75" x14ac:dyDescent="0.2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</row>
    <row r="677" spans="1:29" ht="12.75" x14ac:dyDescent="0.2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</row>
    <row r="678" spans="1:29" ht="12.75" x14ac:dyDescent="0.2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</row>
    <row r="679" spans="1:29" ht="12.75" x14ac:dyDescent="0.2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</row>
    <row r="680" spans="1:29" ht="12.75" x14ac:dyDescent="0.2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</row>
    <row r="681" spans="1:29" ht="12.75" x14ac:dyDescent="0.2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</row>
    <row r="682" spans="1:29" ht="12.75" x14ac:dyDescent="0.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</row>
    <row r="683" spans="1:29" ht="12.75" x14ac:dyDescent="0.2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</row>
    <row r="684" spans="1:29" ht="12.75" x14ac:dyDescent="0.2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</row>
    <row r="685" spans="1:29" ht="12.75" x14ac:dyDescent="0.2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</row>
    <row r="686" spans="1:29" ht="12.75" x14ac:dyDescent="0.2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</row>
    <row r="687" spans="1:29" ht="12.75" x14ac:dyDescent="0.2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</row>
    <row r="688" spans="1:29" ht="12.75" x14ac:dyDescent="0.2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</row>
    <row r="689" spans="1:29" ht="12.75" x14ac:dyDescent="0.2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</row>
    <row r="690" spans="1:29" ht="12.75" x14ac:dyDescent="0.2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</row>
    <row r="691" spans="1:29" ht="12.75" x14ac:dyDescent="0.2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</row>
    <row r="692" spans="1:29" ht="12.75" x14ac:dyDescent="0.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</row>
    <row r="693" spans="1:29" ht="12.75" x14ac:dyDescent="0.2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</row>
    <row r="694" spans="1:29" ht="12.75" x14ac:dyDescent="0.2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</row>
    <row r="695" spans="1:29" ht="12.75" x14ac:dyDescent="0.2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</row>
    <row r="696" spans="1:29" ht="12.75" x14ac:dyDescent="0.2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</row>
    <row r="697" spans="1:29" ht="12.75" x14ac:dyDescent="0.2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</row>
    <row r="698" spans="1:29" ht="12.75" x14ac:dyDescent="0.2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</row>
    <row r="699" spans="1:29" ht="12.75" x14ac:dyDescent="0.2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</row>
    <row r="700" spans="1:29" ht="12.75" x14ac:dyDescent="0.2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</row>
    <row r="701" spans="1:29" ht="12.75" x14ac:dyDescent="0.2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</row>
    <row r="702" spans="1:29" ht="12.75" x14ac:dyDescent="0.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</row>
    <row r="703" spans="1:29" ht="12.75" x14ac:dyDescent="0.2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</row>
    <row r="704" spans="1:29" ht="12.75" x14ac:dyDescent="0.2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</row>
    <row r="705" spans="1:29" ht="12.75" x14ac:dyDescent="0.2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</row>
    <row r="706" spans="1:29" ht="12.75" x14ac:dyDescent="0.2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</row>
    <row r="707" spans="1:29" ht="12.75" x14ac:dyDescent="0.2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</row>
    <row r="708" spans="1:29" ht="12.75" x14ac:dyDescent="0.2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</row>
    <row r="709" spans="1:29" ht="12.75" x14ac:dyDescent="0.2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</row>
    <row r="710" spans="1:29" ht="12.75" x14ac:dyDescent="0.2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</row>
    <row r="711" spans="1:29" ht="12.75" x14ac:dyDescent="0.2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</row>
    <row r="712" spans="1:29" ht="12.75" x14ac:dyDescent="0.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</row>
    <row r="713" spans="1:29" ht="12.75" x14ac:dyDescent="0.2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</row>
    <row r="714" spans="1:29" ht="12.75" x14ac:dyDescent="0.2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</row>
    <row r="715" spans="1:29" ht="12.75" x14ac:dyDescent="0.2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</row>
    <row r="716" spans="1:29" ht="12.75" x14ac:dyDescent="0.2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</row>
    <row r="717" spans="1:29" ht="12.75" x14ac:dyDescent="0.2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</row>
    <row r="718" spans="1:29" ht="12.75" x14ac:dyDescent="0.2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</row>
    <row r="719" spans="1:29" ht="12.75" x14ac:dyDescent="0.2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</row>
    <row r="720" spans="1:29" ht="12.75" x14ac:dyDescent="0.2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</row>
    <row r="721" spans="1:29" ht="12.75" x14ac:dyDescent="0.2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</row>
    <row r="722" spans="1:29" ht="12.75" x14ac:dyDescent="0.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</row>
    <row r="723" spans="1:29" ht="12.75" x14ac:dyDescent="0.2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</row>
    <row r="724" spans="1:29" ht="12.75" x14ac:dyDescent="0.2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</row>
    <row r="725" spans="1:29" ht="12.75" x14ac:dyDescent="0.2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</row>
    <row r="726" spans="1:29" ht="12.75" x14ac:dyDescent="0.2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</row>
    <row r="727" spans="1:29" ht="12.75" x14ac:dyDescent="0.2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</row>
    <row r="728" spans="1:29" ht="12.75" x14ac:dyDescent="0.2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</row>
    <row r="729" spans="1:29" ht="12.75" x14ac:dyDescent="0.2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</row>
    <row r="730" spans="1:29" ht="12.75" x14ac:dyDescent="0.2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</row>
    <row r="731" spans="1:29" ht="12.75" x14ac:dyDescent="0.2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</row>
    <row r="732" spans="1:29" ht="12.75" x14ac:dyDescent="0.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</row>
    <row r="733" spans="1:29" ht="12.75" x14ac:dyDescent="0.2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</row>
    <row r="734" spans="1:29" ht="12.75" x14ac:dyDescent="0.2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</row>
    <row r="735" spans="1:29" ht="12.75" x14ac:dyDescent="0.2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</row>
    <row r="736" spans="1:29" ht="12.75" x14ac:dyDescent="0.2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</row>
    <row r="737" spans="1:29" ht="12.75" x14ac:dyDescent="0.2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</row>
    <row r="738" spans="1:29" ht="12.75" x14ac:dyDescent="0.2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</row>
    <row r="739" spans="1:29" ht="12.75" x14ac:dyDescent="0.2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</row>
    <row r="740" spans="1:29" ht="12.75" x14ac:dyDescent="0.2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</row>
    <row r="741" spans="1:29" ht="12.75" x14ac:dyDescent="0.2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</row>
    <row r="742" spans="1:29" ht="12.75" x14ac:dyDescent="0.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</row>
    <row r="743" spans="1:29" ht="12.75" x14ac:dyDescent="0.2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</row>
    <row r="744" spans="1:29" ht="12.75" x14ac:dyDescent="0.2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</row>
    <row r="745" spans="1:29" ht="12.75" x14ac:dyDescent="0.2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</row>
    <row r="746" spans="1:29" ht="12.75" x14ac:dyDescent="0.2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</row>
    <row r="747" spans="1:29" ht="12.75" x14ac:dyDescent="0.2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</row>
    <row r="748" spans="1:29" ht="12.75" x14ac:dyDescent="0.2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</row>
    <row r="749" spans="1:29" ht="12.75" x14ac:dyDescent="0.2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</row>
    <row r="750" spans="1:29" ht="12.75" x14ac:dyDescent="0.2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</row>
    <row r="751" spans="1:29" ht="12.75" x14ac:dyDescent="0.2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</row>
    <row r="752" spans="1:29" ht="12.75" x14ac:dyDescent="0.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</row>
    <row r="753" spans="1:29" ht="12.75" x14ac:dyDescent="0.2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</row>
    <row r="754" spans="1:29" ht="12.75" x14ac:dyDescent="0.2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</row>
    <row r="755" spans="1:29" ht="12.75" x14ac:dyDescent="0.2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</row>
    <row r="756" spans="1:29" ht="12.75" x14ac:dyDescent="0.2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</row>
    <row r="757" spans="1:29" ht="12.75" x14ac:dyDescent="0.2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</row>
    <row r="758" spans="1:29" ht="12.75" x14ac:dyDescent="0.2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</row>
    <row r="759" spans="1:29" ht="12.75" x14ac:dyDescent="0.2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</row>
    <row r="760" spans="1:29" ht="12.75" x14ac:dyDescent="0.2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</row>
    <row r="761" spans="1:29" ht="12.75" x14ac:dyDescent="0.2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</row>
    <row r="762" spans="1:29" ht="12.75" x14ac:dyDescent="0.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</row>
    <row r="763" spans="1:29" ht="12.75" x14ac:dyDescent="0.2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</row>
    <row r="764" spans="1:29" ht="12.75" x14ac:dyDescent="0.2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</row>
    <row r="765" spans="1:29" ht="12.75" x14ac:dyDescent="0.2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</row>
    <row r="766" spans="1:29" ht="12.75" x14ac:dyDescent="0.2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</row>
    <row r="767" spans="1:29" ht="12.75" x14ac:dyDescent="0.2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</row>
    <row r="768" spans="1:29" ht="12.75" x14ac:dyDescent="0.2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</row>
    <row r="769" spans="1:29" ht="12.75" x14ac:dyDescent="0.2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</row>
    <row r="770" spans="1:29" ht="12.75" x14ac:dyDescent="0.2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</row>
    <row r="771" spans="1:29" ht="12.75" x14ac:dyDescent="0.2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</row>
    <row r="772" spans="1:29" ht="12.75" x14ac:dyDescent="0.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</row>
    <row r="773" spans="1:29" ht="12.75" x14ac:dyDescent="0.2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</row>
    <row r="774" spans="1:29" ht="12.75" x14ac:dyDescent="0.2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</row>
    <row r="775" spans="1:29" ht="12.75" x14ac:dyDescent="0.2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</row>
    <row r="776" spans="1:29" ht="12.75" x14ac:dyDescent="0.2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</row>
    <row r="777" spans="1:29" ht="12.75" x14ac:dyDescent="0.2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</row>
    <row r="778" spans="1:29" ht="12.75" x14ac:dyDescent="0.2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</row>
    <row r="779" spans="1:29" ht="12.75" x14ac:dyDescent="0.2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</row>
    <row r="780" spans="1:29" ht="12.75" x14ac:dyDescent="0.2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</row>
    <row r="781" spans="1:29" ht="12.75" x14ac:dyDescent="0.2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</row>
    <row r="782" spans="1:29" ht="12.75" x14ac:dyDescent="0.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</row>
    <row r="783" spans="1:29" ht="12.75" x14ac:dyDescent="0.2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</row>
    <row r="784" spans="1:29" ht="12.75" x14ac:dyDescent="0.2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</row>
    <row r="785" spans="1:29" ht="12.75" x14ac:dyDescent="0.2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</row>
    <row r="786" spans="1:29" ht="12.75" x14ac:dyDescent="0.2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</row>
    <row r="787" spans="1:29" ht="12.75" x14ac:dyDescent="0.2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</row>
    <row r="788" spans="1:29" ht="12.75" x14ac:dyDescent="0.2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</row>
    <row r="789" spans="1:29" ht="12.75" x14ac:dyDescent="0.2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</row>
    <row r="790" spans="1:29" ht="12.75" x14ac:dyDescent="0.2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</row>
    <row r="791" spans="1:29" ht="12.75" x14ac:dyDescent="0.2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</row>
    <row r="792" spans="1:29" ht="12.75" x14ac:dyDescent="0.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</row>
    <row r="793" spans="1:29" ht="12.75" x14ac:dyDescent="0.2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</row>
    <row r="794" spans="1:29" ht="12.75" x14ac:dyDescent="0.2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</row>
    <row r="795" spans="1:29" ht="12.75" x14ac:dyDescent="0.2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</row>
    <row r="796" spans="1:29" ht="12.75" x14ac:dyDescent="0.2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</row>
    <row r="797" spans="1:29" ht="12.75" x14ac:dyDescent="0.2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</row>
    <row r="798" spans="1:29" ht="12.75" x14ac:dyDescent="0.2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</row>
    <row r="799" spans="1:29" ht="12.75" x14ac:dyDescent="0.2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</row>
    <row r="800" spans="1:29" ht="12.75" x14ac:dyDescent="0.2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</row>
    <row r="801" spans="1:29" ht="12.75" x14ac:dyDescent="0.2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</row>
    <row r="802" spans="1:29" ht="12.75" x14ac:dyDescent="0.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</row>
    <row r="803" spans="1:29" ht="12.75" x14ac:dyDescent="0.2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</row>
    <row r="804" spans="1:29" ht="12.75" x14ac:dyDescent="0.2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</row>
    <row r="805" spans="1:29" ht="12.75" x14ac:dyDescent="0.2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</row>
    <row r="806" spans="1:29" ht="12.75" x14ac:dyDescent="0.2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</row>
    <row r="807" spans="1:29" ht="12.75" x14ac:dyDescent="0.2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</row>
    <row r="808" spans="1:29" ht="12.75" x14ac:dyDescent="0.2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</row>
    <row r="809" spans="1:29" ht="12.75" x14ac:dyDescent="0.2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</row>
    <row r="810" spans="1:29" ht="12.75" x14ac:dyDescent="0.2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</row>
    <row r="811" spans="1:29" ht="12.75" x14ac:dyDescent="0.2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</row>
    <row r="812" spans="1:29" ht="12.75" x14ac:dyDescent="0.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</row>
    <row r="813" spans="1:29" ht="12.75" x14ac:dyDescent="0.2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</row>
    <row r="814" spans="1:29" ht="12.75" x14ac:dyDescent="0.2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</row>
    <row r="815" spans="1:29" ht="12.75" x14ac:dyDescent="0.2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</row>
    <row r="816" spans="1:29" ht="12.75" x14ac:dyDescent="0.2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</row>
    <row r="817" spans="1:29" ht="12.75" x14ac:dyDescent="0.2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</row>
    <row r="818" spans="1:29" ht="12.75" x14ac:dyDescent="0.2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</row>
    <row r="819" spans="1:29" ht="12.75" x14ac:dyDescent="0.2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</row>
    <row r="820" spans="1:29" ht="12.75" x14ac:dyDescent="0.2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</row>
    <row r="821" spans="1:29" ht="12.75" x14ac:dyDescent="0.2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</row>
    <row r="822" spans="1:29" ht="12.75" x14ac:dyDescent="0.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</row>
    <row r="823" spans="1:29" ht="12.75" x14ac:dyDescent="0.2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</row>
    <row r="824" spans="1:29" ht="12.75" x14ac:dyDescent="0.2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</row>
    <row r="825" spans="1:29" ht="12.75" x14ac:dyDescent="0.2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</row>
    <row r="826" spans="1:29" ht="12.75" x14ac:dyDescent="0.2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</row>
    <row r="827" spans="1:29" ht="12.75" x14ac:dyDescent="0.2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</row>
    <row r="828" spans="1:29" ht="12.75" x14ac:dyDescent="0.2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</row>
    <row r="829" spans="1:29" ht="12.75" x14ac:dyDescent="0.2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</row>
    <row r="830" spans="1:29" ht="12.75" x14ac:dyDescent="0.2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</row>
    <row r="831" spans="1:29" ht="12.75" x14ac:dyDescent="0.2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</row>
    <row r="832" spans="1:29" ht="12.75" x14ac:dyDescent="0.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</row>
    <row r="833" spans="1:29" ht="12.75" x14ac:dyDescent="0.2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</row>
    <row r="834" spans="1:29" ht="12.75" x14ac:dyDescent="0.2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</row>
    <row r="835" spans="1:29" ht="12.75" x14ac:dyDescent="0.2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</row>
    <row r="836" spans="1:29" ht="12.75" x14ac:dyDescent="0.2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</row>
    <row r="837" spans="1:29" ht="12.75" x14ac:dyDescent="0.2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</row>
    <row r="838" spans="1:29" ht="12.75" x14ac:dyDescent="0.2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</row>
    <row r="839" spans="1:29" ht="12.75" x14ac:dyDescent="0.2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</row>
    <row r="840" spans="1:29" ht="12.75" x14ac:dyDescent="0.2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</row>
    <row r="841" spans="1:29" ht="12.75" x14ac:dyDescent="0.2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</row>
    <row r="842" spans="1:29" ht="12.75" x14ac:dyDescent="0.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</row>
    <row r="843" spans="1:29" ht="12.75" x14ac:dyDescent="0.2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</row>
    <row r="844" spans="1:29" ht="12.75" x14ac:dyDescent="0.2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</row>
    <row r="845" spans="1:29" ht="12.75" x14ac:dyDescent="0.2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</row>
    <row r="846" spans="1:29" ht="12.75" x14ac:dyDescent="0.2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</row>
    <row r="847" spans="1:29" ht="12.75" x14ac:dyDescent="0.2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</row>
    <row r="848" spans="1:29" ht="12.75" x14ac:dyDescent="0.2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</row>
    <row r="849" spans="1:29" ht="12.75" x14ac:dyDescent="0.2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</row>
    <row r="850" spans="1:29" ht="12.75" x14ac:dyDescent="0.2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</row>
    <row r="851" spans="1:29" ht="12.75" x14ac:dyDescent="0.2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</row>
    <row r="852" spans="1:29" ht="12.75" x14ac:dyDescent="0.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</row>
    <row r="853" spans="1:29" ht="12.75" x14ac:dyDescent="0.2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</row>
    <row r="854" spans="1:29" ht="12.75" x14ac:dyDescent="0.2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</row>
    <row r="855" spans="1:29" ht="12.75" x14ac:dyDescent="0.2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</row>
    <row r="856" spans="1:29" ht="12.75" x14ac:dyDescent="0.2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</row>
    <row r="857" spans="1:29" ht="12.75" x14ac:dyDescent="0.2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</row>
    <row r="858" spans="1:29" ht="12.75" x14ac:dyDescent="0.2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</row>
    <row r="859" spans="1:29" ht="12.75" x14ac:dyDescent="0.2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</row>
    <row r="860" spans="1:29" ht="12.75" x14ac:dyDescent="0.2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</row>
    <row r="861" spans="1:29" ht="12.75" x14ac:dyDescent="0.2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</row>
    <row r="862" spans="1:29" ht="12.75" x14ac:dyDescent="0.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</row>
    <row r="863" spans="1:29" ht="12.75" x14ac:dyDescent="0.2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</row>
    <row r="864" spans="1:29" ht="12.75" x14ac:dyDescent="0.2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</row>
    <row r="865" spans="1:29" ht="12.75" x14ac:dyDescent="0.2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</row>
    <row r="866" spans="1:29" ht="12.75" x14ac:dyDescent="0.2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</row>
    <row r="867" spans="1:29" ht="12.75" x14ac:dyDescent="0.2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</row>
    <row r="868" spans="1:29" ht="12.75" x14ac:dyDescent="0.2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</row>
    <row r="869" spans="1:29" ht="12.75" x14ac:dyDescent="0.2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</row>
    <row r="870" spans="1:29" ht="12.75" x14ac:dyDescent="0.2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</row>
    <row r="871" spans="1:29" ht="12.75" x14ac:dyDescent="0.2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</row>
    <row r="872" spans="1:29" ht="12.75" x14ac:dyDescent="0.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</row>
    <row r="873" spans="1:29" ht="12.75" x14ac:dyDescent="0.2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</row>
    <row r="874" spans="1:29" ht="12.75" x14ac:dyDescent="0.2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</row>
    <row r="875" spans="1:29" ht="12.75" x14ac:dyDescent="0.2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</row>
    <row r="876" spans="1:29" ht="12.75" x14ac:dyDescent="0.2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</row>
    <row r="877" spans="1:29" ht="12.75" x14ac:dyDescent="0.2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</row>
    <row r="878" spans="1:29" ht="12.75" x14ac:dyDescent="0.2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</row>
    <row r="879" spans="1:29" ht="12.75" x14ac:dyDescent="0.2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</row>
    <row r="880" spans="1:29" ht="12.75" x14ac:dyDescent="0.2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</row>
    <row r="881" spans="1:29" ht="12.75" x14ac:dyDescent="0.2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</row>
    <row r="882" spans="1:29" ht="12.75" x14ac:dyDescent="0.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</row>
    <row r="883" spans="1:29" ht="12.75" x14ac:dyDescent="0.2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</row>
    <row r="884" spans="1:29" ht="12.75" x14ac:dyDescent="0.2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</row>
    <row r="885" spans="1:29" ht="12.75" x14ac:dyDescent="0.2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</row>
    <row r="886" spans="1:29" ht="12.75" x14ac:dyDescent="0.2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</row>
    <row r="887" spans="1:29" ht="12.75" x14ac:dyDescent="0.2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</row>
    <row r="888" spans="1:29" ht="12.75" x14ac:dyDescent="0.2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</row>
    <row r="889" spans="1:29" ht="12.75" x14ac:dyDescent="0.2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</row>
    <row r="890" spans="1:29" ht="12.75" x14ac:dyDescent="0.2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</row>
    <row r="891" spans="1:29" ht="12.75" x14ac:dyDescent="0.2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</row>
    <row r="892" spans="1:29" ht="12.75" x14ac:dyDescent="0.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</row>
    <row r="893" spans="1:29" ht="12.75" x14ac:dyDescent="0.2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</row>
    <row r="894" spans="1:29" ht="12.75" x14ac:dyDescent="0.2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</row>
    <row r="895" spans="1:29" ht="12.75" x14ac:dyDescent="0.2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</row>
    <row r="896" spans="1:29" ht="12.75" x14ac:dyDescent="0.2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</row>
    <row r="897" spans="1:29" ht="12.75" x14ac:dyDescent="0.2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</row>
    <row r="898" spans="1:29" ht="12.75" x14ac:dyDescent="0.2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</row>
    <row r="899" spans="1:29" ht="12.75" x14ac:dyDescent="0.2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</row>
    <row r="900" spans="1:29" ht="12.75" x14ac:dyDescent="0.2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</row>
    <row r="901" spans="1:29" ht="12.75" x14ac:dyDescent="0.2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</row>
    <row r="902" spans="1:29" ht="12.75" x14ac:dyDescent="0.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</row>
    <row r="903" spans="1:29" ht="12.75" x14ac:dyDescent="0.2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</row>
    <row r="904" spans="1:29" ht="12.75" x14ac:dyDescent="0.2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</row>
    <row r="905" spans="1:29" ht="12.75" x14ac:dyDescent="0.2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</row>
    <row r="906" spans="1:29" ht="12.75" x14ac:dyDescent="0.2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</row>
    <row r="907" spans="1:29" ht="12.75" x14ac:dyDescent="0.2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</row>
    <row r="908" spans="1:29" ht="12.75" x14ac:dyDescent="0.2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</row>
    <row r="909" spans="1:29" ht="12.75" x14ac:dyDescent="0.2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</row>
    <row r="910" spans="1:29" ht="12.75" x14ac:dyDescent="0.2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</row>
    <row r="911" spans="1:29" ht="12.75" x14ac:dyDescent="0.2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</row>
    <row r="912" spans="1:29" ht="12.75" x14ac:dyDescent="0.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</row>
    <row r="913" spans="1:29" ht="12.75" x14ac:dyDescent="0.2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</row>
    <row r="914" spans="1:29" ht="12.75" x14ac:dyDescent="0.2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</row>
    <row r="915" spans="1:29" ht="12.75" x14ac:dyDescent="0.2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</row>
    <row r="916" spans="1:29" ht="12.75" x14ac:dyDescent="0.2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</row>
    <row r="917" spans="1:29" ht="12.75" x14ac:dyDescent="0.2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</row>
    <row r="918" spans="1:29" ht="12.75" x14ac:dyDescent="0.2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</row>
    <row r="919" spans="1:29" ht="12.75" x14ac:dyDescent="0.2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</row>
    <row r="920" spans="1:29" ht="12.75" x14ac:dyDescent="0.2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</row>
    <row r="921" spans="1:29" ht="12.75" x14ac:dyDescent="0.2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</row>
    <row r="922" spans="1:29" ht="12.75" x14ac:dyDescent="0.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</row>
    <row r="923" spans="1:29" ht="12.75" x14ac:dyDescent="0.2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</row>
    <row r="924" spans="1:29" ht="12.75" x14ac:dyDescent="0.2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</row>
    <row r="925" spans="1:29" ht="12.75" x14ac:dyDescent="0.2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</row>
    <row r="926" spans="1:29" ht="12.75" x14ac:dyDescent="0.2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</row>
    <row r="927" spans="1:29" ht="12.75" x14ac:dyDescent="0.2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</row>
    <row r="928" spans="1:29" ht="12.75" x14ac:dyDescent="0.2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</row>
    <row r="929" spans="1:29" ht="12.75" x14ac:dyDescent="0.2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</row>
    <row r="930" spans="1:29" ht="12.75" x14ac:dyDescent="0.2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</row>
    <row r="931" spans="1:29" ht="12.75" x14ac:dyDescent="0.2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</row>
    <row r="932" spans="1:29" ht="12.75" x14ac:dyDescent="0.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</row>
    <row r="933" spans="1:29" ht="12.75" x14ac:dyDescent="0.2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</row>
    <row r="934" spans="1:29" ht="12.75" x14ac:dyDescent="0.2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</row>
    <row r="935" spans="1:29" ht="12.75" x14ac:dyDescent="0.2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</row>
    <row r="936" spans="1:29" ht="12.75" x14ac:dyDescent="0.2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</row>
    <row r="937" spans="1:29" ht="12.75" x14ac:dyDescent="0.2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</row>
    <row r="938" spans="1:29" ht="12.75" x14ac:dyDescent="0.2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</row>
    <row r="939" spans="1:29" ht="12.75" x14ac:dyDescent="0.2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</row>
    <row r="940" spans="1:29" ht="12.75" x14ac:dyDescent="0.2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</row>
    <row r="941" spans="1:29" ht="12.75" x14ac:dyDescent="0.2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</row>
    <row r="942" spans="1:29" ht="12.75" x14ac:dyDescent="0.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</row>
    <row r="943" spans="1:29" ht="12.75" x14ac:dyDescent="0.2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</row>
    <row r="944" spans="1:29" ht="12.75" x14ac:dyDescent="0.2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</row>
    <row r="945" spans="1:29" ht="12.75" x14ac:dyDescent="0.2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</row>
    <row r="946" spans="1:29" ht="12.75" x14ac:dyDescent="0.2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</row>
    <row r="947" spans="1:29" ht="12.75" x14ac:dyDescent="0.2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</row>
    <row r="948" spans="1:29" ht="12.75" x14ac:dyDescent="0.2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</row>
    <row r="949" spans="1:29" ht="12.75" x14ac:dyDescent="0.2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</row>
    <row r="950" spans="1:29" ht="12.75" x14ac:dyDescent="0.2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</row>
    <row r="951" spans="1:29" ht="12.75" x14ac:dyDescent="0.2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</row>
    <row r="952" spans="1:29" ht="12.75" x14ac:dyDescent="0.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</row>
    <row r="953" spans="1:29" ht="12.75" x14ac:dyDescent="0.2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</row>
    <row r="954" spans="1:29" ht="12.75" x14ac:dyDescent="0.2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</row>
    <row r="955" spans="1:29" ht="12.75" x14ac:dyDescent="0.2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</row>
    <row r="956" spans="1:29" ht="12.75" x14ac:dyDescent="0.2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</row>
    <row r="957" spans="1:29" ht="12.75" x14ac:dyDescent="0.2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</row>
    <row r="958" spans="1:29" ht="12.75" x14ac:dyDescent="0.2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</row>
    <row r="959" spans="1:29" ht="12.75" x14ac:dyDescent="0.2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</row>
    <row r="960" spans="1:29" ht="12.75" x14ac:dyDescent="0.2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</row>
    <row r="961" spans="1:29" ht="12.75" x14ac:dyDescent="0.2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</row>
    <row r="962" spans="1:29" ht="12.75" x14ac:dyDescent="0.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</row>
    <row r="963" spans="1:29" ht="12.75" x14ac:dyDescent="0.2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</row>
    <row r="964" spans="1:29" ht="12.75" x14ac:dyDescent="0.2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</row>
    <row r="965" spans="1:29" ht="12.75" x14ac:dyDescent="0.2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</row>
    <row r="966" spans="1:29" ht="12.75" x14ac:dyDescent="0.2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</row>
    <row r="967" spans="1:29" ht="12.75" x14ac:dyDescent="0.2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</row>
    <row r="968" spans="1:29" ht="12.75" x14ac:dyDescent="0.2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</row>
  </sheetData>
  <mergeCells count="33">
    <mergeCell ref="S22:T22"/>
    <mergeCell ref="U22:V22"/>
    <mergeCell ref="W22:X22"/>
    <mergeCell ref="B3:E3"/>
    <mergeCell ref="F3:H3"/>
    <mergeCell ref="A20:K20"/>
    <mergeCell ref="B21:E21"/>
    <mergeCell ref="F21:G21"/>
    <mergeCell ref="H21:I21"/>
    <mergeCell ref="J21:K21"/>
    <mergeCell ref="B22:E22"/>
    <mergeCell ref="F22:G22"/>
    <mergeCell ref="H22:I22"/>
    <mergeCell ref="J22:K22"/>
    <mergeCell ref="O22:R22"/>
    <mergeCell ref="Y2:Z3"/>
    <mergeCell ref="M2:N2"/>
    <mergeCell ref="M3:N3"/>
    <mergeCell ref="A1:R1"/>
    <mergeCell ref="Y1:Z1"/>
    <mergeCell ref="B2:E2"/>
    <mergeCell ref="F2:H2"/>
    <mergeCell ref="I2:K2"/>
    <mergeCell ref="O2:R3"/>
    <mergeCell ref="I3:K3"/>
    <mergeCell ref="S1:U1"/>
    <mergeCell ref="S2:U2"/>
    <mergeCell ref="N20:X20"/>
    <mergeCell ref="O21:R21"/>
    <mergeCell ref="S21:T21"/>
    <mergeCell ref="U21:V21"/>
    <mergeCell ref="W21:X21"/>
    <mergeCell ref="V2:X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970"/>
  <sheetViews>
    <sheetView showGridLines="0" workbookViewId="0"/>
  </sheetViews>
  <sheetFormatPr defaultColWidth="12.5703125" defaultRowHeight="15.75" customHeight="1" x14ac:dyDescent="0.2"/>
  <cols>
    <col min="1" max="1" width="2.42578125" customWidth="1"/>
    <col min="2" max="2" width="6.28515625" customWidth="1"/>
    <col min="3" max="3" width="4" customWidth="1"/>
    <col min="4" max="6" width="7.5703125" customWidth="1"/>
    <col min="7" max="8" width="8.42578125" customWidth="1"/>
    <col min="9" max="10" width="7.5703125" customWidth="1"/>
    <col min="11" max="11" width="8.5703125" customWidth="1"/>
    <col min="12" max="12" width="7.5703125" customWidth="1"/>
    <col min="13" max="13" width="8.42578125" customWidth="1"/>
    <col min="14" max="15" width="7.5703125" customWidth="1"/>
    <col min="16" max="16" width="9" customWidth="1"/>
    <col min="17" max="17" width="10.5703125" customWidth="1"/>
    <col min="18" max="18" width="8.42578125" customWidth="1"/>
    <col min="19" max="19" width="9.28515625" customWidth="1"/>
    <col min="20" max="21" width="6.85546875" customWidth="1"/>
    <col min="22" max="23" width="9.140625" customWidth="1"/>
    <col min="24" max="25" width="8.42578125" customWidth="1"/>
    <col min="26" max="26" width="1.42578125" customWidth="1"/>
    <col min="27" max="29" width="9.28515625" customWidth="1"/>
    <col min="30" max="30" width="7.85546875" customWidth="1"/>
    <col min="31" max="32" width="8.7109375" customWidth="1"/>
    <col min="33" max="33" width="7.7109375" customWidth="1"/>
    <col min="34" max="35" width="8.42578125" customWidth="1"/>
    <col min="36" max="40" width="1.7109375" customWidth="1"/>
  </cols>
  <sheetData>
    <row r="1" spans="1:32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AA1" s="114"/>
      <c r="AB1" s="114"/>
      <c r="AC1" s="114"/>
      <c r="AD1" s="114"/>
    </row>
    <row r="2" spans="1:32" ht="15.75" customHeight="1" x14ac:dyDescent="0.35">
      <c r="A2" s="114"/>
      <c r="B2" s="401" t="s">
        <v>159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406"/>
      <c r="AA2" s="420" t="s">
        <v>160</v>
      </c>
      <c r="AB2" s="387"/>
      <c r="AC2" s="406"/>
      <c r="AD2" s="407" t="s">
        <v>161</v>
      </c>
      <c r="AE2" s="387"/>
      <c r="AF2" s="406"/>
    </row>
    <row r="3" spans="1:32" x14ac:dyDescent="0.2">
      <c r="A3" s="114"/>
      <c r="B3" s="49"/>
      <c r="C3" s="49"/>
      <c r="D3" s="402" t="s">
        <v>162</v>
      </c>
      <c r="E3" s="389"/>
      <c r="F3" s="389"/>
      <c r="G3" s="389"/>
      <c r="H3" s="389"/>
      <c r="I3" s="389"/>
      <c r="J3" s="389"/>
      <c r="K3" s="390"/>
      <c r="L3" s="403" t="s">
        <v>163</v>
      </c>
      <c r="M3" s="389"/>
      <c r="N3" s="389"/>
      <c r="O3" s="390"/>
      <c r="P3" s="404" t="s">
        <v>23</v>
      </c>
      <c r="Q3" s="389"/>
      <c r="R3" s="389"/>
      <c r="S3" s="408" t="s">
        <v>164</v>
      </c>
      <c r="T3" s="389"/>
      <c r="U3" s="390"/>
      <c r="V3" s="409" t="s">
        <v>165</v>
      </c>
      <c r="W3" s="389"/>
      <c r="X3" s="389"/>
      <c r="Y3" s="390"/>
      <c r="AA3" s="421" t="s">
        <v>166</v>
      </c>
      <c r="AB3" s="389"/>
      <c r="AC3" s="390"/>
      <c r="AD3" s="410" t="s">
        <v>167</v>
      </c>
      <c r="AE3" s="389"/>
      <c r="AF3" s="390"/>
    </row>
    <row r="4" spans="1:32" x14ac:dyDescent="0.2">
      <c r="A4" s="114"/>
      <c r="B4" s="51"/>
      <c r="C4" s="51"/>
      <c r="D4" s="391" t="s">
        <v>67</v>
      </c>
      <c r="E4" s="374"/>
      <c r="F4" s="374"/>
      <c r="G4" s="374"/>
      <c r="H4" s="374"/>
      <c r="I4" s="374"/>
      <c r="J4" s="374"/>
      <c r="K4" s="392"/>
      <c r="L4" s="393" t="s">
        <v>68</v>
      </c>
      <c r="M4" s="374"/>
      <c r="N4" s="374"/>
      <c r="O4" s="392"/>
      <c r="P4" s="394" t="s">
        <v>67</v>
      </c>
      <c r="Q4" s="374"/>
      <c r="R4" s="374"/>
      <c r="S4" s="412" t="s">
        <v>69</v>
      </c>
      <c r="T4" s="374"/>
      <c r="U4" s="392"/>
      <c r="V4" s="374"/>
      <c r="W4" s="374"/>
      <c r="X4" s="374"/>
      <c r="Y4" s="392"/>
      <c r="AA4" s="115" t="s">
        <v>168</v>
      </c>
      <c r="AB4" s="116">
        <v>1000</v>
      </c>
      <c r="AC4" s="117">
        <v>2000</v>
      </c>
      <c r="AD4" s="411"/>
      <c r="AE4" s="374"/>
      <c r="AF4" s="392"/>
    </row>
    <row r="5" spans="1:32" x14ac:dyDescent="0.2">
      <c r="A5" s="114"/>
      <c r="B5" s="118" t="s">
        <v>34</v>
      </c>
      <c r="C5" s="119" t="s">
        <v>169</v>
      </c>
      <c r="D5" s="52" t="s">
        <v>25</v>
      </c>
      <c r="E5" s="120" t="s">
        <v>70</v>
      </c>
      <c r="F5" s="120" t="s">
        <v>71</v>
      </c>
      <c r="G5" s="120" t="s">
        <v>72</v>
      </c>
      <c r="H5" s="121" t="s">
        <v>73</v>
      </c>
      <c r="I5" s="122" t="s">
        <v>170</v>
      </c>
      <c r="J5" s="123" t="s">
        <v>72</v>
      </c>
      <c r="K5" s="123" t="s">
        <v>73</v>
      </c>
      <c r="L5" s="124" t="s">
        <v>25</v>
      </c>
      <c r="M5" s="125" t="s">
        <v>70</v>
      </c>
      <c r="N5" s="125" t="s">
        <v>71</v>
      </c>
      <c r="O5" s="126" t="s">
        <v>75</v>
      </c>
      <c r="P5" s="127" t="s">
        <v>25</v>
      </c>
      <c r="Q5" s="127" t="s">
        <v>70</v>
      </c>
      <c r="R5" s="127" t="s">
        <v>71</v>
      </c>
      <c r="S5" s="128" t="s">
        <v>25</v>
      </c>
      <c r="T5" s="129" t="s">
        <v>71</v>
      </c>
      <c r="U5" s="130" t="s">
        <v>75</v>
      </c>
      <c r="V5" s="131" t="s">
        <v>171</v>
      </c>
      <c r="W5" s="132" t="s">
        <v>172</v>
      </c>
      <c r="X5" s="132" t="s">
        <v>173</v>
      </c>
      <c r="Y5" s="133" t="s">
        <v>13</v>
      </c>
      <c r="AA5" s="134" t="s">
        <v>169</v>
      </c>
      <c r="AB5" s="135" t="s">
        <v>174</v>
      </c>
      <c r="AC5" s="136" t="s">
        <v>175</v>
      </c>
      <c r="AD5" s="137" t="s">
        <v>34</v>
      </c>
      <c r="AE5" s="138" t="s">
        <v>25</v>
      </c>
      <c r="AF5" s="139" t="s">
        <v>19</v>
      </c>
    </row>
    <row r="6" spans="1:32" x14ac:dyDescent="0.2">
      <c r="A6" s="114"/>
      <c r="B6" s="140" t="s">
        <v>77</v>
      </c>
      <c r="C6" s="140">
        <v>33</v>
      </c>
      <c r="D6" s="141">
        <v>3000</v>
      </c>
      <c r="E6" s="142">
        <v>15000</v>
      </c>
      <c r="F6" s="67">
        <v>150</v>
      </c>
      <c r="G6" s="67">
        <v>202.5</v>
      </c>
      <c r="H6" s="67">
        <v>270</v>
      </c>
      <c r="I6" s="68">
        <v>225</v>
      </c>
      <c r="J6" s="69">
        <v>277.5</v>
      </c>
      <c r="K6" s="69">
        <v>345</v>
      </c>
      <c r="L6" s="18">
        <v>6000</v>
      </c>
      <c r="M6" s="17">
        <v>30000</v>
      </c>
      <c r="N6" s="12">
        <v>200</v>
      </c>
      <c r="O6" s="71">
        <f t="shared" ref="O6:O17" si="0">N6*1.3</f>
        <v>260</v>
      </c>
      <c r="P6" s="17">
        <v>6000</v>
      </c>
      <c r="Q6" s="17">
        <v>30000</v>
      </c>
      <c r="R6" s="15">
        <v>1510</v>
      </c>
      <c r="S6" s="18">
        <v>6000</v>
      </c>
      <c r="T6" s="143">
        <v>1000</v>
      </c>
      <c r="U6" s="144">
        <f t="shared" ref="U6:U17" si="1">T6*1.3</f>
        <v>1300</v>
      </c>
      <c r="V6" s="145">
        <v>-0.5</v>
      </c>
      <c r="W6" s="145">
        <v>-0.5</v>
      </c>
      <c r="X6" s="146" t="s">
        <v>176</v>
      </c>
      <c r="Y6" s="147" t="s">
        <v>177</v>
      </c>
      <c r="AA6" s="148">
        <v>33</v>
      </c>
      <c r="AB6" s="149">
        <v>680</v>
      </c>
      <c r="AC6" s="150">
        <v>2000</v>
      </c>
      <c r="AD6" s="151" t="s">
        <v>77</v>
      </c>
      <c r="AE6" s="152">
        <f t="shared" ref="AE6:AE16" si="2">(D6)+(L6/3)+(P6)+(S6/2)</f>
        <v>14000</v>
      </c>
      <c r="AF6" s="153">
        <f t="shared" ref="AF6:AF16" si="3">(E6)+(M6/3)+(Q6)+(S6/2)</f>
        <v>58000</v>
      </c>
    </row>
    <row r="7" spans="1:32" x14ac:dyDescent="0.2">
      <c r="A7" s="114"/>
      <c r="B7" s="140" t="s">
        <v>4</v>
      </c>
      <c r="C7" s="140">
        <v>34</v>
      </c>
      <c r="D7" s="18">
        <v>4000</v>
      </c>
      <c r="E7" s="17">
        <v>20000</v>
      </c>
      <c r="F7" s="8">
        <v>300</v>
      </c>
      <c r="G7" s="8">
        <v>405</v>
      </c>
      <c r="H7" s="8">
        <v>540</v>
      </c>
      <c r="I7" s="68">
        <v>450</v>
      </c>
      <c r="J7" s="58">
        <v>555</v>
      </c>
      <c r="K7" s="58">
        <v>690</v>
      </c>
      <c r="L7" s="18">
        <v>7000</v>
      </c>
      <c r="M7" s="17">
        <v>35000</v>
      </c>
      <c r="N7" s="12">
        <v>400</v>
      </c>
      <c r="O7" s="71">
        <f t="shared" si="0"/>
        <v>520</v>
      </c>
      <c r="P7" s="17">
        <v>7000</v>
      </c>
      <c r="Q7" s="17">
        <v>35000</v>
      </c>
      <c r="R7" s="15">
        <v>1575</v>
      </c>
      <c r="S7" s="18">
        <v>7000</v>
      </c>
      <c r="T7" s="143">
        <v>1050</v>
      </c>
      <c r="U7" s="144">
        <f t="shared" si="1"/>
        <v>1365</v>
      </c>
      <c r="V7" s="145">
        <v>-0.51</v>
      </c>
      <c r="W7" s="145">
        <v>-0.51</v>
      </c>
      <c r="X7" s="146" t="s">
        <v>178</v>
      </c>
      <c r="Y7" s="147" t="s">
        <v>179</v>
      </c>
      <c r="AA7" s="154">
        <v>34</v>
      </c>
      <c r="AB7" s="149">
        <v>714</v>
      </c>
      <c r="AC7" s="150">
        <v>2100</v>
      </c>
      <c r="AD7" s="151" t="s">
        <v>4</v>
      </c>
      <c r="AE7" s="152">
        <f t="shared" si="2"/>
        <v>16833.333333333336</v>
      </c>
      <c r="AF7" s="153">
        <f t="shared" si="3"/>
        <v>70166.666666666657</v>
      </c>
    </row>
    <row r="8" spans="1:32" x14ac:dyDescent="0.2">
      <c r="A8" s="114"/>
      <c r="B8" s="119" t="s">
        <v>78</v>
      </c>
      <c r="C8" s="119">
        <v>35</v>
      </c>
      <c r="D8" s="63">
        <v>6500</v>
      </c>
      <c r="E8" s="64">
        <v>32500</v>
      </c>
      <c r="F8" s="56">
        <v>750</v>
      </c>
      <c r="G8" s="56">
        <v>1012.5000000000001</v>
      </c>
      <c r="H8" s="56">
        <v>1350</v>
      </c>
      <c r="I8" s="57">
        <v>1125</v>
      </c>
      <c r="J8" s="74">
        <v>1387.5</v>
      </c>
      <c r="K8" s="74">
        <v>1724.9999999999998</v>
      </c>
      <c r="L8" s="63">
        <v>11000</v>
      </c>
      <c r="M8" s="64">
        <v>55000</v>
      </c>
      <c r="N8" s="60">
        <v>1000</v>
      </c>
      <c r="O8" s="61">
        <f t="shared" si="0"/>
        <v>1300</v>
      </c>
      <c r="P8" s="64">
        <v>11000</v>
      </c>
      <c r="Q8" s="64">
        <v>55000</v>
      </c>
      <c r="R8" s="62">
        <v>1650</v>
      </c>
      <c r="S8" s="63">
        <v>11000</v>
      </c>
      <c r="T8" s="155">
        <v>1100</v>
      </c>
      <c r="U8" s="156">
        <f t="shared" si="1"/>
        <v>1430</v>
      </c>
      <c r="V8" s="157">
        <v>-0.52</v>
      </c>
      <c r="W8" s="157">
        <v>-0.52</v>
      </c>
      <c r="X8" s="158" t="s">
        <v>177</v>
      </c>
      <c r="Y8" s="159" t="s">
        <v>180</v>
      </c>
      <c r="AA8" s="148">
        <v>35</v>
      </c>
      <c r="AB8" s="149">
        <v>748</v>
      </c>
      <c r="AC8" s="150">
        <v>2200</v>
      </c>
      <c r="AD8" s="151" t="s">
        <v>78</v>
      </c>
      <c r="AE8" s="152">
        <f t="shared" si="2"/>
        <v>26666.666666666664</v>
      </c>
      <c r="AF8" s="153">
        <f t="shared" si="3"/>
        <v>111333.33333333333</v>
      </c>
    </row>
    <row r="9" spans="1:32" x14ac:dyDescent="0.2">
      <c r="A9" s="114"/>
      <c r="B9" s="140" t="s">
        <v>79</v>
      </c>
      <c r="C9" s="140">
        <v>36</v>
      </c>
      <c r="D9" s="18">
        <v>9000</v>
      </c>
      <c r="E9" s="17">
        <v>45000</v>
      </c>
      <c r="F9" s="8">
        <v>1500</v>
      </c>
      <c r="G9" s="8">
        <v>2025.0000000000002</v>
      </c>
      <c r="H9" s="8">
        <v>2700</v>
      </c>
      <c r="I9" s="68">
        <v>2250</v>
      </c>
      <c r="J9" s="58">
        <v>2775</v>
      </c>
      <c r="K9" s="58">
        <v>3449.9999999999995</v>
      </c>
      <c r="L9" s="18">
        <v>15000</v>
      </c>
      <c r="M9" s="17">
        <v>75000</v>
      </c>
      <c r="N9" s="12">
        <v>2000</v>
      </c>
      <c r="O9" s="71">
        <f t="shared" si="0"/>
        <v>2600</v>
      </c>
      <c r="P9" s="17">
        <v>15000</v>
      </c>
      <c r="Q9" s="17">
        <v>75000</v>
      </c>
      <c r="R9" s="15">
        <v>1750</v>
      </c>
      <c r="S9" s="18">
        <v>15000</v>
      </c>
      <c r="T9" s="143">
        <v>1150</v>
      </c>
      <c r="U9" s="144">
        <f t="shared" si="1"/>
        <v>1495</v>
      </c>
      <c r="V9" s="145">
        <v>-0.53</v>
      </c>
      <c r="W9" s="145">
        <v>-0.53</v>
      </c>
      <c r="X9" s="146" t="s">
        <v>181</v>
      </c>
      <c r="Y9" s="147" t="s">
        <v>182</v>
      </c>
      <c r="AA9" s="154" t="s">
        <v>183</v>
      </c>
      <c r="AB9" s="149">
        <v>782</v>
      </c>
      <c r="AC9" s="150">
        <v>2300</v>
      </c>
      <c r="AD9" s="151" t="s">
        <v>79</v>
      </c>
      <c r="AE9" s="152">
        <f t="shared" si="2"/>
        <v>36500</v>
      </c>
      <c r="AF9" s="153">
        <f t="shared" si="3"/>
        <v>152500</v>
      </c>
    </row>
    <row r="10" spans="1:32" x14ac:dyDescent="0.2">
      <c r="A10" s="114"/>
      <c r="B10" s="140" t="s">
        <v>80</v>
      </c>
      <c r="C10" s="140">
        <v>37</v>
      </c>
      <c r="D10" s="18">
        <v>13000</v>
      </c>
      <c r="E10" s="17">
        <v>65000</v>
      </c>
      <c r="F10" s="8">
        <v>3000</v>
      </c>
      <c r="G10" s="8">
        <v>4050.0000000000005</v>
      </c>
      <c r="H10" s="8">
        <v>5400</v>
      </c>
      <c r="I10" s="68">
        <v>4500</v>
      </c>
      <c r="J10" s="58">
        <v>5550</v>
      </c>
      <c r="K10" s="58">
        <v>6899.9999999999991</v>
      </c>
      <c r="L10" s="18">
        <v>21000</v>
      </c>
      <c r="M10" s="17">
        <v>105000</v>
      </c>
      <c r="N10" s="12">
        <v>4000</v>
      </c>
      <c r="O10" s="71">
        <f t="shared" si="0"/>
        <v>5200</v>
      </c>
      <c r="P10" s="17">
        <v>21000</v>
      </c>
      <c r="Q10" s="17">
        <v>105000</v>
      </c>
      <c r="R10" s="15">
        <v>1900</v>
      </c>
      <c r="S10" s="18">
        <v>21000</v>
      </c>
      <c r="T10" s="143">
        <v>1200</v>
      </c>
      <c r="U10" s="144">
        <f t="shared" si="1"/>
        <v>1560</v>
      </c>
      <c r="V10" s="145">
        <v>-0.54</v>
      </c>
      <c r="W10" s="145">
        <v>-0.54</v>
      </c>
      <c r="X10" s="146" t="s">
        <v>184</v>
      </c>
      <c r="Y10" s="147" t="s">
        <v>185</v>
      </c>
      <c r="AA10" s="154">
        <v>38</v>
      </c>
      <c r="AB10" s="149">
        <v>816</v>
      </c>
      <c r="AC10" s="150">
        <v>2400</v>
      </c>
      <c r="AD10" s="151" t="s">
        <v>80</v>
      </c>
      <c r="AE10" s="152">
        <f t="shared" si="2"/>
        <v>51500</v>
      </c>
      <c r="AF10" s="153">
        <f t="shared" si="3"/>
        <v>215500</v>
      </c>
    </row>
    <row r="11" spans="1:32" x14ac:dyDescent="0.2">
      <c r="A11" s="114"/>
      <c r="B11" s="119" t="s">
        <v>81</v>
      </c>
      <c r="C11" s="119">
        <v>39</v>
      </c>
      <c r="D11" s="63">
        <v>17000</v>
      </c>
      <c r="E11" s="64">
        <v>85000</v>
      </c>
      <c r="F11" s="56">
        <v>4500</v>
      </c>
      <c r="G11" s="56">
        <v>6075</v>
      </c>
      <c r="H11" s="56">
        <v>8100</v>
      </c>
      <c r="I11" s="57">
        <v>6750</v>
      </c>
      <c r="J11" s="74">
        <v>8325</v>
      </c>
      <c r="K11" s="74">
        <v>10350</v>
      </c>
      <c r="L11" s="63">
        <v>27000</v>
      </c>
      <c r="M11" s="64">
        <v>135000</v>
      </c>
      <c r="N11" s="60">
        <v>6000</v>
      </c>
      <c r="O11" s="61">
        <f t="shared" si="0"/>
        <v>7800</v>
      </c>
      <c r="P11" s="64">
        <v>27000</v>
      </c>
      <c r="Q11" s="64">
        <v>135000</v>
      </c>
      <c r="R11" s="62">
        <v>2075</v>
      </c>
      <c r="S11" s="63">
        <v>27000</v>
      </c>
      <c r="T11" s="155">
        <v>1250</v>
      </c>
      <c r="U11" s="156">
        <f t="shared" si="1"/>
        <v>1625</v>
      </c>
      <c r="V11" s="157">
        <v>-0.55000000000000004</v>
      </c>
      <c r="W11" s="157">
        <v>-0.55000000000000004</v>
      </c>
      <c r="X11" s="158" t="s">
        <v>186</v>
      </c>
      <c r="Y11" s="159" t="s">
        <v>187</v>
      </c>
      <c r="AA11" s="148">
        <v>39</v>
      </c>
      <c r="AB11" s="149">
        <v>850</v>
      </c>
      <c r="AC11" s="150">
        <v>2500</v>
      </c>
      <c r="AD11" s="151" t="s">
        <v>81</v>
      </c>
      <c r="AE11" s="152">
        <f t="shared" si="2"/>
        <v>66500</v>
      </c>
      <c r="AF11" s="153">
        <f t="shared" si="3"/>
        <v>278500</v>
      </c>
    </row>
    <row r="12" spans="1:32" x14ac:dyDescent="0.2">
      <c r="A12" s="114"/>
      <c r="B12" s="140" t="s">
        <v>82</v>
      </c>
      <c r="C12" s="140">
        <v>40</v>
      </c>
      <c r="D12" s="18">
        <v>25000</v>
      </c>
      <c r="E12" s="17">
        <v>125000</v>
      </c>
      <c r="F12" s="8">
        <v>6000</v>
      </c>
      <c r="G12" s="8">
        <v>8100.0000000000009</v>
      </c>
      <c r="H12" s="8">
        <v>10800</v>
      </c>
      <c r="I12" s="68">
        <v>9000</v>
      </c>
      <c r="J12" s="58">
        <v>11100</v>
      </c>
      <c r="K12" s="58">
        <v>13799.999999999998</v>
      </c>
      <c r="L12" s="18">
        <v>40000</v>
      </c>
      <c r="M12" s="17">
        <v>200000</v>
      </c>
      <c r="N12" s="12">
        <v>8000</v>
      </c>
      <c r="O12" s="71">
        <f t="shared" si="0"/>
        <v>10400</v>
      </c>
      <c r="P12" s="17">
        <v>40000</v>
      </c>
      <c r="Q12" s="17">
        <v>200000</v>
      </c>
      <c r="R12" s="15">
        <v>2250</v>
      </c>
      <c r="S12" s="18">
        <v>40000</v>
      </c>
      <c r="T12" s="143">
        <v>1300</v>
      </c>
      <c r="U12" s="144">
        <f t="shared" si="1"/>
        <v>1690</v>
      </c>
      <c r="V12" s="145">
        <v>-0.56000000000000005</v>
      </c>
      <c r="W12" s="145">
        <v>-0.56000000000000005</v>
      </c>
      <c r="X12" s="146" t="s">
        <v>188</v>
      </c>
      <c r="Y12" s="147" t="s">
        <v>178</v>
      </c>
      <c r="AA12" s="154">
        <v>40</v>
      </c>
      <c r="AB12" s="149">
        <v>884</v>
      </c>
      <c r="AC12" s="150">
        <v>2600</v>
      </c>
      <c r="AD12" s="151" t="s">
        <v>82</v>
      </c>
      <c r="AE12" s="152">
        <f t="shared" si="2"/>
        <v>98333.333333333343</v>
      </c>
      <c r="AF12" s="153">
        <f t="shared" si="3"/>
        <v>411666.66666666669</v>
      </c>
    </row>
    <row r="13" spans="1:32" x14ac:dyDescent="0.2">
      <c r="A13" s="114"/>
      <c r="B13" s="140" t="s">
        <v>83</v>
      </c>
      <c r="C13" s="140">
        <v>42</v>
      </c>
      <c r="D13" s="18">
        <v>33000</v>
      </c>
      <c r="E13" s="17">
        <v>165000</v>
      </c>
      <c r="F13" s="8">
        <v>10500</v>
      </c>
      <c r="G13" s="8">
        <v>14175.000000000002</v>
      </c>
      <c r="H13" s="8">
        <v>18900</v>
      </c>
      <c r="I13" s="68">
        <v>15750</v>
      </c>
      <c r="J13" s="58">
        <v>19425</v>
      </c>
      <c r="K13" s="58">
        <v>24149.999999999996</v>
      </c>
      <c r="L13" s="18">
        <v>50000</v>
      </c>
      <c r="M13" s="17">
        <v>250000</v>
      </c>
      <c r="N13" s="12">
        <v>14000</v>
      </c>
      <c r="O13" s="71">
        <f t="shared" si="0"/>
        <v>18200</v>
      </c>
      <c r="P13" s="17">
        <v>50000</v>
      </c>
      <c r="Q13" s="17">
        <v>250000</v>
      </c>
      <c r="R13" s="15">
        <v>2475</v>
      </c>
      <c r="S13" s="18">
        <v>50000</v>
      </c>
      <c r="T13" s="143">
        <v>1350</v>
      </c>
      <c r="U13" s="144">
        <f t="shared" si="1"/>
        <v>1755</v>
      </c>
      <c r="V13" s="145">
        <v>-0.56999999999999995</v>
      </c>
      <c r="W13" s="145">
        <v>-0.56999999999999995</v>
      </c>
      <c r="X13" s="146" t="s">
        <v>189</v>
      </c>
      <c r="Y13" s="147" t="s">
        <v>190</v>
      </c>
      <c r="AA13" s="148" t="s">
        <v>191</v>
      </c>
      <c r="AB13" s="149">
        <v>918</v>
      </c>
      <c r="AC13" s="150">
        <v>2700</v>
      </c>
      <c r="AD13" s="151" t="s">
        <v>83</v>
      </c>
      <c r="AE13" s="152">
        <f t="shared" si="2"/>
        <v>124666.66666666667</v>
      </c>
      <c r="AF13" s="153">
        <f t="shared" si="3"/>
        <v>523333.33333333331</v>
      </c>
    </row>
    <row r="14" spans="1:32" x14ac:dyDescent="0.2">
      <c r="A14" s="114"/>
      <c r="B14" s="119" t="s">
        <v>84</v>
      </c>
      <c r="C14" s="119">
        <v>44</v>
      </c>
      <c r="D14" s="63">
        <v>49000</v>
      </c>
      <c r="E14" s="64">
        <v>245000</v>
      </c>
      <c r="F14" s="56">
        <v>15000</v>
      </c>
      <c r="G14" s="56">
        <v>20250</v>
      </c>
      <c r="H14" s="56">
        <v>27000</v>
      </c>
      <c r="I14" s="57">
        <v>22500</v>
      </c>
      <c r="J14" s="74">
        <v>27750</v>
      </c>
      <c r="K14" s="74">
        <v>34500</v>
      </c>
      <c r="L14" s="63">
        <v>70000</v>
      </c>
      <c r="M14" s="64">
        <v>350000</v>
      </c>
      <c r="N14" s="60">
        <v>20000</v>
      </c>
      <c r="O14" s="61">
        <f t="shared" si="0"/>
        <v>26000</v>
      </c>
      <c r="P14" s="64">
        <v>70000</v>
      </c>
      <c r="Q14" s="64">
        <v>350000</v>
      </c>
      <c r="R14" s="62">
        <v>2700</v>
      </c>
      <c r="S14" s="63">
        <v>70000</v>
      </c>
      <c r="T14" s="155">
        <v>1400</v>
      </c>
      <c r="U14" s="156">
        <f t="shared" si="1"/>
        <v>1820</v>
      </c>
      <c r="V14" s="157">
        <v>-0.57999999999999996</v>
      </c>
      <c r="W14" s="157">
        <v>-0.57999999999999996</v>
      </c>
      <c r="X14" s="158" t="s">
        <v>192</v>
      </c>
      <c r="Y14" s="159" t="s">
        <v>193</v>
      </c>
      <c r="AA14" s="148" t="s">
        <v>194</v>
      </c>
      <c r="AB14" s="149">
        <v>952</v>
      </c>
      <c r="AC14" s="150">
        <v>2800</v>
      </c>
      <c r="AD14" s="151" t="s">
        <v>84</v>
      </c>
      <c r="AE14" s="152">
        <f t="shared" si="2"/>
        <v>177333.33333333331</v>
      </c>
      <c r="AF14" s="153">
        <f t="shared" si="3"/>
        <v>746666.66666666674</v>
      </c>
    </row>
    <row r="15" spans="1:32" x14ac:dyDescent="0.2">
      <c r="A15" s="114"/>
      <c r="B15" s="140" t="s">
        <v>85</v>
      </c>
      <c r="C15" s="140">
        <v>46</v>
      </c>
      <c r="D15" s="18">
        <v>67000</v>
      </c>
      <c r="E15" s="17">
        <v>335000</v>
      </c>
      <c r="F15" s="8">
        <v>25000</v>
      </c>
      <c r="G15" s="8">
        <v>33750</v>
      </c>
      <c r="H15" s="8">
        <v>45000</v>
      </c>
      <c r="I15" s="68">
        <v>37500</v>
      </c>
      <c r="J15" s="58">
        <v>46250</v>
      </c>
      <c r="K15" s="58">
        <v>57499.999999999993</v>
      </c>
      <c r="L15" s="18">
        <v>90000</v>
      </c>
      <c r="M15" s="17">
        <v>450000</v>
      </c>
      <c r="N15" s="12">
        <v>35000</v>
      </c>
      <c r="O15" s="71">
        <f t="shared" si="0"/>
        <v>45500</v>
      </c>
      <c r="P15" s="17">
        <v>90000</v>
      </c>
      <c r="Q15" s="17">
        <v>450000</v>
      </c>
      <c r="R15" s="15">
        <v>3000</v>
      </c>
      <c r="S15" s="18">
        <v>90000</v>
      </c>
      <c r="T15" s="143">
        <v>1450</v>
      </c>
      <c r="U15" s="144">
        <f t="shared" si="1"/>
        <v>1885</v>
      </c>
      <c r="V15" s="145">
        <v>-0.59</v>
      </c>
      <c r="W15" s="145">
        <v>-0.59</v>
      </c>
      <c r="X15" s="146" t="s">
        <v>195</v>
      </c>
      <c r="Y15" s="147" t="s">
        <v>196</v>
      </c>
      <c r="AA15" s="148" t="s">
        <v>197</v>
      </c>
      <c r="AB15" s="149">
        <v>986</v>
      </c>
      <c r="AC15" s="150">
        <v>2900</v>
      </c>
      <c r="AD15" s="151" t="s">
        <v>85</v>
      </c>
      <c r="AE15" s="152">
        <f t="shared" si="2"/>
        <v>232000</v>
      </c>
      <c r="AF15" s="153">
        <f t="shared" si="3"/>
        <v>980000</v>
      </c>
    </row>
    <row r="16" spans="1:32" x14ac:dyDescent="0.2">
      <c r="A16" s="114"/>
      <c r="B16" s="140" t="s">
        <v>86</v>
      </c>
      <c r="C16" s="140">
        <v>48</v>
      </c>
      <c r="D16" s="18">
        <v>110000</v>
      </c>
      <c r="E16" s="17">
        <v>550000</v>
      </c>
      <c r="F16" s="8">
        <v>40000</v>
      </c>
      <c r="G16" s="8">
        <v>54000</v>
      </c>
      <c r="H16" s="8">
        <v>72000</v>
      </c>
      <c r="I16" s="68">
        <v>60000</v>
      </c>
      <c r="J16" s="58">
        <v>74000</v>
      </c>
      <c r="K16" s="58">
        <v>92000</v>
      </c>
      <c r="L16" s="18">
        <v>130000</v>
      </c>
      <c r="M16" s="17">
        <v>650000</v>
      </c>
      <c r="N16" s="12">
        <v>55000</v>
      </c>
      <c r="O16" s="71">
        <f t="shared" si="0"/>
        <v>71500</v>
      </c>
      <c r="P16" s="17">
        <v>130000</v>
      </c>
      <c r="Q16" s="17">
        <v>650000</v>
      </c>
      <c r="R16" s="15">
        <v>3300</v>
      </c>
      <c r="S16" s="18">
        <v>130000</v>
      </c>
      <c r="T16" s="143">
        <v>1500</v>
      </c>
      <c r="U16" s="144">
        <f t="shared" si="1"/>
        <v>1950</v>
      </c>
      <c r="V16" s="145">
        <v>-0.6</v>
      </c>
      <c r="W16" s="145">
        <v>-0.6</v>
      </c>
      <c r="X16" s="146" t="s">
        <v>198</v>
      </c>
      <c r="Y16" s="147" t="s">
        <v>176</v>
      </c>
      <c r="AA16" s="154" t="s">
        <v>199</v>
      </c>
      <c r="AB16" s="149">
        <v>1020</v>
      </c>
      <c r="AC16" s="150">
        <v>3000</v>
      </c>
      <c r="AD16" s="151" t="s">
        <v>86</v>
      </c>
      <c r="AE16" s="152">
        <f t="shared" si="2"/>
        <v>348333.33333333337</v>
      </c>
      <c r="AF16" s="153">
        <f t="shared" si="3"/>
        <v>1481666.6666666665</v>
      </c>
    </row>
    <row r="17" spans="1:32" x14ac:dyDescent="0.2">
      <c r="A17" s="114"/>
      <c r="B17" s="119" t="s">
        <v>87</v>
      </c>
      <c r="C17" s="119">
        <v>50</v>
      </c>
      <c r="D17" s="63">
        <v>200000</v>
      </c>
      <c r="E17" s="64">
        <v>1000000</v>
      </c>
      <c r="F17" s="56">
        <v>70000</v>
      </c>
      <c r="G17" s="56">
        <v>94500</v>
      </c>
      <c r="H17" s="56">
        <v>126000</v>
      </c>
      <c r="I17" s="57">
        <v>105000</v>
      </c>
      <c r="J17" s="74">
        <v>129500</v>
      </c>
      <c r="K17" s="74">
        <v>161000</v>
      </c>
      <c r="L17" s="63">
        <v>230000</v>
      </c>
      <c r="M17" s="64">
        <v>1150000</v>
      </c>
      <c r="N17" s="60">
        <v>95000</v>
      </c>
      <c r="O17" s="61">
        <f t="shared" si="0"/>
        <v>123500</v>
      </c>
      <c r="P17" s="64">
        <v>230000</v>
      </c>
      <c r="Q17" s="64">
        <v>1150000</v>
      </c>
      <c r="R17" s="62">
        <v>3750</v>
      </c>
      <c r="S17" s="63">
        <v>230000</v>
      </c>
      <c r="T17" s="155">
        <v>1800</v>
      </c>
      <c r="U17" s="156">
        <f t="shared" si="1"/>
        <v>2340</v>
      </c>
      <c r="V17" s="157">
        <v>-0.7</v>
      </c>
      <c r="W17" s="157">
        <v>-0.7</v>
      </c>
      <c r="X17" s="158" t="s">
        <v>200</v>
      </c>
      <c r="Y17" s="159" t="s">
        <v>201</v>
      </c>
      <c r="AA17" s="160" t="s">
        <v>202</v>
      </c>
      <c r="AB17" s="135">
        <v>1224</v>
      </c>
      <c r="AC17" s="136">
        <v>3600</v>
      </c>
      <c r="AD17" s="151" t="s">
        <v>87</v>
      </c>
      <c r="AE17" s="152">
        <f>(D17)*0+(L17/3)+(P17)+(S17/2)</f>
        <v>421666.66666666669</v>
      </c>
      <c r="AF17" s="153">
        <f>(E17)*0+(M17/3)+(Q17)+(S17/2)</f>
        <v>1648333.3333333333</v>
      </c>
    </row>
    <row r="18" spans="1:32" x14ac:dyDescent="0.2">
      <c r="A18" s="114"/>
      <c r="B18" s="78" t="s">
        <v>203</v>
      </c>
      <c r="C18" s="78"/>
      <c r="E18" s="78"/>
      <c r="F18" s="78"/>
      <c r="G18" s="78"/>
      <c r="H18" s="78"/>
      <c r="I18" s="7" t="s">
        <v>204</v>
      </c>
      <c r="J18" s="114"/>
      <c r="K18" s="114"/>
      <c r="L18" s="7"/>
      <c r="M18" s="114"/>
      <c r="N18" s="114"/>
      <c r="O18" s="114"/>
      <c r="Q18" s="7" t="s">
        <v>205</v>
      </c>
      <c r="R18" s="114"/>
      <c r="S18" s="78"/>
      <c r="T18" s="78"/>
      <c r="U18" s="78"/>
      <c r="V18" s="78"/>
      <c r="W18" s="78" t="s">
        <v>206</v>
      </c>
      <c r="X18" s="78"/>
      <c r="Y18" s="78"/>
      <c r="AC18" s="161"/>
      <c r="AD18" s="137" t="s">
        <v>207</v>
      </c>
      <c r="AE18" s="162">
        <f>(D17)*0+(L17/3)*0+(P17)+(S17/2)</f>
        <v>345000</v>
      </c>
      <c r="AF18" s="163">
        <f>(E17)*0+(M17/3)*0+(Q17)+(S17/2)</f>
        <v>1265000</v>
      </c>
    </row>
    <row r="19" spans="1:32" x14ac:dyDescent="0.2">
      <c r="A19" s="114"/>
      <c r="B19" s="114"/>
      <c r="C19" s="114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AD19" s="78"/>
      <c r="AE19" s="78"/>
      <c r="AF19" s="78"/>
    </row>
    <row r="20" spans="1:32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</row>
    <row r="21" spans="1:32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</row>
    <row r="22" spans="1:32" ht="15.75" customHeight="1" x14ac:dyDescent="0.35">
      <c r="A22" s="78"/>
      <c r="B22" s="416" t="s">
        <v>208</v>
      </c>
      <c r="C22" s="374"/>
      <c r="D22" s="374"/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164"/>
      <c r="S22" s="164"/>
      <c r="T22" s="416" t="s">
        <v>209</v>
      </c>
      <c r="U22" s="374"/>
      <c r="V22" s="374"/>
      <c r="W22" s="374"/>
      <c r="X22" s="374"/>
      <c r="Y22" s="374"/>
      <c r="Z22" s="374"/>
      <c r="AA22" s="374"/>
      <c r="AB22" s="374"/>
      <c r="AC22" s="374"/>
      <c r="AD22" s="374"/>
      <c r="AE22" s="374"/>
      <c r="AF22" s="374"/>
    </row>
    <row r="23" spans="1:32" ht="15.75" customHeight="1" x14ac:dyDescent="0.35">
      <c r="A23" s="78"/>
      <c r="B23" s="165"/>
      <c r="C23" s="165"/>
      <c r="D23" s="402" t="s">
        <v>210</v>
      </c>
      <c r="E23" s="389"/>
      <c r="F23" s="389"/>
      <c r="G23" s="389"/>
      <c r="H23" s="389"/>
      <c r="I23" s="389"/>
      <c r="J23" s="389"/>
      <c r="K23" s="389"/>
      <c r="L23" s="417" t="s">
        <v>211</v>
      </c>
      <c r="M23" s="389"/>
      <c r="N23" s="50"/>
      <c r="O23" s="413" t="s">
        <v>23</v>
      </c>
      <c r="P23" s="389"/>
      <c r="Q23" s="167" t="s">
        <v>212</v>
      </c>
      <c r="R23" s="164"/>
      <c r="T23" s="165"/>
      <c r="U23" s="165"/>
      <c r="V23" s="402" t="s">
        <v>210</v>
      </c>
      <c r="W23" s="389"/>
      <c r="X23" s="389"/>
      <c r="Y23" s="389"/>
      <c r="Z23" s="166"/>
      <c r="AA23" s="417" t="s">
        <v>211</v>
      </c>
      <c r="AB23" s="389"/>
      <c r="AC23" s="413" t="s">
        <v>23</v>
      </c>
      <c r="AD23" s="389"/>
      <c r="AE23" s="422" t="s">
        <v>212</v>
      </c>
      <c r="AF23" s="390"/>
    </row>
    <row r="24" spans="1:32" ht="23.25" x14ac:dyDescent="0.35">
      <c r="A24" s="78"/>
      <c r="B24" s="165"/>
      <c r="C24" s="165"/>
      <c r="D24" s="391" t="s">
        <v>67</v>
      </c>
      <c r="E24" s="374"/>
      <c r="F24" s="374"/>
      <c r="G24" s="374"/>
      <c r="H24" s="374"/>
      <c r="I24" s="374"/>
      <c r="J24" s="374"/>
      <c r="K24" s="374"/>
      <c r="L24" s="418" t="s">
        <v>68</v>
      </c>
      <c r="M24" s="374"/>
      <c r="N24" s="53"/>
      <c r="O24" s="394" t="s">
        <v>67</v>
      </c>
      <c r="P24" s="374"/>
      <c r="Q24" s="169" t="s">
        <v>69</v>
      </c>
      <c r="R24" s="164"/>
      <c r="T24" s="165"/>
      <c r="U24" s="165"/>
      <c r="V24" s="391" t="s">
        <v>67</v>
      </c>
      <c r="W24" s="374"/>
      <c r="X24" s="374"/>
      <c r="Y24" s="374"/>
      <c r="Z24" s="168"/>
      <c r="AA24" s="418" t="s">
        <v>68</v>
      </c>
      <c r="AB24" s="374"/>
      <c r="AC24" s="394" t="s">
        <v>67</v>
      </c>
      <c r="AD24" s="374"/>
      <c r="AE24" s="419" t="s">
        <v>69</v>
      </c>
      <c r="AF24" s="392"/>
    </row>
    <row r="25" spans="1:32" ht="23.25" x14ac:dyDescent="0.35">
      <c r="A25" s="78"/>
      <c r="B25" s="171" t="s">
        <v>34</v>
      </c>
      <c r="C25" s="171"/>
      <c r="D25" s="172" t="s">
        <v>25</v>
      </c>
      <c r="E25" s="121" t="s">
        <v>70</v>
      </c>
      <c r="F25" s="123" t="s">
        <v>74</v>
      </c>
      <c r="G25" s="123"/>
      <c r="H25" s="123"/>
      <c r="I25" s="123"/>
      <c r="J25" s="123"/>
      <c r="K25" s="123" t="s">
        <v>213</v>
      </c>
      <c r="L25" s="125" t="s">
        <v>25</v>
      </c>
      <c r="M25" s="125" t="s">
        <v>70</v>
      </c>
      <c r="N25" s="127"/>
      <c r="O25" s="127" t="s">
        <v>25</v>
      </c>
      <c r="P25" s="127" t="s">
        <v>70</v>
      </c>
      <c r="Q25" s="173" t="s">
        <v>25</v>
      </c>
      <c r="R25" s="164"/>
      <c r="T25" s="171" t="s">
        <v>34</v>
      </c>
      <c r="U25" s="171"/>
      <c r="V25" s="55" t="s">
        <v>25</v>
      </c>
      <c r="W25" s="56" t="s">
        <v>70</v>
      </c>
      <c r="X25" s="74" t="s">
        <v>74</v>
      </c>
      <c r="Y25" s="74" t="s">
        <v>74</v>
      </c>
      <c r="Z25" s="60"/>
      <c r="AA25" s="60" t="s">
        <v>25</v>
      </c>
      <c r="AB25" s="60" t="s">
        <v>70</v>
      </c>
      <c r="AC25" s="62" t="s">
        <v>25</v>
      </c>
      <c r="AD25" s="62" t="s">
        <v>70</v>
      </c>
      <c r="AE25" s="64" t="s">
        <v>25</v>
      </c>
      <c r="AF25" s="174"/>
    </row>
    <row r="26" spans="1:32" ht="23.25" x14ac:dyDescent="0.35">
      <c r="A26" s="78"/>
      <c r="B26" s="175" t="s">
        <v>77</v>
      </c>
      <c r="C26" s="175"/>
      <c r="D26" s="176">
        <f t="shared" ref="D26:D37" si="4">D6/F6</f>
        <v>20</v>
      </c>
      <c r="E26" s="177">
        <f t="shared" ref="E26:E37" si="5">E6/F6</f>
        <v>100</v>
      </c>
      <c r="F26" s="178">
        <f t="shared" ref="F26:F37" si="6">D6/K6</f>
        <v>8.695652173913043</v>
      </c>
      <c r="G26" s="178"/>
      <c r="H26" s="178"/>
      <c r="I26" s="178"/>
      <c r="J26" s="178"/>
      <c r="K26" s="178">
        <f t="shared" ref="K26:K37" si="7">E6/K6</f>
        <v>43.478260869565219</v>
      </c>
      <c r="L26" s="179">
        <f t="shared" ref="L26:L37" si="8">L6/O6</f>
        <v>23.076923076923077</v>
      </c>
      <c r="M26" s="179">
        <f t="shared" ref="M26:M37" si="9">M6/O6</f>
        <v>115.38461538461539</v>
      </c>
      <c r="N26" s="180"/>
      <c r="O26" s="180">
        <f t="shared" ref="O26:O37" si="10">P6/R6</f>
        <v>3.9735099337748343</v>
      </c>
      <c r="P26" s="180">
        <f t="shared" ref="P26:P37" si="11">Q6/R6</f>
        <v>19.867549668874172</v>
      </c>
      <c r="Q26" s="181">
        <f t="shared" ref="Q26:Q37" si="12">S6/T6</f>
        <v>6</v>
      </c>
      <c r="R26" s="164"/>
      <c r="T26" s="175" t="s">
        <v>77</v>
      </c>
      <c r="U26" s="175"/>
      <c r="V26" s="176">
        <f t="shared" ref="V26:V37" si="13">F6/D6</f>
        <v>0.05</v>
      </c>
      <c r="W26" s="177">
        <f t="shared" ref="W26:W37" si="14">F6/E6</f>
        <v>0.01</v>
      </c>
      <c r="X26" s="178">
        <f t="shared" ref="X26:X37" si="15">K6/D6</f>
        <v>0.115</v>
      </c>
      <c r="Y26" s="178">
        <f t="shared" ref="Y26:Y37" si="16">K6/E6</f>
        <v>2.3E-2</v>
      </c>
      <c r="Z26" s="179"/>
      <c r="AA26" s="179">
        <f t="shared" ref="AA26:AA37" si="17">O6/L6</f>
        <v>4.3333333333333335E-2</v>
      </c>
      <c r="AB26" s="179">
        <f t="shared" ref="AB26:AB37" si="18">O6/M6</f>
        <v>8.6666666666666663E-3</v>
      </c>
      <c r="AC26" s="180">
        <f t="shared" ref="AC26:AC37" si="19">R6/P6</f>
        <v>0.25166666666666665</v>
      </c>
      <c r="AD26" s="180">
        <f t="shared" ref="AD26:AD37" si="20">R6/Q6</f>
        <v>5.0333333333333334E-2</v>
      </c>
      <c r="AE26" s="182">
        <f t="shared" ref="AE26:AE37" si="21">T6/S6</f>
        <v>0.16666666666666666</v>
      </c>
      <c r="AF26" s="181"/>
    </row>
    <row r="27" spans="1:32" ht="23.25" x14ac:dyDescent="0.35">
      <c r="A27" s="78"/>
      <c r="B27" s="175" t="s">
        <v>4</v>
      </c>
      <c r="C27" s="175"/>
      <c r="D27" s="183">
        <f t="shared" si="4"/>
        <v>13.333333333333334</v>
      </c>
      <c r="E27" s="184">
        <f t="shared" si="5"/>
        <v>66.666666666666671</v>
      </c>
      <c r="F27" s="185">
        <f t="shared" si="6"/>
        <v>5.7971014492753623</v>
      </c>
      <c r="G27" s="185"/>
      <c r="H27" s="185"/>
      <c r="I27" s="185"/>
      <c r="J27" s="185"/>
      <c r="K27" s="185">
        <f t="shared" si="7"/>
        <v>28.985507246376812</v>
      </c>
      <c r="L27" s="186">
        <f t="shared" si="8"/>
        <v>13.461538461538462</v>
      </c>
      <c r="M27" s="186">
        <f t="shared" si="9"/>
        <v>67.307692307692307</v>
      </c>
      <c r="N27" s="187"/>
      <c r="O27" s="187">
        <f t="shared" si="10"/>
        <v>4.4444444444444446</v>
      </c>
      <c r="P27" s="187">
        <f t="shared" si="11"/>
        <v>22.222222222222221</v>
      </c>
      <c r="Q27" s="188">
        <f t="shared" si="12"/>
        <v>6.666666666666667</v>
      </c>
      <c r="R27" s="164"/>
      <c r="T27" s="175" t="s">
        <v>4</v>
      </c>
      <c r="U27" s="175"/>
      <c r="V27" s="183">
        <f t="shared" si="13"/>
        <v>7.4999999999999997E-2</v>
      </c>
      <c r="W27" s="184">
        <f t="shared" si="14"/>
        <v>1.4999999999999999E-2</v>
      </c>
      <c r="X27" s="185">
        <f t="shared" si="15"/>
        <v>0.17249999999999999</v>
      </c>
      <c r="Y27" s="185">
        <f t="shared" si="16"/>
        <v>3.4500000000000003E-2</v>
      </c>
      <c r="Z27" s="186"/>
      <c r="AA27" s="186">
        <f t="shared" si="17"/>
        <v>7.4285714285714288E-2</v>
      </c>
      <c r="AB27" s="186">
        <f t="shared" si="18"/>
        <v>1.4857142857142857E-2</v>
      </c>
      <c r="AC27" s="187">
        <f t="shared" si="19"/>
        <v>0.22500000000000001</v>
      </c>
      <c r="AD27" s="187">
        <f t="shared" si="20"/>
        <v>4.4999999999999998E-2</v>
      </c>
      <c r="AE27" s="189">
        <f t="shared" si="21"/>
        <v>0.15</v>
      </c>
      <c r="AF27" s="188"/>
    </row>
    <row r="28" spans="1:32" ht="23.25" x14ac:dyDescent="0.35">
      <c r="A28" s="78"/>
      <c r="B28" s="171" t="s">
        <v>78</v>
      </c>
      <c r="C28" s="171"/>
      <c r="D28" s="190">
        <f t="shared" si="4"/>
        <v>8.6666666666666661</v>
      </c>
      <c r="E28" s="191">
        <f t="shared" si="5"/>
        <v>43.333333333333336</v>
      </c>
      <c r="F28" s="192">
        <f t="shared" si="6"/>
        <v>3.7681159420289858</v>
      </c>
      <c r="G28" s="192"/>
      <c r="H28" s="192"/>
      <c r="I28" s="192"/>
      <c r="J28" s="192"/>
      <c r="K28" s="192">
        <f t="shared" si="7"/>
        <v>18.840579710144929</v>
      </c>
      <c r="L28" s="193">
        <f t="shared" si="8"/>
        <v>8.4615384615384617</v>
      </c>
      <c r="M28" s="193">
        <f t="shared" si="9"/>
        <v>42.307692307692307</v>
      </c>
      <c r="N28" s="194"/>
      <c r="O28" s="194">
        <f t="shared" si="10"/>
        <v>6.666666666666667</v>
      </c>
      <c r="P28" s="194">
        <f t="shared" si="11"/>
        <v>33.333333333333336</v>
      </c>
      <c r="Q28" s="195">
        <f t="shared" si="12"/>
        <v>10</v>
      </c>
      <c r="R28" s="164"/>
      <c r="T28" s="171" t="s">
        <v>78</v>
      </c>
      <c r="U28" s="171"/>
      <c r="V28" s="190">
        <f t="shared" si="13"/>
        <v>0.11538461538461539</v>
      </c>
      <c r="W28" s="191">
        <f t="shared" si="14"/>
        <v>2.3076923076923078E-2</v>
      </c>
      <c r="X28" s="192">
        <f t="shared" si="15"/>
        <v>0.26538461538461533</v>
      </c>
      <c r="Y28" s="192">
        <f t="shared" si="16"/>
        <v>5.307692307692307E-2</v>
      </c>
      <c r="Z28" s="193"/>
      <c r="AA28" s="193">
        <f t="shared" si="17"/>
        <v>0.11818181818181818</v>
      </c>
      <c r="AB28" s="193">
        <f t="shared" si="18"/>
        <v>2.3636363636363636E-2</v>
      </c>
      <c r="AC28" s="194">
        <f t="shared" si="19"/>
        <v>0.15</v>
      </c>
      <c r="AD28" s="194">
        <f t="shared" si="20"/>
        <v>0.03</v>
      </c>
      <c r="AE28" s="196">
        <f t="shared" si="21"/>
        <v>0.1</v>
      </c>
      <c r="AF28" s="195"/>
    </row>
    <row r="29" spans="1:32" ht="23.25" x14ac:dyDescent="0.35">
      <c r="A29" s="78"/>
      <c r="B29" s="175" t="s">
        <v>79</v>
      </c>
      <c r="C29" s="175"/>
      <c r="D29" s="176">
        <f t="shared" si="4"/>
        <v>6</v>
      </c>
      <c r="E29" s="177">
        <f t="shared" si="5"/>
        <v>30</v>
      </c>
      <c r="F29" s="178">
        <f t="shared" si="6"/>
        <v>2.6086956521739135</v>
      </c>
      <c r="G29" s="178"/>
      <c r="H29" s="178"/>
      <c r="I29" s="178"/>
      <c r="J29" s="178"/>
      <c r="K29" s="178">
        <f t="shared" si="7"/>
        <v>13.043478260869566</v>
      </c>
      <c r="L29" s="179">
        <f t="shared" si="8"/>
        <v>5.7692307692307692</v>
      </c>
      <c r="M29" s="179">
        <f t="shared" si="9"/>
        <v>28.846153846153847</v>
      </c>
      <c r="N29" s="180"/>
      <c r="O29" s="180">
        <f t="shared" si="10"/>
        <v>8.5714285714285712</v>
      </c>
      <c r="P29" s="180">
        <f t="shared" si="11"/>
        <v>42.857142857142854</v>
      </c>
      <c r="Q29" s="181">
        <f t="shared" si="12"/>
        <v>13.043478260869565</v>
      </c>
      <c r="R29" s="164"/>
      <c r="T29" s="175" t="s">
        <v>79</v>
      </c>
      <c r="U29" s="175"/>
      <c r="V29" s="176">
        <f t="shared" si="13"/>
        <v>0.16666666666666666</v>
      </c>
      <c r="W29" s="177">
        <f t="shared" si="14"/>
        <v>3.3333333333333333E-2</v>
      </c>
      <c r="X29" s="178">
        <f t="shared" si="15"/>
        <v>0.3833333333333333</v>
      </c>
      <c r="Y29" s="178">
        <f t="shared" si="16"/>
        <v>7.6666666666666661E-2</v>
      </c>
      <c r="Z29" s="179"/>
      <c r="AA29" s="179">
        <f t="shared" si="17"/>
        <v>0.17333333333333334</v>
      </c>
      <c r="AB29" s="179">
        <f t="shared" si="18"/>
        <v>3.4666666666666665E-2</v>
      </c>
      <c r="AC29" s="180">
        <f t="shared" si="19"/>
        <v>0.11666666666666667</v>
      </c>
      <c r="AD29" s="180">
        <f t="shared" si="20"/>
        <v>2.3333333333333334E-2</v>
      </c>
      <c r="AE29" s="182">
        <f t="shared" si="21"/>
        <v>7.6666666666666661E-2</v>
      </c>
      <c r="AF29" s="181"/>
    </row>
    <row r="30" spans="1:32" ht="23.25" x14ac:dyDescent="0.35">
      <c r="A30" s="78"/>
      <c r="B30" s="175" t="s">
        <v>80</v>
      </c>
      <c r="C30" s="175"/>
      <c r="D30" s="183">
        <f t="shared" si="4"/>
        <v>4.333333333333333</v>
      </c>
      <c r="E30" s="184">
        <f t="shared" si="5"/>
        <v>21.666666666666668</v>
      </c>
      <c r="F30" s="185">
        <f t="shared" si="6"/>
        <v>1.8840579710144929</v>
      </c>
      <c r="G30" s="185"/>
      <c r="H30" s="185"/>
      <c r="I30" s="185"/>
      <c r="J30" s="185"/>
      <c r="K30" s="185">
        <f t="shared" si="7"/>
        <v>9.4202898550724647</v>
      </c>
      <c r="L30" s="186">
        <f t="shared" si="8"/>
        <v>4.0384615384615383</v>
      </c>
      <c r="M30" s="186">
        <f t="shared" si="9"/>
        <v>20.192307692307693</v>
      </c>
      <c r="N30" s="187"/>
      <c r="O30" s="187">
        <f t="shared" si="10"/>
        <v>11.052631578947368</v>
      </c>
      <c r="P30" s="187">
        <f t="shared" si="11"/>
        <v>55.263157894736842</v>
      </c>
      <c r="Q30" s="188">
        <f t="shared" si="12"/>
        <v>17.5</v>
      </c>
      <c r="R30" s="164"/>
      <c r="T30" s="175" t="s">
        <v>80</v>
      </c>
      <c r="U30" s="175"/>
      <c r="V30" s="183">
        <f t="shared" si="13"/>
        <v>0.23076923076923078</v>
      </c>
      <c r="W30" s="184">
        <f t="shared" si="14"/>
        <v>4.6153846153846156E-2</v>
      </c>
      <c r="X30" s="185">
        <f t="shared" si="15"/>
        <v>0.53076923076923066</v>
      </c>
      <c r="Y30" s="185">
        <f t="shared" si="16"/>
        <v>0.10615384615384614</v>
      </c>
      <c r="Z30" s="186"/>
      <c r="AA30" s="186">
        <f t="shared" si="17"/>
        <v>0.24761904761904763</v>
      </c>
      <c r="AB30" s="186">
        <f t="shared" si="18"/>
        <v>4.9523809523809526E-2</v>
      </c>
      <c r="AC30" s="187">
        <f t="shared" si="19"/>
        <v>9.0476190476190474E-2</v>
      </c>
      <c r="AD30" s="187">
        <f t="shared" si="20"/>
        <v>1.8095238095238095E-2</v>
      </c>
      <c r="AE30" s="189">
        <f t="shared" si="21"/>
        <v>5.7142857142857141E-2</v>
      </c>
      <c r="AF30" s="188"/>
    </row>
    <row r="31" spans="1:32" ht="23.25" x14ac:dyDescent="0.35">
      <c r="A31" s="78"/>
      <c r="B31" s="171" t="s">
        <v>81</v>
      </c>
      <c r="C31" s="171"/>
      <c r="D31" s="190">
        <f t="shared" si="4"/>
        <v>3.7777777777777777</v>
      </c>
      <c r="E31" s="191">
        <f t="shared" si="5"/>
        <v>18.888888888888889</v>
      </c>
      <c r="F31" s="192">
        <f t="shared" si="6"/>
        <v>1.642512077294686</v>
      </c>
      <c r="G31" s="192"/>
      <c r="H31" s="192"/>
      <c r="I31" s="192"/>
      <c r="J31" s="192"/>
      <c r="K31" s="192">
        <f t="shared" si="7"/>
        <v>8.2125603864734291</v>
      </c>
      <c r="L31" s="193">
        <f t="shared" si="8"/>
        <v>3.4615384615384617</v>
      </c>
      <c r="M31" s="193">
        <f t="shared" si="9"/>
        <v>17.307692307692307</v>
      </c>
      <c r="N31" s="194"/>
      <c r="O31" s="194">
        <f t="shared" si="10"/>
        <v>13.012048192771084</v>
      </c>
      <c r="P31" s="194">
        <f t="shared" si="11"/>
        <v>65.060240963855421</v>
      </c>
      <c r="Q31" s="195">
        <f t="shared" si="12"/>
        <v>21.6</v>
      </c>
      <c r="R31" s="164"/>
      <c r="T31" s="171" t="s">
        <v>81</v>
      </c>
      <c r="U31" s="171"/>
      <c r="V31" s="190">
        <f t="shared" si="13"/>
        <v>0.26470588235294118</v>
      </c>
      <c r="W31" s="191">
        <f t="shared" si="14"/>
        <v>5.2941176470588235E-2</v>
      </c>
      <c r="X31" s="192">
        <f t="shared" si="15"/>
        <v>0.60882352941176465</v>
      </c>
      <c r="Y31" s="192">
        <f t="shared" si="16"/>
        <v>0.12176470588235294</v>
      </c>
      <c r="Z31" s="193"/>
      <c r="AA31" s="193">
        <f t="shared" si="17"/>
        <v>0.28888888888888886</v>
      </c>
      <c r="AB31" s="193">
        <f t="shared" si="18"/>
        <v>5.7777777777777775E-2</v>
      </c>
      <c r="AC31" s="194">
        <f t="shared" si="19"/>
        <v>7.6851851851851852E-2</v>
      </c>
      <c r="AD31" s="194">
        <f t="shared" si="20"/>
        <v>1.5370370370370371E-2</v>
      </c>
      <c r="AE31" s="196">
        <f t="shared" si="21"/>
        <v>4.6296296296296294E-2</v>
      </c>
      <c r="AF31" s="195"/>
    </row>
    <row r="32" spans="1:32" ht="23.25" x14ac:dyDescent="0.35">
      <c r="A32" s="78"/>
      <c r="B32" s="175" t="s">
        <v>82</v>
      </c>
      <c r="C32" s="175"/>
      <c r="D32" s="176">
        <f t="shared" si="4"/>
        <v>4.166666666666667</v>
      </c>
      <c r="E32" s="177">
        <f t="shared" si="5"/>
        <v>20.833333333333332</v>
      </c>
      <c r="F32" s="178">
        <f t="shared" si="6"/>
        <v>1.811594202898551</v>
      </c>
      <c r="G32" s="178"/>
      <c r="H32" s="178"/>
      <c r="I32" s="178"/>
      <c r="J32" s="178"/>
      <c r="K32" s="178">
        <f t="shared" si="7"/>
        <v>9.0579710144927557</v>
      </c>
      <c r="L32" s="179">
        <f t="shared" si="8"/>
        <v>3.8461538461538463</v>
      </c>
      <c r="M32" s="179">
        <f t="shared" si="9"/>
        <v>19.23076923076923</v>
      </c>
      <c r="N32" s="180"/>
      <c r="O32" s="180">
        <f t="shared" si="10"/>
        <v>17.777777777777779</v>
      </c>
      <c r="P32" s="180">
        <f t="shared" si="11"/>
        <v>88.888888888888886</v>
      </c>
      <c r="Q32" s="181">
        <f t="shared" si="12"/>
        <v>30.76923076923077</v>
      </c>
      <c r="R32" s="164"/>
      <c r="S32" s="164"/>
      <c r="T32" s="175" t="s">
        <v>82</v>
      </c>
      <c r="U32" s="175"/>
      <c r="V32" s="176">
        <f t="shared" si="13"/>
        <v>0.24</v>
      </c>
      <c r="W32" s="177">
        <f t="shared" si="14"/>
        <v>4.8000000000000001E-2</v>
      </c>
      <c r="X32" s="178">
        <f t="shared" si="15"/>
        <v>0.55199999999999994</v>
      </c>
      <c r="Y32" s="178">
        <f t="shared" si="16"/>
        <v>0.11039999999999998</v>
      </c>
      <c r="Z32" s="179"/>
      <c r="AA32" s="179">
        <f t="shared" si="17"/>
        <v>0.26</v>
      </c>
      <c r="AB32" s="179">
        <f t="shared" si="18"/>
        <v>5.1999999999999998E-2</v>
      </c>
      <c r="AC32" s="180">
        <f t="shared" si="19"/>
        <v>5.6250000000000001E-2</v>
      </c>
      <c r="AD32" s="180">
        <f t="shared" si="20"/>
        <v>1.125E-2</v>
      </c>
      <c r="AE32" s="182">
        <f t="shared" si="21"/>
        <v>3.2500000000000001E-2</v>
      </c>
      <c r="AF32" s="181"/>
    </row>
    <row r="33" spans="1:32" ht="23.25" x14ac:dyDescent="0.35">
      <c r="A33" s="78"/>
      <c r="B33" s="175" t="s">
        <v>83</v>
      </c>
      <c r="C33" s="175"/>
      <c r="D33" s="183">
        <f t="shared" si="4"/>
        <v>3.1428571428571428</v>
      </c>
      <c r="E33" s="184">
        <f t="shared" si="5"/>
        <v>15.714285714285714</v>
      </c>
      <c r="F33" s="185">
        <f t="shared" si="6"/>
        <v>1.3664596273291927</v>
      </c>
      <c r="G33" s="185"/>
      <c r="H33" s="185"/>
      <c r="I33" s="185"/>
      <c r="J33" s="185"/>
      <c r="K33" s="185">
        <f t="shared" si="7"/>
        <v>6.8322981366459636</v>
      </c>
      <c r="L33" s="186">
        <f t="shared" si="8"/>
        <v>2.7472527472527473</v>
      </c>
      <c r="M33" s="186">
        <f t="shared" si="9"/>
        <v>13.736263736263735</v>
      </c>
      <c r="N33" s="187"/>
      <c r="O33" s="187">
        <f t="shared" si="10"/>
        <v>20.202020202020201</v>
      </c>
      <c r="P33" s="187">
        <f t="shared" si="11"/>
        <v>101.01010101010101</v>
      </c>
      <c r="Q33" s="188">
        <f t="shared" si="12"/>
        <v>37.037037037037038</v>
      </c>
      <c r="R33" s="164"/>
      <c r="T33" s="175" t="s">
        <v>83</v>
      </c>
      <c r="U33" s="175"/>
      <c r="V33" s="183">
        <f t="shared" si="13"/>
        <v>0.31818181818181818</v>
      </c>
      <c r="W33" s="184">
        <f t="shared" si="14"/>
        <v>6.363636363636363E-2</v>
      </c>
      <c r="X33" s="185">
        <f t="shared" si="15"/>
        <v>0.7318181818181817</v>
      </c>
      <c r="Y33" s="185">
        <f t="shared" si="16"/>
        <v>0.14636363636363633</v>
      </c>
      <c r="Z33" s="186"/>
      <c r="AA33" s="186">
        <f t="shared" si="17"/>
        <v>0.36399999999999999</v>
      </c>
      <c r="AB33" s="186">
        <f t="shared" si="18"/>
        <v>7.2800000000000004E-2</v>
      </c>
      <c r="AC33" s="187">
        <f t="shared" si="19"/>
        <v>4.9500000000000002E-2</v>
      </c>
      <c r="AD33" s="187">
        <f t="shared" si="20"/>
        <v>9.9000000000000008E-3</v>
      </c>
      <c r="AE33" s="189">
        <f t="shared" si="21"/>
        <v>2.7E-2</v>
      </c>
      <c r="AF33" s="188"/>
    </row>
    <row r="34" spans="1:32" ht="23.25" x14ac:dyDescent="0.35">
      <c r="A34" s="78"/>
      <c r="B34" s="171" t="s">
        <v>84</v>
      </c>
      <c r="C34" s="175"/>
      <c r="D34" s="183">
        <f t="shared" si="4"/>
        <v>3.2666666666666666</v>
      </c>
      <c r="E34" s="184">
        <f t="shared" si="5"/>
        <v>16.333333333333332</v>
      </c>
      <c r="F34" s="185">
        <f t="shared" si="6"/>
        <v>1.4202898550724639</v>
      </c>
      <c r="G34" s="185"/>
      <c r="H34" s="185"/>
      <c r="I34" s="185"/>
      <c r="J34" s="185"/>
      <c r="K34" s="185">
        <f t="shared" si="7"/>
        <v>7.1014492753623184</v>
      </c>
      <c r="L34" s="186">
        <f t="shared" si="8"/>
        <v>2.6923076923076925</v>
      </c>
      <c r="M34" s="186">
        <f t="shared" si="9"/>
        <v>13.461538461538462</v>
      </c>
      <c r="N34" s="187"/>
      <c r="O34" s="187">
        <f t="shared" si="10"/>
        <v>25.925925925925927</v>
      </c>
      <c r="P34" s="187">
        <f t="shared" si="11"/>
        <v>129.62962962962962</v>
      </c>
      <c r="Q34" s="188">
        <f t="shared" si="12"/>
        <v>50</v>
      </c>
      <c r="R34" s="164"/>
      <c r="T34" s="171" t="s">
        <v>84</v>
      </c>
      <c r="U34" s="171"/>
      <c r="V34" s="190">
        <f t="shared" si="13"/>
        <v>0.30612244897959184</v>
      </c>
      <c r="W34" s="191">
        <f t="shared" si="14"/>
        <v>6.1224489795918366E-2</v>
      </c>
      <c r="X34" s="192">
        <f t="shared" si="15"/>
        <v>0.70408163265306123</v>
      </c>
      <c r="Y34" s="192">
        <f t="shared" si="16"/>
        <v>0.14081632653061224</v>
      </c>
      <c r="Z34" s="193"/>
      <c r="AA34" s="193">
        <f t="shared" si="17"/>
        <v>0.37142857142857144</v>
      </c>
      <c r="AB34" s="193">
        <f t="shared" si="18"/>
        <v>7.4285714285714288E-2</v>
      </c>
      <c r="AC34" s="194">
        <f t="shared" si="19"/>
        <v>3.8571428571428569E-2</v>
      </c>
      <c r="AD34" s="194">
        <f t="shared" si="20"/>
        <v>7.7142857142857143E-3</v>
      </c>
      <c r="AE34" s="196">
        <f t="shared" si="21"/>
        <v>0.02</v>
      </c>
      <c r="AF34" s="195"/>
    </row>
    <row r="35" spans="1:32" ht="23.25" x14ac:dyDescent="0.35">
      <c r="A35" s="78"/>
      <c r="B35" s="175" t="s">
        <v>85</v>
      </c>
      <c r="C35" s="175"/>
      <c r="D35" s="183">
        <f t="shared" si="4"/>
        <v>2.68</v>
      </c>
      <c r="E35" s="184">
        <f t="shared" si="5"/>
        <v>13.4</v>
      </c>
      <c r="F35" s="185">
        <f t="shared" si="6"/>
        <v>1.165217391304348</v>
      </c>
      <c r="G35" s="185"/>
      <c r="H35" s="185"/>
      <c r="I35" s="185"/>
      <c r="J35" s="185"/>
      <c r="K35" s="185">
        <f t="shared" si="7"/>
        <v>5.8260869565217401</v>
      </c>
      <c r="L35" s="186">
        <f t="shared" si="8"/>
        <v>1.9780219780219781</v>
      </c>
      <c r="M35" s="186">
        <f t="shared" si="9"/>
        <v>9.8901098901098905</v>
      </c>
      <c r="N35" s="187"/>
      <c r="O35" s="187">
        <f t="shared" si="10"/>
        <v>30</v>
      </c>
      <c r="P35" s="187">
        <f t="shared" si="11"/>
        <v>150</v>
      </c>
      <c r="Q35" s="188">
        <f t="shared" si="12"/>
        <v>62.068965517241381</v>
      </c>
      <c r="R35" s="164"/>
      <c r="T35" s="175" t="s">
        <v>85</v>
      </c>
      <c r="U35" s="175"/>
      <c r="V35" s="183">
        <f t="shared" si="13"/>
        <v>0.37313432835820898</v>
      </c>
      <c r="W35" s="184">
        <f t="shared" si="14"/>
        <v>7.4626865671641784E-2</v>
      </c>
      <c r="X35" s="185">
        <f t="shared" si="15"/>
        <v>0.85820895522388052</v>
      </c>
      <c r="Y35" s="185">
        <f t="shared" si="16"/>
        <v>0.17164179104477609</v>
      </c>
      <c r="Z35" s="186"/>
      <c r="AA35" s="186">
        <f t="shared" si="17"/>
        <v>0.50555555555555554</v>
      </c>
      <c r="AB35" s="186">
        <f t="shared" si="18"/>
        <v>0.10111111111111111</v>
      </c>
      <c r="AC35" s="187">
        <f t="shared" si="19"/>
        <v>3.3333333333333333E-2</v>
      </c>
      <c r="AD35" s="187">
        <f t="shared" si="20"/>
        <v>6.6666666666666671E-3</v>
      </c>
      <c r="AE35" s="189">
        <f t="shared" si="21"/>
        <v>1.6111111111111111E-2</v>
      </c>
      <c r="AF35" s="181"/>
    </row>
    <row r="36" spans="1:32" ht="23.25" x14ac:dyDescent="0.35">
      <c r="A36" s="78"/>
      <c r="B36" s="175" t="s">
        <v>86</v>
      </c>
      <c r="C36" s="175"/>
      <c r="D36" s="183">
        <f t="shared" si="4"/>
        <v>2.75</v>
      </c>
      <c r="E36" s="184">
        <f t="shared" si="5"/>
        <v>13.75</v>
      </c>
      <c r="F36" s="185">
        <f t="shared" si="6"/>
        <v>1.1956521739130435</v>
      </c>
      <c r="G36" s="185"/>
      <c r="H36" s="185"/>
      <c r="I36" s="185"/>
      <c r="J36" s="185"/>
      <c r="K36" s="185">
        <f t="shared" si="7"/>
        <v>5.9782608695652177</v>
      </c>
      <c r="L36" s="186">
        <f t="shared" si="8"/>
        <v>1.8181818181818181</v>
      </c>
      <c r="M36" s="186">
        <f t="shared" si="9"/>
        <v>9.0909090909090917</v>
      </c>
      <c r="N36" s="187"/>
      <c r="O36" s="187">
        <f t="shared" si="10"/>
        <v>39.393939393939391</v>
      </c>
      <c r="P36" s="187">
        <f t="shared" si="11"/>
        <v>196.96969696969697</v>
      </c>
      <c r="Q36" s="188">
        <f t="shared" si="12"/>
        <v>86.666666666666671</v>
      </c>
      <c r="R36" s="164"/>
      <c r="T36" s="175" t="s">
        <v>86</v>
      </c>
      <c r="U36" s="175"/>
      <c r="V36" s="183">
        <f t="shared" si="13"/>
        <v>0.36363636363636365</v>
      </c>
      <c r="W36" s="184">
        <f t="shared" si="14"/>
        <v>7.2727272727272724E-2</v>
      </c>
      <c r="X36" s="185">
        <f t="shared" si="15"/>
        <v>0.83636363636363631</v>
      </c>
      <c r="Y36" s="185">
        <f t="shared" si="16"/>
        <v>0.16727272727272727</v>
      </c>
      <c r="Z36" s="186"/>
      <c r="AA36" s="186">
        <f t="shared" si="17"/>
        <v>0.55000000000000004</v>
      </c>
      <c r="AB36" s="186">
        <f t="shared" si="18"/>
        <v>0.11</v>
      </c>
      <c r="AC36" s="187">
        <f t="shared" si="19"/>
        <v>2.5384615384615384E-2</v>
      </c>
      <c r="AD36" s="187">
        <f t="shared" si="20"/>
        <v>5.076923076923077E-3</v>
      </c>
      <c r="AE36" s="189">
        <f t="shared" si="21"/>
        <v>1.1538461538461539E-2</v>
      </c>
      <c r="AF36" s="188"/>
    </row>
    <row r="37" spans="1:32" ht="23.25" x14ac:dyDescent="0.35">
      <c r="A37" s="78"/>
      <c r="B37" s="175" t="s">
        <v>87</v>
      </c>
      <c r="C37" s="175"/>
      <c r="D37" s="183">
        <f t="shared" si="4"/>
        <v>2.8571428571428572</v>
      </c>
      <c r="E37" s="184">
        <f t="shared" si="5"/>
        <v>14.285714285714286</v>
      </c>
      <c r="F37" s="185">
        <f t="shared" si="6"/>
        <v>1.2422360248447204</v>
      </c>
      <c r="G37" s="185"/>
      <c r="H37" s="185"/>
      <c r="I37" s="185"/>
      <c r="J37" s="185"/>
      <c r="K37" s="185">
        <f t="shared" si="7"/>
        <v>6.2111801242236027</v>
      </c>
      <c r="L37" s="186">
        <f t="shared" si="8"/>
        <v>1.8623481781376519</v>
      </c>
      <c r="M37" s="186">
        <f t="shared" si="9"/>
        <v>9.3117408906882595</v>
      </c>
      <c r="N37" s="187"/>
      <c r="O37" s="187">
        <f t="shared" si="10"/>
        <v>61.333333333333336</v>
      </c>
      <c r="P37" s="187">
        <f t="shared" si="11"/>
        <v>306.66666666666669</v>
      </c>
      <c r="Q37" s="188">
        <f t="shared" si="12"/>
        <v>127.77777777777777</v>
      </c>
      <c r="R37" s="164"/>
      <c r="T37" s="175" t="s">
        <v>87</v>
      </c>
      <c r="U37" s="175"/>
      <c r="V37" s="183">
        <f t="shared" si="13"/>
        <v>0.35</v>
      </c>
      <c r="W37" s="184">
        <f t="shared" si="14"/>
        <v>7.0000000000000007E-2</v>
      </c>
      <c r="X37" s="185">
        <f t="shared" si="15"/>
        <v>0.80500000000000005</v>
      </c>
      <c r="Y37" s="185">
        <f t="shared" si="16"/>
        <v>0.161</v>
      </c>
      <c r="Z37" s="186"/>
      <c r="AA37" s="186">
        <f t="shared" si="17"/>
        <v>0.53695652173913044</v>
      </c>
      <c r="AB37" s="186">
        <f t="shared" si="18"/>
        <v>0.10739130434782608</v>
      </c>
      <c r="AC37" s="187">
        <f t="shared" si="19"/>
        <v>1.6304347826086956E-2</v>
      </c>
      <c r="AD37" s="187">
        <f t="shared" si="20"/>
        <v>3.2608695652173911E-3</v>
      </c>
      <c r="AE37" s="189">
        <f t="shared" si="21"/>
        <v>7.8260869565217397E-3</v>
      </c>
      <c r="AF37" s="195"/>
    </row>
    <row r="38" spans="1:32" ht="23.25" x14ac:dyDescent="0.3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164"/>
      <c r="S38" s="78"/>
      <c r="T38" s="78"/>
      <c r="U38" s="78"/>
      <c r="V38" s="164"/>
      <c r="W38" s="164"/>
      <c r="X38" s="164"/>
      <c r="Y38" s="164"/>
      <c r="Z38" s="164"/>
      <c r="AA38" s="164"/>
      <c r="AB38" s="164"/>
      <c r="AC38" s="78"/>
      <c r="AD38" s="78"/>
      <c r="AE38" s="78"/>
      <c r="AF38" s="78"/>
    </row>
    <row r="39" spans="1:32" ht="12.75" x14ac:dyDescent="0.2">
      <c r="A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</row>
    <row r="40" spans="1:32" ht="12.75" x14ac:dyDescent="0.2">
      <c r="A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</row>
    <row r="41" spans="1:32" ht="12.75" x14ac:dyDescent="0.2">
      <c r="A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</row>
    <row r="42" spans="1:32" ht="12.75" x14ac:dyDescent="0.2">
      <c r="A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</row>
    <row r="43" spans="1:32" ht="12.75" x14ac:dyDescent="0.2">
      <c r="A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</row>
    <row r="44" spans="1:32" ht="12.75" x14ac:dyDescent="0.2">
      <c r="A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</row>
    <row r="45" spans="1:32" ht="12.75" x14ac:dyDescent="0.2">
      <c r="A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</row>
    <row r="46" spans="1:32" ht="12.75" x14ac:dyDescent="0.2">
      <c r="A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</row>
    <row r="47" spans="1:32" ht="12.75" x14ac:dyDescent="0.2">
      <c r="A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</row>
    <row r="48" spans="1:32" ht="12.75" x14ac:dyDescent="0.2">
      <c r="A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</row>
    <row r="49" spans="1:40" ht="12.75" x14ac:dyDescent="0.2">
      <c r="A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</row>
    <row r="50" spans="1:40" ht="12.75" x14ac:dyDescent="0.2"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</row>
    <row r="51" spans="1:40" ht="12.75" x14ac:dyDescent="0.2"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</row>
    <row r="52" spans="1:40" ht="12.75" x14ac:dyDescent="0.2"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</row>
    <row r="53" spans="1:40" ht="12.75" x14ac:dyDescent="0.2"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</row>
    <row r="54" spans="1:40" ht="12.75" x14ac:dyDescent="0.2"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</row>
    <row r="55" spans="1:40" ht="12.75" x14ac:dyDescent="0.2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</row>
    <row r="56" spans="1:40" ht="12.75" x14ac:dyDescent="0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</row>
    <row r="57" spans="1:40" ht="12.75" x14ac:dyDescent="0.2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</row>
    <row r="58" spans="1:40" ht="12.75" x14ac:dyDescent="0.2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</row>
    <row r="59" spans="1:40" ht="12.7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</row>
    <row r="60" spans="1:40" ht="12.7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</row>
    <row r="61" spans="1:40" ht="12.75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</row>
    <row r="62" spans="1:40" ht="18" x14ac:dyDescent="0.25">
      <c r="A62" s="78"/>
      <c r="B62" s="49"/>
      <c r="C62" s="49"/>
      <c r="D62" s="402" t="s">
        <v>66</v>
      </c>
      <c r="E62" s="389"/>
      <c r="F62" s="389"/>
      <c r="G62" s="389"/>
      <c r="H62" s="389"/>
      <c r="I62" s="389"/>
      <c r="J62" s="389"/>
      <c r="K62" s="390"/>
      <c r="L62" s="78"/>
      <c r="M62" s="78"/>
      <c r="N62" s="78"/>
      <c r="O62" s="414" t="s">
        <v>214</v>
      </c>
      <c r="P62" s="387"/>
      <c r="Q62" s="387"/>
      <c r="R62" s="387"/>
      <c r="S62" s="387"/>
      <c r="T62" s="387"/>
      <c r="U62" s="387"/>
      <c r="V62" s="387"/>
      <c r="W62" s="387"/>
      <c r="X62" s="387"/>
      <c r="Y62" s="387"/>
      <c r="Z62" s="387"/>
      <c r="AA62" s="387"/>
      <c r="AB62" s="387"/>
      <c r="AC62" s="387"/>
      <c r="AD62" s="387"/>
      <c r="AE62" s="387"/>
      <c r="AF62" s="387"/>
      <c r="AG62" s="387"/>
      <c r="AH62" s="387"/>
      <c r="AI62" s="406"/>
      <c r="AJ62" s="78"/>
      <c r="AK62" s="78"/>
      <c r="AL62" s="78"/>
      <c r="AM62" s="78"/>
      <c r="AN62" s="78"/>
    </row>
    <row r="63" spans="1:40" ht="12.75" x14ac:dyDescent="0.2">
      <c r="A63" s="78"/>
      <c r="B63" s="51"/>
      <c r="C63" s="51"/>
      <c r="D63" s="391" t="s">
        <v>67</v>
      </c>
      <c r="E63" s="374"/>
      <c r="F63" s="374"/>
      <c r="G63" s="374"/>
      <c r="H63" s="374"/>
      <c r="I63" s="374"/>
      <c r="J63" s="374"/>
      <c r="K63" s="392"/>
      <c r="L63" s="77"/>
      <c r="M63" s="78"/>
      <c r="N63" s="78"/>
      <c r="O63" s="140"/>
      <c r="P63" s="375" t="s">
        <v>215</v>
      </c>
      <c r="Q63" s="374"/>
      <c r="R63" s="374"/>
      <c r="S63" s="374"/>
      <c r="T63" s="374"/>
      <c r="U63" s="374"/>
      <c r="V63" s="374"/>
      <c r="W63" s="374"/>
      <c r="X63" s="374"/>
      <c r="Y63" s="374"/>
      <c r="Z63" s="1"/>
      <c r="AA63" s="415" t="s">
        <v>216</v>
      </c>
      <c r="AB63" s="387"/>
      <c r="AC63" s="387"/>
      <c r="AD63" s="387"/>
      <c r="AE63" s="387"/>
      <c r="AF63" s="387"/>
      <c r="AG63" s="387"/>
      <c r="AH63" s="387"/>
      <c r="AI63" s="406"/>
      <c r="AJ63" s="78"/>
      <c r="AK63" s="78"/>
      <c r="AL63" s="78"/>
      <c r="AM63" s="78"/>
      <c r="AN63" s="78"/>
    </row>
    <row r="64" spans="1:40" ht="12.75" x14ac:dyDescent="0.2">
      <c r="A64" s="78"/>
      <c r="B64" s="54" t="s">
        <v>34</v>
      </c>
      <c r="C64" s="89"/>
      <c r="D64" s="9" t="s">
        <v>25</v>
      </c>
      <c r="E64" s="8" t="s">
        <v>70</v>
      </c>
      <c r="F64" s="8" t="s">
        <v>71</v>
      </c>
      <c r="G64" s="8" t="s">
        <v>72</v>
      </c>
      <c r="H64" s="8" t="s">
        <v>73</v>
      </c>
      <c r="I64" s="57" t="s">
        <v>74</v>
      </c>
      <c r="J64" s="58" t="s">
        <v>72</v>
      </c>
      <c r="K64" s="58" t="s">
        <v>73</v>
      </c>
      <c r="L64" s="2" t="s">
        <v>121</v>
      </c>
      <c r="M64" s="78"/>
      <c r="N64" s="78"/>
      <c r="O64" s="54" t="s">
        <v>34</v>
      </c>
      <c r="P64" s="56" t="s">
        <v>217</v>
      </c>
      <c r="Q64" s="56" t="s">
        <v>72</v>
      </c>
      <c r="R64" s="56" t="s">
        <v>73</v>
      </c>
      <c r="S64" s="57" t="s">
        <v>74</v>
      </c>
      <c r="T64" s="74" t="s">
        <v>72</v>
      </c>
      <c r="U64" s="74" t="s">
        <v>73</v>
      </c>
      <c r="V64" s="197" t="s">
        <v>218</v>
      </c>
      <c r="W64" s="198" t="s">
        <v>72</v>
      </c>
      <c r="X64" s="198" t="s">
        <v>73</v>
      </c>
      <c r="Y64" s="199"/>
      <c r="Z64" s="200"/>
      <c r="AA64" s="56" t="s">
        <v>217</v>
      </c>
      <c r="AB64" s="56" t="s">
        <v>72</v>
      </c>
      <c r="AC64" s="56" t="s">
        <v>73</v>
      </c>
      <c r="AD64" s="57" t="s">
        <v>74</v>
      </c>
      <c r="AE64" s="74" t="s">
        <v>72</v>
      </c>
      <c r="AF64" s="75" t="s">
        <v>73</v>
      </c>
      <c r="AG64" s="197" t="s">
        <v>218</v>
      </c>
      <c r="AH64" s="198" t="s">
        <v>72</v>
      </c>
      <c r="AI64" s="198" t="s">
        <v>73</v>
      </c>
      <c r="AJ64" s="78"/>
      <c r="AK64" s="78"/>
      <c r="AL64" s="78"/>
      <c r="AM64" s="78"/>
      <c r="AN64" s="78"/>
    </row>
    <row r="65" spans="1:40" ht="12.75" x14ac:dyDescent="0.2">
      <c r="A65" s="78"/>
      <c r="B65" s="89" t="s">
        <v>77</v>
      </c>
      <c r="C65" s="89"/>
      <c r="D65" s="201">
        <v>3000</v>
      </c>
      <c r="E65" s="67">
        <v>15000</v>
      </c>
      <c r="F65" s="67">
        <v>150</v>
      </c>
      <c r="G65" s="67">
        <v>202.5</v>
      </c>
      <c r="H65" s="67">
        <v>270</v>
      </c>
      <c r="I65" s="68">
        <v>225</v>
      </c>
      <c r="J65" s="69">
        <v>277.5</v>
      </c>
      <c r="K65" s="70">
        <v>345</v>
      </c>
      <c r="L65" s="2">
        <v>0</v>
      </c>
      <c r="M65" s="78"/>
      <c r="N65" s="78"/>
      <c r="O65" s="89" t="s">
        <v>77</v>
      </c>
      <c r="P65" s="9">
        <f t="shared" ref="P65:T65" si="22">$L66/F65</f>
        <v>3</v>
      </c>
      <c r="Q65" s="8">
        <f t="shared" si="22"/>
        <v>2.2222222222222223</v>
      </c>
      <c r="R65" s="8">
        <f t="shared" si="22"/>
        <v>1.6666666666666667</v>
      </c>
      <c r="S65" s="58">
        <f t="shared" si="22"/>
        <v>2</v>
      </c>
      <c r="T65" s="58">
        <f t="shared" si="22"/>
        <v>1.6216216216216217</v>
      </c>
      <c r="U65" s="58">
        <v>1.3043478260869565</v>
      </c>
      <c r="V65" s="202">
        <f t="shared" ref="V65:X65" si="23">($L66/1.3)/I65</f>
        <v>1.5384615384615383</v>
      </c>
      <c r="W65" s="203">
        <f t="shared" si="23"/>
        <v>1.2474012474012472</v>
      </c>
      <c r="X65" s="203">
        <f t="shared" si="23"/>
        <v>1.0033444816053512</v>
      </c>
      <c r="Y65" s="204"/>
      <c r="Z65" s="205"/>
      <c r="AA65" s="8">
        <v>1.5</v>
      </c>
      <c r="AB65" s="8">
        <v>1.1111111111111112</v>
      </c>
      <c r="AC65" s="8">
        <v>0.83333333333333337</v>
      </c>
      <c r="AD65" s="58">
        <v>1</v>
      </c>
      <c r="AE65" s="58">
        <v>0.81081081081081086</v>
      </c>
      <c r="AF65" s="58">
        <v>0.65217391304347827</v>
      </c>
      <c r="AG65" s="202">
        <f t="shared" ref="AG65:AI65" si="24">($L66/1.3)/(I65*2)</f>
        <v>0.76923076923076916</v>
      </c>
      <c r="AH65" s="203">
        <f t="shared" si="24"/>
        <v>0.62370062370062362</v>
      </c>
      <c r="AI65" s="206">
        <f t="shared" si="24"/>
        <v>0.50167224080267558</v>
      </c>
      <c r="AJ65" s="78"/>
      <c r="AK65" s="78"/>
      <c r="AL65" s="78"/>
      <c r="AM65" s="78"/>
      <c r="AN65" s="78"/>
    </row>
    <row r="66" spans="1:40" ht="12.75" x14ac:dyDescent="0.2">
      <c r="A66" s="78"/>
      <c r="B66" s="89" t="s">
        <v>4</v>
      </c>
      <c r="C66" s="89"/>
      <c r="D66" s="9">
        <v>4000</v>
      </c>
      <c r="E66" s="8">
        <v>20000</v>
      </c>
      <c r="F66" s="8">
        <v>300</v>
      </c>
      <c r="G66" s="8">
        <v>405</v>
      </c>
      <c r="H66" s="8">
        <v>540</v>
      </c>
      <c r="I66" s="68">
        <v>450</v>
      </c>
      <c r="J66" s="58">
        <v>555</v>
      </c>
      <c r="K66" s="73">
        <v>690</v>
      </c>
      <c r="L66" s="78">
        <v>450</v>
      </c>
      <c r="M66" s="78"/>
      <c r="N66" s="78"/>
      <c r="O66" s="89" t="s">
        <v>4</v>
      </c>
      <c r="P66" s="9">
        <f t="shared" ref="P66:T66" si="25">$L67/F66</f>
        <v>6.9833333333333334</v>
      </c>
      <c r="Q66" s="8">
        <f t="shared" si="25"/>
        <v>5.1728395061728394</v>
      </c>
      <c r="R66" s="8">
        <f t="shared" si="25"/>
        <v>3.8796296296296298</v>
      </c>
      <c r="S66" s="58">
        <f t="shared" si="25"/>
        <v>4.6555555555555559</v>
      </c>
      <c r="T66" s="58">
        <f t="shared" si="25"/>
        <v>3.7747747747747749</v>
      </c>
      <c r="U66" s="58">
        <v>3.0362318840579712</v>
      </c>
      <c r="V66" s="207">
        <f t="shared" ref="V66:X66" si="26">($L67/1.3)/I66</f>
        <v>3.5811965811965809</v>
      </c>
      <c r="W66" s="208">
        <f t="shared" si="26"/>
        <v>2.9036729036729034</v>
      </c>
      <c r="X66" s="208">
        <f t="shared" si="26"/>
        <v>2.3355629877369006</v>
      </c>
      <c r="Y66" s="204"/>
      <c r="Z66" s="205"/>
      <c r="AA66" s="8">
        <v>3.4916666666666667</v>
      </c>
      <c r="AB66" s="8">
        <v>2.5864197530864197</v>
      </c>
      <c r="AC66" s="8">
        <v>1.9398148148148149</v>
      </c>
      <c r="AD66" s="58">
        <v>2.3277777777777779</v>
      </c>
      <c r="AE66" s="58">
        <v>1.8873873873873874</v>
      </c>
      <c r="AF66" s="58">
        <v>1.5181159420289856</v>
      </c>
      <c r="AG66" s="207">
        <f t="shared" ref="AG66:AI66" si="27">($L67/1.3)/(I66*2)</f>
        <v>1.7905982905982905</v>
      </c>
      <c r="AH66" s="208">
        <f t="shared" si="27"/>
        <v>1.4518364518364517</v>
      </c>
      <c r="AI66" s="209">
        <f t="shared" si="27"/>
        <v>1.1677814938684503</v>
      </c>
      <c r="AJ66" s="78"/>
      <c r="AK66" s="78"/>
      <c r="AL66" s="78"/>
      <c r="AM66" s="78"/>
      <c r="AN66" s="78"/>
    </row>
    <row r="67" spans="1:40" ht="12.75" x14ac:dyDescent="0.2">
      <c r="A67" s="78"/>
      <c r="B67" s="102" t="s">
        <v>78</v>
      </c>
      <c r="C67" s="102"/>
      <c r="D67" s="55">
        <v>6500</v>
      </c>
      <c r="E67" s="56">
        <v>32500</v>
      </c>
      <c r="F67" s="56">
        <v>750</v>
      </c>
      <c r="G67" s="56">
        <v>1012.5000000000001</v>
      </c>
      <c r="H67" s="56">
        <v>1350</v>
      </c>
      <c r="I67" s="57">
        <v>1125</v>
      </c>
      <c r="J67" s="74">
        <v>1387.5</v>
      </c>
      <c r="K67" s="75">
        <v>1724.9999999999998</v>
      </c>
      <c r="L67" s="78">
        <v>2095</v>
      </c>
      <c r="M67" s="78"/>
      <c r="N67" s="78"/>
      <c r="O67" s="102" t="s">
        <v>78</v>
      </c>
      <c r="P67" s="9">
        <f t="shared" ref="P67:T67" si="28">$L68/F67</f>
        <v>16</v>
      </c>
      <c r="Q67" s="8">
        <f t="shared" si="28"/>
        <v>11.851851851851851</v>
      </c>
      <c r="R67" s="8">
        <f t="shared" si="28"/>
        <v>8.8888888888888893</v>
      </c>
      <c r="S67" s="58">
        <f t="shared" si="28"/>
        <v>10.666666666666666</v>
      </c>
      <c r="T67" s="58">
        <f t="shared" si="28"/>
        <v>8.6486486486486491</v>
      </c>
      <c r="U67" s="58">
        <v>6.9565217391304355</v>
      </c>
      <c r="V67" s="207">
        <f t="shared" ref="V67:X67" si="29">($L68/1.3)/I67</f>
        <v>8.2051282051282044</v>
      </c>
      <c r="W67" s="208">
        <f t="shared" si="29"/>
        <v>6.6528066528066523</v>
      </c>
      <c r="X67" s="208">
        <f t="shared" si="29"/>
        <v>5.3511705685618738</v>
      </c>
      <c r="Y67" s="204"/>
      <c r="Z67" s="205"/>
      <c r="AA67" s="8">
        <v>8</v>
      </c>
      <c r="AB67" s="8">
        <v>5.9259259259259256</v>
      </c>
      <c r="AC67" s="8">
        <v>4.4444444444444446</v>
      </c>
      <c r="AD67" s="58">
        <v>5.333333333333333</v>
      </c>
      <c r="AE67" s="58">
        <v>4.3243243243243246</v>
      </c>
      <c r="AF67" s="58">
        <v>3.4782608695652177</v>
      </c>
      <c r="AG67" s="207">
        <f t="shared" ref="AG67:AI67" si="30">($L68/1.3)/(I67*2)</f>
        <v>4.1025641025641022</v>
      </c>
      <c r="AH67" s="208">
        <f t="shared" si="30"/>
        <v>3.3264033264033261</v>
      </c>
      <c r="AI67" s="209">
        <f t="shared" si="30"/>
        <v>2.6755852842809369</v>
      </c>
      <c r="AJ67" s="78"/>
      <c r="AK67" s="78"/>
      <c r="AL67" s="78"/>
      <c r="AM67" s="78"/>
      <c r="AN67" s="78"/>
    </row>
    <row r="68" spans="1:40" ht="12.75" x14ac:dyDescent="0.2">
      <c r="A68" s="78"/>
      <c r="B68" s="89" t="s">
        <v>79</v>
      </c>
      <c r="C68" s="89"/>
      <c r="D68" s="9">
        <v>9000</v>
      </c>
      <c r="E68" s="8">
        <v>45000</v>
      </c>
      <c r="F68" s="8">
        <v>1500</v>
      </c>
      <c r="G68" s="8">
        <v>2025.0000000000002</v>
      </c>
      <c r="H68" s="8">
        <v>2700</v>
      </c>
      <c r="I68" s="68">
        <v>2250</v>
      </c>
      <c r="J68" s="58">
        <v>2775</v>
      </c>
      <c r="K68" s="73">
        <v>3449.9999999999995</v>
      </c>
      <c r="L68" s="78">
        <v>12000</v>
      </c>
      <c r="M68" s="78"/>
      <c r="N68" s="78"/>
      <c r="O68" s="89" t="s">
        <v>79</v>
      </c>
      <c r="P68" s="9">
        <f t="shared" ref="P68:T68" si="31">$L69/F68</f>
        <v>32</v>
      </c>
      <c r="Q68" s="8">
        <f t="shared" si="31"/>
        <v>23.703703703703702</v>
      </c>
      <c r="R68" s="8">
        <f t="shared" si="31"/>
        <v>17.777777777777779</v>
      </c>
      <c r="S68" s="58">
        <f t="shared" si="31"/>
        <v>21.333333333333332</v>
      </c>
      <c r="T68" s="58">
        <f t="shared" si="31"/>
        <v>17.297297297297298</v>
      </c>
      <c r="U68" s="58">
        <v>13.913043478260871</v>
      </c>
      <c r="V68" s="207">
        <f t="shared" ref="V68:X68" si="32">($L69/1.3)/I68</f>
        <v>16.410256410256409</v>
      </c>
      <c r="W68" s="208">
        <f t="shared" si="32"/>
        <v>13.305613305613305</v>
      </c>
      <c r="X68" s="208">
        <f t="shared" si="32"/>
        <v>10.702341137123748</v>
      </c>
      <c r="Y68" s="204"/>
      <c r="Z68" s="205"/>
      <c r="AA68" s="8">
        <v>16</v>
      </c>
      <c r="AB68" s="8">
        <v>11.851851851851851</v>
      </c>
      <c r="AC68" s="8">
        <v>8.8888888888888893</v>
      </c>
      <c r="AD68" s="58">
        <v>10.666666666666666</v>
      </c>
      <c r="AE68" s="58">
        <v>8.6486486486486491</v>
      </c>
      <c r="AF68" s="58">
        <v>6.9565217391304355</v>
      </c>
      <c r="AG68" s="207">
        <f t="shared" ref="AG68:AI68" si="33">($L69/1.3)/(I68*2)</f>
        <v>8.2051282051282044</v>
      </c>
      <c r="AH68" s="208">
        <f t="shared" si="33"/>
        <v>6.6528066528066523</v>
      </c>
      <c r="AI68" s="209">
        <f t="shared" si="33"/>
        <v>5.3511705685618738</v>
      </c>
      <c r="AJ68" s="78"/>
      <c r="AK68" s="78"/>
      <c r="AL68" s="78"/>
      <c r="AM68" s="78"/>
      <c r="AN68" s="78"/>
    </row>
    <row r="69" spans="1:40" ht="12.75" x14ac:dyDescent="0.2">
      <c r="A69" s="78"/>
      <c r="B69" s="89" t="s">
        <v>80</v>
      </c>
      <c r="C69" s="89"/>
      <c r="D69" s="9">
        <v>13000</v>
      </c>
      <c r="E69" s="8">
        <v>65000</v>
      </c>
      <c r="F69" s="8">
        <v>3000</v>
      </c>
      <c r="G69" s="8">
        <v>4050.0000000000005</v>
      </c>
      <c r="H69" s="8">
        <v>5400</v>
      </c>
      <c r="I69" s="68">
        <v>4500</v>
      </c>
      <c r="J69" s="58">
        <v>5550</v>
      </c>
      <c r="K69" s="73">
        <v>6899.9999999999991</v>
      </c>
      <c r="L69" s="78">
        <v>48000</v>
      </c>
      <c r="M69" s="78"/>
      <c r="N69" s="78"/>
      <c r="O69" s="89" t="s">
        <v>80</v>
      </c>
      <c r="P69" s="9">
        <f t="shared" ref="P69:T69" si="34">$L70/F69</f>
        <v>88</v>
      </c>
      <c r="Q69" s="8">
        <f t="shared" si="34"/>
        <v>65.185185185185176</v>
      </c>
      <c r="R69" s="8">
        <f t="shared" si="34"/>
        <v>48.888888888888886</v>
      </c>
      <c r="S69" s="58">
        <f t="shared" si="34"/>
        <v>58.666666666666664</v>
      </c>
      <c r="T69" s="58">
        <f t="shared" si="34"/>
        <v>47.567567567567565</v>
      </c>
      <c r="U69" s="58">
        <v>38.260869565217398</v>
      </c>
      <c r="V69" s="207">
        <f t="shared" ref="V69:X69" si="35">($L70/1.3)/I69</f>
        <v>45.128205128205124</v>
      </c>
      <c r="W69" s="208">
        <f t="shared" si="35"/>
        <v>36.590436590436589</v>
      </c>
      <c r="X69" s="208">
        <f t="shared" si="35"/>
        <v>29.431438127090303</v>
      </c>
      <c r="Y69" s="204"/>
      <c r="Z69" s="205"/>
      <c r="AA69" s="8">
        <v>44</v>
      </c>
      <c r="AB69" s="8">
        <v>32.592592592592588</v>
      </c>
      <c r="AC69" s="8">
        <v>24.444444444444443</v>
      </c>
      <c r="AD69" s="58">
        <v>29.333333333333332</v>
      </c>
      <c r="AE69" s="58">
        <v>23.783783783783782</v>
      </c>
      <c r="AF69" s="58">
        <v>19.130434782608699</v>
      </c>
      <c r="AG69" s="207">
        <f t="shared" ref="AG69:AI69" si="36">($L70/1.3)/(I69*2)</f>
        <v>22.564102564102562</v>
      </c>
      <c r="AH69" s="208">
        <f t="shared" si="36"/>
        <v>18.295218295218294</v>
      </c>
      <c r="AI69" s="209">
        <f t="shared" si="36"/>
        <v>14.715719063545151</v>
      </c>
      <c r="AJ69" s="78"/>
      <c r="AK69" s="78"/>
      <c r="AL69" s="78"/>
      <c r="AM69" s="78"/>
      <c r="AN69" s="78"/>
    </row>
    <row r="70" spans="1:40" ht="12.75" x14ac:dyDescent="0.2">
      <c r="A70" s="78"/>
      <c r="B70" s="102" t="s">
        <v>81</v>
      </c>
      <c r="C70" s="102"/>
      <c r="D70" s="55">
        <v>17000</v>
      </c>
      <c r="E70" s="56">
        <v>85000</v>
      </c>
      <c r="F70" s="56">
        <v>4500</v>
      </c>
      <c r="G70" s="56">
        <v>6075</v>
      </c>
      <c r="H70" s="56">
        <v>8100</v>
      </c>
      <c r="I70" s="57">
        <v>6750</v>
      </c>
      <c r="J70" s="74">
        <v>8325</v>
      </c>
      <c r="K70" s="75">
        <v>10350</v>
      </c>
      <c r="L70" s="78">
        <v>264000</v>
      </c>
      <c r="M70" s="78"/>
      <c r="N70" s="78"/>
      <c r="O70" s="102" t="s">
        <v>81</v>
      </c>
      <c r="P70" s="9">
        <f t="shared" ref="P70:T70" si="37">$L71/F70</f>
        <v>102</v>
      </c>
      <c r="Q70" s="8">
        <f t="shared" si="37"/>
        <v>75.555555555555557</v>
      </c>
      <c r="R70" s="8">
        <f t="shared" si="37"/>
        <v>56.666666666666664</v>
      </c>
      <c r="S70" s="58">
        <f t="shared" si="37"/>
        <v>68</v>
      </c>
      <c r="T70" s="58">
        <f t="shared" si="37"/>
        <v>55.135135135135137</v>
      </c>
      <c r="U70" s="58">
        <v>44.347826086956523</v>
      </c>
      <c r="V70" s="207">
        <f t="shared" ref="V70:X70" si="38">($L71/1.3)/I70</f>
        <v>52.307692307692307</v>
      </c>
      <c r="W70" s="208">
        <f t="shared" si="38"/>
        <v>42.411642411642411</v>
      </c>
      <c r="X70" s="208">
        <f t="shared" si="38"/>
        <v>34.113712374581937</v>
      </c>
      <c r="Y70" s="204"/>
      <c r="Z70" s="205"/>
      <c r="AA70" s="8">
        <v>51</v>
      </c>
      <c r="AB70" s="8">
        <v>37.777777777777779</v>
      </c>
      <c r="AC70" s="8">
        <v>28.333333333333332</v>
      </c>
      <c r="AD70" s="58">
        <v>34</v>
      </c>
      <c r="AE70" s="58">
        <v>27.567567567567568</v>
      </c>
      <c r="AF70" s="58">
        <v>22.173913043478262</v>
      </c>
      <c r="AG70" s="207">
        <f t="shared" ref="AG70:AI70" si="39">($L71/1.3)/(I70*2)</f>
        <v>26.153846153846153</v>
      </c>
      <c r="AH70" s="208">
        <f t="shared" si="39"/>
        <v>21.205821205821206</v>
      </c>
      <c r="AI70" s="209">
        <f t="shared" si="39"/>
        <v>17.056856187290968</v>
      </c>
      <c r="AJ70" s="78"/>
      <c r="AK70" s="78"/>
      <c r="AL70" s="78"/>
      <c r="AM70" s="78"/>
      <c r="AN70" s="78"/>
    </row>
    <row r="71" spans="1:40" ht="12.75" x14ac:dyDescent="0.2">
      <c r="A71" s="78"/>
      <c r="B71" s="89" t="s">
        <v>82</v>
      </c>
      <c r="C71" s="89"/>
      <c r="D71" s="9">
        <v>25000</v>
      </c>
      <c r="E71" s="8">
        <v>125000</v>
      </c>
      <c r="F71" s="8">
        <v>6000</v>
      </c>
      <c r="G71" s="8">
        <v>8100.0000000000009</v>
      </c>
      <c r="H71" s="8">
        <v>10800</v>
      </c>
      <c r="I71" s="68">
        <v>9000</v>
      </c>
      <c r="J71" s="58">
        <v>11100</v>
      </c>
      <c r="K71" s="73">
        <v>13799.999999999998</v>
      </c>
      <c r="L71" s="78">
        <v>459000</v>
      </c>
      <c r="M71" s="78"/>
      <c r="N71" s="78"/>
      <c r="O71" s="89" t="s">
        <v>82</v>
      </c>
      <c r="P71" s="9">
        <f t="shared" ref="P71:T71" si="40">$L72/F71</f>
        <v>114</v>
      </c>
      <c r="Q71" s="8">
        <f t="shared" si="40"/>
        <v>84.444444444444429</v>
      </c>
      <c r="R71" s="8">
        <f t="shared" si="40"/>
        <v>63.333333333333336</v>
      </c>
      <c r="S71" s="58">
        <f t="shared" si="40"/>
        <v>76</v>
      </c>
      <c r="T71" s="58">
        <f t="shared" si="40"/>
        <v>61.621621621621621</v>
      </c>
      <c r="U71" s="58">
        <v>49.565217391304351</v>
      </c>
      <c r="V71" s="207">
        <f t="shared" ref="V71:X71" si="41">($L72/1.3)/I71</f>
        <v>58.46153846153846</v>
      </c>
      <c r="W71" s="208">
        <f t="shared" si="41"/>
        <v>47.401247401247396</v>
      </c>
      <c r="X71" s="208">
        <f t="shared" si="41"/>
        <v>38.127090301003349</v>
      </c>
      <c r="Y71" s="204"/>
      <c r="Z71" s="205"/>
      <c r="AA71" s="8">
        <v>57</v>
      </c>
      <c r="AB71" s="8">
        <v>42.222222222222214</v>
      </c>
      <c r="AC71" s="8">
        <v>31.666666666666668</v>
      </c>
      <c r="AD71" s="58">
        <v>38</v>
      </c>
      <c r="AE71" s="58">
        <v>30.810810810810811</v>
      </c>
      <c r="AF71" s="58">
        <v>24.782608695652176</v>
      </c>
      <c r="AG71" s="207">
        <f t="shared" ref="AG71:AI71" si="42">($L72/1.3)/(I71*2)</f>
        <v>29.23076923076923</v>
      </c>
      <c r="AH71" s="208">
        <f t="shared" si="42"/>
        <v>23.700623700623698</v>
      </c>
      <c r="AI71" s="209">
        <f t="shared" si="42"/>
        <v>19.063545150501675</v>
      </c>
      <c r="AJ71" s="78"/>
      <c r="AK71" s="78"/>
      <c r="AL71" s="78"/>
      <c r="AM71" s="78"/>
      <c r="AN71" s="78"/>
    </row>
    <row r="72" spans="1:40" ht="12.75" x14ac:dyDescent="0.2">
      <c r="A72" s="78"/>
      <c r="B72" s="89" t="s">
        <v>83</v>
      </c>
      <c r="C72" s="89"/>
      <c r="D72" s="9">
        <v>33000</v>
      </c>
      <c r="E72" s="8">
        <v>165000</v>
      </c>
      <c r="F72" s="8">
        <v>10500</v>
      </c>
      <c r="G72" s="8">
        <v>14175.000000000002</v>
      </c>
      <c r="H72" s="8">
        <v>18900</v>
      </c>
      <c r="I72" s="68">
        <v>15750</v>
      </c>
      <c r="J72" s="58">
        <v>19425</v>
      </c>
      <c r="K72" s="73">
        <v>24149.999999999996</v>
      </c>
      <c r="L72" s="78">
        <v>684000</v>
      </c>
      <c r="M72" s="78"/>
      <c r="N72" s="78"/>
      <c r="O72" s="89" t="s">
        <v>83</v>
      </c>
      <c r="P72" s="9">
        <f t="shared" ref="P72:T72" si="43">$L73/F72</f>
        <v>136.1904761904762</v>
      </c>
      <c r="Q72" s="8">
        <f t="shared" si="43"/>
        <v>100.88183421516753</v>
      </c>
      <c r="R72" s="8">
        <f t="shared" si="43"/>
        <v>75.661375661375658</v>
      </c>
      <c r="S72" s="58">
        <f t="shared" si="43"/>
        <v>90.793650793650798</v>
      </c>
      <c r="T72" s="58">
        <f t="shared" si="43"/>
        <v>73.616473616473613</v>
      </c>
      <c r="U72" s="58">
        <v>59.213250517598354</v>
      </c>
      <c r="V72" s="207">
        <f t="shared" ref="V72:X72" si="44">($L73/1.3)/I72</f>
        <v>69.841269841269835</v>
      </c>
      <c r="W72" s="208">
        <f t="shared" si="44"/>
        <v>56.628056628056626</v>
      </c>
      <c r="X72" s="208">
        <f t="shared" si="44"/>
        <v>45.548654244306427</v>
      </c>
      <c r="Y72" s="204"/>
      <c r="Z72" s="205"/>
      <c r="AA72" s="8">
        <v>68.095238095238102</v>
      </c>
      <c r="AB72" s="8">
        <v>50.440917107583765</v>
      </c>
      <c r="AC72" s="8">
        <v>37.830687830687829</v>
      </c>
      <c r="AD72" s="58">
        <v>45.396825396825399</v>
      </c>
      <c r="AE72" s="58">
        <v>36.808236808236806</v>
      </c>
      <c r="AF72" s="58">
        <v>29.606625258799177</v>
      </c>
      <c r="AG72" s="207">
        <f t="shared" ref="AG72:AI72" si="45">($L73/1.3)/(I72*2)</f>
        <v>34.920634920634917</v>
      </c>
      <c r="AH72" s="208">
        <f t="shared" si="45"/>
        <v>28.314028314028313</v>
      </c>
      <c r="AI72" s="209">
        <f t="shared" si="45"/>
        <v>22.774327122153213</v>
      </c>
      <c r="AJ72" s="78"/>
      <c r="AK72" s="78"/>
      <c r="AL72" s="78"/>
      <c r="AM72" s="78"/>
      <c r="AN72" s="78"/>
    </row>
    <row r="73" spans="1:40" ht="12.75" x14ac:dyDescent="0.2">
      <c r="A73" s="78"/>
      <c r="B73" s="102" t="s">
        <v>84</v>
      </c>
      <c r="C73" s="102"/>
      <c r="D73" s="55">
        <v>49000</v>
      </c>
      <c r="E73" s="56">
        <v>245000</v>
      </c>
      <c r="F73" s="56">
        <v>15000</v>
      </c>
      <c r="G73" s="56">
        <v>20250</v>
      </c>
      <c r="H73" s="56">
        <v>27000</v>
      </c>
      <c r="I73" s="57">
        <v>22500</v>
      </c>
      <c r="J73" s="74">
        <v>27750</v>
      </c>
      <c r="K73" s="75">
        <v>34500</v>
      </c>
      <c r="L73" s="78">
        <v>1430000</v>
      </c>
      <c r="M73" s="78"/>
      <c r="N73" s="78"/>
      <c r="O73" s="102" t="s">
        <v>84</v>
      </c>
      <c r="P73" s="9">
        <f t="shared" ref="P73:T73" si="46">$L74/F73</f>
        <v>160</v>
      </c>
      <c r="Q73" s="8">
        <f t="shared" si="46"/>
        <v>118.51851851851852</v>
      </c>
      <c r="R73" s="8">
        <f t="shared" si="46"/>
        <v>88.888888888888886</v>
      </c>
      <c r="S73" s="58">
        <f t="shared" si="46"/>
        <v>106.66666666666667</v>
      </c>
      <c r="T73" s="58">
        <f t="shared" si="46"/>
        <v>86.486486486486484</v>
      </c>
      <c r="U73" s="58">
        <v>69.565217391304344</v>
      </c>
      <c r="V73" s="207">
        <f t="shared" ref="V73:X73" si="47">($L74/1.3)/I73</f>
        <v>82.051282051282044</v>
      </c>
      <c r="W73" s="208">
        <f t="shared" si="47"/>
        <v>66.528066528066518</v>
      </c>
      <c r="X73" s="208">
        <f t="shared" si="47"/>
        <v>53.511705685618722</v>
      </c>
      <c r="Y73" s="204"/>
      <c r="Z73" s="205"/>
      <c r="AA73" s="8">
        <v>80</v>
      </c>
      <c r="AB73" s="8">
        <v>59.25925925925926</v>
      </c>
      <c r="AC73" s="8">
        <v>44.444444444444443</v>
      </c>
      <c r="AD73" s="58">
        <v>53.333333333333336</v>
      </c>
      <c r="AE73" s="58">
        <v>43.243243243243242</v>
      </c>
      <c r="AF73" s="58">
        <v>34.782608695652172</v>
      </c>
      <c r="AG73" s="207">
        <f t="shared" ref="AG73:AI73" si="48">($L74/1.3)/(I73*2)</f>
        <v>41.025641025641022</v>
      </c>
      <c r="AH73" s="208">
        <f t="shared" si="48"/>
        <v>33.264033264033259</v>
      </c>
      <c r="AI73" s="209">
        <f t="shared" si="48"/>
        <v>26.755852842809361</v>
      </c>
      <c r="AJ73" s="78"/>
      <c r="AK73" s="78"/>
      <c r="AL73" s="78"/>
      <c r="AM73" s="78"/>
      <c r="AN73" s="78"/>
    </row>
    <row r="74" spans="1:40" ht="12.75" x14ac:dyDescent="0.2">
      <c r="A74" s="78"/>
      <c r="B74" s="89" t="s">
        <v>85</v>
      </c>
      <c r="C74" s="89"/>
      <c r="D74" s="9">
        <v>67000</v>
      </c>
      <c r="E74" s="8">
        <v>335000</v>
      </c>
      <c r="F74" s="8">
        <v>25000</v>
      </c>
      <c r="G74" s="8">
        <v>33750</v>
      </c>
      <c r="H74" s="8">
        <v>45000</v>
      </c>
      <c r="I74" s="68">
        <v>37500</v>
      </c>
      <c r="J74" s="58">
        <v>46250</v>
      </c>
      <c r="K74" s="73">
        <v>57499.999999999993</v>
      </c>
      <c r="L74" s="78">
        <v>2400000</v>
      </c>
      <c r="M74" s="78"/>
      <c r="N74" s="78"/>
      <c r="O74" s="89" t="s">
        <v>85</v>
      </c>
      <c r="P74" s="9">
        <f t="shared" ref="P74:T74" si="49">$L75/F74</f>
        <v>176</v>
      </c>
      <c r="Q74" s="8">
        <f t="shared" si="49"/>
        <v>130.37037037037038</v>
      </c>
      <c r="R74" s="8">
        <f t="shared" si="49"/>
        <v>97.777777777777771</v>
      </c>
      <c r="S74" s="58">
        <f t="shared" si="49"/>
        <v>117.33333333333333</v>
      </c>
      <c r="T74" s="58">
        <f t="shared" si="49"/>
        <v>95.13513513513513</v>
      </c>
      <c r="U74" s="58">
        <v>76.521739130434796</v>
      </c>
      <c r="V74" s="207">
        <f t="shared" ref="V74:X74" si="50">($L75/1.3)/I74</f>
        <v>90.256410256410248</v>
      </c>
      <c r="W74" s="208">
        <f t="shared" si="50"/>
        <v>73.180873180873178</v>
      </c>
      <c r="X74" s="208">
        <f t="shared" si="50"/>
        <v>58.862876254180605</v>
      </c>
      <c r="Y74" s="204"/>
      <c r="Z74" s="205"/>
      <c r="AA74" s="8">
        <v>88</v>
      </c>
      <c r="AB74" s="8">
        <v>65.18518518518519</v>
      </c>
      <c r="AC74" s="8">
        <v>48.888888888888886</v>
      </c>
      <c r="AD74" s="58">
        <v>58.666666666666664</v>
      </c>
      <c r="AE74" s="58">
        <v>47.567567567567565</v>
      </c>
      <c r="AF74" s="58">
        <v>38.260869565217398</v>
      </c>
      <c r="AG74" s="207">
        <f t="shared" ref="AG74:AI74" si="51">($L75/1.3)/(I74*2)</f>
        <v>45.128205128205124</v>
      </c>
      <c r="AH74" s="208">
        <f t="shared" si="51"/>
        <v>36.590436590436589</v>
      </c>
      <c r="AI74" s="209">
        <f t="shared" si="51"/>
        <v>29.431438127090303</v>
      </c>
      <c r="AJ74" s="78"/>
      <c r="AK74" s="78"/>
      <c r="AL74" s="78"/>
      <c r="AM74" s="78"/>
      <c r="AN74" s="78"/>
    </row>
    <row r="75" spans="1:40" ht="12.75" x14ac:dyDescent="0.2">
      <c r="A75" s="78"/>
      <c r="B75" s="89" t="s">
        <v>86</v>
      </c>
      <c r="C75" s="89"/>
      <c r="D75" s="9">
        <v>110000</v>
      </c>
      <c r="E75" s="8">
        <v>550000</v>
      </c>
      <c r="F75" s="8">
        <v>40000</v>
      </c>
      <c r="G75" s="8">
        <v>54000</v>
      </c>
      <c r="H75" s="8">
        <v>72000</v>
      </c>
      <c r="I75" s="68">
        <v>60000</v>
      </c>
      <c r="J75" s="58">
        <v>74000</v>
      </c>
      <c r="K75" s="73">
        <v>92000</v>
      </c>
      <c r="L75" s="78">
        <v>4400000</v>
      </c>
      <c r="M75" s="78"/>
      <c r="N75" s="78"/>
      <c r="O75" s="89" t="s">
        <v>86</v>
      </c>
      <c r="P75" s="55">
        <f t="shared" ref="P75:T75" si="52">$L76/F75</f>
        <v>202</v>
      </c>
      <c r="Q75" s="56">
        <f t="shared" si="52"/>
        <v>149.62962962962962</v>
      </c>
      <c r="R75" s="56">
        <f t="shared" si="52"/>
        <v>112.22222222222223</v>
      </c>
      <c r="S75" s="74">
        <f t="shared" si="52"/>
        <v>134.66666666666666</v>
      </c>
      <c r="T75" s="74">
        <f t="shared" si="52"/>
        <v>109.18918918918919</v>
      </c>
      <c r="U75" s="74">
        <v>87.826086956521735</v>
      </c>
      <c r="V75" s="207">
        <f t="shared" ref="V75:X75" si="53">($L76/1.3)/I75</f>
        <v>103.58974358974358</v>
      </c>
      <c r="W75" s="208">
        <f t="shared" si="53"/>
        <v>83.991683991683985</v>
      </c>
      <c r="X75" s="208">
        <f t="shared" si="53"/>
        <v>67.558528428093638</v>
      </c>
      <c r="Y75" s="204"/>
      <c r="Z75" s="205"/>
      <c r="AA75" s="56">
        <v>101</v>
      </c>
      <c r="AB75" s="56">
        <v>74.81481481481481</v>
      </c>
      <c r="AC75" s="56">
        <v>56.111111111111114</v>
      </c>
      <c r="AD75" s="74">
        <v>67.333333333333329</v>
      </c>
      <c r="AE75" s="74">
        <v>54.594594594594597</v>
      </c>
      <c r="AF75" s="74">
        <v>43.913043478260867</v>
      </c>
      <c r="AG75" s="207">
        <f t="shared" ref="AG75:AI75" si="54">($L76/1.3)/(I75*2)</f>
        <v>51.794871794871788</v>
      </c>
      <c r="AH75" s="208">
        <f t="shared" si="54"/>
        <v>41.995841995841992</v>
      </c>
      <c r="AI75" s="209">
        <f t="shared" si="54"/>
        <v>33.779264214046819</v>
      </c>
      <c r="AJ75" s="78"/>
      <c r="AK75" s="78"/>
      <c r="AL75" s="78"/>
      <c r="AM75" s="78"/>
      <c r="AN75" s="78"/>
    </row>
    <row r="76" spans="1:40" ht="12.75" x14ac:dyDescent="0.2">
      <c r="A76" s="78"/>
      <c r="B76" s="102" t="s">
        <v>87</v>
      </c>
      <c r="C76" s="102"/>
      <c r="D76" s="55">
        <v>200000</v>
      </c>
      <c r="E76" s="56">
        <v>1000000</v>
      </c>
      <c r="F76" s="56">
        <v>70000</v>
      </c>
      <c r="G76" s="56">
        <v>94500</v>
      </c>
      <c r="H76" s="56">
        <v>126000</v>
      </c>
      <c r="I76" s="57">
        <v>105000</v>
      </c>
      <c r="J76" s="74">
        <v>129500</v>
      </c>
      <c r="K76" s="75">
        <v>161000</v>
      </c>
      <c r="L76" s="103">
        <v>8080000</v>
      </c>
      <c r="M76" s="78"/>
      <c r="N76" s="78"/>
      <c r="O76" s="102" t="s">
        <v>219</v>
      </c>
      <c r="P76" s="171">
        <f t="shared" ref="P76:T76" si="55">SUM(P65:P75)</f>
        <v>1036.1738095238095</v>
      </c>
      <c r="Q76" s="171">
        <f t="shared" si="55"/>
        <v>767.53615520282187</v>
      </c>
      <c r="R76" s="171">
        <f t="shared" si="55"/>
        <v>575.65211640211635</v>
      </c>
      <c r="S76" s="171">
        <f t="shared" si="55"/>
        <v>690.78253968253966</v>
      </c>
      <c r="T76" s="171">
        <f t="shared" si="55"/>
        <v>560.09395109395098</v>
      </c>
      <c r="U76" s="171">
        <v>450.51035196687377</v>
      </c>
      <c r="V76" s="210">
        <f t="shared" ref="V76:X76" si="56">SUM(V65:V75)</f>
        <v>531.37118437118431</v>
      </c>
      <c r="W76" s="211">
        <f t="shared" si="56"/>
        <v>430.84150084150082</v>
      </c>
      <c r="X76" s="211">
        <f t="shared" si="56"/>
        <v>346.54642458990281</v>
      </c>
      <c r="Y76" s="102"/>
      <c r="Z76" s="212"/>
      <c r="AA76" s="171">
        <v>518.08690476190475</v>
      </c>
      <c r="AB76" s="171">
        <v>383.76807760141094</v>
      </c>
      <c r="AC76" s="171">
        <v>287.82605820105817</v>
      </c>
      <c r="AD76" s="171">
        <v>345.39126984126983</v>
      </c>
      <c r="AE76" s="171">
        <v>280.04697554697549</v>
      </c>
      <c r="AF76" s="171">
        <v>225.25517598343689</v>
      </c>
      <c r="AG76" s="210">
        <f t="shared" ref="AG76:AI76" si="57">SUM(AG65:AG75)</f>
        <v>265.68559218559216</v>
      </c>
      <c r="AH76" s="211">
        <f t="shared" si="57"/>
        <v>215.42075042075041</v>
      </c>
      <c r="AI76" s="213">
        <f t="shared" si="57"/>
        <v>173.27321229495141</v>
      </c>
      <c r="AJ76" s="78"/>
      <c r="AK76" s="78"/>
      <c r="AL76" s="78"/>
      <c r="AM76" s="78"/>
      <c r="AN76" s="78"/>
    </row>
    <row r="77" spans="1:40" ht="12.75" x14ac:dyDescent="0.2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>
        <f>SUM(L65:L76)</f>
        <v>17779545</v>
      </c>
      <c r="M77" s="78"/>
      <c r="N77" s="78"/>
      <c r="P77" s="2" t="s">
        <v>204</v>
      </c>
      <c r="AB77" s="78" t="s">
        <v>220</v>
      </c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</row>
    <row r="78" spans="1:40" ht="12.75" x14ac:dyDescent="0.2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 t="s">
        <v>221</v>
      </c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</row>
    <row r="79" spans="1:40" ht="12.7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</row>
    <row r="80" spans="1:40" ht="12.7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</row>
    <row r="81" spans="1:40" ht="12.75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</row>
    <row r="82" spans="1:40" ht="12.75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</row>
    <row r="83" spans="1:40" ht="12.75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</row>
    <row r="84" spans="1:40" ht="12.75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</row>
    <row r="85" spans="1:40" ht="12.75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</row>
    <row r="86" spans="1:40" ht="12.75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</row>
    <row r="87" spans="1:40" ht="12.75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</row>
    <row r="88" spans="1:40" ht="12.7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</row>
    <row r="89" spans="1:40" ht="12.7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</row>
    <row r="90" spans="1:40" ht="12.75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</row>
    <row r="91" spans="1:40" ht="12.75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</row>
    <row r="92" spans="1:40" ht="12.75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</row>
    <row r="93" spans="1:40" ht="12.75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</row>
    <row r="94" spans="1:40" ht="12.75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</row>
    <row r="95" spans="1:40" ht="12.75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</row>
    <row r="96" spans="1:40" ht="12.75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</row>
    <row r="97" spans="1:40" ht="12.75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</row>
    <row r="98" spans="1:40" ht="12.75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</row>
    <row r="99" spans="1:40" ht="12.75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</row>
    <row r="100" spans="1:40" ht="12.7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</row>
    <row r="101" spans="1:40" ht="12.7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</row>
    <row r="102" spans="1:40" ht="12.75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</row>
    <row r="103" spans="1:40" ht="12.75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</row>
    <row r="104" spans="1:40" ht="12.75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</row>
    <row r="105" spans="1:40" ht="12.75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</row>
    <row r="106" spans="1:40" ht="12.75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</row>
    <row r="107" spans="1:40" ht="12.75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</row>
    <row r="108" spans="1:40" ht="12.75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</row>
    <row r="109" spans="1:40" ht="12.75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</row>
    <row r="110" spans="1:40" ht="12.7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</row>
    <row r="111" spans="1:40" ht="12.7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</row>
    <row r="112" spans="1:40" ht="12.75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</row>
    <row r="113" spans="1:40" ht="12.75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</row>
    <row r="114" spans="1:40" ht="12.75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</row>
    <row r="115" spans="1:40" ht="12.75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</row>
    <row r="116" spans="1:40" ht="12.75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</row>
    <row r="117" spans="1:40" ht="12.7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</row>
    <row r="118" spans="1:40" ht="12.7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</row>
    <row r="119" spans="1:40" ht="12.75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</row>
    <row r="120" spans="1:40" ht="12.75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</row>
    <row r="121" spans="1:40" ht="12.75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</row>
    <row r="122" spans="1:40" ht="12.75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</row>
    <row r="123" spans="1:40" ht="12.75" x14ac:dyDescent="0.2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</row>
    <row r="124" spans="1:40" ht="12.75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</row>
    <row r="125" spans="1:40" ht="12.7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</row>
    <row r="126" spans="1:40" ht="12.7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</row>
    <row r="127" spans="1:40" ht="12.75" x14ac:dyDescent="0.2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</row>
    <row r="128" spans="1:40" ht="12.75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</row>
    <row r="129" spans="1:40" ht="12.75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</row>
    <row r="130" spans="1:40" ht="12.75" x14ac:dyDescent="0.2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</row>
    <row r="131" spans="1:40" ht="12.75" x14ac:dyDescent="0.2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</row>
    <row r="132" spans="1:40" ht="12.75" x14ac:dyDescent="0.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</row>
    <row r="133" spans="1:40" ht="12.7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</row>
    <row r="134" spans="1:40" ht="12.7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</row>
    <row r="135" spans="1:40" ht="12.75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</row>
    <row r="136" spans="1:40" ht="12.75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</row>
    <row r="137" spans="1:40" ht="12.75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</row>
    <row r="138" spans="1:40" ht="12.75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</row>
    <row r="139" spans="1:40" ht="12.75" x14ac:dyDescent="0.2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</row>
    <row r="140" spans="1:40" ht="12.75" x14ac:dyDescent="0.2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</row>
    <row r="141" spans="1:40" ht="12.75" x14ac:dyDescent="0.2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</row>
    <row r="142" spans="1:40" ht="12.75" x14ac:dyDescent="0.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</row>
    <row r="143" spans="1:40" ht="12.75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</row>
    <row r="144" spans="1:40" ht="12.75" x14ac:dyDescent="0.2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</row>
    <row r="145" spans="1:40" ht="12.75" x14ac:dyDescent="0.2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</row>
    <row r="146" spans="1:40" ht="12.75" x14ac:dyDescent="0.2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</row>
    <row r="147" spans="1:40" ht="12.75" x14ac:dyDescent="0.2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</row>
    <row r="148" spans="1:40" ht="12.75" x14ac:dyDescent="0.2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</row>
    <row r="149" spans="1:40" ht="12.75" x14ac:dyDescent="0.2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</row>
    <row r="150" spans="1:40" ht="12.75" x14ac:dyDescent="0.2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</row>
    <row r="151" spans="1:40" ht="12.75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</row>
    <row r="152" spans="1:40" ht="12.7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</row>
    <row r="153" spans="1:40" ht="12.7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</row>
    <row r="154" spans="1:40" ht="12.75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</row>
    <row r="155" spans="1:40" ht="12.75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</row>
    <row r="156" spans="1:40" ht="12.7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</row>
    <row r="157" spans="1:40" ht="12.7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</row>
    <row r="158" spans="1:40" ht="12.75" x14ac:dyDescent="0.2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</row>
    <row r="159" spans="1:40" ht="12.75" x14ac:dyDescent="0.2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</row>
    <row r="160" spans="1:40" ht="12.75" x14ac:dyDescent="0.2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</row>
    <row r="161" spans="1:40" ht="12.75" x14ac:dyDescent="0.2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</row>
    <row r="162" spans="1:40" ht="12.75" x14ac:dyDescent="0.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</row>
    <row r="163" spans="1:40" ht="12.75" x14ac:dyDescent="0.2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</row>
    <row r="164" spans="1:40" ht="12.75" x14ac:dyDescent="0.2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</row>
    <row r="165" spans="1:40" ht="12.75" x14ac:dyDescent="0.2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</row>
    <row r="166" spans="1:40" ht="12.75" x14ac:dyDescent="0.2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</row>
    <row r="167" spans="1:40" ht="12.75" x14ac:dyDescent="0.2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</row>
    <row r="168" spans="1:40" ht="12.75" x14ac:dyDescent="0.2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</row>
    <row r="169" spans="1:40" ht="12.75" x14ac:dyDescent="0.2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</row>
    <row r="170" spans="1:40" ht="12.75" x14ac:dyDescent="0.2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</row>
    <row r="171" spans="1:40" ht="12.75" x14ac:dyDescent="0.2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</row>
    <row r="172" spans="1:40" ht="12.75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</row>
    <row r="173" spans="1:40" ht="12.75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</row>
    <row r="174" spans="1:40" ht="12.75" x14ac:dyDescent="0.2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</row>
    <row r="175" spans="1:40" ht="12.7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</row>
    <row r="176" spans="1:40" ht="12.7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</row>
    <row r="177" spans="1:40" ht="12.75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</row>
    <row r="178" spans="1:40" ht="12.75" x14ac:dyDescent="0.2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</row>
    <row r="179" spans="1:40" ht="12.75" x14ac:dyDescent="0.2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</row>
    <row r="180" spans="1:40" ht="12.75" x14ac:dyDescent="0.2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</row>
    <row r="181" spans="1:40" ht="12.75" x14ac:dyDescent="0.2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</row>
    <row r="182" spans="1:40" ht="12.75" x14ac:dyDescent="0.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</row>
    <row r="183" spans="1:40" ht="12.75" x14ac:dyDescent="0.2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</row>
    <row r="184" spans="1:40" ht="12.75" x14ac:dyDescent="0.2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</row>
    <row r="185" spans="1:40" ht="12.75" x14ac:dyDescent="0.2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</row>
    <row r="186" spans="1:40" ht="12.75" x14ac:dyDescent="0.2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</row>
    <row r="187" spans="1:40" ht="12.75" x14ac:dyDescent="0.2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</row>
    <row r="188" spans="1:40" ht="12.75" x14ac:dyDescent="0.2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</row>
    <row r="189" spans="1:40" ht="12.75" x14ac:dyDescent="0.2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</row>
    <row r="190" spans="1:40" ht="12.75" x14ac:dyDescent="0.2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</row>
    <row r="191" spans="1:40" ht="12.75" x14ac:dyDescent="0.2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</row>
    <row r="192" spans="1:40" ht="12.75" x14ac:dyDescent="0.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</row>
    <row r="193" spans="1:40" ht="12.75" x14ac:dyDescent="0.2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</row>
    <row r="194" spans="1:40" ht="12.75" x14ac:dyDescent="0.2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</row>
    <row r="195" spans="1:40" ht="12.75" x14ac:dyDescent="0.2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</row>
    <row r="196" spans="1:40" ht="12.75" x14ac:dyDescent="0.2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</row>
    <row r="197" spans="1:40" ht="12.75" x14ac:dyDescent="0.2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</row>
    <row r="198" spans="1:40" ht="12.75" x14ac:dyDescent="0.2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</row>
    <row r="199" spans="1:40" ht="12.75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</row>
    <row r="200" spans="1:40" ht="12.75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</row>
    <row r="201" spans="1:40" ht="12.75" x14ac:dyDescent="0.2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</row>
    <row r="202" spans="1:40" ht="12.7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</row>
    <row r="203" spans="1:40" ht="12.7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</row>
    <row r="204" spans="1:40" ht="12.75" x14ac:dyDescent="0.2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</row>
    <row r="205" spans="1:40" ht="12.75" x14ac:dyDescent="0.2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</row>
    <row r="206" spans="1:40" ht="12.75" x14ac:dyDescent="0.2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</row>
    <row r="207" spans="1:40" ht="12.75" x14ac:dyDescent="0.2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</row>
    <row r="208" spans="1:40" ht="12.75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</row>
    <row r="209" spans="1:40" ht="12.75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</row>
    <row r="210" spans="1:40" ht="12.75" x14ac:dyDescent="0.2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</row>
    <row r="211" spans="1:40" ht="12.7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</row>
    <row r="212" spans="1:40" ht="12.7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</row>
    <row r="213" spans="1:40" ht="12.75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</row>
    <row r="214" spans="1:40" ht="12.75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</row>
    <row r="215" spans="1:40" ht="12.75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</row>
    <row r="216" spans="1:40" ht="12.75" x14ac:dyDescent="0.2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</row>
    <row r="217" spans="1:40" ht="12.7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</row>
    <row r="218" spans="1:40" ht="12.7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</row>
    <row r="219" spans="1:40" ht="12.75" x14ac:dyDescent="0.2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</row>
    <row r="220" spans="1:40" ht="12.75" x14ac:dyDescent="0.2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</row>
    <row r="221" spans="1:40" ht="12.75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</row>
    <row r="222" spans="1:40" ht="12.75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</row>
    <row r="223" spans="1:40" ht="12.75" x14ac:dyDescent="0.2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</row>
    <row r="224" spans="1:40" ht="12.7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</row>
    <row r="225" spans="1:40" ht="12.7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</row>
    <row r="226" spans="1:40" ht="12.75" x14ac:dyDescent="0.2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</row>
    <row r="227" spans="1:40" ht="12.75" x14ac:dyDescent="0.2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</row>
    <row r="228" spans="1:40" ht="12.75" x14ac:dyDescent="0.2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</row>
    <row r="229" spans="1:40" ht="12.75" x14ac:dyDescent="0.2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</row>
    <row r="230" spans="1:40" ht="12.75" x14ac:dyDescent="0.2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</row>
    <row r="231" spans="1:40" ht="12.75" x14ac:dyDescent="0.2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</row>
    <row r="232" spans="1:40" ht="12.75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</row>
    <row r="233" spans="1:40" ht="12.75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</row>
    <row r="234" spans="1:40" ht="12.75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</row>
    <row r="235" spans="1:40" ht="12.7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</row>
    <row r="236" spans="1:40" ht="12.7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</row>
    <row r="237" spans="1:40" ht="12.75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</row>
    <row r="238" spans="1:40" ht="12.75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</row>
    <row r="239" spans="1:40" ht="12.75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</row>
    <row r="240" spans="1:40" ht="12.7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</row>
    <row r="241" spans="1:40" ht="12.7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</row>
    <row r="242" spans="1:40" ht="12.75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</row>
    <row r="243" spans="1:40" ht="12.75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</row>
    <row r="244" spans="1:40" ht="12.75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</row>
    <row r="245" spans="1:40" ht="12.75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</row>
    <row r="246" spans="1:40" ht="12.7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</row>
    <row r="247" spans="1:40" ht="12.7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</row>
    <row r="248" spans="1:40" ht="12.75" x14ac:dyDescent="0.2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</row>
    <row r="249" spans="1:40" ht="12.75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</row>
    <row r="250" spans="1:40" ht="12.75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</row>
    <row r="251" spans="1:40" ht="12.75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</row>
    <row r="252" spans="1:40" ht="12.7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</row>
    <row r="253" spans="1:40" ht="12.7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</row>
    <row r="254" spans="1:40" ht="12.75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</row>
    <row r="255" spans="1:40" ht="12.75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</row>
    <row r="256" spans="1:40" ht="12.7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</row>
    <row r="257" spans="1:40" ht="12.7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</row>
    <row r="258" spans="1:40" ht="12.75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</row>
    <row r="259" spans="1:40" ht="12.75" x14ac:dyDescent="0.2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</row>
    <row r="260" spans="1:40" ht="12.7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</row>
    <row r="261" spans="1:40" ht="12.7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</row>
    <row r="262" spans="1:40" ht="12.75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</row>
    <row r="263" spans="1:40" ht="12.75" x14ac:dyDescent="0.2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</row>
    <row r="264" spans="1:40" ht="12.7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</row>
    <row r="265" spans="1:40" ht="12.7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</row>
    <row r="266" spans="1:40" ht="12.75" x14ac:dyDescent="0.2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</row>
    <row r="267" spans="1:40" ht="12.75" x14ac:dyDescent="0.2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</row>
    <row r="268" spans="1:40" ht="12.75" x14ac:dyDescent="0.2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</row>
    <row r="269" spans="1:40" ht="12.75" x14ac:dyDescent="0.2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</row>
    <row r="270" spans="1:40" ht="12.75" x14ac:dyDescent="0.2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</row>
    <row r="271" spans="1:40" ht="12.75" x14ac:dyDescent="0.2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</row>
    <row r="272" spans="1:40" ht="12.75" x14ac:dyDescent="0.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</row>
    <row r="273" spans="1:40" ht="12.75" x14ac:dyDescent="0.2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</row>
    <row r="274" spans="1:40" ht="12.75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</row>
    <row r="275" spans="1:40" ht="12.75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</row>
    <row r="276" spans="1:40" ht="12.75" x14ac:dyDescent="0.2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</row>
    <row r="277" spans="1:40" ht="12.7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</row>
    <row r="278" spans="1:40" ht="12.7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</row>
    <row r="279" spans="1:40" ht="12.75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</row>
    <row r="280" spans="1:40" ht="12.75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</row>
    <row r="281" spans="1:40" ht="12.75" x14ac:dyDescent="0.2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</row>
    <row r="282" spans="1:40" ht="12.7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</row>
    <row r="283" spans="1:40" ht="12.7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</row>
    <row r="284" spans="1:40" ht="12.75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</row>
    <row r="285" spans="1:40" ht="12.75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</row>
    <row r="286" spans="1:40" ht="12.75" x14ac:dyDescent="0.2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</row>
    <row r="287" spans="1:40" ht="12.7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</row>
    <row r="288" spans="1:40" ht="12.7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</row>
    <row r="289" spans="1:40" ht="12.75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</row>
    <row r="290" spans="1:40" ht="12.75" x14ac:dyDescent="0.2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</row>
    <row r="291" spans="1:40" ht="12.7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</row>
    <row r="292" spans="1:40" ht="12.7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</row>
    <row r="293" spans="1:40" ht="12.75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</row>
    <row r="294" spans="1:40" ht="12.75" x14ac:dyDescent="0.2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</row>
    <row r="295" spans="1:40" ht="12.7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</row>
    <row r="296" spans="1:40" ht="12.7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</row>
    <row r="297" spans="1:40" ht="12.75" x14ac:dyDescent="0.2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</row>
    <row r="298" spans="1:40" ht="12.75" x14ac:dyDescent="0.2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</row>
    <row r="299" spans="1:40" ht="12.75" x14ac:dyDescent="0.2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</row>
    <row r="300" spans="1:40" ht="12.75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</row>
    <row r="301" spans="1:40" ht="12.75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</row>
    <row r="302" spans="1:40" ht="12.75" x14ac:dyDescent="0.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</row>
    <row r="303" spans="1:40" ht="12.7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</row>
    <row r="304" spans="1:40" ht="12.7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</row>
    <row r="305" spans="1:40" ht="12.75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</row>
    <row r="306" spans="1:40" ht="12.75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</row>
    <row r="307" spans="1:40" ht="12.75" x14ac:dyDescent="0.2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</row>
    <row r="308" spans="1:40" ht="12.7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</row>
    <row r="309" spans="1:40" ht="12.7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</row>
    <row r="310" spans="1:40" ht="12.75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</row>
    <row r="311" spans="1:40" ht="12.75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</row>
    <row r="312" spans="1:40" ht="12.75" x14ac:dyDescent="0.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</row>
    <row r="313" spans="1:40" ht="12.75" x14ac:dyDescent="0.2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</row>
    <row r="314" spans="1:40" ht="12.75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</row>
    <row r="315" spans="1:40" ht="12.7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</row>
    <row r="316" spans="1:40" ht="12.7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</row>
    <row r="317" spans="1:40" ht="12.75" x14ac:dyDescent="0.2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</row>
    <row r="318" spans="1:40" ht="12.75" x14ac:dyDescent="0.2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</row>
    <row r="319" spans="1:40" ht="12.75" x14ac:dyDescent="0.2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</row>
    <row r="320" spans="1:40" ht="12.7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</row>
    <row r="321" spans="1:40" ht="12.7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</row>
    <row r="322" spans="1:40" ht="12.75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</row>
    <row r="323" spans="1:40" ht="12.75" x14ac:dyDescent="0.2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</row>
    <row r="324" spans="1:40" ht="12.75" x14ac:dyDescent="0.2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</row>
    <row r="325" spans="1:40" ht="12.75" x14ac:dyDescent="0.2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</row>
    <row r="326" spans="1:40" ht="12.75" x14ac:dyDescent="0.2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</row>
    <row r="327" spans="1:40" ht="12.7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</row>
    <row r="328" spans="1:40" ht="12.7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</row>
    <row r="329" spans="1:40" ht="12.75" x14ac:dyDescent="0.2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</row>
    <row r="330" spans="1:40" ht="12.75" x14ac:dyDescent="0.2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</row>
    <row r="331" spans="1:40" ht="12.75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</row>
    <row r="332" spans="1:40" ht="12.75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</row>
    <row r="333" spans="1:40" ht="12.75" x14ac:dyDescent="0.2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</row>
    <row r="334" spans="1:40" ht="12.75" x14ac:dyDescent="0.2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</row>
    <row r="335" spans="1:40" ht="12.75" x14ac:dyDescent="0.2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</row>
    <row r="336" spans="1:40" ht="12.75" x14ac:dyDescent="0.2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</row>
    <row r="337" spans="1:40" ht="12.7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</row>
    <row r="338" spans="1:40" ht="12.7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</row>
    <row r="339" spans="1:40" ht="12.75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</row>
    <row r="340" spans="1:40" ht="12.75" x14ac:dyDescent="0.2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</row>
    <row r="341" spans="1:40" ht="12.75" x14ac:dyDescent="0.2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</row>
    <row r="342" spans="1:40" ht="12.75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</row>
    <row r="343" spans="1:40" ht="12.75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</row>
    <row r="344" spans="1:40" ht="12.7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</row>
    <row r="345" spans="1:40" ht="12.7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</row>
    <row r="346" spans="1:40" ht="12.75" x14ac:dyDescent="0.2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</row>
    <row r="347" spans="1:40" ht="12.75" x14ac:dyDescent="0.2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</row>
    <row r="348" spans="1:40" ht="12.7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</row>
    <row r="349" spans="1:40" ht="12.7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</row>
    <row r="350" spans="1:40" ht="12.75" x14ac:dyDescent="0.2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</row>
    <row r="351" spans="1:40" ht="12.75" x14ac:dyDescent="0.2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</row>
    <row r="352" spans="1:40" ht="12.75" x14ac:dyDescent="0.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</row>
    <row r="353" spans="1:40" ht="12.75" x14ac:dyDescent="0.2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</row>
    <row r="354" spans="1:40" ht="12.7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</row>
    <row r="355" spans="1:40" ht="12.7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</row>
    <row r="356" spans="1:40" ht="12.75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</row>
    <row r="357" spans="1:40" ht="12.75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</row>
    <row r="358" spans="1:40" ht="12.75" x14ac:dyDescent="0.2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</row>
    <row r="359" spans="1:40" ht="12.75" x14ac:dyDescent="0.2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</row>
    <row r="360" spans="1:40" ht="12.75" x14ac:dyDescent="0.2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</row>
    <row r="361" spans="1:40" ht="12.75" x14ac:dyDescent="0.2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</row>
    <row r="362" spans="1:40" ht="12.7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</row>
    <row r="363" spans="1:40" ht="12.7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</row>
    <row r="364" spans="1:40" ht="12.75" x14ac:dyDescent="0.2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</row>
    <row r="365" spans="1:40" ht="12.75" x14ac:dyDescent="0.2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</row>
    <row r="366" spans="1:40" ht="12.75" x14ac:dyDescent="0.2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</row>
    <row r="367" spans="1:40" ht="12.75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</row>
    <row r="368" spans="1:40" ht="12.75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</row>
    <row r="369" spans="1:40" ht="12.75" x14ac:dyDescent="0.2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</row>
    <row r="370" spans="1:40" ht="12.75" x14ac:dyDescent="0.2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</row>
    <row r="371" spans="1:40" ht="12.75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</row>
    <row r="372" spans="1:40" ht="12.75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</row>
    <row r="373" spans="1:40" ht="12.75" x14ac:dyDescent="0.2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</row>
    <row r="374" spans="1:40" ht="12.75" x14ac:dyDescent="0.2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</row>
    <row r="375" spans="1:40" ht="12.75" x14ac:dyDescent="0.2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</row>
    <row r="376" spans="1:40" ht="12.75" x14ac:dyDescent="0.2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</row>
    <row r="377" spans="1:40" ht="12.7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</row>
    <row r="378" spans="1:40" ht="12.7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</row>
    <row r="379" spans="1:40" ht="12.75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</row>
    <row r="380" spans="1:40" ht="12.75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</row>
    <row r="381" spans="1:40" ht="12.75" x14ac:dyDescent="0.2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</row>
    <row r="382" spans="1:40" ht="12.7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</row>
    <row r="383" spans="1:40" ht="12.7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</row>
    <row r="384" spans="1:40" ht="12.75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</row>
    <row r="385" spans="1:40" ht="12.75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</row>
    <row r="386" spans="1:40" ht="12.75" x14ac:dyDescent="0.2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</row>
    <row r="387" spans="1:40" ht="12.75" x14ac:dyDescent="0.2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</row>
    <row r="388" spans="1:40" ht="12.75" x14ac:dyDescent="0.2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</row>
    <row r="389" spans="1:40" ht="12.75" x14ac:dyDescent="0.2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</row>
    <row r="390" spans="1:40" ht="12.75" x14ac:dyDescent="0.2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</row>
    <row r="391" spans="1:40" ht="12.7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</row>
    <row r="392" spans="1:40" ht="12.7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</row>
    <row r="393" spans="1:40" ht="12.75" x14ac:dyDescent="0.2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</row>
    <row r="394" spans="1:40" ht="12.75" x14ac:dyDescent="0.2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</row>
    <row r="395" spans="1:40" ht="12.75" x14ac:dyDescent="0.2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</row>
    <row r="396" spans="1:40" ht="12.7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</row>
    <row r="397" spans="1:40" ht="12.7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</row>
    <row r="398" spans="1:40" ht="12.75" x14ac:dyDescent="0.2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</row>
    <row r="399" spans="1:40" ht="12.75" x14ac:dyDescent="0.2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</row>
    <row r="400" spans="1:40" ht="12.75" x14ac:dyDescent="0.2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</row>
    <row r="401" spans="1:40" ht="12.75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</row>
    <row r="402" spans="1:40" ht="12.75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</row>
    <row r="403" spans="1:40" ht="12.7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</row>
    <row r="404" spans="1:40" ht="12.7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</row>
    <row r="405" spans="1:40" ht="12.75" x14ac:dyDescent="0.2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</row>
    <row r="406" spans="1:40" ht="12.75" x14ac:dyDescent="0.2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</row>
    <row r="407" spans="1:40" ht="12.75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</row>
    <row r="408" spans="1:40" ht="12.7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</row>
    <row r="409" spans="1:40" ht="12.7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</row>
    <row r="410" spans="1:40" ht="12.75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</row>
    <row r="411" spans="1:40" ht="12.75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</row>
    <row r="412" spans="1:40" ht="12.75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</row>
    <row r="413" spans="1:40" ht="12.7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</row>
    <row r="414" spans="1:40" ht="12.7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</row>
    <row r="415" spans="1:40" ht="12.75" x14ac:dyDescent="0.2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</row>
    <row r="416" spans="1:40" ht="12.75" x14ac:dyDescent="0.2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</row>
    <row r="417" spans="1:40" ht="12.75" x14ac:dyDescent="0.2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</row>
    <row r="418" spans="1:40" ht="12.75" x14ac:dyDescent="0.2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</row>
    <row r="419" spans="1:40" ht="12.75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</row>
    <row r="420" spans="1:40" ht="12.75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</row>
    <row r="421" spans="1:40" ht="12.75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</row>
    <row r="422" spans="1:40" ht="12.75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</row>
    <row r="423" spans="1:40" ht="12.75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</row>
    <row r="424" spans="1:40" ht="12.75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</row>
    <row r="425" spans="1:40" ht="12.75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</row>
    <row r="426" spans="1:40" ht="12.7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</row>
    <row r="427" spans="1:40" ht="12.75" x14ac:dyDescent="0.2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</row>
    <row r="428" spans="1:40" ht="12.75" x14ac:dyDescent="0.2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</row>
    <row r="429" spans="1:40" ht="12.75" x14ac:dyDescent="0.2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</row>
    <row r="430" spans="1:40" ht="12.75" x14ac:dyDescent="0.2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</row>
    <row r="431" spans="1:40" ht="12.75" x14ac:dyDescent="0.2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</row>
    <row r="432" spans="1:40" ht="12.75" x14ac:dyDescent="0.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</row>
    <row r="433" spans="1:40" ht="12.75" x14ac:dyDescent="0.2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</row>
    <row r="434" spans="1:40" ht="12.75" x14ac:dyDescent="0.2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</row>
    <row r="435" spans="1:40" ht="12.75" x14ac:dyDescent="0.2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</row>
    <row r="436" spans="1:40" ht="12.75" x14ac:dyDescent="0.2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</row>
    <row r="437" spans="1:40" ht="12.75" x14ac:dyDescent="0.2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</row>
    <row r="438" spans="1:40" ht="12.75" x14ac:dyDescent="0.2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</row>
    <row r="439" spans="1:40" ht="12.75" x14ac:dyDescent="0.2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</row>
    <row r="440" spans="1:40" ht="12.75" x14ac:dyDescent="0.2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</row>
    <row r="441" spans="1:40" ht="12.75" x14ac:dyDescent="0.2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</row>
    <row r="442" spans="1:40" ht="12.75" x14ac:dyDescent="0.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</row>
    <row r="443" spans="1:40" ht="12.75" x14ac:dyDescent="0.2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</row>
    <row r="444" spans="1:40" ht="12.75" x14ac:dyDescent="0.2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</row>
    <row r="445" spans="1:40" ht="12.75" x14ac:dyDescent="0.2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</row>
    <row r="446" spans="1:40" ht="12.75" x14ac:dyDescent="0.2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</row>
    <row r="447" spans="1:40" ht="12.75" x14ac:dyDescent="0.2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</row>
    <row r="448" spans="1:40" ht="12.75" x14ac:dyDescent="0.2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</row>
    <row r="449" spans="1:40" ht="12.75" x14ac:dyDescent="0.2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</row>
    <row r="450" spans="1:40" ht="12.75" x14ac:dyDescent="0.2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</row>
    <row r="451" spans="1:40" ht="12.75" x14ac:dyDescent="0.2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</row>
    <row r="452" spans="1:40" ht="12.75" x14ac:dyDescent="0.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</row>
    <row r="453" spans="1:40" ht="12.75" x14ac:dyDescent="0.2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</row>
    <row r="454" spans="1:40" ht="12.75" x14ac:dyDescent="0.2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</row>
    <row r="455" spans="1:40" ht="12.75" x14ac:dyDescent="0.2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</row>
    <row r="456" spans="1:40" ht="12.75" x14ac:dyDescent="0.2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</row>
    <row r="457" spans="1:40" ht="12.75" x14ac:dyDescent="0.2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</row>
    <row r="458" spans="1:40" ht="12.75" x14ac:dyDescent="0.2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</row>
    <row r="459" spans="1:40" ht="12.75" x14ac:dyDescent="0.2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</row>
    <row r="460" spans="1:40" ht="12.75" x14ac:dyDescent="0.2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</row>
    <row r="461" spans="1:40" ht="12.75" x14ac:dyDescent="0.2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</row>
    <row r="462" spans="1:40" ht="12.75" x14ac:dyDescent="0.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</row>
    <row r="463" spans="1:40" ht="12.75" x14ac:dyDescent="0.2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</row>
    <row r="464" spans="1:40" ht="12.75" x14ac:dyDescent="0.2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</row>
    <row r="465" spans="1:40" ht="12.75" x14ac:dyDescent="0.2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</row>
    <row r="466" spans="1:40" ht="12.75" x14ac:dyDescent="0.2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</row>
    <row r="467" spans="1:40" ht="12.75" x14ac:dyDescent="0.2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</row>
    <row r="468" spans="1:40" ht="12.75" x14ac:dyDescent="0.2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</row>
    <row r="469" spans="1:40" ht="12.75" x14ac:dyDescent="0.2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</row>
    <row r="470" spans="1:40" ht="12.75" x14ac:dyDescent="0.2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</row>
    <row r="471" spans="1:40" ht="12.75" x14ac:dyDescent="0.2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</row>
    <row r="472" spans="1:40" ht="12.75" x14ac:dyDescent="0.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</row>
    <row r="473" spans="1:40" ht="12.75" x14ac:dyDescent="0.2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</row>
    <row r="474" spans="1:40" ht="12.75" x14ac:dyDescent="0.2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</row>
    <row r="475" spans="1:40" ht="12.75" x14ac:dyDescent="0.2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</row>
    <row r="476" spans="1:40" ht="12.75" x14ac:dyDescent="0.2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</row>
    <row r="477" spans="1:40" ht="12.75" x14ac:dyDescent="0.2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</row>
    <row r="478" spans="1:40" ht="12.75" x14ac:dyDescent="0.2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</row>
    <row r="479" spans="1:40" ht="12.75" x14ac:dyDescent="0.2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</row>
    <row r="480" spans="1:40" ht="12.75" x14ac:dyDescent="0.2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</row>
    <row r="481" spans="1:40" ht="12.75" x14ac:dyDescent="0.2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</row>
    <row r="482" spans="1:40" ht="12.75" x14ac:dyDescent="0.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</row>
    <row r="483" spans="1:40" ht="12.75" x14ac:dyDescent="0.2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</row>
    <row r="484" spans="1:40" ht="12.75" x14ac:dyDescent="0.2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</row>
    <row r="485" spans="1:40" ht="12.75" x14ac:dyDescent="0.2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</row>
    <row r="486" spans="1:40" ht="12.75" x14ac:dyDescent="0.2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</row>
    <row r="487" spans="1:40" ht="12.75" x14ac:dyDescent="0.2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</row>
    <row r="488" spans="1:40" ht="12.75" x14ac:dyDescent="0.2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</row>
    <row r="489" spans="1:40" ht="12.75" x14ac:dyDescent="0.2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</row>
    <row r="490" spans="1:40" ht="12.75" x14ac:dyDescent="0.2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</row>
    <row r="491" spans="1:40" ht="12.75" x14ac:dyDescent="0.2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</row>
    <row r="492" spans="1:40" ht="12.75" x14ac:dyDescent="0.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</row>
    <row r="493" spans="1:40" ht="12.75" x14ac:dyDescent="0.2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</row>
    <row r="494" spans="1:40" ht="12.75" x14ac:dyDescent="0.2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</row>
    <row r="495" spans="1:40" ht="12.75" x14ac:dyDescent="0.2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</row>
    <row r="496" spans="1:40" ht="12.75" x14ac:dyDescent="0.2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</row>
    <row r="497" spans="1:40" ht="12.75" x14ac:dyDescent="0.2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</row>
    <row r="498" spans="1:40" ht="12.75" x14ac:dyDescent="0.2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</row>
    <row r="499" spans="1:40" ht="12.75" x14ac:dyDescent="0.2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</row>
    <row r="500" spans="1:40" ht="12.75" x14ac:dyDescent="0.2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</row>
    <row r="501" spans="1:40" ht="12.75" x14ac:dyDescent="0.2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</row>
    <row r="502" spans="1:40" ht="12.75" x14ac:dyDescent="0.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</row>
    <row r="503" spans="1:40" ht="12.75" x14ac:dyDescent="0.2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</row>
    <row r="504" spans="1:40" ht="12.75" x14ac:dyDescent="0.2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</row>
    <row r="505" spans="1:40" ht="12.75" x14ac:dyDescent="0.2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</row>
    <row r="506" spans="1:40" ht="12.75" x14ac:dyDescent="0.2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</row>
    <row r="507" spans="1:40" ht="12.75" x14ac:dyDescent="0.2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</row>
    <row r="508" spans="1:40" ht="12.75" x14ac:dyDescent="0.2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</row>
    <row r="509" spans="1:40" ht="12.75" x14ac:dyDescent="0.2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</row>
    <row r="510" spans="1:40" ht="12.75" x14ac:dyDescent="0.2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</row>
    <row r="511" spans="1:40" ht="12.75" x14ac:dyDescent="0.2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</row>
    <row r="512" spans="1:40" ht="12.75" x14ac:dyDescent="0.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</row>
    <row r="513" spans="1:40" ht="12.75" x14ac:dyDescent="0.2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</row>
    <row r="514" spans="1:40" ht="12.75" x14ac:dyDescent="0.2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</row>
    <row r="515" spans="1:40" ht="12.75" x14ac:dyDescent="0.2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</row>
    <row r="516" spans="1:40" ht="12.75" x14ac:dyDescent="0.2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</row>
    <row r="517" spans="1:40" ht="12.75" x14ac:dyDescent="0.2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</row>
    <row r="518" spans="1:40" ht="12.75" x14ac:dyDescent="0.2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</row>
    <row r="519" spans="1:40" ht="12.75" x14ac:dyDescent="0.2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</row>
    <row r="520" spans="1:40" ht="12.75" x14ac:dyDescent="0.2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</row>
    <row r="521" spans="1:40" ht="12.75" x14ac:dyDescent="0.2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</row>
    <row r="522" spans="1:40" ht="12.75" x14ac:dyDescent="0.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</row>
    <row r="523" spans="1:40" ht="12.75" x14ac:dyDescent="0.2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</row>
    <row r="524" spans="1:40" ht="12.75" x14ac:dyDescent="0.2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</row>
    <row r="525" spans="1:40" ht="12.75" x14ac:dyDescent="0.2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</row>
    <row r="526" spans="1:40" ht="12.75" x14ac:dyDescent="0.2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</row>
    <row r="527" spans="1:40" ht="12.75" x14ac:dyDescent="0.2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</row>
    <row r="528" spans="1:40" ht="12.75" x14ac:dyDescent="0.2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</row>
    <row r="529" spans="1:40" ht="12.75" x14ac:dyDescent="0.2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</row>
    <row r="530" spans="1:40" ht="12.75" x14ac:dyDescent="0.2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</row>
    <row r="531" spans="1:40" ht="12.75" x14ac:dyDescent="0.2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</row>
    <row r="532" spans="1:40" ht="12.75" x14ac:dyDescent="0.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</row>
    <row r="533" spans="1:40" ht="12.75" x14ac:dyDescent="0.2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</row>
    <row r="534" spans="1:40" ht="12.75" x14ac:dyDescent="0.2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</row>
    <row r="535" spans="1:40" ht="12.75" x14ac:dyDescent="0.2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</row>
    <row r="536" spans="1:40" ht="12.75" x14ac:dyDescent="0.2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</row>
    <row r="537" spans="1:40" ht="12.75" x14ac:dyDescent="0.2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</row>
    <row r="538" spans="1:40" ht="12.75" x14ac:dyDescent="0.2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</row>
    <row r="539" spans="1:40" ht="12.75" x14ac:dyDescent="0.2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</row>
    <row r="540" spans="1:40" ht="12.75" x14ac:dyDescent="0.2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</row>
    <row r="541" spans="1:40" ht="12.75" x14ac:dyDescent="0.2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</row>
    <row r="542" spans="1:40" ht="12.75" x14ac:dyDescent="0.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</row>
    <row r="543" spans="1:40" ht="12.75" x14ac:dyDescent="0.2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</row>
    <row r="544" spans="1:40" ht="12.75" x14ac:dyDescent="0.2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</row>
    <row r="545" spans="1:40" ht="12.75" x14ac:dyDescent="0.2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</row>
    <row r="546" spans="1:40" ht="12.75" x14ac:dyDescent="0.2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</row>
    <row r="547" spans="1:40" ht="12.75" x14ac:dyDescent="0.2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</row>
    <row r="548" spans="1:40" ht="12.75" x14ac:dyDescent="0.2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</row>
    <row r="549" spans="1:40" ht="12.75" x14ac:dyDescent="0.2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</row>
    <row r="550" spans="1:40" ht="12.75" x14ac:dyDescent="0.2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</row>
    <row r="551" spans="1:40" ht="12.75" x14ac:dyDescent="0.2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</row>
    <row r="552" spans="1:40" ht="12.75" x14ac:dyDescent="0.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</row>
    <row r="553" spans="1:40" ht="12.75" x14ac:dyDescent="0.2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</row>
    <row r="554" spans="1:40" ht="12.75" x14ac:dyDescent="0.2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</row>
    <row r="555" spans="1:40" ht="12.75" x14ac:dyDescent="0.2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</row>
    <row r="556" spans="1:40" ht="12.75" x14ac:dyDescent="0.2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</row>
    <row r="557" spans="1:40" ht="12.75" x14ac:dyDescent="0.2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</row>
    <row r="558" spans="1:40" ht="12.75" x14ac:dyDescent="0.2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</row>
    <row r="559" spans="1:40" ht="12.75" x14ac:dyDescent="0.2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</row>
    <row r="560" spans="1:40" ht="12.75" x14ac:dyDescent="0.2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</row>
    <row r="561" spans="1:40" ht="12.75" x14ac:dyDescent="0.2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</row>
    <row r="562" spans="1:40" ht="12.75" x14ac:dyDescent="0.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</row>
    <row r="563" spans="1:40" ht="12.75" x14ac:dyDescent="0.2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</row>
    <row r="564" spans="1:40" ht="12.75" x14ac:dyDescent="0.2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</row>
    <row r="565" spans="1:40" ht="12.75" x14ac:dyDescent="0.2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</row>
    <row r="566" spans="1:40" ht="12.75" x14ac:dyDescent="0.2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</row>
    <row r="567" spans="1:40" ht="12.75" x14ac:dyDescent="0.2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</row>
    <row r="568" spans="1:40" ht="12.75" x14ac:dyDescent="0.2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</row>
    <row r="569" spans="1:40" ht="12.75" x14ac:dyDescent="0.2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</row>
    <row r="570" spans="1:40" ht="12.75" x14ac:dyDescent="0.2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</row>
    <row r="571" spans="1:40" ht="12.75" x14ac:dyDescent="0.2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</row>
    <row r="572" spans="1:40" ht="12.75" x14ac:dyDescent="0.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</row>
    <row r="573" spans="1:40" ht="12.75" x14ac:dyDescent="0.2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</row>
    <row r="574" spans="1:40" ht="12.75" x14ac:dyDescent="0.2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</row>
    <row r="575" spans="1:40" ht="12.75" x14ac:dyDescent="0.2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</row>
    <row r="576" spans="1:40" ht="12.75" x14ac:dyDescent="0.2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</row>
    <row r="577" spans="1:40" ht="12.75" x14ac:dyDescent="0.2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</row>
    <row r="578" spans="1:40" ht="12.75" x14ac:dyDescent="0.2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</row>
    <row r="579" spans="1:40" ht="12.75" x14ac:dyDescent="0.2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</row>
    <row r="580" spans="1:40" ht="12.75" x14ac:dyDescent="0.2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</row>
    <row r="581" spans="1:40" ht="12.75" x14ac:dyDescent="0.2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</row>
    <row r="582" spans="1:40" ht="12.75" x14ac:dyDescent="0.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</row>
    <row r="583" spans="1:40" ht="12.75" x14ac:dyDescent="0.2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</row>
    <row r="584" spans="1:40" ht="12.75" x14ac:dyDescent="0.2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</row>
    <row r="585" spans="1:40" ht="12.75" x14ac:dyDescent="0.2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</row>
    <row r="586" spans="1:40" ht="12.75" x14ac:dyDescent="0.2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</row>
    <row r="587" spans="1:40" ht="12.75" x14ac:dyDescent="0.2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</row>
    <row r="588" spans="1:40" ht="12.75" x14ac:dyDescent="0.2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</row>
    <row r="589" spans="1:40" ht="12.75" x14ac:dyDescent="0.2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</row>
    <row r="590" spans="1:40" ht="12.75" x14ac:dyDescent="0.2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</row>
    <row r="591" spans="1:40" ht="12.75" x14ac:dyDescent="0.2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</row>
    <row r="592" spans="1:40" ht="12.75" x14ac:dyDescent="0.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</row>
    <row r="593" spans="1:40" ht="12.75" x14ac:dyDescent="0.2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</row>
    <row r="594" spans="1:40" ht="12.75" x14ac:dyDescent="0.2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</row>
    <row r="595" spans="1:40" ht="12.75" x14ac:dyDescent="0.2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</row>
    <row r="596" spans="1:40" ht="12.75" x14ac:dyDescent="0.2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</row>
    <row r="597" spans="1:40" ht="12.75" x14ac:dyDescent="0.2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</row>
    <row r="598" spans="1:40" ht="12.75" x14ac:dyDescent="0.2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</row>
    <row r="599" spans="1:40" ht="12.75" x14ac:dyDescent="0.2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</row>
    <row r="600" spans="1:40" ht="12.75" x14ac:dyDescent="0.2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</row>
    <row r="601" spans="1:40" ht="12.75" x14ac:dyDescent="0.2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</row>
    <row r="602" spans="1:40" ht="12.75" x14ac:dyDescent="0.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</row>
    <row r="603" spans="1:40" ht="12.75" x14ac:dyDescent="0.2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</row>
    <row r="604" spans="1:40" ht="12.75" x14ac:dyDescent="0.2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</row>
    <row r="605" spans="1:40" ht="12.75" x14ac:dyDescent="0.2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</row>
    <row r="606" spans="1:40" ht="12.75" x14ac:dyDescent="0.2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</row>
    <row r="607" spans="1:40" ht="12.75" x14ac:dyDescent="0.2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</row>
    <row r="608" spans="1:40" ht="12.75" x14ac:dyDescent="0.2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</row>
    <row r="609" spans="1:40" ht="12.75" x14ac:dyDescent="0.2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</row>
    <row r="610" spans="1:40" ht="12.75" x14ac:dyDescent="0.2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</row>
    <row r="611" spans="1:40" ht="12.75" x14ac:dyDescent="0.2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</row>
    <row r="612" spans="1:40" ht="12.75" x14ac:dyDescent="0.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</row>
    <row r="613" spans="1:40" ht="12.75" x14ac:dyDescent="0.2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</row>
    <row r="614" spans="1:40" ht="12.75" x14ac:dyDescent="0.2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</row>
    <row r="615" spans="1:40" ht="12.75" x14ac:dyDescent="0.2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</row>
    <row r="616" spans="1:40" ht="12.75" x14ac:dyDescent="0.2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</row>
    <row r="617" spans="1:40" ht="12.75" x14ac:dyDescent="0.2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</row>
    <row r="618" spans="1:40" ht="12.75" x14ac:dyDescent="0.2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</row>
    <row r="619" spans="1:40" ht="12.75" x14ac:dyDescent="0.2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</row>
    <row r="620" spans="1:40" ht="12.75" x14ac:dyDescent="0.2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</row>
    <row r="621" spans="1:40" ht="12.75" x14ac:dyDescent="0.2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</row>
    <row r="622" spans="1:40" ht="12.75" x14ac:dyDescent="0.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</row>
    <row r="623" spans="1:40" ht="12.75" x14ac:dyDescent="0.2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</row>
    <row r="624" spans="1:40" ht="12.75" x14ac:dyDescent="0.2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</row>
    <row r="625" spans="1:40" ht="12.75" x14ac:dyDescent="0.2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</row>
    <row r="626" spans="1:40" ht="12.75" x14ac:dyDescent="0.2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</row>
    <row r="627" spans="1:40" ht="12.75" x14ac:dyDescent="0.2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</row>
    <row r="628" spans="1:40" ht="12.75" x14ac:dyDescent="0.2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</row>
    <row r="629" spans="1:40" ht="12.75" x14ac:dyDescent="0.2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</row>
    <row r="630" spans="1:40" ht="12.75" x14ac:dyDescent="0.2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</row>
    <row r="631" spans="1:40" ht="12.75" x14ac:dyDescent="0.2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</row>
    <row r="632" spans="1:40" ht="12.75" x14ac:dyDescent="0.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</row>
    <row r="633" spans="1:40" ht="12.75" x14ac:dyDescent="0.2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</row>
    <row r="634" spans="1:40" ht="12.75" x14ac:dyDescent="0.2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</row>
    <row r="635" spans="1:40" ht="12.75" x14ac:dyDescent="0.2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</row>
    <row r="636" spans="1:40" ht="12.75" x14ac:dyDescent="0.2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</row>
    <row r="637" spans="1:40" ht="12.75" x14ac:dyDescent="0.2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</row>
    <row r="638" spans="1:40" ht="12.75" x14ac:dyDescent="0.2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</row>
    <row r="639" spans="1:40" ht="12.75" x14ac:dyDescent="0.2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</row>
    <row r="640" spans="1:40" ht="12.75" x14ac:dyDescent="0.2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</row>
    <row r="641" spans="1:40" ht="12.75" x14ac:dyDescent="0.2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</row>
    <row r="642" spans="1:40" ht="12.75" x14ac:dyDescent="0.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</row>
    <row r="643" spans="1:40" ht="12.75" x14ac:dyDescent="0.2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</row>
    <row r="644" spans="1:40" ht="12.75" x14ac:dyDescent="0.2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</row>
    <row r="645" spans="1:40" ht="12.75" x14ac:dyDescent="0.2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</row>
    <row r="646" spans="1:40" ht="12.75" x14ac:dyDescent="0.2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</row>
    <row r="647" spans="1:40" ht="12.75" x14ac:dyDescent="0.2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</row>
    <row r="648" spans="1:40" ht="12.75" x14ac:dyDescent="0.2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</row>
    <row r="649" spans="1:40" ht="12.75" x14ac:dyDescent="0.2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</row>
    <row r="650" spans="1:40" ht="12.75" x14ac:dyDescent="0.2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</row>
    <row r="651" spans="1:40" ht="12.75" x14ac:dyDescent="0.2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</row>
    <row r="652" spans="1:40" ht="12.75" x14ac:dyDescent="0.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</row>
    <row r="653" spans="1:40" ht="12.75" x14ac:dyDescent="0.2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</row>
    <row r="654" spans="1:40" ht="12.75" x14ac:dyDescent="0.2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</row>
    <row r="655" spans="1:40" ht="12.75" x14ac:dyDescent="0.2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</row>
    <row r="656" spans="1:40" ht="12.75" x14ac:dyDescent="0.2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</row>
    <row r="657" spans="1:40" ht="12.75" x14ac:dyDescent="0.2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</row>
    <row r="658" spans="1:40" ht="12.75" x14ac:dyDescent="0.2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</row>
    <row r="659" spans="1:40" ht="12.75" x14ac:dyDescent="0.2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</row>
    <row r="660" spans="1:40" ht="12.75" x14ac:dyDescent="0.2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</row>
    <row r="661" spans="1:40" ht="12.75" x14ac:dyDescent="0.2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</row>
    <row r="662" spans="1:40" ht="12.75" x14ac:dyDescent="0.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</row>
    <row r="663" spans="1:40" ht="12.75" x14ac:dyDescent="0.2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</row>
    <row r="664" spans="1:40" ht="12.75" x14ac:dyDescent="0.2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</row>
    <row r="665" spans="1:40" ht="12.75" x14ac:dyDescent="0.2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</row>
    <row r="666" spans="1:40" ht="12.75" x14ac:dyDescent="0.2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</row>
    <row r="667" spans="1:40" ht="12.75" x14ac:dyDescent="0.2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</row>
    <row r="668" spans="1:40" ht="12.75" x14ac:dyDescent="0.2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</row>
    <row r="669" spans="1:40" ht="12.75" x14ac:dyDescent="0.2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</row>
    <row r="670" spans="1:40" ht="12.75" x14ac:dyDescent="0.2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</row>
    <row r="671" spans="1:40" ht="12.75" x14ac:dyDescent="0.2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</row>
    <row r="672" spans="1:40" ht="12.75" x14ac:dyDescent="0.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</row>
    <row r="673" spans="1:40" ht="12.75" x14ac:dyDescent="0.2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</row>
    <row r="674" spans="1:40" ht="12.75" x14ac:dyDescent="0.2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</row>
    <row r="675" spans="1:40" ht="12.75" x14ac:dyDescent="0.2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</row>
    <row r="676" spans="1:40" ht="12.75" x14ac:dyDescent="0.2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</row>
    <row r="677" spans="1:40" ht="12.75" x14ac:dyDescent="0.2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</row>
    <row r="678" spans="1:40" ht="12.75" x14ac:dyDescent="0.2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</row>
    <row r="679" spans="1:40" ht="12.75" x14ac:dyDescent="0.2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</row>
    <row r="680" spans="1:40" ht="12.75" x14ac:dyDescent="0.2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</row>
    <row r="681" spans="1:40" ht="12.75" x14ac:dyDescent="0.2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</row>
    <row r="682" spans="1:40" ht="12.75" x14ac:dyDescent="0.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</row>
    <row r="683" spans="1:40" ht="12.75" x14ac:dyDescent="0.2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</row>
    <row r="684" spans="1:40" ht="12.75" x14ac:dyDescent="0.2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</row>
    <row r="685" spans="1:40" ht="12.75" x14ac:dyDescent="0.2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</row>
    <row r="686" spans="1:40" ht="12.75" x14ac:dyDescent="0.2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</row>
    <row r="687" spans="1:40" ht="12.75" x14ac:dyDescent="0.2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</row>
    <row r="688" spans="1:40" ht="12.75" x14ac:dyDescent="0.2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</row>
    <row r="689" spans="1:40" ht="12.75" x14ac:dyDescent="0.2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</row>
    <row r="690" spans="1:40" ht="12.75" x14ac:dyDescent="0.2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</row>
    <row r="691" spans="1:40" ht="12.75" x14ac:dyDescent="0.2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</row>
    <row r="692" spans="1:40" ht="12.75" x14ac:dyDescent="0.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</row>
    <row r="693" spans="1:40" ht="12.75" x14ac:dyDescent="0.2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</row>
    <row r="694" spans="1:40" ht="12.75" x14ac:dyDescent="0.2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</row>
    <row r="695" spans="1:40" ht="12.75" x14ac:dyDescent="0.2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</row>
    <row r="696" spans="1:40" ht="12.75" x14ac:dyDescent="0.2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</row>
    <row r="697" spans="1:40" ht="12.75" x14ac:dyDescent="0.2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</row>
    <row r="698" spans="1:40" ht="12.75" x14ac:dyDescent="0.2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</row>
    <row r="699" spans="1:40" ht="12.75" x14ac:dyDescent="0.2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</row>
    <row r="700" spans="1:40" ht="12.75" x14ac:dyDescent="0.2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</row>
    <row r="701" spans="1:40" ht="12.75" x14ac:dyDescent="0.2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</row>
    <row r="702" spans="1:40" ht="12.75" x14ac:dyDescent="0.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</row>
    <row r="703" spans="1:40" ht="12.75" x14ac:dyDescent="0.2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</row>
    <row r="704" spans="1:40" ht="12.75" x14ac:dyDescent="0.2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</row>
    <row r="705" spans="1:40" ht="12.75" x14ac:dyDescent="0.2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</row>
    <row r="706" spans="1:40" ht="12.75" x14ac:dyDescent="0.2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</row>
    <row r="707" spans="1:40" ht="12.75" x14ac:dyDescent="0.2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</row>
    <row r="708" spans="1:40" ht="12.75" x14ac:dyDescent="0.2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</row>
    <row r="709" spans="1:40" ht="12.75" x14ac:dyDescent="0.2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</row>
    <row r="710" spans="1:40" ht="12.75" x14ac:dyDescent="0.2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</row>
    <row r="711" spans="1:40" ht="12.75" x14ac:dyDescent="0.2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</row>
    <row r="712" spans="1:40" ht="12.75" x14ac:dyDescent="0.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</row>
    <row r="713" spans="1:40" ht="12.75" x14ac:dyDescent="0.2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</row>
    <row r="714" spans="1:40" ht="12.75" x14ac:dyDescent="0.2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</row>
    <row r="715" spans="1:40" ht="12.75" x14ac:dyDescent="0.2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</row>
    <row r="716" spans="1:40" ht="12.75" x14ac:dyDescent="0.2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</row>
    <row r="717" spans="1:40" ht="12.75" x14ac:dyDescent="0.2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</row>
    <row r="718" spans="1:40" ht="12.75" x14ac:dyDescent="0.2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</row>
    <row r="719" spans="1:40" ht="12.75" x14ac:dyDescent="0.2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</row>
    <row r="720" spans="1:40" ht="12.75" x14ac:dyDescent="0.2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</row>
    <row r="721" spans="1:40" ht="12.75" x14ac:dyDescent="0.2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</row>
    <row r="722" spans="1:40" ht="12.75" x14ac:dyDescent="0.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</row>
    <row r="723" spans="1:40" ht="12.75" x14ac:dyDescent="0.2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</row>
    <row r="724" spans="1:40" ht="12.75" x14ac:dyDescent="0.2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</row>
    <row r="725" spans="1:40" ht="12.75" x14ac:dyDescent="0.2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</row>
    <row r="726" spans="1:40" ht="12.75" x14ac:dyDescent="0.2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</row>
    <row r="727" spans="1:40" ht="12.75" x14ac:dyDescent="0.2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</row>
    <row r="728" spans="1:40" ht="12.75" x14ac:dyDescent="0.2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</row>
    <row r="729" spans="1:40" ht="12.75" x14ac:dyDescent="0.2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</row>
    <row r="730" spans="1:40" ht="12.75" x14ac:dyDescent="0.2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</row>
    <row r="731" spans="1:40" ht="12.75" x14ac:dyDescent="0.2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</row>
    <row r="732" spans="1:40" ht="12.75" x14ac:dyDescent="0.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</row>
    <row r="733" spans="1:40" ht="12.75" x14ac:dyDescent="0.2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</row>
    <row r="734" spans="1:40" ht="12.75" x14ac:dyDescent="0.2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</row>
    <row r="735" spans="1:40" ht="12.75" x14ac:dyDescent="0.2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</row>
    <row r="736" spans="1:40" ht="12.75" x14ac:dyDescent="0.2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</row>
    <row r="737" spans="1:40" ht="12.75" x14ac:dyDescent="0.2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</row>
    <row r="738" spans="1:40" ht="12.75" x14ac:dyDescent="0.2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</row>
    <row r="739" spans="1:40" ht="12.75" x14ac:dyDescent="0.2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</row>
    <row r="740" spans="1:40" ht="12.75" x14ac:dyDescent="0.2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</row>
    <row r="741" spans="1:40" ht="12.75" x14ac:dyDescent="0.2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</row>
    <row r="742" spans="1:40" ht="12.75" x14ac:dyDescent="0.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</row>
    <row r="743" spans="1:40" ht="12.75" x14ac:dyDescent="0.2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</row>
    <row r="744" spans="1:40" ht="12.75" x14ac:dyDescent="0.2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</row>
    <row r="745" spans="1:40" ht="12.75" x14ac:dyDescent="0.2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</row>
    <row r="746" spans="1:40" ht="12.75" x14ac:dyDescent="0.2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</row>
    <row r="747" spans="1:40" ht="12.75" x14ac:dyDescent="0.2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</row>
    <row r="748" spans="1:40" ht="12.75" x14ac:dyDescent="0.2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</row>
    <row r="749" spans="1:40" ht="12.75" x14ac:dyDescent="0.2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</row>
    <row r="750" spans="1:40" ht="12.75" x14ac:dyDescent="0.2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</row>
    <row r="751" spans="1:40" ht="12.75" x14ac:dyDescent="0.2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</row>
    <row r="752" spans="1:40" ht="12.75" x14ac:dyDescent="0.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</row>
    <row r="753" spans="1:40" ht="12.75" x14ac:dyDescent="0.2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</row>
    <row r="754" spans="1:40" ht="12.75" x14ac:dyDescent="0.2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</row>
    <row r="755" spans="1:40" ht="12.75" x14ac:dyDescent="0.2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</row>
    <row r="756" spans="1:40" ht="12.75" x14ac:dyDescent="0.2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</row>
    <row r="757" spans="1:40" ht="12.75" x14ac:dyDescent="0.2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</row>
    <row r="758" spans="1:40" ht="12.75" x14ac:dyDescent="0.2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</row>
    <row r="759" spans="1:40" ht="12.75" x14ac:dyDescent="0.2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</row>
    <row r="760" spans="1:40" ht="12.75" x14ac:dyDescent="0.2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</row>
    <row r="761" spans="1:40" ht="12.75" x14ac:dyDescent="0.2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</row>
    <row r="762" spans="1:40" ht="12.75" x14ac:dyDescent="0.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</row>
    <row r="763" spans="1:40" ht="12.75" x14ac:dyDescent="0.2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</row>
    <row r="764" spans="1:40" ht="12.75" x14ac:dyDescent="0.2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</row>
    <row r="765" spans="1:40" ht="12.75" x14ac:dyDescent="0.2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</row>
    <row r="766" spans="1:40" ht="12.75" x14ac:dyDescent="0.2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</row>
    <row r="767" spans="1:40" ht="12.75" x14ac:dyDescent="0.2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</row>
    <row r="768" spans="1:40" ht="12.75" x14ac:dyDescent="0.2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</row>
    <row r="769" spans="1:40" ht="12.75" x14ac:dyDescent="0.2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</row>
    <row r="770" spans="1:40" ht="12.75" x14ac:dyDescent="0.2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</row>
    <row r="771" spans="1:40" ht="12.75" x14ac:dyDescent="0.2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</row>
    <row r="772" spans="1:40" ht="12.75" x14ac:dyDescent="0.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</row>
    <row r="773" spans="1:40" ht="12.75" x14ac:dyDescent="0.2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</row>
    <row r="774" spans="1:40" ht="12.75" x14ac:dyDescent="0.2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</row>
    <row r="775" spans="1:40" ht="12.75" x14ac:dyDescent="0.2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</row>
    <row r="776" spans="1:40" ht="12.75" x14ac:dyDescent="0.2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</row>
    <row r="777" spans="1:40" ht="12.75" x14ac:dyDescent="0.2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</row>
    <row r="778" spans="1:40" ht="12.75" x14ac:dyDescent="0.2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</row>
    <row r="779" spans="1:40" ht="12.75" x14ac:dyDescent="0.2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</row>
    <row r="780" spans="1:40" ht="12.75" x14ac:dyDescent="0.2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</row>
    <row r="781" spans="1:40" ht="12.75" x14ac:dyDescent="0.2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</row>
    <row r="782" spans="1:40" ht="12.75" x14ac:dyDescent="0.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</row>
    <row r="783" spans="1:40" ht="12.75" x14ac:dyDescent="0.2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</row>
    <row r="784" spans="1:40" ht="12.75" x14ac:dyDescent="0.2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</row>
    <row r="785" spans="1:40" ht="12.75" x14ac:dyDescent="0.2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</row>
    <row r="786" spans="1:40" ht="12.75" x14ac:dyDescent="0.2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</row>
    <row r="787" spans="1:40" ht="12.75" x14ac:dyDescent="0.2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</row>
    <row r="788" spans="1:40" ht="12.75" x14ac:dyDescent="0.2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</row>
    <row r="789" spans="1:40" ht="12.75" x14ac:dyDescent="0.2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</row>
    <row r="790" spans="1:40" ht="12.75" x14ac:dyDescent="0.2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</row>
    <row r="791" spans="1:40" ht="12.75" x14ac:dyDescent="0.2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</row>
    <row r="792" spans="1:40" ht="12.75" x14ac:dyDescent="0.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</row>
    <row r="793" spans="1:40" ht="12.75" x14ac:dyDescent="0.2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</row>
    <row r="794" spans="1:40" ht="12.75" x14ac:dyDescent="0.2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</row>
    <row r="795" spans="1:40" ht="12.75" x14ac:dyDescent="0.2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</row>
    <row r="796" spans="1:40" ht="12.75" x14ac:dyDescent="0.2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</row>
    <row r="797" spans="1:40" ht="12.75" x14ac:dyDescent="0.2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</row>
    <row r="798" spans="1:40" ht="12.75" x14ac:dyDescent="0.2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</row>
    <row r="799" spans="1:40" ht="12.75" x14ac:dyDescent="0.2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</row>
    <row r="800" spans="1:40" ht="12.75" x14ac:dyDescent="0.2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</row>
    <row r="801" spans="1:40" ht="12.75" x14ac:dyDescent="0.2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</row>
    <row r="802" spans="1:40" ht="12.75" x14ac:dyDescent="0.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</row>
    <row r="803" spans="1:40" ht="12.75" x14ac:dyDescent="0.2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</row>
    <row r="804" spans="1:40" ht="12.75" x14ac:dyDescent="0.2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</row>
    <row r="805" spans="1:40" ht="12.75" x14ac:dyDescent="0.2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</row>
    <row r="806" spans="1:40" ht="12.75" x14ac:dyDescent="0.2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</row>
    <row r="807" spans="1:40" ht="12.75" x14ac:dyDescent="0.2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</row>
    <row r="808" spans="1:40" ht="12.75" x14ac:dyDescent="0.2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</row>
    <row r="809" spans="1:40" ht="12.75" x14ac:dyDescent="0.2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</row>
    <row r="810" spans="1:40" ht="12.75" x14ac:dyDescent="0.2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</row>
    <row r="811" spans="1:40" ht="12.75" x14ac:dyDescent="0.2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</row>
    <row r="812" spans="1:40" ht="12.75" x14ac:dyDescent="0.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</row>
    <row r="813" spans="1:40" ht="12.75" x14ac:dyDescent="0.2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</row>
    <row r="814" spans="1:40" ht="12.75" x14ac:dyDescent="0.2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</row>
    <row r="815" spans="1:40" ht="12.75" x14ac:dyDescent="0.2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</row>
    <row r="816" spans="1:40" ht="12.75" x14ac:dyDescent="0.2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</row>
    <row r="817" spans="1:40" ht="12.75" x14ac:dyDescent="0.2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</row>
    <row r="818" spans="1:40" ht="12.75" x14ac:dyDescent="0.2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</row>
    <row r="819" spans="1:40" ht="12.75" x14ac:dyDescent="0.2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</row>
    <row r="820" spans="1:40" ht="12.75" x14ac:dyDescent="0.2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</row>
    <row r="821" spans="1:40" ht="12.75" x14ac:dyDescent="0.2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</row>
    <row r="822" spans="1:40" ht="12.75" x14ac:dyDescent="0.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</row>
    <row r="823" spans="1:40" ht="12.75" x14ac:dyDescent="0.2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</row>
    <row r="824" spans="1:40" ht="12.75" x14ac:dyDescent="0.2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</row>
    <row r="825" spans="1:40" ht="12.75" x14ac:dyDescent="0.2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</row>
    <row r="826" spans="1:40" ht="12.75" x14ac:dyDescent="0.2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</row>
    <row r="827" spans="1:40" ht="12.75" x14ac:dyDescent="0.2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</row>
    <row r="828" spans="1:40" ht="12.75" x14ac:dyDescent="0.2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</row>
    <row r="829" spans="1:40" ht="12.75" x14ac:dyDescent="0.2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</row>
    <row r="830" spans="1:40" ht="12.75" x14ac:dyDescent="0.2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</row>
    <row r="831" spans="1:40" ht="12.75" x14ac:dyDescent="0.2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</row>
    <row r="832" spans="1:40" ht="12.75" x14ac:dyDescent="0.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</row>
    <row r="833" spans="1:40" ht="12.75" x14ac:dyDescent="0.2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</row>
    <row r="834" spans="1:40" ht="12.75" x14ac:dyDescent="0.2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</row>
    <row r="835" spans="1:40" ht="12.75" x14ac:dyDescent="0.2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</row>
    <row r="836" spans="1:40" ht="12.75" x14ac:dyDescent="0.2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</row>
    <row r="837" spans="1:40" ht="12.75" x14ac:dyDescent="0.2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</row>
    <row r="838" spans="1:40" ht="12.75" x14ac:dyDescent="0.2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</row>
    <row r="839" spans="1:40" ht="12.75" x14ac:dyDescent="0.2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</row>
    <row r="840" spans="1:40" ht="12.75" x14ac:dyDescent="0.2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</row>
    <row r="841" spans="1:40" ht="12.75" x14ac:dyDescent="0.2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</row>
    <row r="842" spans="1:40" ht="12.75" x14ac:dyDescent="0.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</row>
    <row r="843" spans="1:40" ht="12.75" x14ac:dyDescent="0.2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</row>
    <row r="844" spans="1:40" ht="12.75" x14ac:dyDescent="0.2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</row>
    <row r="845" spans="1:40" ht="12.75" x14ac:dyDescent="0.2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</row>
    <row r="846" spans="1:40" ht="12.75" x14ac:dyDescent="0.2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</row>
    <row r="847" spans="1:40" ht="12.75" x14ac:dyDescent="0.2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</row>
    <row r="848" spans="1:40" ht="12.75" x14ac:dyDescent="0.2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</row>
    <row r="849" spans="1:40" ht="12.75" x14ac:dyDescent="0.2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</row>
    <row r="850" spans="1:40" ht="12.75" x14ac:dyDescent="0.2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</row>
    <row r="851" spans="1:40" ht="12.75" x14ac:dyDescent="0.2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</row>
    <row r="852" spans="1:40" ht="12.75" x14ac:dyDescent="0.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</row>
    <row r="853" spans="1:40" ht="12.75" x14ac:dyDescent="0.2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</row>
    <row r="854" spans="1:40" ht="12.75" x14ac:dyDescent="0.2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</row>
    <row r="855" spans="1:40" ht="12.75" x14ac:dyDescent="0.2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</row>
    <row r="856" spans="1:40" ht="12.75" x14ac:dyDescent="0.2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</row>
    <row r="857" spans="1:40" ht="12.75" x14ac:dyDescent="0.2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</row>
    <row r="858" spans="1:40" ht="12.75" x14ac:dyDescent="0.2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</row>
    <row r="859" spans="1:40" ht="12.75" x14ac:dyDescent="0.2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</row>
    <row r="860" spans="1:40" ht="12.75" x14ac:dyDescent="0.2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</row>
    <row r="861" spans="1:40" ht="12.75" x14ac:dyDescent="0.2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</row>
    <row r="862" spans="1:40" ht="12.75" x14ac:dyDescent="0.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</row>
    <row r="863" spans="1:40" ht="12.75" x14ac:dyDescent="0.2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</row>
    <row r="864" spans="1:40" ht="12.75" x14ac:dyDescent="0.2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</row>
    <row r="865" spans="1:40" ht="12.75" x14ac:dyDescent="0.2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</row>
    <row r="866" spans="1:40" ht="12.75" x14ac:dyDescent="0.2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</row>
    <row r="867" spans="1:40" ht="12.75" x14ac:dyDescent="0.2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</row>
    <row r="868" spans="1:40" ht="12.75" x14ac:dyDescent="0.2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</row>
    <row r="869" spans="1:40" ht="12.75" x14ac:dyDescent="0.2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</row>
    <row r="870" spans="1:40" ht="12.75" x14ac:dyDescent="0.2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</row>
    <row r="871" spans="1:40" ht="12.75" x14ac:dyDescent="0.2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</row>
    <row r="872" spans="1:40" ht="12.75" x14ac:dyDescent="0.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</row>
    <row r="873" spans="1:40" ht="12.75" x14ac:dyDescent="0.2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</row>
    <row r="874" spans="1:40" ht="12.75" x14ac:dyDescent="0.2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</row>
    <row r="875" spans="1:40" ht="12.75" x14ac:dyDescent="0.2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</row>
    <row r="876" spans="1:40" ht="12.75" x14ac:dyDescent="0.2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</row>
    <row r="877" spans="1:40" ht="12.75" x14ac:dyDescent="0.2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</row>
    <row r="878" spans="1:40" ht="12.75" x14ac:dyDescent="0.2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</row>
    <row r="879" spans="1:40" ht="12.75" x14ac:dyDescent="0.2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</row>
    <row r="880" spans="1:40" ht="12.75" x14ac:dyDescent="0.2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</row>
    <row r="881" spans="1:40" ht="12.75" x14ac:dyDescent="0.2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</row>
    <row r="882" spans="1:40" ht="12.75" x14ac:dyDescent="0.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</row>
    <row r="883" spans="1:40" ht="12.75" x14ac:dyDescent="0.2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</row>
    <row r="884" spans="1:40" ht="12.75" x14ac:dyDescent="0.2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</row>
    <row r="885" spans="1:40" ht="12.75" x14ac:dyDescent="0.2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</row>
    <row r="886" spans="1:40" ht="12.75" x14ac:dyDescent="0.2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</row>
    <row r="887" spans="1:40" ht="12.75" x14ac:dyDescent="0.2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</row>
    <row r="888" spans="1:40" ht="12.75" x14ac:dyDescent="0.2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</row>
    <row r="889" spans="1:40" ht="12.75" x14ac:dyDescent="0.2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</row>
    <row r="890" spans="1:40" ht="12.75" x14ac:dyDescent="0.2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</row>
    <row r="891" spans="1:40" ht="12.75" x14ac:dyDescent="0.2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</row>
    <row r="892" spans="1:40" ht="12.75" x14ac:dyDescent="0.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</row>
    <row r="893" spans="1:40" ht="12.75" x14ac:dyDescent="0.2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</row>
    <row r="894" spans="1:40" ht="12.75" x14ac:dyDescent="0.2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</row>
    <row r="895" spans="1:40" ht="12.75" x14ac:dyDescent="0.2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</row>
    <row r="896" spans="1:40" ht="12.75" x14ac:dyDescent="0.2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</row>
    <row r="897" spans="1:40" ht="12.75" x14ac:dyDescent="0.2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</row>
    <row r="898" spans="1:40" ht="12.75" x14ac:dyDescent="0.2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</row>
    <row r="899" spans="1:40" ht="12.75" x14ac:dyDescent="0.2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</row>
    <row r="900" spans="1:40" ht="12.75" x14ac:dyDescent="0.2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</row>
    <row r="901" spans="1:40" ht="12.75" x14ac:dyDescent="0.2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</row>
    <row r="902" spans="1:40" ht="12.75" x14ac:dyDescent="0.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</row>
    <row r="903" spans="1:40" ht="12.75" x14ac:dyDescent="0.2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</row>
    <row r="904" spans="1:40" ht="12.75" x14ac:dyDescent="0.2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</row>
    <row r="905" spans="1:40" ht="12.75" x14ac:dyDescent="0.2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</row>
    <row r="906" spans="1:40" ht="12.75" x14ac:dyDescent="0.2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</row>
    <row r="907" spans="1:40" ht="12.75" x14ac:dyDescent="0.2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</row>
    <row r="908" spans="1:40" ht="12.75" x14ac:dyDescent="0.2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</row>
    <row r="909" spans="1:40" ht="12.75" x14ac:dyDescent="0.2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</row>
    <row r="910" spans="1:40" ht="12.75" x14ac:dyDescent="0.2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</row>
    <row r="911" spans="1:40" ht="12.75" x14ac:dyDescent="0.2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</row>
    <row r="912" spans="1:40" ht="12.75" x14ac:dyDescent="0.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</row>
    <row r="913" spans="1:40" ht="12.75" x14ac:dyDescent="0.2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</row>
    <row r="914" spans="1:40" ht="12.75" x14ac:dyDescent="0.2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</row>
    <row r="915" spans="1:40" ht="12.75" x14ac:dyDescent="0.2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</row>
    <row r="916" spans="1:40" ht="12.75" x14ac:dyDescent="0.2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</row>
    <row r="917" spans="1:40" ht="12.75" x14ac:dyDescent="0.2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</row>
    <row r="918" spans="1:40" ht="12.75" x14ac:dyDescent="0.2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</row>
    <row r="919" spans="1:40" ht="12.75" x14ac:dyDescent="0.2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</row>
    <row r="920" spans="1:40" ht="12.75" x14ac:dyDescent="0.2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</row>
    <row r="921" spans="1:40" ht="12.75" x14ac:dyDescent="0.2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</row>
    <row r="922" spans="1:40" ht="12.75" x14ac:dyDescent="0.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</row>
    <row r="923" spans="1:40" ht="12.75" x14ac:dyDescent="0.2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</row>
    <row r="924" spans="1:40" ht="12.75" x14ac:dyDescent="0.2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</row>
    <row r="925" spans="1:40" ht="12.75" x14ac:dyDescent="0.2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</row>
    <row r="926" spans="1:40" ht="12.75" x14ac:dyDescent="0.2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</row>
    <row r="927" spans="1:40" ht="12.75" x14ac:dyDescent="0.2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</row>
    <row r="928" spans="1:40" ht="12.75" x14ac:dyDescent="0.2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</row>
    <row r="929" spans="1:40" ht="12.75" x14ac:dyDescent="0.2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</row>
    <row r="930" spans="1:40" ht="12.75" x14ac:dyDescent="0.2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</row>
    <row r="931" spans="1:40" ht="12.75" x14ac:dyDescent="0.2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</row>
    <row r="932" spans="1:40" ht="12.75" x14ac:dyDescent="0.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</row>
    <row r="933" spans="1:40" ht="12.75" x14ac:dyDescent="0.2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</row>
    <row r="934" spans="1:40" ht="12.75" x14ac:dyDescent="0.2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</row>
    <row r="935" spans="1:40" ht="12.75" x14ac:dyDescent="0.2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</row>
    <row r="936" spans="1:40" ht="12.75" x14ac:dyDescent="0.2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</row>
    <row r="937" spans="1:40" ht="12.75" x14ac:dyDescent="0.2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</row>
    <row r="938" spans="1:40" ht="12.75" x14ac:dyDescent="0.2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</row>
    <row r="939" spans="1:40" ht="12.75" x14ac:dyDescent="0.2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</row>
    <row r="940" spans="1:40" ht="12.75" x14ac:dyDescent="0.2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</row>
    <row r="941" spans="1:40" ht="12.75" x14ac:dyDescent="0.2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</row>
    <row r="942" spans="1:40" ht="12.75" x14ac:dyDescent="0.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</row>
    <row r="943" spans="1:40" ht="12.75" x14ac:dyDescent="0.2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</row>
    <row r="944" spans="1:40" ht="12.75" x14ac:dyDescent="0.2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</row>
    <row r="945" spans="1:40" ht="12.75" x14ac:dyDescent="0.2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</row>
    <row r="946" spans="1:40" ht="12.75" x14ac:dyDescent="0.2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</row>
    <row r="947" spans="1:40" ht="12.75" x14ac:dyDescent="0.2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</row>
    <row r="948" spans="1:40" ht="12.75" x14ac:dyDescent="0.2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</row>
    <row r="949" spans="1:40" ht="12.75" x14ac:dyDescent="0.2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</row>
    <row r="950" spans="1:40" ht="12.75" x14ac:dyDescent="0.2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</row>
    <row r="951" spans="1:40" ht="12.75" x14ac:dyDescent="0.2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</row>
    <row r="952" spans="1:40" ht="12.75" x14ac:dyDescent="0.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</row>
    <row r="953" spans="1:40" ht="12.75" x14ac:dyDescent="0.2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</row>
    <row r="954" spans="1:40" ht="12.75" x14ac:dyDescent="0.2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</row>
    <row r="955" spans="1:40" ht="12.75" x14ac:dyDescent="0.2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</row>
    <row r="956" spans="1:40" ht="12.75" x14ac:dyDescent="0.2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</row>
    <row r="957" spans="1:40" ht="12.75" x14ac:dyDescent="0.2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</row>
    <row r="958" spans="1:40" ht="12.75" x14ac:dyDescent="0.2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</row>
    <row r="959" spans="1:40" ht="12.75" x14ac:dyDescent="0.2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</row>
    <row r="960" spans="1:40" ht="12.75" x14ac:dyDescent="0.2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</row>
    <row r="961" spans="1:40" ht="12.75" x14ac:dyDescent="0.2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</row>
    <row r="962" spans="1:40" ht="12.75" x14ac:dyDescent="0.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</row>
    <row r="963" spans="1:40" ht="12.75" x14ac:dyDescent="0.2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</row>
    <row r="964" spans="1:40" ht="12.75" x14ac:dyDescent="0.2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</row>
    <row r="965" spans="1:40" ht="12.75" x14ac:dyDescent="0.2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</row>
    <row r="966" spans="1:40" ht="12.75" x14ac:dyDescent="0.2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</row>
    <row r="967" spans="1:40" ht="12.75" x14ac:dyDescent="0.2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</row>
    <row r="968" spans="1:40" ht="12.75" x14ac:dyDescent="0.2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</row>
    <row r="969" spans="1:40" ht="12.75" x14ac:dyDescent="0.2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</row>
    <row r="970" spans="1:40" ht="12.75" x14ac:dyDescent="0.2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</row>
  </sheetData>
  <mergeCells count="35">
    <mergeCell ref="T22:AF22"/>
    <mergeCell ref="V23:Y23"/>
    <mergeCell ref="AC23:AD23"/>
    <mergeCell ref="AE23:AF23"/>
    <mergeCell ref="V24:Y24"/>
    <mergeCell ref="B22:Q22"/>
    <mergeCell ref="D23:K23"/>
    <mergeCell ref="L23:M23"/>
    <mergeCell ref="D24:K24"/>
    <mergeCell ref="L24:M24"/>
    <mergeCell ref="O23:P23"/>
    <mergeCell ref="O24:P24"/>
    <mergeCell ref="D62:K62"/>
    <mergeCell ref="O62:AI62"/>
    <mergeCell ref="D63:K63"/>
    <mergeCell ref="P63:Y63"/>
    <mergeCell ref="AA63:AI63"/>
    <mergeCell ref="AA23:AB23"/>
    <mergeCell ref="AA24:AB24"/>
    <mergeCell ref="AC24:AD24"/>
    <mergeCell ref="AE24:AF24"/>
    <mergeCell ref="L4:O4"/>
    <mergeCell ref="P4:R4"/>
    <mergeCell ref="B2:Y2"/>
    <mergeCell ref="AD2:AF2"/>
    <mergeCell ref="L3:O3"/>
    <mergeCell ref="P3:R3"/>
    <mergeCell ref="S3:U3"/>
    <mergeCell ref="V3:Y4"/>
    <mergeCell ref="AD3:AF4"/>
    <mergeCell ref="S4:U4"/>
    <mergeCell ref="D3:K3"/>
    <mergeCell ref="D4:K4"/>
    <mergeCell ref="AA2:AC2"/>
    <mergeCell ref="AA3:A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37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 x14ac:dyDescent="0.2"/>
  <cols>
    <col min="1" max="1" width="4.28515625" customWidth="1"/>
    <col min="2" max="2" width="5.28515625" customWidth="1"/>
    <col min="3" max="3" width="9.140625" customWidth="1"/>
    <col min="4" max="4" width="4.42578125" customWidth="1"/>
    <col min="5" max="5" width="18.85546875" customWidth="1"/>
    <col min="6" max="6" width="9.42578125" customWidth="1"/>
    <col min="7" max="7" width="10.7109375" customWidth="1"/>
    <col min="9" max="9" width="13.5703125" customWidth="1"/>
  </cols>
  <sheetData>
    <row r="1" spans="1:11" x14ac:dyDescent="0.2">
      <c r="A1" s="423" t="s">
        <v>222</v>
      </c>
      <c r="B1" s="374"/>
      <c r="C1" s="374"/>
      <c r="D1" s="374"/>
      <c r="E1" s="214" t="s">
        <v>223</v>
      </c>
      <c r="F1" s="214"/>
      <c r="G1" s="214"/>
      <c r="H1" s="215">
        <v>1</v>
      </c>
      <c r="I1" s="424" t="s">
        <v>224</v>
      </c>
      <c r="J1" s="374"/>
      <c r="K1" s="216">
        <v>0.41</v>
      </c>
    </row>
    <row r="2" spans="1:11" x14ac:dyDescent="0.2">
      <c r="A2" s="374"/>
      <c r="B2" s="374"/>
      <c r="C2" s="374"/>
      <c r="D2" s="374"/>
      <c r="F2" s="217"/>
      <c r="G2" s="218" t="s">
        <v>225</v>
      </c>
      <c r="H2" s="219">
        <f t="shared" ref="H2:K2" si="0">SUMIF($B:$B,TRUE,H:H)</f>
        <v>100001.5111111111</v>
      </c>
      <c r="I2" s="219">
        <f t="shared" si="0"/>
        <v>11394990</v>
      </c>
      <c r="J2" s="219">
        <f t="shared" si="0"/>
        <v>2000</v>
      </c>
      <c r="K2" s="219">
        <f t="shared" si="0"/>
        <v>59554380002</v>
      </c>
    </row>
    <row r="3" spans="1:11" x14ac:dyDescent="0.2">
      <c r="A3" s="374"/>
      <c r="B3" s="374"/>
      <c r="C3" s="374"/>
      <c r="D3" s="374"/>
      <c r="E3" s="220" t="s">
        <v>226</v>
      </c>
      <c r="F3" s="221">
        <f>SUMIF($B:$B,TRUE,G:G)</f>
        <v>902750</v>
      </c>
      <c r="G3" s="2" t="s">
        <v>227</v>
      </c>
      <c r="H3" s="221">
        <f>H2*H1</f>
        <v>100001.5111111111</v>
      </c>
      <c r="I3" s="221">
        <f t="shared" ref="I3:J3" si="1">SUMIF($B:$B,TRUE,I:I)</f>
        <v>11394990</v>
      </c>
      <c r="J3" s="221">
        <f t="shared" si="1"/>
        <v>2000</v>
      </c>
      <c r="K3" s="221">
        <f>K2*K1</f>
        <v>24417295800.82</v>
      </c>
    </row>
    <row r="4" spans="1:11" x14ac:dyDescent="0.2">
      <c r="A4" s="214" t="s">
        <v>228</v>
      </c>
      <c r="B4" s="214" t="s">
        <v>229</v>
      </c>
      <c r="C4" s="214" t="s">
        <v>230</v>
      </c>
      <c r="D4" s="214" t="s">
        <v>231</v>
      </c>
      <c r="E4" s="214" t="s">
        <v>232</v>
      </c>
      <c r="F4" s="214" t="s">
        <v>107</v>
      </c>
      <c r="G4" s="214" t="s">
        <v>233</v>
      </c>
      <c r="H4" s="214" t="s">
        <v>234</v>
      </c>
      <c r="I4" s="222" t="s">
        <v>211</v>
      </c>
      <c r="J4" s="223" t="s">
        <v>235</v>
      </c>
      <c r="K4" s="224" t="s">
        <v>236</v>
      </c>
    </row>
    <row r="5" spans="1:11" x14ac:dyDescent="0.2">
      <c r="A5" s="214">
        <v>1</v>
      </c>
      <c r="B5" s="214" t="b">
        <v>1</v>
      </c>
      <c r="C5" s="225"/>
      <c r="D5" s="214"/>
      <c r="E5" s="214" t="s">
        <v>237</v>
      </c>
      <c r="F5" s="214" t="s">
        <v>238</v>
      </c>
      <c r="G5" s="220"/>
      <c r="H5" s="220"/>
      <c r="I5" s="220"/>
      <c r="J5" s="214"/>
      <c r="K5" s="220"/>
    </row>
    <row r="6" spans="1:11" x14ac:dyDescent="0.2">
      <c r="A6" s="214">
        <v>2</v>
      </c>
      <c r="B6" s="214" t="b">
        <v>1</v>
      </c>
      <c r="C6" s="225">
        <v>33</v>
      </c>
      <c r="D6" s="109">
        <v>1</v>
      </c>
      <c r="E6" s="214" t="s">
        <v>237</v>
      </c>
      <c r="F6" s="105">
        <v>175</v>
      </c>
      <c r="G6" s="101">
        <v>19250</v>
      </c>
      <c r="H6" s="101">
        <v>18</v>
      </c>
      <c r="I6" s="101">
        <v>1200</v>
      </c>
      <c r="J6" s="214"/>
      <c r="K6" s="101">
        <v>1400000</v>
      </c>
    </row>
    <row r="7" spans="1:11" x14ac:dyDescent="0.2">
      <c r="A7" s="214">
        <v>3</v>
      </c>
      <c r="B7" s="214" t="b">
        <v>1</v>
      </c>
      <c r="C7" s="225">
        <v>33</v>
      </c>
      <c r="D7" s="109">
        <v>2</v>
      </c>
      <c r="E7" s="214" t="s">
        <v>237</v>
      </c>
      <c r="F7" s="105">
        <v>175</v>
      </c>
      <c r="G7" s="101">
        <v>5625</v>
      </c>
      <c r="H7" s="101">
        <v>22</v>
      </c>
      <c r="I7" s="101">
        <v>4000</v>
      </c>
      <c r="J7" s="214"/>
      <c r="K7" s="101">
        <v>1680000</v>
      </c>
    </row>
    <row r="8" spans="1:11" x14ac:dyDescent="0.2">
      <c r="A8" s="214">
        <v>4</v>
      </c>
      <c r="B8" s="214" t="b">
        <v>1</v>
      </c>
      <c r="C8" s="225">
        <v>38</v>
      </c>
      <c r="D8" s="109">
        <v>3</v>
      </c>
      <c r="E8" s="214" t="s">
        <v>237</v>
      </c>
      <c r="F8" s="105">
        <v>175</v>
      </c>
      <c r="G8" s="101">
        <v>5625</v>
      </c>
      <c r="H8" s="101">
        <v>76</v>
      </c>
      <c r="I8" s="101">
        <v>8000</v>
      </c>
      <c r="J8" s="214"/>
      <c r="K8" s="101">
        <v>11600000</v>
      </c>
    </row>
    <row r="9" spans="1:11" x14ac:dyDescent="0.2">
      <c r="A9" s="214">
        <v>5</v>
      </c>
      <c r="B9" s="214" t="b">
        <v>1</v>
      </c>
      <c r="C9" s="226">
        <v>41</v>
      </c>
      <c r="D9" s="109">
        <v>4</v>
      </c>
      <c r="E9" s="214" t="s">
        <v>237</v>
      </c>
      <c r="F9" s="105">
        <v>175</v>
      </c>
      <c r="G9" s="101">
        <v>8500</v>
      </c>
      <c r="H9" s="101">
        <v>191</v>
      </c>
      <c r="I9" s="101">
        <v>15000</v>
      </c>
      <c r="J9" s="214"/>
      <c r="K9" s="101">
        <v>45300000</v>
      </c>
    </row>
    <row r="10" spans="1:11" x14ac:dyDescent="0.2">
      <c r="A10" s="214">
        <v>6</v>
      </c>
      <c r="B10" s="214" t="b">
        <v>1</v>
      </c>
      <c r="C10" s="225">
        <v>42</v>
      </c>
      <c r="D10" s="109">
        <v>5</v>
      </c>
      <c r="E10" s="214" t="s">
        <v>237</v>
      </c>
      <c r="F10" s="105">
        <v>175</v>
      </c>
      <c r="G10" s="101">
        <v>3500</v>
      </c>
      <c r="H10" s="101">
        <v>268</v>
      </c>
      <c r="I10" s="101">
        <v>15500</v>
      </c>
      <c r="J10" s="214"/>
      <c r="K10" s="101">
        <v>67400000</v>
      </c>
    </row>
    <row r="11" spans="1:11" x14ac:dyDescent="0.2">
      <c r="A11" s="214">
        <v>7</v>
      </c>
      <c r="B11" s="214" t="b">
        <v>1</v>
      </c>
      <c r="C11" s="225">
        <v>42</v>
      </c>
      <c r="D11" s="109">
        <v>6</v>
      </c>
      <c r="E11" s="214" t="s">
        <v>237</v>
      </c>
      <c r="F11" s="105">
        <v>175</v>
      </c>
      <c r="G11" s="101">
        <v>1500</v>
      </c>
      <c r="H11" s="101">
        <v>321</v>
      </c>
      <c r="I11" s="101">
        <v>16000</v>
      </c>
      <c r="J11" s="214"/>
      <c r="K11" s="101">
        <v>80900000</v>
      </c>
    </row>
    <row r="12" spans="1:11" x14ac:dyDescent="0.2">
      <c r="A12" s="214">
        <v>8</v>
      </c>
      <c r="B12" s="214" t="b">
        <v>1</v>
      </c>
      <c r="C12" s="225">
        <v>42</v>
      </c>
      <c r="D12" s="109">
        <v>7</v>
      </c>
      <c r="E12" s="214" t="s">
        <v>237</v>
      </c>
      <c r="F12" s="105">
        <v>175</v>
      </c>
      <c r="G12" s="101">
        <v>2750</v>
      </c>
      <c r="H12" s="101">
        <f>365+20</f>
        <v>385</v>
      </c>
      <c r="I12" s="101">
        <v>44000</v>
      </c>
      <c r="J12" s="214"/>
      <c r="K12" s="101">
        <v>97100000</v>
      </c>
    </row>
    <row r="13" spans="1:11" x14ac:dyDescent="0.2">
      <c r="A13" s="214">
        <v>9</v>
      </c>
      <c r="B13" s="214" t="b">
        <v>1</v>
      </c>
      <c r="C13" s="225">
        <v>44</v>
      </c>
      <c r="D13" s="109">
        <v>8</v>
      </c>
      <c r="E13" s="214" t="s">
        <v>237</v>
      </c>
      <c r="F13" s="105">
        <v>175</v>
      </c>
      <c r="G13" s="101">
        <v>2750</v>
      </c>
      <c r="H13" s="101">
        <f>365+131</f>
        <v>496</v>
      </c>
      <c r="I13" s="101">
        <v>45000</v>
      </c>
      <c r="J13" s="214"/>
      <c r="K13" s="101">
        <v>149000000</v>
      </c>
    </row>
    <row r="14" spans="1:11" x14ac:dyDescent="0.2">
      <c r="A14" s="214">
        <v>10</v>
      </c>
      <c r="B14" s="214" t="b">
        <v>1</v>
      </c>
      <c r="C14" s="225">
        <v>44</v>
      </c>
      <c r="D14" s="109">
        <v>9</v>
      </c>
      <c r="E14" s="214" t="s">
        <v>237</v>
      </c>
      <c r="F14" s="105">
        <v>175</v>
      </c>
      <c r="G14" s="101">
        <v>1000</v>
      </c>
      <c r="H14" s="101">
        <f>365+180</f>
        <v>545</v>
      </c>
      <c r="I14" s="101">
        <v>45500</v>
      </c>
      <c r="J14" s="214"/>
      <c r="K14" s="101">
        <v>164000000</v>
      </c>
    </row>
    <row r="15" spans="1:11" x14ac:dyDescent="0.2">
      <c r="A15" s="214">
        <v>11</v>
      </c>
      <c r="B15" s="214" t="b">
        <v>1</v>
      </c>
      <c r="C15" s="225">
        <v>44</v>
      </c>
      <c r="D15" s="109">
        <v>10</v>
      </c>
      <c r="E15" s="214" t="s">
        <v>237</v>
      </c>
      <c r="F15" s="105">
        <v>175</v>
      </c>
      <c r="G15" s="101">
        <v>1250</v>
      </c>
      <c r="H15" s="101">
        <f>365+235</f>
        <v>600</v>
      </c>
      <c r="I15" s="101">
        <v>64000</v>
      </c>
      <c r="J15" s="214"/>
      <c r="K15" s="101">
        <v>180000000</v>
      </c>
    </row>
    <row r="16" spans="1:11" x14ac:dyDescent="0.2">
      <c r="A16" s="214">
        <v>12</v>
      </c>
      <c r="B16" s="214" t="b">
        <v>1</v>
      </c>
      <c r="C16" s="225">
        <v>45</v>
      </c>
      <c r="D16" s="109">
        <v>11</v>
      </c>
      <c r="E16" s="214" t="s">
        <v>237</v>
      </c>
      <c r="F16" s="105">
        <v>175</v>
      </c>
      <c r="G16" s="220">
        <v>1250</v>
      </c>
      <c r="H16" s="220">
        <f>365+285</f>
        <v>650</v>
      </c>
      <c r="I16" s="220">
        <v>65000</v>
      </c>
      <c r="J16" s="214"/>
      <c r="K16" s="220">
        <v>212000000</v>
      </c>
    </row>
    <row r="17" spans="1:11" x14ac:dyDescent="0.2">
      <c r="A17" s="214">
        <v>13</v>
      </c>
      <c r="B17" s="214" t="b">
        <v>1</v>
      </c>
      <c r="C17" s="225">
        <v>46</v>
      </c>
      <c r="D17" s="109">
        <v>12</v>
      </c>
      <c r="E17" s="214" t="s">
        <v>237</v>
      </c>
      <c r="F17" s="105">
        <v>175</v>
      </c>
      <c r="G17" s="101">
        <v>4000</v>
      </c>
      <c r="H17" s="101">
        <f>2*365+147</f>
        <v>877</v>
      </c>
      <c r="I17" s="101">
        <v>85000</v>
      </c>
      <c r="J17" s="214"/>
      <c r="K17" s="101">
        <v>296000000</v>
      </c>
    </row>
    <row r="18" spans="1:11" x14ac:dyDescent="0.2">
      <c r="A18" s="214">
        <v>14</v>
      </c>
      <c r="B18" s="214" t="b">
        <v>1</v>
      </c>
      <c r="C18" s="225">
        <v>46</v>
      </c>
      <c r="D18" s="109">
        <v>13</v>
      </c>
      <c r="E18" s="214" t="s">
        <v>237</v>
      </c>
      <c r="F18" s="105">
        <v>175</v>
      </c>
      <c r="G18" s="101">
        <v>1500</v>
      </c>
      <c r="H18" s="101">
        <f>365*2+323</f>
        <v>1053</v>
      </c>
      <c r="I18" s="101">
        <v>86000</v>
      </c>
      <c r="J18" s="214"/>
      <c r="K18" s="101">
        <v>355000000</v>
      </c>
    </row>
    <row r="19" spans="1:11" x14ac:dyDescent="0.2">
      <c r="A19" s="214">
        <v>15</v>
      </c>
      <c r="B19" s="214" t="b">
        <v>1</v>
      </c>
      <c r="C19" s="225">
        <v>46</v>
      </c>
      <c r="D19" s="109">
        <v>14</v>
      </c>
      <c r="E19" s="214" t="s">
        <v>237</v>
      </c>
      <c r="F19" s="105">
        <v>175</v>
      </c>
      <c r="G19" s="101">
        <v>3750</v>
      </c>
      <c r="H19" s="101">
        <f>3*365+168</f>
        <v>1263</v>
      </c>
      <c r="I19" s="101">
        <v>150000</v>
      </c>
      <c r="J19" s="214"/>
      <c r="K19" s="101">
        <v>427000000</v>
      </c>
    </row>
    <row r="20" spans="1:11" x14ac:dyDescent="0.2">
      <c r="A20" s="214">
        <v>16</v>
      </c>
      <c r="B20" s="214" t="b">
        <v>1</v>
      </c>
      <c r="C20" s="225">
        <v>48</v>
      </c>
      <c r="D20" s="109">
        <v>15</v>
      </c>
      <c r="E20" s="214" t="s">
        <v>237</v>
      </c>
      <c r="F20" s="105">
        <v>175</v>
      </c>
      <c r="G20" s="101">
        <v>3750</v>
      </c>
      <c r="H20" s="101">
        <f>365*3+352</f>
        <v>1447</v>
      </c>
      <c r="I20" s="101">
        <v>155000</v>
      </c>
      <c r="J20" s="214"/>
      <c r="K20" s="101">
        <v>707000000</v>
      </c>
    </row>
    <row r="21" spans="1:11" x14ac:dyDescent="0.2">
      <c r="A21" s="214">
        <v>17</v>
      </c>
      <c r="B21" s="214" t="b">
        <v>1</v>
      </c>
      <c r="C21" s="225">
        <v>48</v>
      </c>
      <c r="D21" s="109">
        <v>16</v>
      </c>
      <c r="E21" s="214" t="s">
        <v>237</v>
      </c>
      <c r="F21" s="105">
        <v>175</v>
      </c>
      <c r="G21" s="101">
        <v>1000</v>
      </c>
      <c r="H21" s="101">
        <f>4*365+132</f>
        <v>1592</v>
      </c>
      <c r="I21" s="101">
        <v>220000</v>
      </c>
      <c r="J21" s="214"/>
      <c r="K21" s="101">
        <v>849000000</v>
      </c>
    </row>
    <row r="22" spans="1:11" x14ac:dyDescent="0.2">
      <c r="A22" s="214">
        <v>18</v>
      </c>
      <c r="B22" s="214" t="b">
        <v>1</v>
      </c>
      <c r="C22" s="225">
        <v>48</v>
      </c>
      <c r="D22" s="109">
        <v>17</v>
      </c>
      <c r="E22" s="214" t="s">
        <v>237</v>
      </c>
      <c r="F22" s="105">
        <v>175</v>
      </c>
      <c r="G22" s="101">
        <v>1500</v>
      </c>
      <c r="H22" s="101">
        <f>4*365+291</f>
        <v>1751</v>
      </c>
      <c r="I22" s="101">
        <v>220000</v>
      </c>
      <c r="J22" s="214" t="s">
        <v>239</v>
      </c>
      <c r="K22" s="101">
        <v>1020000000</v>
      </c>
    </row>
    <row r="23" spans="1:11" x14ac:dyDescent="0.2">
      <c r="A23" s="214">
        <v>19</v>
      </c>
      <c r="B23" s="214" t="b">
        <v>1</v>
      </c>
      <c r="C23" s="225">
        <v>49</v>
      </c>
      <c r="D23" s="109">
        <v>18</v>
      </c>
      <c r="E23" s="214" t="s">
        <v>237</v>
      </c>
      <c r="F23" s="105">
        <v>175</v>
      </c>
      <c r="G23" s="101">
        <v>1500</v>
      </c>
      <c r="H23" s="101">
        <f>5*365+92</f>
        <v>1917</v>
      </c>
      <c r="I23" s="101">
        <v>380000</v>
      </c>
      <c r="J23" s="214"/>
      <c r="K23" s="101">
        <v>1200000000</v>
      </c>
    </row>
    <row r="24" spans="1:11" x14ac:dyDescent="0.2">
      <c r="A24" s="214">
        <v>20</v>
      </c>
      <c r="B24" s="214" t="b">
        <v>1</v>
      </c>
      <c r="C24" s="225">
        <v>50</v>
      </c>
      <c r="D24" s="109">
        <v>19</v>
      </c>
      <c r="E24" s="214" t="s">
        <v>237</v>
      </c>
      <c r="F24" s="105">
        <v>175</v>
      </c>
      <c r="G24" s="101">
        <v>5000</v>
      </c>
      <c r="H24" s="101">
        <f>6*365+223</f>
        <v>2413</v>
      </c>
      <c r="I24" s="101">
        <v>600000</v>
      </c>
      <c r="J24" s="214"/>
      <c r="K24" s="101">
        <v>2130000000</v>
      </c>
    </row>
    <row r="25" spans="1:11" x14ac:dyDescent="0.2">
      <c r="A25" s="214">
        <v>21</v>
      </c>
      <c r="B25" s="214" t="b">
        <v>1</v>
      </c>
      <c r="C25" s="225">
        <v>50</v>
      </c>
      <c r="D25" s="109">
        <v>20</v>
      </c>
      <c r="E25" s="214" t="s">
        <v>237</v>
      </c>
      <c r="F25" s="105">
        <v>175</v>
      </c>
      <c r="G25" s="101">
        <v>3000</v>
      </c>
      <c r="H25" s="101">
        <f>7*365+340</f>
        <v>2895</v>
      </c>
      <c r="I25" s="101">
        <v>1040000</v>
      </c>
      <c r="J25" s="214"/>
      <c r="K25" s="101">
        <v>2550000000</v>
      </c>
    </row>
    <row r="26" spans="1:11" x14ac:dyDescent="0.2">
      <c r="A26" s="214">
        <v>23</v>
      </c>
      <c r="B26" s="214" t="b">
        <v>1</v>
      </c>
      <c r="C26" s="225"/>
      <c r="D26" s="214"/>
      <c r="E26" s="214" t="s">
        <v>240</v>
      </c>
      <c r="F26" s="214" t="s">
        <v>241</v>
      </c>
      <c r="G26" s="220"/>
      <c r="H26" s="220"/>
      <c r="I26" s="220"/>
      <c r="J26" s="214"/>
      <c r="K26" s="220"/>
    </row>
    <row r="27" spans="1:11" x14ac:dyDescent="0.2">
      <c r="A27" s="214">
        <v>24</v>
      </c>
      <c r="B27" s="214" t="b">
        <v>1</v>
      </c>
      <c r="C27" s="225">
        <v>33</v>
      </c>
      <c r="D27" s="109">
        <v>1</v>
      </c>
      <c r="E27" s="214" t="s">
        <v>240</v>
      </c>
      <c r="F27" s="105">
        <v>0.6</v>
      </c>
      <c r="G27" s="101">
        <v>19250</v>
      </c>
      <c r="H27" s="101">
        <v>18</v>
      </c>
      <c r="I27" s="101">
        <v>1000</v>
      </c>
      <c r="J27" s="214"/>
      <c r="K27" s="101">
        <v>1400000</v>
      </c>
    </row>
    <row r="28" spans="1:11" x14ac:dyDescent="0.2">
      <c r="A28" s="214">
        <v>25</v>
      </c>
      <c r="B28" s="214" t="b">
        <v>1</v>
      </c>
      <c r="C28" s="225">
        <v>33</v>
      </c>
      <c r="D28" s="109">
        <v>2</v>
      </c>
      <c r="E28" s="214" t="s">
        <v>240</v>
      </c>
      <c r="F28" s="29">
        <v>0.2</v>
      </c>
      <c r="G28" s="101">
        <v>1125</v>
      </c>
      <c r="H28" s="101">
        <v>22</v>
      </c>
      <c r="I28" s="101">
        <v>4000</v>
      </c>
      <c r="J28" s="214"/>
      <c r="K28" s="101">
        <v>1680000</v>
      </c>
    </row>
    <row r="29" spans="1:11" x14ac:dyDescent="0.2">
      <c r="A29" s="214">
        <v>26</v>
      </c>
      <c r="B29" s="214" t="b">
        <v>1</v>
      </c>
      <c r="C29" s="225">
        <v>34</v>
      </c>
      <c r="D29" s="109">
        <v>3</v>
      </c>
      <c r="E29" s="214" t="s">
        <v>240</v>
      </c>
      <c r="F29" s="29">
        <v>0.2</v>
      </c>
      <c r="G29" s="101">
        <v>1125</v>
      </c>
      <c r="H29" s="101">
        <v>25</v>
      </c>
      <c r="I29" s="101">
        <v>5000</v>
      </c>
      <c r="J29" s="214"/>
      <c r="K29" s="101">
        <v>2240000</v>
      </c>
    </row>
    <row r="30" spans="1:11" x14ac:dyDescent="0.2">
      <c r="A30" s="214">
        <v>27</v>
      </c>
      <c r="B30" s="214" t="b">
        <v>1</v>
      </c>
      <c r="C30" s="225">
        <v>35</v>
      </c>
      <c r="D30" s="109">
        <v>4</v>
      </c>
      <c r="E30" s="214" t="s">
        <v>240</v>
      </c>
      <c r="F30" s="29">
        <v>0.4</v>
      </c>
      <c r="G30" s="101">
        <v>2000</v>
      </c>
      <c r="H30" s="101">
        <v>33</v>
      </c>
      <c r="I30" s="101">
        <v>18000</v>
      </c>
      <c r="J30" s="214"/>
      <c r="K30" s="101">
        <v>3340000</v>
      </c>
    </row>
    <row r="31" spans="1:11" x14ac:dyDescent="0.2">
      <c r="A31" s="214">
        <v>28</v>
      </c>
      <c r="B31" s="214" t="b">
        <v>1</v>
      </c>
      <c r="C31" s="225">
        <v>35</v>
      </c>
      <c r="D31" s="109">
        <v>5</v>
      </c>
      <c r="E31" s="214" t="s">
        <v>240</v>
      </c>
      <c r="F31" s="29">
        <v>0.3</v>
      </c>
      <c r="G31" s="101">
        <v>1000</v>
      </c>
      <c r="H31" s="101">
        <v>40</v>
      </c>
      <c r="I31" s="101">
        <v>19000</v>
      </c>
      <c r="J31" s="214"/>
      <c r="K31" s="101">
        <v>4010000</v>
      </c>
    </row>
    <row r="32" spans="1:11" x14ac:dyDescent="0.2">
      <c r="A32" s="214">
        <v>29</v>
      </c>
      <c r="B32" s="214" t="b">
        <v>1</v>
      </c>
      <c r="C32" s="225">
        <v>36</v>
      </c>
      <c r="D32" s="109">
        <v>6</v>
      </c>
      <c r="E32" s="214" t="s">
        <v>240</v>
      </c>
      <c r="F32" s="29">
        <v>0.3</v>
      </c>
      <c r="G32" s="101">
        <v>1000</v>
      </c>
      <c r="H32" s="101">
        <v>43</v>
      </c>
      <c r="I32" s="101">
        <v>19500</v>
      </c>
      <c r="J32" s="214"/>
      <c r="K32" s="101">
        <v>4980000</v>
      </c>
    </row>
    <row r="33" spans="1:11" x14ac:dyDescent="0.2">
      <c r="A33" s="214">
        <v>30</v>
      </c>
      <c r="B33" s="214" t="b">
        <v>1</v>
      </c>
      <c r="C33" s="225">
        <v>38</v>
      </c>
      <c r="D33" s="109">
        <v>7</v>
      </c>
      <c r="E33" s="214" t="s">
        <v>240</v>
      </c>
      <c r="F33" s="29">
        <v>0.15</v>
      </c>
      <c r="G33" s="101">
        <v>5000</v>
      </c>
      <c r="H33" s="101">
        <v>76</v>
      </c>
      <c r="I33" s="101">
        <v>44000</v>
      </c>
      <c r="J33" s="214"/>
      <c r="K33" s="101">
        <v>11600000</v>
      </c>
    </row>
    <row r="34" spans="1:11" x14ac:dyDescent="0.2">
      <c r="A34" s="214">
        <v>31</v>
      </c>
      <c r="B34" s="214" t="b">
        <v>1</v>
      </c>
      <c r="C34" s="225">
        <v>39</v>
      </c>
      <c r="D34" s="109">
        <v>8</v>
      </c>
      <c r="E34" s="214" t="s">
        <v>240</v>
      </c>
      <c r="F34" s="29">
        <v>0.05</v>
      </c>
      <c r="G34" s="101">
        <v>2500</v>
      </c>
      <c r="H34" s="101">
        <v>103</v>
      </c>
      <c r="I34" s="101">
        <v>45000</v>
      </c>
      <c r="J34" s="214"/>
      <c r="K34" s="101">
        <v>19800000</v>
      </c>
    </row>
    <row r="35" spans="1:11" x14ac:dyDescent="0.2">
      <c r="A35" s="214">
        <v>32</v>
      </c>
      <c r="B35" s="214" t="b">
        <v>1</v>
      </c>
      <c r="C35" s="225">
        <v>40</v>
      </c>
      <c r="D35" s="109">
        <v>9</v>
      </c>
      <c r="E35" s="214" t="s">
        <v>240</v>
      </c>
      <c r="F35" s="29">
        <v>0.2</v>
      </c>
      <c r="G35" s="101">
        <v>3000</v>
      </c>
      <c r="H35" s="101">
        <v>150</v>
      </c>
      <c r="I35" s="101">
        <v>45500</v>
      </c>
      <c r="J35" s="214"/>
      <c r="K35" s="101">
        <v>31200000</v>
      </c>
    </row>
    <row r="36" spans="1:11" x14ac:dyDescent="0.2">
      <c r="A36" s="214">
        <v>33</v>
      </c>
      <c r="B36" s="214" t="b">
        <v>1</v>
      </c>
      <c r="C36" s="225">
        <v>41</v>
      </c>
      <c r="D36" s="109">
        <v>10</v>
      </c>
      <c r="E36" s="214" t="s">
        <v>240</v>
      </c>
      <c r="F36" s="29">
        <v>0.05</v>
      </c>
      <c r="G36" s="101">
        <v>3000</v>
      </c>
      <c r="H36" s="101">
        <v>191</v>
      </c>
      <c r="I36" s="101">
        <v>64000</v>
      </c>
      <c r="J36" s="214"/>
      <c r="K36" s="101">
        <v>45300000</v>
      </c>
    </row>
    <row r="37" spans="1:11" x14ac:dyDescent="0.2">
      <c r="A37" s="214">
        <v>34</v>
      </c>
      <c r="B37" s="214" t="b">
        <v>1</v>
      </c>
      <c r="C37" s="225">
        <v>41</v>
      </c>
      <c r="D37" s="109">
        <v>11</v>
      </c>
      <c r="E37" s="214" t="s">
        <v>240</v>
      </c>
      <c r="F37" s="29">
        <v>0.05</v>
      </c>
      <c r="G37" s="220">
        <v>3500</v>
      </c>
      <c r="H37" s="220">
        <v>229</v>
      </c>
      <c r="I37" s="220">
        <v>65000</v>
      </c>
      <c r="J37" s="220"/>
      <c r="K37" s="220">
        <v>54400000</v>
      </c>
    </row>
    <row r="38" spans="1:11" x14ac:dyDescent="0.2">
      <c r="A38" s="214">
        <v>35</v>
      </c>
      <c r="B38" s="214" t="b">
        <v>1</v>
      </c>
      <c r="C38" s="225">
        <v>43</v>
      </c>
      <c r="D38" s="109">
        <v>12</v>
      </c>
      <c r="E38" s="214" t="s">
        <v>240</v>
      </c>
      <c r="F38" s="29">
        <v>0.1</v>
      </c>
      <c r="G38" s="101">
        <v>3500</v>
      </c>
      <c r="H38" s="101">
        <f>365+9</f>
        <v>374</v>
      </c>
      <c r="I38" s="101">
        <v>85000</v>
      </c>
      <c r="J38" s="220"/>
      <c r="K38" s="101">
        <v>97800000</v>
      </c>
    </row>
    <row r="39" spans="1:11" x14ac:dyDescent="0.2">
      <c r="A39" s="214">
        <v>36</v>
      </c>
      <c r="B39" s="214" t="b">
        <v>1</v>
      </c>
      <c r="C39" s="225">
        <v>43</v>
      </c>
      <c r="D39" s="109">
        <v>13</v>
      </c>
      <c r="E39" s="214" t="s">
        <v>240</v>
      </c>
      <c r="F39" s="29">
        <v>0.15</v>
      </c>
      <c r="G39" s="101">
        <v>3500</v>
      </c>
      <c r="H39" s="101">
        <f>365+83</f>
        <v>448</v>
      </c>
      <c r="I39" s="101">
        <v>86000</v>
      </c>
      <c r="J39" s="220"/>
      <c r="K39" s="101">
        <v>117000000</v>
      </c>
    </row>
    <row r="40" spans="1:11" x14ac:dyDescent="0.2">
      <c r="A40" s="214">
        <v>37</v>
      </c>
      <c r="B40" s="214" t="b">
        <v>1</v>
      </c>
      <c r="C40" s="225">
        <v>45</v>
      </c>
      <c r="D40" s="109">
        <v>14</v>
      </c>
      <c r="E40" s="214" t="s">
        <v>240</v>
      </c>
      <c r="F40" s="29">
        <v>0.05</v>
      </c>
      <c r="G40" s="101">
        <v>3500</v>
      </c>
      <c r="H40" s="101">
        <f>365+285</f>
        <v>650</v>
      </c>
      <c r="I40" s="101">
        <v>150000</v>
      </c>
      <c r="J40" s="220"/>
      <c r="K40" s="101">
        <v>212000000</v>
      </c>
    </row>
    <row r="41" spans="1:11" x14ac:dyDescent="0.2">
      <c r="A41" s="214">
        <v>38</v>
      </c>
      <c r="B41" s="214" t="b">
        <v>1</v>
      </c>
      <c r="C41" s="225">
        <v>46</v>
      </c>
      <c r="D41" s="109">
        <v>15</v>
      </c>
      <c r="E41" s="214" t="s">
        <v>240</v>
      </c>
      <c r="F41" s="29">
        <v>0.3</v>
      </c>
      <c r="G41" s="101">
        <v>4000</v>
      </c>
      <c r="H41" s="101">
        <f>365*2+147</f>
        <v>877</v>
      </c>
      <c r="I41" s="101">
        <v>158000</v>
      </c>
      <c r="J41" s="220"/>
      <c r="K41" s="101">
        <v>296000000</v>
      </c>
    </row>
    <row r="42" spans="1:11" x14ac:dyDescent="0.2">
      <c r="A42" s="214">
        <v>39</v>
      </c>
      <c r="B42" s="214" t="b">
        <v>1</v>
      </c>
      <c r="C42" s="225">
        <v>47</v>
      </c>
      <c r="D42" s="109">
        <v>16</v>
      </c>
      <c r="E42" s="214" t="s">
        <v>240</v>
      </c>
      <c r="F42" s="29">
        <v>0.15</v>
      </c>
      <c r="G42" s="101">
        <v>4000</v>
      </c>
      <c r="H42" s="101">
        <f>365*3+37</f>
        <v>1132</v>
      </c>
      <c r="I42" s="101">
        <v>225000</v>
      </c>
      <c r="J42" s="220"/>
      <c r="K42" s="101">
        <v>438000000</v>
      </c>
    </row>
    <row r="43" spans="1:11" x14ac:dyDescent="0.2">
      <c r="A43" s="214">
        <v>40</v>
      </c>
      <c r="B43" s="214" t="b">
        <v>1</v>
      </c>
      <c r="C43" s="225">
        <v>47</v>
      </c>
      <c r="D43" s="109">
        <v>17</v>
      </c>
      <c r="E43" s="214" t="s">
        <v>240</v>
      </c>
      <c r="F43" s="29">
        <v>0.25</v>
      </c>
      <c r="G43" s="101">
        <v>4500</v>
      </c>
      <c r="H43" s="101">
        <f>3*365+263</f>
        <v>1358</v>
      </c>
      <c r="I43" s="101">
        <v>230000</v>
      </c>
      <c r="J43" s="220"/>
      <c r="K43" s="101">
        <v>526000000</v>
      </c>
    </row>
    <row r="44" spans="1:11" x14ac:dyDescent="0.2">
      <c r="A44" s="214">
        <v>41</v>
      </c>
      <c r="B44" s="214" t="b">
        <v>1</v>
      </c>
      <c r="C44" s="225">
        <v>49</v>
      </c>
      <c r="D44" s="109">
        <v>18</v>
      </c>
      <c r="E44" s="214" t="s">
        <v>240</v>
      </c>
      <c r="F44" s="29">
        <v>0.5</v>
      </c>
      <c r="G44" s="101">
        <v>4500</v>
      </c>
      <c r="H44" s="101">
        <f>5*365+92</f>
        <v>1917</v>
      </c>
      <c r="I44" s="101">
        <v>390000</v>
      </c>
      <c r="J44" s="220"/>
      <c r="K44" s="101">
        <v>1200000000</v>
      </c>
    </row>
    <row r="45" spans="1:11" x14ac:dyDescent="0.2">
      <c r="A45" s="214">
        <v>42</v>
      </c>
      <c r="B45" s="214" t="b">
        <v>1</v>
      </c>
      <c r="C45" s="225">
        <v>49</v>
      </c>
      <c r="D45" s="109">
        <v>19</v>
      </c>
      <c r="E45" s="214" t="s">
        <v>240</v>
      </c>
      <c r="F45" s="29">
        <v>0.5</v>
      </c>
      <c r="G45" s="101">
        <v>2000</v>
      </c>
      <c r="H45" s="101">
        <f>6*365+110</f>
        <v>2300</v>
      </c>
      <c r="I45" s="101">
        <v>600000</v>
      </c>
      <c r="J45" s="220"/>
      <c r="K45" s="101">
        <v>1260000000</v>
      </c>
    </row>
    <row r="46" spans="1:11" x14ac:dyDescent="0.2">
      <c r="A46" s="214">
        <v>43</v>
      </c>
      <c r="B46" s="214" t="b">
        <v>1</v>
      </c>
      <c r="C46" s="225">
        <v>49</v>
      </c>
      <c r="D46" s="109">
        <v>20</v>
      </c>
      <c r="E46" s="214" t="s">
        <v>240</v>
      </c>
      <c r="F46" s="29">
        <v>0.5</v>
      </c>
      <c r="G46" s="101">
        <v>3000</v>
      </c>
      <c r="H46" s="101">
        <f>7*365+205</f>
        <v>2760</v>
      </c>
      <c r="I46" s="101">
        <v>1040000</v>
      </c>
      <c r="J46" s="220"/>
      <c r="K46" s="101">
        <v>1320000000</v>
      </c>
    </row>
    <row r="47" spans="1:11" x14ac:dyDescent="0.2">
      <c r="A47" s="214">
        <v>45</v>
      </c>
      <c r="B47" s="214" t="b">
        <v>1</v>
      </c>
      <c r="C47" s="225"/>
      <c r="D47" s="214"/>
      <c r="E47" s="214" t="s">
        <v>242</v>
      </c>
      <c r="F47" s="2" t="s">
        <v>243</v>
      </c>
    </row>
    <row r="48" spans="1:11" x14ac:dyDescent="0.2">
      <c r="A48" s="214">
        <v>46</v>
      </c>
      <c r="B48" s="214" t="b">
        <v>1</v>
      </c>
      <c r="C48" s="225">
        <v>33</v>
      </c>
      <c r="D48" s="109">
        <v>1</v>
      </c>
      <c r="E48" s="214" t="s">
        <v>242</v>
      </c>
      <c r="F48" s="217">
        <v>0.5</v>
      </c>
      <c r="G48" s="220">
        <v>19250</v>
      </c>
      <c r="H48" s="220">
        <v>18</v>
      </c>
      <c r="I48" s="220">
        <v>600</v>
      </c>
      <c r="J48" s="220"/>
      <c r="K48" s="220">
        <v>1400000</v>
      </c>
    </row>
    <row r="49" spans="1:11" x14ac:dyDescent="0.2">
      <c r="A49" s="214">
        <v>47</v>
      </c>
      <c r="B49" s="214" t="b">
        <v>1</v>
      </c>
      <c r="C49" s="225">
        <v>33</v>
      </c>
      <c r="D49" s="109">
        <v>2</v>
      </c>
      <c r="E49" s="214" t="s">
        <v>242</v>
      </c>
      <c r="F49" s="105">
        <v>0.1</v>
      </c>
      <c r="G49" s="101">
        <v>3125</v>
      </c>
      <c r="H49" s="101">
        <v>22</v>
      </c>
      <c r="I49" s="101">
        <v>1200</v>
      </c>
      <c r="J49" s="220"/>
      <c r="K49" s="101">
        <v>1680000</v>
      </c>
    </row>
    <row r="50" spans="1:11" x14ac:dyDescent="0.2">
      <c r="A50" s="214">
        <v>48</v>
      </c>
      <c r="B50" s="214" t="b">
        <v>1</v>
      </c>
      <c r="C50" s="225">
        <v>36</v>
      </c>
      <c r="D50" s="109">
        <v>3</v>
      </c>
      <c r="E50" s="214" t="s">
        <v>242</v>
      </c>
      <c r="F50" s="105">
        <v>0.2</v>
      </c>
      <c r="G50" s="101">
        <v>3125</v>
      </c>
      <c r="H50" s="101">
        <v>43</v>
      </c>
      <c r="I50" s="101">
        <v>2400</v>
      </c>
      <c r="J50" s="220"/>
      <c r="K50" s="101">
        <v>4980000</v>
      </c>
    </row>
    <row r="51" spans="1:11" x14ac:dyDescent="0.2">
      <c r="A51" s="214">
        <v>49</v>
      </c>
      <c r="B51" s="214" t="b">
        <v>1</v>
      </c>
      <c r="C51" s="225">
        <v>37</v>
      </c>
      <c r="D51" s="109">
        <v>4</v>
      </c>
      <c r="E51" s="214" t="s">
        <v>242</v>
      </c>
      <c r="F51" s="105">
        <v>0.2</v>
      </c>
      <c r="G51" s="101">
        <v>2500</v>
      </c>
      <c r="H51" s="101">
        <v>46</v>
      </c>
      <c r="I51" s="101">
        <v>3000</v>
      </c>
      <c r="J51" s="220"/>
      <c r="K51" s="101">
        <v>7340000</v>
      </c>
    </row>
    <row r="52" spans="1:11" x14ac:dyDescent="0.2">
      <c r="A52" s="214">
        <v>50</v>
      </c>
      <c r="B52" s="214" t="b">
        <v>1</v>
      </c>
      <c r="C52" s="225">
        <v>37</v>
      </c>
      <c r="D52" s="109">
        <v>5</v>
      </c>
      <c r="E52" s="214" t="s">
        <v>242</v>
      </c>
      <c r="F52" s="105">
        <v>0.2</v>
      </c>
      <c r="G52" s="101">
        <v>2000</v>
      </c>
      <c r="H52" s="101">
        <v>55</v>
      </c>
      <c r="I52" s="101">
        <v>3200</v>
      </c>
      <c r="J52" s="220"/>
      <c r="K52" s="101">
        <v>8810000</v>
      </c>
    </row>
    <row r="53" spans="1:11" x14ac:dyDescent="0.2">
      <c r="A53" s="214">
        <v>51</v>
      </c>
      <c r="B53" s="214" t="b">
        <v>1</v>
      </c>
      <c r="C53" s="225">
        <v>37</v>
      </c>
      <c r="D53" s="109">
        <v>6</v>
      </c>
      <c r="E53" s="214" t="s">
        <v>242</v>
      </c>
      <c r="F53" s="105">
        <v>0.2</v>
      </c>
      <c r="G53" s="101">
        <v>1500</v>
      </c>
      <c r="H53" s="101">
        <v>66</v>
      </c>
      <c r="I53" s="101">
        <v>3600</v>
      </c>
      <c r="J53" s="220"/>
      <c r="K53" s="101">
        <v>10600000</v>
      </c>
    </row>
    <row r="54" spans="1:11" x14ac:dyDescent="0.2">
      <c r="A54" s="214">
        <v>52</v>
      </c>
      <c r="B54" s="214" t="b">
        <v>1</v>
      </c>
      <c r="C54" s="225">
        <v>39</v>
      </c>
      <c r="D54" s="109">
        <v>7</v>
      </c>
      <c r="E54" s="214" t="s">
        <v>242</v>
      </c>
      <c r="F54" s="105">
        <v>0.2</v>
      </c>
      <c r="G54" s="101">
        <v>1500</v>
      </c>
      <c r="H54" s="101">
        <v>103</v>
      </c>
      <c r="I54" s="101">
        <v>6800</v>
      </c>
      <c r="J54" s="220"/>
      <c r="K54" s="101">
        <v>19800000</v>
      </c>
    </row>
    <row r="55" spans="1:11" x14ac:dyDescent="0.2">
      <c r="A55" s="214">
        <v>53</v>
      </c>
      <c r="B55" s="214" t="b">
        <v>1</v>
      </c>
      <c r="C55" s="225">
        <v>39</v>
      </c>
      <c r="D55" s="109">
        <v>8</v>
      </c>
      <c r="E55" s="214" t="s">
        <v>242</v>
      </c>
      <c r="F55" s="105">
        <v>0.2</v>
      </c>
      <c r="G55" s="101">
        <v>1500</v>
      </c>
      <c r="H55" s="101">
        <v>123</v>
      </c>
      <c r="I55" s="101">
        <v>7200</v>
      </c>
      <c r="J55" s="220"/>
      <c r="K55" s="101">
        <v>23800000</v>
      </c>
    </row>
    <row r="56" spans="1:11" x14ac:dyDescent="0.2">
      <c r="A56" s="214">
        <v>54</v>
      </c>
      <c r="B56" s="214" t="b">
        <v>1</v>
      </c>
      <c r="C56" s="225">
        <v>40</v>
      </c>
      <c r="D56" s="109">
        <v>9</v>
      </c>
      <c r="E56" s="214" t="s">
        <v>242</v>
      </c>
      <c r="F56" s="105">
        <v>0.25</v>
      </c>
      <c r="G56" s="101">
        <v>1500</v>
      </c>
      <c r="H56" s="101">
        <v>151</v>
      </c>
      <c r="I56" s="101">
        <v>7400</v>
      </c>
      <c r="J56" s="220"/>
      <c r="K56" s="101">
        <v>31200000</v>
      </c>
    </row>
    <row r="57" spans="1:11" x14ac:dyDescent="0.2">
      <c r="A57" s="214">
        <v>55</v>
      </c>
      <c r="B57" s="214" t="b">
        <v>1</v>
      </c>
      <c r="C57" s="225">
        <v>42</v>
      </c>
      <c r="D57" s="109">
        <v>10</v>
      </c>
      <c r="E57" s="214" t="s">
        <v>242</v>
      </c>
      <c r="F57" s="105">
        <v>0.25</v>
      </c>
      <c r="G57" s="101">
        <v>6500</v>
      </c>
      <c r="H57" s="101">
        <v>267</v>
      </c>
      <c r="I57" s="101">
        <v>14000</v>
      </c>
      <c r="J57" s="220"/>
      <c r="K57" s="101">
        <v>67400000</v>
      </c>
    </row>
    <row r="58" spans="1:11" x14ac:dyDescent="0.2">
      <c r="A58" s="214">
        <v>56</v>
      </c>
      <c r="B58" s="214" t="b">
        <v>1</v>
      </c>
      <c r="C58" s="225">
        <v>42</v>
      </c>
      <c r="D58" s="109">
        <v>11</v>
      </c>
      <c r="E58" s="214" t="s">
        <v>242</v>
      </c>
      <c r="F58" s="217">
        <v>0.25</v>
      </c>
      <c r="G58" s="220">
        <v>1750</v>
      </c>
      <c r="H58" s="220">
        <v>321</v>
      </c>
      <c r="I58" s="220">
        <v>14500</v>
      </c>
      <c r="J58" s="220"/>
      <c r="K58" s="220">
        <v>80900000</v>
      </c>
    </row>
    <row r="59" spans="1:11" x14ac:dyDescent="0.2">
      <c r="A59" s="214">
        <v>57</v>
      </c>
      <c r="B59" s="214" t="b">
        <v>1</v>
      </c>
      <c r="C59" s="225">
        <v>43</v>
      </c>
      <c r="D59" s="109">
        <v>12</v>
      </c>
      <c r="E59" s="214" t="s">
        <v>242</v>
      </c>
      <c r="F59" s="105">
        <v>0.25</v>
      </c>
      <c r="G59" s="101">
        <v>1750</v>
      </c>
      <c r="H59" s="101">
        <f>365+8</f>
        <v>373</v>
      </c>
      <c r="I59" s="101">
        <v>30000</v>
      </c>
      <c r="J59" s="220"/>
      <c r="K59" s="101">
        <v>97800000</v>
      </c>
    </row>
    <row r="60" spans="1:11" x14ac:dyDescent="0.2">
      <c r="A60" s="214">
        <v>58</v>
      </c>
      <c r="B60" s="214" t="b">
        <v>1</v>
      </c>
      <c r="C60" s="225">
        <v>44</v>
      </c>
      <c r="D60" s="109">
        <v>13</v>
      </c>
      <c r="E60" s="214" t="s">
        <v>242</v>
      </c>
      <c r="F60" s="105">
        <v>0.25</v>
      </c>
      <c r="G60" s="101">
        <v>3500</v>
      </c>
      <c r="H60" s="101">
        <f>365+131</f>
        <v>496</v>
      </c>
      <c r="I60" s="101">
        <v>31000</v>
      </c>
      <c r="J60" s="220"/>
      <c r="K60" s="101">
        <v>149000000</v>
      </c>
    </row>
    <row r="61" spans="1:11" x14ac:dyDescent="0.2">
      <c r="A61" s="214">
        <v>59</v>
      </c>
      <c r="B61" s="214" t="b">
        <v>1</v>
      </c>
      <c r="C61" s="225">
        <v>44</v>
      </c>
      <c r="D61" s="109">
        <v>14</v>
      </c>
      <c r="E61" s="214" t="s">
        <v>242</v>
      </c>
      <c r="F61" s="105">
        <v>0.3</v>
      </c>
      <c r="G61" s="101">
        <v>3750</v>
      </c>
      <c r="H61" s="101">
        <f>365+230</f>
        <v>595</v>
      </c>
      <c r="I61" s="101">
        <v>54000</v>
      </c>
      <c r="J61" s="220"/>
      <c r="K61" s="101">
        <v>179000000</v>
      </c>
    </row>
    <row r="62" spans="1:11" x14ac:dyDescent="0.2">
      <c r="A62" s="214">
        <v>60</v>
      </c>
      <c r="B62" s="214" t="b">
        <v>1</v>
      </c>
      <c r="C62" s="225">
        <v>46</v>
      </c>
      <c r="D62" s="109">
        <v>15</v>
      </c>
      <c r="E62" s="214" t="s">
        <v>242</v>
      </c>
      <c r="F62" s="105">
        <v>0.35</v>
      </c>
      <c r="G62" s="101">
        <v>3750</v>
      </c>
      <c r="H62" s="101">
        <f>2*365+147</f>
        <v>877</v>
      </c>
      <c r="I62" s="101">
        <v>56000</v>
      </c>
      <c r="J62" s="220"/>
      <c r="K62" s="101">
        <v>296000000</v>
      </c>
    </row>
    <row r="63" spans="1:11" x14ac:dyDescent="0.2">
      <c r="A63" s="214">
        <v>61</v>
      </c>
      <c r="B63" s="214" t="b">
        <v>1</v>
      </c>
      <c r="C63" s="225">
        <v>46</v>
      </c>
      <c r="D63" s="109">
        <v>16</v>
      </c>
      <c r="E63" s="214" t="s">
        <v>242</v>
      </c>
      <c r="F63" s="105">
        <v>0.35</v>
      </c>
      <c r="G63" s="101">
        <v>2000</v>
      </c>
      <c r="H63" s="101">
        <f>365*2+323</f>
        <v>1053</v>
      </c>
      <c r="I63" s="101">
        <v>79000</v>
      </c>
      <c r="J63" s="220"/>
      <c r="K63" s="101">
        <v>355000000</v>
      </c>
    </row>
    <row r="64" spans="1:11" x14ac:dyDescent="0.2">
      <c r="A64" s="214">
        <v>62</v>
      </c>
      <c r="B64" s="214" t="b">
        <v>1</v>
      </c>
      <c r="C64" s="225">
        <v>47</v>
      </c>
      <c r="D64" s="109">
        <v>17</v>
      </c>
      <c r="E64" s="214" t="s">
        <v>242</v>
      </c>
      <c r="F64" s="105">
        <v>0.4</v>
      </c>
      <c r="G64" s="101">
        <v>2000</v>
      </c>
      <c r="H64" s="101">
        <f>3*365+37</f>
        <v>1132</v>
      </c>
      <c r="I64" s="101">
        <v>80000</v>
      </c>
      <c r="J64" s="220"/>
      <c r="K64" s="101">
        <v>438000000</v>
      </c>
    </row>
    <row r="65" spans="1:11" x14ac:dyDescent="0.2">
      <c r="A65" s="214">
        <v>63</v>
      </c>
      <c r="B65" s="214" t="b">
        <v>1</v>
      </c>
      <c r="C65" s="225">
        <v>48</v>
      </c>
      <c r="D65" s="109">
        <v>18</v>
      </c>
      <c r="E65" s="214" t="s">
        <v>242</v>
      </c>
      <c r="F65" s="105">
        <v>0.45</v>
      </c>
      <c r="G65" s="101">
        <v>5000</v>
      </c>
      <c r="H65" s="101">
        <f>365*3+352</f>
        <v>1447</v>
      </c>
      <c r="I65" s="101">
        <v>140000</v>
      </c>
      <c r="J65" s="220"/>
      <c r="K65" s="101">
        <v>707000000</v>
      </c>
    </row>
    <row r="66" spans="1:11" x14ac:dyDescent="0.2">
      <c r="A66" s="214">
        <v>64</v>
      </c>
      <c r="B66" s="214" t="b">
        <v>1</v>
      </c>
      <c r="C66" s="225">
        <v>48</v>
      </c>
      <c r="D66" s="109">
        <v>19</v>
      </c>
      <c r="E66" s="214" t="s">
        <v>242</v>
      </c>
      <c r="F66" s="105">
        <v>0.5</v>
      </c>
      <c r="G66" s="101">
        <v>4500</v>
      </c>
      <c r="H66" s="101">
        <f>365*4+277</f>
        <v>1737</v>
      </c>
      <c r="I66" s="101">
        <v>240000</v>
      </c>
      <c r="J66" s="220"/>
      <c r="K66" s="101">
        <v>849000000</v>
      </c>
    </row>
    <row r="67" spans="1:11" x14ac:dyDescent="0.2">
      <c r="A67" s="214">
        <v>65</v>
      </c>
      <c r="B67" s="214" t="b">
        <v>1</v>
      </c>
      <c r="C67" s="225">
        <v>50</v>
      </c>
      <c r="D67" s="109">
        <v>20</v>
      </c>
      <c r="E67" s="214" t="s">
        <v>242</v>
      </c>
      <c r="F67" s="105">
        <v>0.6</v>
      </c>
      <c r="G67" s="101">
        <v>4500</v>
      </c>
      <c r="H67" s="101">
        <f>6*365+223</f>
        <v>2413</v>
      </c>
      <c r="I67" s="101">
        <v>415000</v>
      </c>
      <c r="J67" s="220"/>
      <c r="K67" s="101">
        <v>2130000000</v>
      </c>
    </row>
    <row r="68" spans="1:11" x14ac:dyDescent="0.2">
      <c r="A68" s="214">
        <v>67</v>
      </c>
      <c r="B68" s="214" t="b">
        <v>1</v>
      </c>
      <c r="C68" s="225"/>
      <c r="D68" s="214"/>
      <c r="E68" s="214" t="s">
        <v>244</v>
      </c>
      <c r="F68" s="214"/>
      <c r="G68" s="220"/>
      <c r="H68" s="220"/>
      <c r="I68" s="220"/>
      <c r="J68" s="220"/>
      <c r="K68" s="220"/>
    </row>
    <row r="69" spans="1:11" x14ac:dyDescent="0.2">
      <c r="A69" s="214">
        <v>68</v>
      </c>
      <c r="B69" s="214" t="b">
        <v>1</v>
      </c>
      <c r="C69" s="225">
        <v>33</v>
      </c>
      <c r="D69" s="109">
        <v>1</v>
      </c>
      <c r="E69" s="214" t="s">
        <v>244</v>
      </c>
      <c r="F69" s="101">
        <v>10</v>
      </c>
      <c r="G69" s="101">
        <v>19250</v>
      </c>
      <c r="H69" s="101">
        <v>18</v>
      </c>
      <c r="I69" s="101">
        <v>600</v>
      </c>
      <c r="J69" s="220"/>
      <c r="K69" s="101">
        <v>1400000</v>
      </c>
    </row>
    <row r="70" spans="1:11" x14ac:dyDescent="0.2">
      <c r="A70" s="214">
        <v>69</v>
      </c>
      <c r="B70" s="214" t="b">
        <v>1</v>
      </c>
      <c r="C70" s="225">
        <v>33</v>
      </c>
      <c r="D70" s="109">
        <v>2</v>
      </c>
      <c r="E70" s="214" t="s">
        <v>244</v>
      </c>
      <c r="F70" s="101">
        <v>1</v>
      </c>
      <c r="G70" s="101">
        <v>8375</v>
      </c>
      <c r="H70" s="101">
        <v>22</v>
      </c>
      <c r="I70" s="101">
        <v>4000</v>
      </c>
      <c r="J70" s="220"/>
      <c r="K70" s="101">
        <v>1680000</v>
      </c>
    </row>
    <row r="71" spans="1:11" x14ac:dyDescent="0.2">
      <c r="A71" s="214">
        <v>70</v>
      </c>
      <c r="B71" s="214" t="b">
        <v>1</v>
      </c>
      <c r="C71" s="225">
        <v>40</v>
      </c>
      <c r="D71" s="109">
        <v>3</v>
      </c>
      <c r="E71" s="214" t="s">
        <v>244</v>
      </c>
      <c r="F71" s="101">
        <v>1</v>
      </c>
      <c r="G71" s="101">
        <v>8375</v>
      </c>
      <c r="H71" s="101">
        <v>151</v>
      </c>
      <c r="I71" s="101">
        <v>6000</v>
      </c>
      <c r="J71" s="220"/>
      <c r="K71" s="101">
        <v>31200000</v>
      </c>
    </row>
    <row r="72" spans="1:11" x14ac:dyDescent="0.2">
      <c r="A72" s="214">
        <v>71</v>
      </c>
      <c r="B72" s="214" t="b">
        <v>1</v>
      </c>
      <c r="C72" s="225">
        <v>41</v>
      </c>
      <c r="D72" s="109">
        <v>4</v>
      </c>
      <c r="E72" s="214" t="s">
        <v>244</v>
      </c>
      <c r="F72" s="101">
        <v>1</v>
      </c>
      <c r="G72" s="101">
        <v>3000</v>
      </c>
      <c r="H72" s="101">
        <v>191</v>
      </c>
      <c r="I72" s="101">
        <v>12000</v>
      </c>
      <c r="J72" s="220"/>
      <c r="K72" s="101">
        <v>45300000</v>
      </c>
    </row>
    <row r="73" spans="1:11" x14ac:dyDescent="0.2">
      <c r="A73" s="214">
        <v>72</v>
      </c>
      <c r="B73" s="214" t="b">
        <v>1</v>
      </c>
      <c r="C73" s="225">
        <v>41</v>
      </c>
      <c r="D73" s="109">
        <v>5</v>
      </c>
      <c r="E73" s="214" t="s">
        <v>244</v>
      </c>
      <c r="F73" s="101">
        <v>1</v>
      </c>
      <c r="G73" s="101">
        <v>1750</v>
      </c>
      <c r="H73" s="101">
        <v>229</v>
      </c>
      <c r="I73" s="101">
        <v>13000</v>
      </c>
      <c r="J73" s="220"/>
      <c r="K73" s="101">
        <v>54400000</v>
      </c>
    </row>
    <row r="74" spans="1:11" x14ac:dyDescent="0.2">
      <c r="A74" s="214">
        <v>73</v>
      </c>
      <c r="B74" s="214" t="b">
        <v>1</v>
      </c>
      <c r="C74" s="225">
        <v>42</v>
      </c>
      <c r="D74" s="109">
        <v>6</v>
      </c>
      <c r="E74" s="214" t="s">
        <v>244</v>
      </c>
      <c r="F74" s="101">
        <v>1</v>
      </c>
      <c r="G74" s="101">
        <v>1750</v>
      </c>
      <c r="H74" s="101">
        <v>267</v>
      </c>
      <c r="I74" s="101">
        <v>13500</v>
      </c>
      <c r="J74" s="220"/>
      <c r="K74" s="101">
        <v>67400000</v>
      </c>
    </row>
    <row r="75" spans="1:11" x14ac:dyDescent="0.2">
      <c r="A75" s="214">
        <v>74</v>
      </c>
      <c r="B75" s="214" t="b">
        <v>1</v>
      </c>
      <c r="C75" s="225">
        <v>42</v>
      </c>
      <c r="D75" s="109">
        <v>7</v>
      </c>
      <c r="E75" s="214" t="s">
        <v>244</v>
      </c>
      <c r="F75" s="101">
        <v>1</v>
      </c>
      <c r="G75" s="101">
        <v>3500</v>
      </c>
      <c r="H75" s="101">
        <v>321</v>
      </c>
      <c r="I75" s="101">
        <v>20000</v>
      </c>
      <c r="J75" s="220"/>
      <c r="K75" s="101">
        <v>80900000</v>
      </c>
    </row>
    <row r="76" spans="1:11" x14ac:dyDescent="0.2">
      <c r="A76" s="214">
        <v>75</v>
      </c>
      <c r="B76" s="214" t="b">
        <v>1</v>
      </c>
      <c r="C76" s="225">
        <v>44</v>
      </c>
      <c r="D76" s="109">
        <v>8</v>
      </c>
      <c r="E76" s="214" t="s">
        <v>244</v>
      </c>
      <c r="F76" s="101">
        <v>2</v>
      </c>
      <c r="G76" s="101">
        <v>3500</v>
      </c>
      <c r="H76" s="101">
        <f>365+131</f>
        <v>496</v>
      </c>
      <c r="I76" s="101">
        <v>21000</v>
      </c>
      <c r="J76" s="220"/>
      <c r="K76" s="101">
        <v>149000000</v>
      </c>
    </row>
    <row r="77" spans="1:11" x14ac:dyDescent="0.2">
      <c r="A77" s="214">
        <v>76</v>
      </c>
      <c r="B77" s="214" t="b">
        <v>1</v>
      </c>
      <c r="C77" s="225">
        <v>44</v>
      </c>
      <c r="D77" s="109">
        <v>9</v>
      </c>
      <c r="E77" s="214" t="s">
        <v>244</v>
      </c>
      <c r="F77" s="101">
        <v>2</v>
      </c>
      <c r="G77" s="101">
        <v>1000</v>
      </c>
      <c r="H77" s="101">
        <f>365+180</f>
        <v>545</v>
      </c>
      <c r="I77" s="101">
        <v>22000</v>
      </c>
      <c r="J77" s="220"/>
      <c r="K77" s="101">
        <v>164000000</v>
      </c>
    </row>
    <row r="78" spans="1:11" x14ac:dyDescent="0.2">
      <c r="A78" s="214">
        <v>77</v>
      </c>
      <c r="B78" s="214" t="b">
        <v>1</v>
      </c>
      <c r="C78" s="225">
        <v>44</v>
      </c>
      <c r="D78" s="109">
        <v>10</v>
      </c>
      <c r="E78" s="214" t="s">
        <v>244</v>
      </c>
      <c r="F78" s="101">
        <v>2</v>
      </c>
      <c r="G78" s="101">
        <v>1250</v>
      </c>
      <c r="H78" s="109">
        <f>365+235</f>
        <v>600</v>
      </c>
      <c r="I78" s="101">
        <v>32000</v>
      </c>
      <c r="J78" s="220"/>
      <c r="K78" s="101">
        <v>180000000</v>
      </c>
    </row>
    <row r="79" spans="1:11" x14ac:dyDescent="0.2">
      <c r="A79" s="214">
        <v>78</v>
      </c>
      <c r="C79" s="225">
        <v>45</v>
      </c>
      <c r="D79" s="109">
        <v>11</v>
      </c>
      <c r="E79" s="214" t="s">
        <v>244</v>
      </c>
      <c r="F79" s="220">
        <v>2</v>
      </c>
      <c r="G79" s="220">
        <v>1250</v>
      </c>
      <c r="H79" s="220">
        <f>365+285</f>
        <v>650</v>
      </c>
      <c r="I79" s="220">
        <v>33000</v>
      </c>
      <c r="J79" s="220"/>
      <c r="K79" s="220">
        <v>212000000</v>
      </c>
    </row>
    <row r="80" spans="1:11" x14ac:dyDescent="0.2">
      <c r="A80" s="214">
        <v>79</v>
      </c>
      <c r="B80" s="214" t="b">
        <v>1</v>
      </c>
      <c r="C80" s="225">
        <v>46</v>
      </c>
      <c r="D80" s="109">
        <v>12</v>
      </c>
      <c r="E80" s="214" t="s">
        <v>244</v>
      </c>
      <c r="F80" s="101">
        <v>2</v>
      </c>
      <c r="G80" s="101">
        <v>4000</v>
      </c>
      <c r="H80" s="101">
        <f>365*2+147</f>
        <v>877</v>
      </c>
      <c r="I80" s="101">
        <v>35000</v>
      </c>
      <c r="J80" s="220"/>
      <c r="K80" s="101">
        <v>296000000</v>
      </c>
    </row>
    <row r="81" spans="1:11" x14ac:dyDescent="0.2">
      <c r="A81" s="214">
        <v>80</v>
      </c>
      <c r="B81" s="214" t="b">
        <v>1</v>
      </c>
      <c r="C81" s="225">
        <v>46</v>
      </c>
      <c r="D81" s="109">
        <v>13</v>
      </c>
      <c r="E81" s="214" t="s">
        <v>244</v>
      </c>
      <c r="F81" s="101">
        <v>2</v>
      </c>
      <c r="G81" s="101">
        <v>2000</v>
      </c>
      <c r="H81" s="101">
        <f>365*2+323</f>
        <v>1053</v>
      </c>
      <c r="I81" s="101">
        <v>36000</v>
      </c>
      <c r="J81" s="220"/>
      <c r="K81" s="101">
        <v>355000000</v>
      </c>
    </row>
    <row r="82" spans="1:11" x14ac:dyDescent="0.2">
      <c r="A82" s="214">
        <v>81</v>
      </c>
      <c r="B82" s="214" t="b">
        <v>1</v>
      </c>
      <c r="C82" s="225">
        <v>47</v>
      </c>
      <c r="D82" s="109">
        <v>14</v>
      </c>
      <c r="E82" s="214" t="s">
        <v>244</v>
      </c>
      <c r="F82" s="101">
        <v>1</v>
      </c>
      <c r="G82" s="101">
        <v>2000</v>
      </c>
      <c r="H82" s="101">
        <f>365*3+37</f>
        <v>1132</v>
      </c>
      <c r="I82" s="101">
        <v>63000</v>
      </c>
      <c r="J82" s="220"/>
      <c r="K82" s="101">
        <v>438000000</v>
      </c>
    </row>
    <row r="83" spans="1:11" x14ac:dyDescent="0.2">
      <c r="A83" s="214">
        <v>82</v>
      </c>
      <c r="B83" s="214" t="b">
        <v>1</v>
      </c>
      <c r="C83" s="225">
        <v>48</v>
      </c>
      <c r="D83" s="109">
        <v>15</v>
      </c>
      <c r="E83" s="214" t="s">
        <v>244</v>
      </c>
      <c r="F83" s="101">
        <v>1</v>
      </c>
      <c r="G83" s="101">
        <v>5000</v>
      </c>
      <c r="H83" s="101">
        <f>365*3+352</f>
        <v>1447</v>
      </c>
      <c r="I83" s="101">
        <v>66000</v>
      </c>
      <c r="J83" s="220"/>
      <c r="K83" s="101">
        <v>707000000</v>
      </c>
    </row>
    <row r="84" spans="1:11" x14ac:dyDescent="0.2">
      <c r="A84" s="214">
        <v>83</v>
      </c>
      <c r="B84" s="214" t="b">
        <v>1</v>
      </c>
      <c r="C84" s="225">
        <v>48</v>
      </c>
      <c r="D84" s="109">
        <v>16</v>
      </c>
      <c r="E84" s="214" t="s">
        <v>244</v>
      </c>
      <c r="F84" s="101">
        <v>2</v>
      </c>
      <c r="G84" s="101">
        <v>2000</v>
      </c>
      <c r="H84" s="101">
        <f>365*4+277</f>
        <v>1737</v>
      </c>
      <c r="I84" s="101">
        <v>94000</v>
      </c>
      <c r="J84" s="220"/>
      <c r="K84" s="101">
        <v>849000000</v>
      </c>
    </row>
    <row r="85" spans="1:11" x14ac:dyDescent="0.2">
      <c r="A85" s="214">
        <v>84</v>
      </c>
      <c r="B85" s="214" t="b">
        <v>1</v>
      </c>
      <c r="C85" s="225">
        <v>49</v>
      </c>
      <c r="D85" s="109">
        <v>17</v>
      </c>
      <c r="E85" s="214" t="s">
        <v>244</v>
      </c>
      <c r="F85" s="101">
        <v>2</v>
      </c>
      <c r="G85" s="101">
        <v>2000</v>
      </c>
      <c r="H85" s="101">
        <f>365*5+92</f>
        <v>1917</v>
      </c>
      <c r="I85" s="101">
        <v>100000</v>
      </c>
      <c r="J85" s="220"/>
      <c r="K85" s="101">
        <v>1200000000</v>
      </c>
    </row>
    <row r="86" spans="1:11" x14ac:dyDescent="0.2">
      <c r="A86" s="214">
        <v>85</v>
      </c>
      <c r="B86" s="214" t="b">
        <v>1</v>
      </c>
      <c r="C86" s="225">
        <v>50</v>
      </c>
      <c r="D86" s="109">
        <v>18</v>
      </c>
      <c r="E86" s="214" t="s">
        <v>244</v>
      </c>
      <c r="F86" s="101">
        <v>2</v>
      </c>
      <c r="G86" s="101">
        <v>5000</v>
      </c>
      <c r="H86" s="101">
        <f>6*365+223</f>
        <v>2413</v>
      </c>
      <c r="I86" s="101">
        <v>163000</v>
      </c>
      <c r="J86" s="220"/>
      <c r="K86" s="101">
        <v>2130000000</v>
      </c>
    </row>
    <row r="87" spans="1:11" x14ac:dyDescent="0.2">
      <c r="A87" s="214">
        <v>86</v>
      </c>
      <c r="B87" s="214" t="b">
        <v>1</v>
      </c>
      <c r="C87" s="225">
        <v>50</v>
      </c>
      <c r="D87" s="109">
        <v>19</v>
      </c>
      <c r="E87" s="214" t="s">
        <v>244</v>
      </c>
      <c r="F87" s="101">
        <v>2</v>
      </c>
      <c r="G87" s="101">
        <v>2500</v>
      </c>
      <c r="H87" s="101">
        <f>6*365+271</f>
        <v>2461</v>
      </c>
      <c r="I87" s="101">
        <v>280000</v>
      </c>
      <c r="J87" s="220"/>
      <c r="K87" s="101">
        <v>2550000000</v>
      </c>
    </row>
    <row r="88" spans="1:11" x14ac:dyDescent="0.2">
      <c r="A88" s="214">
        <v>87</v>
      </c>
      <c r="B88" s="214" t="b">
        <v>1</v>
      </c>
      <c r="C88" s="225">
        <v>51</v>
      </c>
      <c r="D88" s="109">
        <v>20</v>
      </c>
      <c r="E88" s="214" t="s">
        <v>244</v>
      </c>
      <c r="F88" s="101">
        <v>2</v>
      </c>
      <c r="G88" s="101">
        <v>2500</v>
      </c>
      <c r="H88" s="101">
        <f>365*6+298</f>
        <v>2488</v>
      </c>
      <c r="I88" s="101">
        <v>485000</v>
      </c>
      <c r="J88" s="220"/>
      <c r="K88" s="101">
        <v>5320000000</v>
      </c>
    </row>
    <row r="89" spans="1:11" x14ac:dyDescent="0.2">
      <c r="A89" s="214">
        <v>89</v>
      </c>
      <c r="B89" s="214" t="b">
        <v>1</v>
      </c>
      <c r="C89" s="225"/>
      <c r="D89" s="214"/>
      <c r="E89" s="214" t="s">
        <v>245</v>
      </c>
      <c r="F89" s="214" t="s">
        <v>246</v>
      </c>
      <c r="G89" s="220"/>
      <c r="H89" s="220"/>
      <c r="I89" s="220"/>
      <c r="J89" s="220"/>
      <c r="K89" s="220"/>
    </row>
    <row r="90" spans="1:11" x14ac:dyDescent="0.2">
      <c r="A90" s="214">
        <v>90</v>
      </c>
      <c r="B90" s="214" t="b">
        <v>1</v>
      </c>
      <c r="C90" s="225">
        <v>33</v>
      </c>
      <c r="D90" s="109">
        <v>1</v>
      </c>
      <c r="E90" s="214" t="s">
        <v>245</v>
      </c>
      <c r="F90" s="217">
        <v>0.55000000000000004</v>
      </c>
      <c r="G90" s="220">
        <v>19250</v>
      </c>
      <c r="H90" s="220">
        <v>18</v>
      </c>
      <c r="I90" s="220">
        <v>400</v>
      </c>
      <c r="J90" s="220"/>
      <c r="K90" s="220">
        <v>1400000</v>
      </c>
    </row>
    <row r="91" spans="1:11" x14ac:dyDescent="0.2">
      <c r="A91" s="214">
        <v>91</v>
      </c>
      <c r="B91" s="214" t="b">
        <v>1</v>
      </c>
      <c r="C91" s="225">
        <v>33</v>
      </c>
      <c r="D91" s="109">
        <v>2</v>
      </c>
      <c r="E91" s="214" t="s">
        <v>245</v>
      </c>
      <c r="F91" s="217">
        <v>0.03</v>
      </c>
      <c r="G91" s="220">
        <v>6875</v>
      </c>
      <c r="H91" s="220">
        <v>22</v>
      </c>
      <c r="I91" s="220">
        <v>600</v>
      </c>
      <c r="J91" s="220"/>
      <c r="K91" s="220">
        <v>1680000</v>
      </c>
    </row>
    <row r="92" spans="1:11" x14ac:dyDescent="0.2">
      <c r="A92" s="214">
        <v>92</v>
      </c>
      <c r="B92" s="214" t="b">
        <v>1</v>
      </c>
      <c r="C92" s="225">
        <v>39</v>
      </c>
      <c r="D92" s="109">
        <v>3</v>
      </c>
      <c r="E92" s="214" t="s">
        <v>245</v>
      </c>
      <c r="F92" s="217">
        <v>0.04</v>
      </c>
      <c r="G92" s="220">
        <v>6875</v>
      </c>
      <c r="H92" s="220">
        <v>103</v>
      </c>
      <c r="I92" s="220">
        <v>800</v>
      </c>
      <c r="J92" s="220"/>
      <c r="K92" s="220">
        <v>19800000</v>
      </c>
    </row>
    <row r="93" spans="1:11" x14ac:dyDescent="0.2">
      <c r="A93" s="214">
        <v>93</v>
      </c>
      <c r="B93" s="214" t="b">
        <v>1</v>
      </c>
      <c r="C93" s="225">
        <v>41</v>
      </c>
      <c r="D93" s="109">
        <v>4</v>
      </c>
      <c r="E93" s="214" t="s">
        <v>245</v>
      </c>
      <c r="F93" s="217">
        <v>0.04</v>
      </c>
      <c r="G93" s="220">
        <v>6000</v>
      </c>
      <c r="H93" s="220">
        <v>191</v>
      </c>
      <c r="I93" s="220">
        <v>1400</v>
      </c>
      <c r="J93" s="220"/>
      <c r="K93" s="220">
        <v>45300000</v>
      </c>
    </row>
    <row r="94" spans="1:11" x14ac:dyDescent="0.2">
      <c r="A94" s="214">
        <v>94</v>
      </c>
      <c r="B94" s="214" t="b">
        <v>1</v>
      </c>
      <c r="C94" s="225">
        <v>41</v>
      </c>
      <c r="D94" s="109">
        <v>5</v>
      </c>
      <c r="E94" s="214" t="s">
        <v>245</v>
      </c>
      <c r="F94" s="217">
        <v>0.04</v>
      </c>
      <c r="G94" s="220">
        <v>1750</v>
      </c>
      <c r="H94" s="220">
        <v>229</v>
      </c>
      <c r="I94" s="220">
        <v>1500</v>
      </c>
      <c r="J94" s="220"/>
      <c r="K94" s="220">
        <v>54400000</v>
      </c>
    </row>
    <row r="95" spans="1:11" x14ac:dyDescent="0.2">
      <c r="A95" s="214">
        <v>95</v>
      </c>
      <c r="B95" s="214" t="b">
        <v>1</v>
      </c>
      <c r="C95" s="225">
        <v>42</v>
      </c>
      <c r="D95" s="109">
        <v>6</v>
      </c>
      <c r="E95" s="214" t="s">
        <v>245</v>
      </c>
      <c r="F95" s="217">
        <v>0.06</v>
      </c>
      <c r="G95" s="220">
        <v>1750</v>
      </c>
      <c r="H95" s="220">
        <v>268</v>
      </c>
      <c r="I95" s="220">
        <v>1550</v>
      </c>
      <c r="J95" s="220"/>
      <c r="K95" s="220">
        <v>67400000</v>
      </c>
    </row>
    <row r="96" spans="1:11" x14ac:dyDescent="0.2">
      <c r="A96" s="214">
        <v>96</v>
      </c>
      <c r="B96" s="214" t="b">
        <v>1</v>
      </c>
      <c r="C96" s="225">
        <v>43</v>
      </c>
      <c r="D96" s="109">
        <v>7</v>
      </c>
      <c r="E96" s="214" t="s">
        <v>245</v>
      </c>
      <c r="F96" s="217">
        <v>0.04</v>
      </c>
      <c r="G96" s="220">
        <v>3500</v>
      </c>
      <c r="H96" s="220">
        <f>365+9</f>
        <v>374</v>
      </c>
      <c r="I96" s="220">
        <v>4000</v>
      </c>
      <c r="J96" s="220"/>
      <c r="K96" s="220">
        <v>97800000</v>
      </c>
    </row>
    <row r="97" spans="1:11" x14ac:dyDescent="0.2">
      <c r="A97" s="214">
        <v>97</v>
      </c>
      <c r="B97" s="214" t="b">
        <v>1</v>
      </c>
      <c r="C97" s="225">
        <v>43</v>
      </c>
      <c r="D97" s="109">
        <v>8</v>
      </c>
      <c r="E97" s="214" t="s">
        <v>245</v>
      </c>
      <c r="F97" s="217">
        <v>0.05</v>
      </c>
      <c r="G97" s="220">
        <v>1500</v>
      </c>
      <c r="H97" s="220">
        <f>365+46</f>
        <v>411</v>
      </c>
      <c r="I97" s="220">
        <v>4200</v>
      </c>
      <c r="J97" s="220"/>
      <c r="K97" s="220">
        <v>117000000</v>
      </c>
    </row>
    <row r="98" spans="1:11" x14ac:dyDescent="0.2">
      <c r="A98" s="214">
        <v>98</v>
      </c>
      <c r="B98" s="214" t="b">
        <v>1</v>
      </c>
      <c r="C98" s="225">
        <v>43</v>
      </c>
      <c r="D98" s="109">
        <v>9</v>
      </c>
      <c r="E98" s="214" t="s">
        <v>245</v>
      </c>
      <c r="F98" s="217">
        <v>7.0000000000000007E-2</v>
      </c>
      <c r="G98" s="220">
        <v>1000</v>
      </c>
      <c r="H98" s="220">
        <f>365+87</f>
        <v>452</v>
      </c>
      <c r="I98" s="220">
        <v>4400</v>
      </c>
      <c r="J98" s="220"/>
      <c r="K98" s="220">
        <v>141000000</v>
      </c>
    </row>
    <row r="99" spans="1:11" x14ac:dyDescent="0.2">
      <c r="A99" s="214">
        <v>99</v>
      </c>
      <c r="B99" s="214" t="b">
        <v>1</v>
      </c>
      <c r="C99" s="225">
        <v>44</v>
      </c>
      <c r="D99" s="109">
        <v>10</v>
      </c>
      <c r="E99" s="214" t="s">
        <v>245</v>
      </c>
      <c r="F99" s="217">
        <v>0.08</v>
      </c>
      <c r="G99" s="220">
        <v>1000</v>
      </c>
      <c r="H99" s="220">
        <f>365+131</f>
        <v>496</v>
      </c>
      <c r="I99" s="220">
        <v>8000</v>
      </c>
      <c r="J99" s="220"/>
      <c r="K99" s="220">
        <v>149000000</v>
      </c>
    </row>
    <row r="100" spans="1:11" x14ac:dyDescent="0.2">
      <c r="A100" s="214">
        <v>100</v>
      </c>
      <c r="B100" s="214" t="b">
        <v>1</v>
      </c>
      <c r="C100" s="225">
        <v>45</v>
      </c>
      <c r="D100" s="109">
        <v>11</v>
      </c>
      <c r="E100" s="214" t="s">
        <v>245</v>
      </c>
      <c r="F100" s="217">
        <v>0.1</v>
      </c>
      <c r="G100" s="220">
        <v>3500</v>
      </c>
      <c r="H100" s="220">
        <f>365+285</f>
        <v>650</v>
      </c>
      <c r="I100" s="220">
        <v>8500</v>
      </c>
      <c r="J100" s="220"/>
      <c r="K100" s="220">
        <v>212000000</v>
      </c>
    </row>
    <row r="101" spans="1:11" x14ac:dyDescent="0.2">
      <c r="A101" s="214">
        <v>101</v>
      </c>
      <c r="B101" s="214" t="b">
        <v>1</v>
      </c>
      <c r="C101" s="225">
        <v>45</v>
      </c>
      <c r="D101" s="109">
        <v>12</v>
      </c>
      <c r="E101" s="214" t="s">
        <v>245</v>
      </c>
      <c r="F101" s="217">
        <v>0.1</v>
      </c>
      <c r="G101" s="220">
        <v>2000</v>
      </c>
      <c r="H101" s="220">
        <f>365*2+51</f>
        <v>781</v>
      </c>
      <c r="I101" s="220">
        <v>15000</v>
      </c>
      <c r="J101" s="220"/>
      <c r="K101" s="220">
        <v>255000000</v>
      </c>
    </row>
    <row r="102" spans="1:11" x14ac:dyDescent="0.2">
      <c r="A102" s="214">
        <v>102</v>
      </c>
      <c r="B102" s="214" t="b">
        <v>1</v>
      </c>
      <c r="C102" s="225">
        <v>46</v>
      </c>
      <c r="D102" s="109">
        <v>13</v>
      </c>
      <c r="E102" s="214" t="s">
        <v>245</v>
      </c>
      <c r="F102" s="217">
        <v>0.15</v>
      </c>
      <c r="G102" s="220">
        <v>2000</v>
      </c>
      <c r="H102" s="220">
        <f>365*2+147</f>
        <v>877</v>
      </c>
      <c r="I102" s="220">
        <v>16000</v>
      </c>
      <c r="J102" s="220"/>
      <c r="K102" s="220">
        <v>296000000</v>
      </c>
    </row>
    <row r="103" spans="1:11" x14ac:dyDescent="0.2">
      <c r="A103" s="214">
        <v>103</v>
      </c>
      <c r="B103" s="214" t="b">
        <v>1</v>
      </c>
      <c r="C103" s="225">
        <v>47</v>
      </c>
      <c r="D103" s="109">
        <v>14</v>
      </c>
      <c r="E103" s="214" t="s">
        <v>245</v>
      </c>
      <c r="F103" s="217">
        <v>0.15</v>
      </c>
      <c r="G103" s="220">
        <v>4000</v>
      </c>
      <c r="H103" s="220">
        <f>365*3+37</f>
        <v>1132</v>
      </c>
      <c r="I103" s="220">
        <v>28000</v>
      </c>
      <c r="J103" s="220"/>
      <c r="K103" s="220">
        <v>438000000</v>
      </c>
    </row>
    <row r="104" spans="1:11" x14ac:dyDescent="0.2">
      <c r="A104" s="214">
        <v>104</v>
      </c>
      <c r="B104" s="214" t="b">
        <v>1</v>
      </c>
      <c r="C104" s="225">
        <v>47</v>
      </c>
      <c r="D104" s="109">
        <v>15</v>
      </c>
      <c r="E104" s="214" t="s">
        <v>245</v>
      </c>
      <c r="F104" s="217">
        <v>0.2</v>
      </c>
      <c r="G104" s="220">
        <v>1500</v>
      </c>
      <c r="H104" s="220">
        <f>365*3+150</f>
        <v>1245</v>
      </c>
      <c r="I104" s="220">
        <v>29000</v>
      </c>
      <c r="J104" s="220"/>
      <c r="K104" s="220">
        <v>526000000</v>
      </c>
    </row>
    <row r="105" spans="1:11" x14ac:dyDescent="0.2">
      <c r="A105" s="214">
        <v>105</v>
      </c>
      <c r="B105" s="214" t="b">
        <v>1</v>
      </c>
      <c r="C105" s="225">
        <v>47</v>
      </c>
      <c r="D105" s="109">
        <v>16</v>
      </c>
      <c r="E105" s="214" t="s">
        <v>245</v>
      </c>
      <c r="F105" s="217">
        <v>0.3</v>
      </c>
      <c r="G105" s="220">
        <v>1750</v>
      </c>
      <c r="H105" s="220">
        <f>365*3+274</f>
        <v>1369</v>
      </c>
      <c r="I105" s="220">
        <v>41000</v>
      </c>
      <c r="J105" s="220"/>
      <c r="K105" s="220">
        <v>631000000</v>
      </c>
    </row>
    <row r="106" spans="1:11" x14ac:dyDescent="0.2">
      <c r="A106" s="214">
        <v>106</v>
      </c>
      <c r="B106" s="214" t="b">
        <v>1</v>
      </c>
      <c r="C106" s="225">
        <v>48</v>
      </c>
      <c r="D106" s="109">
        <v>17</v>
      </c>
      <c r="E106" s="214" t="s">
        <v>245</v>
      </c>
      <c r="F106" s="217">
        <v>0.2</v>
      </c>
      <c r="G106" s="220">
        <v>1750</v>
      </c>
      <c r="H106" s="220">
        <f>365*3+352</f>
        <v>1447</v>
      </c>
      <c r="I106" s="220">
        <v>43000</v>
      </c>
      <c r="J106" s="220"/>
      <c r="K106" s="220">
        <v>707000000</v>
      </c>
    </row>
    <row r="107" spans="1:11" x14ac:dyDescent="0.2">
      <c r="A107" s="214">
        <v>107</v>
      </c>
      <c r="B107" s="214" t="b">
        <v>1</v>
      </c>
      <c r="C107" s="225">
        <v>49</v>
      </c>
      <c r="D107" s="109">
        <v>18</v>
      </c>
      <c r="E107" s="214" t="s">
        <v>245</v>
      </c>
      <c r="F107" s="217">
        <v>0.3</v>
      </c>
      <c r="G107" s="220">
        <v>4000</v>
      </c>
      <c r="H107" s="220">
        <f>5*365+92</f>
        <v>1917</v>
      </c>
      <c r="I107" s="220">
        <v>72000</v>
      </c>
      <c r="J107" s="220"/>
      <c r="K107" s="220">
        <v>1200000000</v>
      </c>
    </row>
    <row r="108" spans="1:11" x14ac:dyDescent="0.2">
      <c r="A108" s="214">
        <v>108</v>
      </c>
      <c r="B108" s="214" t="b">
        <v>1</v>
      </c>
      <c r="C108" s="225">
        <v>49</v>
      </c>
      <c r="D108" s="109">
        <v>19</v>
      </c>
      <c r="E108" s="214" t="s">
        <v>245</v>
      </c>
      <c r="F108" s="217">
        <v>0.3</v>
      </c>
      <c r="G108" s="220">
        <v>2500</v>
      </c>
      <c r="H108" s="220">
        <f>6*365+110</f>
        <v>2300</v>
      </c>
      <c r="I108" s="220">
        <v>120000</v>
      </c>
      <c r="J108" s="220"/>
      <c r="K108" s="220">
        <v>1440000000</v>
      </c>
    </row>
    <row r="109" spans="1:11" x14ac:dyDescent="0.2">
      <c r="A109" s="214">
        <v>109</v>
      </c>
      <c r="B109" s="214" t="b">
        <v>1</v>
      </c>
      <c r="C109" s="225">
        <v>50</v>
      </c>
      <c r="D109" s="109">
        <v>20</v>
      </c>
      <c r="E109" s="214" t="s">
        <v>245</v>
      </c>
      <c r="F109" s="217">
        <v>0.2</v>
      </c>
      <c r="G109" s="220">
        <v>2500</v>
      </c>
      <c r="H109" s="220">
        <f>365*6+223</f>
        <v>2413</v>
      </c>
      <c r="I109" s="220">
        <v>208000</v>
      </c>
      <c r="J109" s="220"/>
      <c r="K109" s="220">
        <v>2130000000</v>
      </c>
    </row>
    <row r="110" spans="1:11" x14ac:dyDescent="0.2">
      <c r="A110" s="214">
        <v>111</v>
      </c>
      <c r="B110" s="214" t="b">
        <v>1</v>
      </c>
      <c r="C110" s="225"/>
      <c r="D110" s="214"/>
      <c r="E110" s="214" t="s">
        <v>247</v>
      </c>
      <c r="F110" s="214" t="s">
        <v>248</v>
      </c>
      <c r="G110" s="220"/>
      <c r="H110" s="220"/>
      <c r="I110" s="220"/>
      <c r="J110" s="220"/>
      <c r="K110" s="220"/>
    </row>
    <row r="111" spans="1:11" x14ac:dyDescent="0.2">
      <c r="A111" s="214">
        <v>112</v>
      </c>
      <c r="B111" s="214" t="b">
        <v>1</v>
      </c>
      <c r="C111" s="225">
        <v>33</v>
      </c>
      <c r="D111" s="109">
        <v>1</v>
      </c>
      <c r="E111" s="214" t="s">
        <v>247</v>
      </c>
      <c r="F111" s="217">
        <v>1</v>
      </c>
      <c r="G111" s="220">
        <v>19250</v>
      </c>
      <c r="H111" s="220">
        <v>18</v>
      </c>
      <c r="I111" s="220">
        <v>600</v>
      </c>
      <c r="J111" s="220"/>
      <c r="K111" s="220">
        <v>1400000</v>
      </c>
    </row>
    <row r="112" spans="1:11" x14ac:dyDescent="0.2">
      <c r="A112" s="214">
        <v>113</v>
      </c>
      <c r="B112" s="214" t="b">
        <v>1</v>
      </c>
      <c r="C112" s="225">
        <v>33</v>
      </c>
      <c r="D112" s="109">
        <v>2</v>
      </c>
      <c r="E112" s="214" t="s">
        <v>247</v>
      </c>
      <c r="F112" s="217">
        <v>0.05</v>
      </c>
      <c r="G112" s="220">
        <v>9875</v>
      </c>
      <c r="H112" s="220">
        <v>22</v>
      </c>
      <c r="I112" s="220">
        <v>10000</v>
      </c>
      <c r="J112" s="220"/>
      <c r="K112" s="220">
        <v>1680000</v>
      </c>
    </row>
    <row r="113" spans="1:11" x14ac:dyDescent="0.2">
      <c r="A113" s="214">
        <v>114</v>
      </c>
      <c r="B113" s="214" t="b">
        <v>1</v>
      </c>
      <c r="C113" s="225">
        <v>41</v>
      </c>
      <c r="D113" s="109">
        <v>3</v>
      </c>
      <c r="E113" s="214" t="s">
        <v>247</v>
      </c>
      <c r="F113" s="217">
        <v>0.1</v>
      </c>
      <c r="G113" s="220">
        <v>9875</v>
      </c>
      <c r="H113" s="220">
        <v>191</v>
      </c>
      <c r="I113" s="220">
        <v>11000</v>
      </c>
      <c r="J113" s="220"/>
      <c r="K113" s="220">
        <v>45300000</v>
      </c>
    </row>
    <row r="114" spans="1:11" x14ac:dyDescent="0.2">
      <c r="A114" s="214">
        <v>115</v>
      </c>
      <c r="B114" s="214" t="b">
        <v>1</v>
      </c>
      <c r="C114" s="225">
        <v>42</v>
      </c>
      <c r="D114" s="109">
        <v>4</v>
      </c>
      <c r="E114" s="214" t="s">
        <v>247</v>
      </c>
      <c r="F114" s="217">
        <v>0.1</v>
      </c>
      <c r="G114" s="220">
        <v>3500</v>
      </c>
      <c r="H114" s="220">
        <v>268</v>
      </c>
      <c r="I114" s="220">
        <v>16000</v>
      </c>
      <c r="J114" s="220"/>
      <c r="K114" s="220">
        <v>67400000</v>
      </c>
    </row>
    <row r="115" spans="1:11" x14ac:dyDescent="0.2">
      <c r="A115" s="214">
        <v>116</v>
      </c>
      <c r="B115" s="214" t="b">
        <v>1</v>
      </c>
      <c r="C115" s="225">
        <v>42</v>
      </c>
      <c r="D115" s="109">
        <v>5</v>
      </c>
      <c r="E115" s="214" t="s">
        <v>247</v>
      </c>
      <c r="F115" s="217">
        <v>0.1</v>
      </c>
      <c r="G115" s="220">
        <v>1750</v>
      </c>
      <c r="H115" s="220">
        <f>321</f>
        <v>321</v>
      </c>
      <c r="I115" s="220">
        <v>16500</v>
      </c>
      <c r="J115" s="220"/>
      <c r="K115" s="220">
        <v>80900000</v>
      </c>
    </row>
    <row r="116" spans="1:11" x14ac:dyDescent="0.2">
      <c r="A116" s="214">
        <v>117</v>
      </c>
      <c r="B116" s="214" t="b">
        <v>1</v>
      </c>
      <c r="C116" s="225">
        <v>43</v>
      </c>
      <c r="D116" s="109">
        <v>6</v>
      </c>
      <c r="E116" s="214" t="s">
        <v>247</v>
      </c>
      <c r="F116" s="217">
        <v>0.15</v>
      </c>
      <c r="G116" s="220">
        <v>1750</v>
      </c>
      <c r="H116" s="220">
        <f>365+9</f>
        <v>374</v>
      </c>
      <c r="I116" s="220">
        <v>17000</v>
      </c>
      <c r="J116" s="220"/>
      <c r="K116" s="220">
        <v>97800000</v>
      </c>
    </row>
    <row r="117" spans="1:11" x14ac:dyDescent="0.2">
      <c r="A117" s="214">
        <v>118</v>
      </c>
      <c r="B117" s="214" t="b">
        <v>1</v>
      </c>
      <c r="C117" s="225">
        <v>44</v>
      </c>
      <c r="D117" s="109">
        <v>7</v>
      </c>
      <c r="E117" s="214" t="s">
        <v>247</v>
      </c>
      <c r="F117" s="217">
        <v>0.15</v>
      </c>
      <c r="G117" s="220">
        <v>3500</v>
      </c>
      <c r="H117" s="220">
        <f>365+131</f>
        <v>496</v>
      </c>
      <c r="I117" s="220">
        <v>26000</v>
      </c>
      <c r="J117" s="220"/>
      <c r="K117" s="220">
        <v>149000000</v>
      </c>
    </row>
    <row r="118" spans="1:11" x14ac:dyDescent="0.2">
      <c r="A118" s="214">
        <v>119</v>
      </c>
      <c r="B118" s="214" t="b">
        <v>1</v>
      </c>
      <c r="C118" s="225">
        <v>44</v>
      </c>
      <c r="D118" s="109">
        <v>8</v>
      </c>
      <c r="E118" s="214" t="s">
        <v>247</v>
      </c>
      <c r="F118" s="217">
        <v>0.2</v>
      </c>
      <c r="G118" s="220">
        <v>1000</v>
      </c>
      <c r="H118" s="220">
        <f>365+180</f>
        <v>545</v>
      </c>
      <c r="I118" s="220">
        <v>27000</v>
      </c>
      <c r="J118" s="220"/>
      <c r="K118" s="220">
        <v>164000000</v>
      </c>
    </row>
    <row r="119" spans="1:11" x14ac:dyDescent="0.2">
      <c r="A119" s="214">
        <v>120</v>
      </c>
      <c r="B119" s="214" t="b">
        <v>1</v>
      </c>
      <c r="C119" s="225">
        <v>44</v>
      </c>
      <c r="D119" s="109">
        <v>9</v>
      </c>
      <c r="E119" s="214" t="s">
        <v>247</v>
      </c>
      <c r="F119" s="217">
        <v>0.2</v>
      </c>
      <c r="G119" s="220">
        <v>1250</v>
      </c>
      <c r="H119" s="220">
        <f>365+235</f>
        <v>600</v>
      </c>
      <c r="I119" s="220">
        <v>27500</v>
      </c>
      <c r="J119" s="220"/>
      <c r="K119" s="220">
        <v>180000000</v>
      </c>
    </row>
    <row r="120" spans="1:11" x14ac:dyDescent="0.2">
      <c r="A120" s="214">
        <v>121</v>
      </c>
      <c r="B120" s="214" t="b">
        <v>1</v>
      </c>
      <c r="C120" s="225">
        <v>45</v>
      </c>
      <c r="D120" s="109">
        <v>10</v>
      </c>
      <c r="E120" s="214" t="s">
        <v>247</v>
      </c>
      <c r="F120" s="217">
        <v>0.2</v>
      </c>
      <c r="G120" s="220">
        <v>1250</v>
      </c>
      <c r="H120" s="220">
        <f>365+285</f>
        <v>650</v>
      </c>
      <c r="I120" s="220">
        <v>34000</v>
      </c>
      <c r="J120" s="220"/>
      <c r="K120" s="220">
        <v>212000000</v>
      </c>
    </row>
    <row r="121" spans="1:11" x14ac:dyDescent="0.2">
      <c r="A121" s="214">
        <v>122</v>
      </c>
      <c r="B121" s="214" t="b">
        <v>1</v>
      </c>
      <c r="C121" s="225">
        <v>46</v>
      </c>
      <c r="D121" s="109">
        <v>11</v>
      </c>
      <c r="E121" s="214" t="s">
        <v>247</v>
      </c>
      <c r="F121" s="217">
        <v>0.25</v>
      </c>
      <c r="G121" s="220">
        <v>4000</v>
      </c>
      <c r="H121" s="220">
        <f>2*365+147</f>
        <v>877</v>
      </c>
      <c r="I121" s="220">
        <v>35000</v>
      </c>
      <c r="J121" s="220"/>
      <c r="K121" s="220">
        <v>296000000</v>
      </c>
    </row>
    <row r="122" spans="1:11" x14ac:dyDescent="0.2">
      <c r="A122" s="214">
        <v>123</v>
      </c>
      <c r="B122" s="214" t="b">
        <v>1</v>
      </c>
      <c r="C122" s="225">
        <v>46</v>
      </c>
      <c r="D122" s="109">
        <v>12</v>
      </c>
      <c r="E122" s="214" t="s">
        <v>247</v>
      </c>
      <c r="F122" s="217">
        <v>0.25</v>
      </c>
      <c r="G122" s="220">
        <v>2000</v>
      </c>
      <c r="H122" s="220">
        <f>365*2+323</f>
        <v>1053</v>
      </c>
      <c r="I122" s="220">
        <v>37000</v>
      </c>
      <c r="J122" s="220"/>
      <c r="K122" s="220">
        <v>355000000</v>
      </c>
    </row>
    <row r="123" spans="1:11" x14ac:dyDescent="0.2">
      <c r="A123" s="214">
        <v>124</v>
      </c>
      <c r="B123" s="214" t="b">
        <v>1</v>
      </c>
      <c r="C123" s="225">
        <v>47</v>
      </c>
      <c r="D123" s="109">
        <v>13</v>
      </c>
      <c r="E123" s="214" t="s">
        <v>247</v>
      </c>
      <c r="F123" s="217">
        <v>0.25</v>
      </c>
      <c r="G123" s="220">
        <v>2000</v>
      </c>
      <c r="H123" s="220">
        <f>3*365+37</f>
        <v>1132</v>
      </c>
      <c r="I123" s="220">
        <v>38000</v>
      </c>
      <c r="J123" s="220"/>
      <c r="K123" s="220">
        <v>438000000</v>
      </c>
    </row>
    <row r="124" spans="1:11" x14ac:dyDescent="0.2">
      <c r="A124" s="214">
        <v>125</v>
      </c>
      <c r="B124" s="214" t="b">
        <v>1</v>
      </c>
      <c r="C124" s="225">
        <v>48</v>
      </c>
      <c r="D124" s="109">
        <v>14</v>
      </c>
      <c r="E124" s="214" t="s">
        <v>247</v>
      </c>
      <c r="F124" s="217">
        <v>0.3</v>
      </c>
      <c r="G124" s="220">
        <v>5000</v>
      </c>
      <c r="H124" s="220">
        <f>3*365+352</f>
        <v>1447</v>
      </c>
      <c r="I124" s="220">
        <v>66000</v>
      </c>
      <c r="J124" s="220"/>
      <c r="K124" s="220">
        <v>707000000</v>
      </c>
    </row>
    <row r="125" spans="1:11" x14ac:dyDescent="0.2">
      <c r="A125" s="214">
        <v>126</v>
      </c>
      <c r="B125" s="214" t="b">
        <v>1</v>
      </c>
      <c r="C125" s="225">
        <v>48</v>
      </c>
      <c r="D125" s="109">
        <v>15</v>
      </c>
      <c r="E125" s="214" t="s">
        <v>247</v>
      </c>
      <c r="F125" s="217">
        <v>0.3</v>
      </c>
      <c r="G125" s="220">
        <v>1000</v>
      </c>
      <c r="H125" s="220">
        <f>4*365+132</f>
        <v>1592</v>
      </c>
      <c r="I125" s="220">
        <v>69000</v>
      </c>
      <c r="J125" s="220"/>
      <c r="K125" s="220">
        <v>849000000</v>
      </c>
    </row>
    <row r="126" spans="1:11" x14ac:dyDescent="0.2">
      <c r="A126" s="214">
        <v>127</v>
      </c>
      <c r="B126" s="214" t="b">
        <v>1</v>
      </c>
      <c r="C126" s="225">
        <v>48</v>
      </c>
      <c r="D126" s="109">
        <v>16</v>
      </c>
      <c r="E126" s="214" t="s">
        <v>247</v>
      </c>
      <c r="F126" s="217">
        <v>0.35</v>
      </c>
      <c r="G126" s="220">
        <v>1500</v>
      </c>
      <c r="H126" s="220">
        <f>4*365+291</f>
        <v>1751</v>
      </c>
      <c r="I126" s="220">
        <v>98000</v>
      </c>
      <c r="J126" s="220"/>
      <c r="K126" s="220">
        <v>1020000000</v>
      </c>
    </row>
    <row r="127" spans="1:11" x14ac:dyDescent="0.2">
      <c r="A127" s="214">
        <v>128</v>
      </c>
      <c r="B127" s="214" t="b">
        <v>1</v>
      </c>
      <c r="C127" s="225">
        <v>49</v>
      </c>
      <c r="D127" s="109">
        <v>17</v>
      </c>
      <c r="E127" s="214" t="s">
        <v>247</v>
      </c>
      <c r="F127" s="217">
        <v>0.4</v>
      </c>
      <c r="G127" s="220">
        <v>1500</v>
      </c>
      <c r="H127" s="220">
        <f>5*365+92</f>
        <v>1917</v>
      </c>
      <c r="I127" s="220">
        <v>100000</v>
      </c>
      <c r="J127" s="220"/>
      <c r="K127" s="220">
        <v>1200000000</v>
      </c>
    </row>
    <row r="128" spans="1:11" x14ac:dyDescent="0.2">
      <c r="A128" s="214">
        <v>129</v>
      </c>
      <c r="B128" s="214" t="b">
        <v>1</v>
      </c>
      <c r="C128" s="225">
        <v>49</v>
      </c>
      <c r="D128" s="109">
        <v>18</v>
      </c>
      <c r="E128" s="214" t="s">
        <v>247</v>
      </c>
      <c r="F128" s="217">
        <v>0.5</v>
      </c>
      <c r="G128" s="220">
        <v>2500</v>
      </c>
      <c r="H128" s="220">
        <f>6*365+110</f>
        <v>2300</v>
      </c>
      <c r="I128" s="220">
        <v>170000</v>
      </c>
      <c r="J128" s="220"/>
      <c r="K128" s="220">
        <v>1440000000</v>
      </c>
    </row>
    <row r="129" spans="1:11" x14ac:dyDescent="0.2">
      <c r="A129" s="214">
        <v>130</v>
      </c>
      <c r="B129" s="214" t="b">
        <v>1</v>
      </c>
      <c r="C129" s="225">
        <v>50</v>
      </c>
      <c r="D129" s="109">
        <v>19</v>
      </c>
      <c r="E129" s="214" t="s">
        <v>247</v>
      </c>
      <c r="F129" s="217">
        <v>0.55000000000000004</v>
      </c>
      <c r="G129" s="220">
        <v>2500</v>
      </c>
      <c r="H129" s="220">
        <f>6*365+223</f>
        <v>2413</v>
      </c>
      <c r="I129" s="220">
        <v>280000</v>
      </c>
      <c r="J129" s="220"/>
      <c r="K129" s="220">
        <v>2130000000</v>
      </c>
    </row>
    <row r="130" spans="1:11" x14ac:dyDescent="0.2">
      <c r="A130" s="214">
        <v>131</v>
      </c>
      <c r="B130" s="214" t="b">
        <v>1</v>
      </c>
      <c r="C130" s="225">
        <v>51</v>
      </c>
      <c r="D130" s="109">
        <v>20</v>
      </c>
      <c r="E130" s="214" t="s">
        <v>247</v>
      </c>
      <c r="F130" s="217">
        <v>0.6</v>
      </c>
      <c r="G130" s="220">
        <v>5000</v>
      </c>
      <c r="H130" s="220">
        <f>6*365+298</f>
        <v>2488</v>
      </c>
      <c r="I130" s="220">
        <v>485000</v>
      </c>
      <c r="J130" s="220"/>
      <c r="K130" s="220">
        <v>5320000000</v>
      </c>
    </row>
    <row r="131" spans="1:11" x14ac:dyDescent="0.2">
      <c r="A131" s="227">
        <v>132</v>
      </c>
      <c r="B131" s="227" t="b">
        <v>1</v>
      </c>
      <c r="C131" s="228" t="s">
        <v>249</v>
      </c>
      <c r="D131" s="229"/>
      <c r="E131" s="227" t="s">
        <v>250</v>
      </c>
      <c r="F131" s="227" t="s">
        <v>251</v>
      </c>
      <c r="G131" s="230"/>
      <c r="H131" s="230"/>
      <c r="I131" s="230" t="s">
        <v>252</v>
      </c>
      <c r="J131" s="230"/>
      <c r="K131" s="230"/>
    </row>
    <row r="132" spans="1:11" x14ac:dyDescent="0.2">
      <c r="A132" s="227">
        <v>133</v>
      </c>
      <c r="B132" s="230" t="b">
        <v>1</v>
      </c>
      <c r="C132" s="231">
        <v>38</v>
      </c>
      <c r="D132" s="231">
        <v>1</v>
      </c>
      <c r="E132" s="227" t="s">
        <v>250</v>
      </c>
      <c r="F132" s="232">
        <v>0.35</v>
      </c>
      <c r="G132" s="231">
        <v>329000</v>
      </c>
      <c r="H132" s="231">
        <v>585.81527777777774</v>
      </c>
      <c r="I132" s="231">
        <v>7130</v>
      </c>
      <c r="J132" s="233"/>
      <c r="K132" s="233"/>
    </row>
    <row r="133" spans="1:11" x14ac:dyDescent="0.2">
      <c r="A133" s="227">
        <v>134</v>
      </c>
      <c r="B133" s="230" t="b">
        <v>1</v>
      </c>
      <c r="C133" s="231">
        <v>40</v>
      </c>
      <c r="D133" s="231">
        <v>2</v>
      </c>
      <c r="E133" s="227" t="s">
        <v>250</v>
      </c>
      <c r="F133" s="232">
        <v>0.8</v>
      </c>
      <c r="G133" s="231">
        <v>52000</v>
      </c>
      <c r="H133" s="231">
        <v>1036.6958333333334</v>
      </c>
      <c r="I133" s="231">
        <v>8710</v>
      </c>
      <c r="J133" s="233"/>
      <c r="K133" s="233"/>
    </row>
    <row r="134" spans="1:11" x14ac:dyDescent="0.2">
      <c r="A134" s="214">
        <v>135</v>
      </c>
      <c r="B134" s="214" t="b">
        <v>1</v>
      </c>
      <c r="C134" s="225"/>
      <c r="D134" s="214"/>
      <c r="E134" s="214" t="s">
        <v>253</v>
      </c>
      <c r="F134" s="214" t="s">
        <v>254</v>
      </c>
      <c r="G134" s="220"/>
      <c r="H134" s="220"/>
      <c r="I134" s="220"/>
      <c r="J134" s="220"/>
      <c r="K134" s="220"/>
    </row>
    <row r="135" spans="1:11" x14ac:dyDescent="0.2">
      <c r="A135" s="214">
        <v>136</v>
      </c>
      <c r="B135" s="214" t="b">
        <v>1</v>
      </c>
      <c r="C135" s="234" t="s">
        <v>255</v>
      </c>
      <c r="D135" s="235">
        <v>1</v>
      </c>
      <c r="E135" s="236" t="s">
        <v>253</v>
      </c>
      <c r="F135" s="237">
        <v>1</v>
      </c>
      <c r="G135" s="238">
        <v>30000</v>
      </c>
      <c r="H135" s="238">
        <v>0</v>
      </c>
      <c r="I135" s="238"/>
      <c r="J135" s="238">
        <v>1000</v>
      </c>
      <c r="K135" s="238">
        <v>1</v>
      </c>
    </row>
    <row r="136" spans="1:11" x14ac:dyDescent="0.2">
      <c r="A136" s="214">
        <v>137</v>
      </c>
      <c r="B136" s="214" t="b">
        <v>1</v>
      </c>
      <c r="C136" s="225"/>
      <c r="D136" s="214"/>
      <c r="E136" s="214" t="s">
        <v>256</v>
      </c>
      <c r="F136" s="214" t="s">
        <v>251</v>
      </c>
      <c r="G136" s="220"/>
      <c r="H136" s="220"/>
      <c r="I136" s="220"/>
      <c r="J136" s="220"/>
      <c r="K136" s="220"/>
    </row>
    <row r="137" spans="1:11" x14ac:dyDescent="0.2">
      <c r="A137" s="214">
        <v>138</v>
      </c>
      <c r="B137" s="214" t="b">
        <v>1</v>
      </c>
      <c r="C137" s="234">
        <v>34</v>
      </c>
      <c r="D137" s="235">
        <v>1</v>
      </c>
      <c r="E137" s="236" t="s">
        <v>256</v>
      </c>
      <c r="F137" s="237">
        <v>0.5</v>
      </c>
      <c r="G137" s="238">
        <v>30000</v>
      </c>
      <c r="H137" s="238">
        <v>0</v>
      </c>
      <c r="I137" s="238"/>
      <c r="J137" s="238">
        <v>1000</v>
      </c>
      <c r="K137" s="238">
        <v>1</v>
      </c>
    </row>
  </sheetData>
  <autoFilter ref="A4:K137" xr:uid="{00000000-0009-0000-0000-000002000000}">
    <sortState xmlns:xlrd2="http://schemas.microsoft.com/office/spreadsheetml/2017/richdata2" ref="A6:K137">
      <sortCondition ref="A4:A137"/>
      <sortCondition ref="C4:C137"/>
    </sortState>
  </autoFilter>
  <mergeCells count="2">
    <mergeCell ref="A1:D3"/>
    <mergeCell ref="I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70"/>
  <sheetViews>
    <sheetView showGridLines="0" workbookViewId="0"/>
  </sheetViews>
  <sheetFormatPr defaultColWidth="12.5703125" defaultRowHeight="15.75" customHeight="1" x14ac:dyDescent="0.2"/>
  <cols>
    <col min="1" max="1" width="2.42578125" customWidth="1"/>
    <col min="2" max="2" width="6.28515625" customWidth="1"/>
    <col min="3" max="5" width="7.5703125" customWidth="1"/>
    <col min="6" max="6" width="8.5703125" customWidth="1"/>
    <col min="7" max="9" width="7.5703125" customWidth="1"/>
    <col min="10" max="10" width="9" customWidth="1"/>
    <col min="11" max="11" width="13.42578125" customWidth="1"/>
    <col min="12" max="12" width="8.42578125" customWidth="1"/>
    <col min="13" max="14" width="9.7109375" customWidth="1"/>
    <col min="15" max="16" width="9.140625" customWidth="1"/>
    <col min="17" max="18" width="8.42578125" customWidth="1"/>
    <col min="19" max="21" width="9.28515625" customWidth="1"/>
    <col min="22" max="22" width="7.85546875" customWidth="1"/>
    <col min="23" max="24" width="8.7109375" customWidth="1"/>
  </cols>
  <sheetData>
    <row r="1" spans="1:24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</row>
    <row r="2" spans="1:24" ht="15.75" customHeight="1" x14ac:dyDescent="0.35">
      <c r="A2" s="114"/>
      <c r="B2" s="401" t="s">
        <v>159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406"/>
      <c r="S2" s="420" t="s">
        <v>160</v>
      </c>
      <c r="T2" s="387"/>
      <c r="U2" s="406"/>
      <c r="V2" s="407" t="s">
        <v>161</v>
      </c>
      <c r="W2" s="387"/>
      <c r="X2" s="406"/>
    </row>
    <row r="3" spans="1:24" x14ac:dyDescent="0.2">
      <c r="A3" s="114"/>
      <c r="B3" s="49"/>
      <c r="C3" s="402" t="s">
        <v>66</v>
      </c>
      <c r="D3" s="389"/>
      <c r="E3" s="389"/>
      <c r="F3" s="390"/>
      <c r="G3" s="403" t="s">
        <v>21</v>
      </c>
      <c r="H3" s="389"/>
      <c r="I3" s="390"/>
      <c r="J3" s="404" t="s">
        <v>23</v>
      </c>
      <c r="K3" s="389"/>
      <c r="L3" s="239"/>
      <c r="M3" s="405" t="s">
        <v>24</v>
      </c>
      <c r="N3" s="390"/>
      <c r="O3" s="425" t="s">
        <v>165</v>
      </c>
      <c r="P3" s="389"/>
      <c r="Q3" s="389"/>
      <c r="R3" s="390"/>
      <c r="S3" s="421" t="s">
        <v>166</v>
      </c>
      <c r="T3" s="389"/>
      <c r="U3" s="390"/>
      <c r="V3" s="426" t="s">
        <v>167</v>
      </c>
      <c r="W3" s="389"/>
      <c r="X3" s="390"/>
    </row>
    <row r="4" spans="1:24" x14ac:dyDescent="0.2">
      <c r="A4" s="114"/>
      <c r="B4" s="51"/>
      <c r="C4" s="391" t="s">
        <v>67</v>
      </c>
      <c r="D4" s="374"/>
      <c r="E4" s="374"/>
      <c r="F4" s="392"/>
      <c r="G4" s="393" t="s">
        <v>68</v>
      </c>
      <c r="H4" s="374"/>
      <c r="I4" s="392"/>
      <c r="J4" s="427" t="s">
        <v>67</v>
      </c>
      <c r="K4" s="374"/>
      <c r="L4" s="240"/>
      <c r="M4" s="395" t="s">
        <v>69</v>
      </c>
      <c r="N4" s="392"/>
      <c r="O4" s="411"/>
      <c r="P4" s="374"/>
      <c r="Q4" s="374"/>
      <c r="R4" s="392"/>
      <c r="S4" s="115" t="s">
        <v>168</v>
      </c>
      <c r="T4" s="116">
        <v>1000</v>
      </c>
      <c r="U4" s="117">
        <v>2000</v>
      </c>
      <c r="V4" s="411"/>
      <c r="W4" s="374"/>
      <c r="X4" s="392"/>
    </row>
    <row r="5" spans="1:24" x14ac:dyDescent="0.2">
      <c r="A5" s="114"/>
      <c r="B5" s="54" t="s">
        <v>34</v>
      </c>
      <c r="C5" s="55" t="s">
        <v>25</v>
      </c>
      <c r="D5" s="56" t="s">
        <v>70</v>
      </c>
      <c r="E5" s="56" t="s">
        <v>71</v>
      </c>
      <c r="F5" s="75" t="s">
        <v>74</v>
      </c>
      <c r="G5" s="59" t="s">
        <v>25</v>
      </c>
      <c r="H5" s="60" t="s">
        <v>70</v>
      </c>
      <c r="I5" s="241" t="s">
        <v>71</v>
      </c>
      <c r="J5" s="242" t="s">
        <v>25</v>
      </c>
      <c r="K5" s="62" t="s">
        <v>70</v>
      </c>
      <c r="L5" s="243" t="s">
        <v>257</v>
      </c>
      <c r="M5" s="63" t="s">
        <v>25</v>
      </c>
      <c r="N5" s="174" t="s">
        <v>71</v>
      </c>
      <c r="O5" s="244" t="s">
        <v>171</v>
      </c>
      <c r="P5" s="245" t="s">
        <v>172</v>
      </c>
      <c r="Q5" s="245" t="s">
        <v>173</v>
      </c>
      <c r="R5" s="246" t="s">
        <v>13</v>
      </c>
      <c r="S5" s="247" t="s">
        <v>169</v>
      </c>
      <c r="T5" s="248" t="s">
        <v>174</v>
      </c>
      <c r="U5" s="249" t="s">
        <v>175</v>
      </c>
      <c r="V5" s="250" t="s">
        <v>34</v>
      </c>
      <c r="W5" s="251" t="s">
        <v>25</v>
      </c>
      <c r="X5" s="252" t="s">
        <v>19</v>
      </c>
    </row>
    <row r="6" spans="1:24" x14ac:dyDescent="0.2">
      <c r="A6" s="114"/>
      <c r="B6" s="66" t="s">
        <v>77</v>
      </c>
      <c r="C6" s="9">
        <v>3000</v>
      </c>
      <c r="D6" s="8">
        <v>15000</v>
      </c>
      <c r="E6" s="8">
        <v>150</v>
      </c>
      <c r="F6" s="73">
        <v>225</v>
      </c>
      <c r="G6" s="13">
        <v>6000</v>
      </c>
      <c r="H6" s="12">
        <v>30000</v>
      </c>
      <c r="I6" s="253">
        <v>200</v>
      </c>
      <c r="J6" s="16">
        <v>6000</v>
      </c>
      <c r="K6" s="15">
        <v>30000</v>
      </c>
      <c r="L6" s="254">
        <v>1510</v>
      </c>
      <c r="M6" s="18">
        <v>6000</v>
      </c>
      <c r="N6" s="255">
        <v>1000</v>
      </c>
      <c r="O6" s="256">
        <v>-0.5</v>
      </c>
      <c r="P6" s="145">
        <v>-0.5</v>
      </c>
      <c r="Q6" s="146" t="s">
        <v>176</v>
      </c>
      <c r="R6" s="147" t="s">
        <v>177</v>
      </c>
      <c r="S6" s="257">
        <v>33</v>
      </c>
      <c r="T6" s="116">
        <v>680</v>
      </c>
      <c r="U6" s="117">
        <v>2000</v>
      </c>
      <c r="V6" s="258" t="s">
        <v>77</v>
      </c>
      <c r="W6" s="259">
        <f t="shared" ref="W6:W16" si="0">(C6)+(G6/3)+(J6)+(M6/2)</f>
        <v>14000</v>
      </c>
      <c r="X6" s="260">
        <f t="shared" ref="X6:X16" si="1">(D6)+(H6/3)+(K6)+(M6/2)</f>
        <v>58000</v>
      </c>
    </row>
    <row r="7" spans="1:24" x14ac:dyDescent="0.2">
      <c r="A7" s="114"/>
      <c r="B7" s="66" t="s">
        <v>4</v>
      </c>
      <c r="C7" s="9">
        <v>4000</v>
      </c>
      <c r="D7" s="8">
        <v>20000</v>
      </c>
      <c r="E7" s="8">
        <f>F7*(E6/F6)</f>
        <v>300</v>
      </c>
      <c r="F7" s="73">
        <v>450</v>
      </c>
      <c r="G7" s="13">
        <v>7000</v>
      </c>
      <c r="H7" s="12">
        <v>35000</v>
      </c>
      <c r="I7" s="253">
        <v>400</v>
      </c>
      <c r="J7" s="16">
        <v>7000</v>
      </c>
      <c r="K7" s="15">
        <v>35000</v>
      </c>
      <c r="L7" s="254">
        <v>1575</v>
      </c>
      <c r="M7" s="18">
        <v>7000</v>
      </c>
      <c r="N7" s="255">
        <v>1050</v>
      </c>
      <c r="O7" s="256">
        <v>-0.51</v>
      </c>
      <c r="P7" s="145">
        <v>-0.51</v>
      </c>
      <c r="Q7" s="146" t="s">
        <v>178</v>
      </c>
      <c r="R7" s="147" t="s">
        <v>179</v>
      </c>
      <c r="S7" s="261">
        <v>34</v>
      </c>
      <c r="T7" s="116">
        <v>714</v>
      </c>
      <c r="U7" s="117">
        <v>2100</v>
      </c>
      <c r="V7" s="258" t="s">
        <v>4</v>
      </c>
      <c r="W7" s="259">
        <f t="shared" si="0"/>
        <v>16833.333333333336</v>
      </c>
      <c r="X7" s="260">
        <f t="shared" si="1"/>
        <v>70166.666666666657</v>
      </c>
    </row>
    <row r="8" spans="1:24" x14ac:dyDescent="0.2">
      <c r="A8" s="114"/>
      <c r="B8" s="54" t="s">
        <v>78</v>
      </c>
      <c r="C8" s="55">
        <v>6500</v>
      </c>
      <c r="D8" s="56">
        <v>32500</v>
      </c>
      <c r="E8" s="262">
        <f t="shared" ref="E8:E17" si="2">F8*(2/3)</f>
        <v>750</v>
      </c>
      <c r="F8" s="75">
        <v>1125</v>
      </c>
      <c r="G8" s="59">
        <v>11000</v>
      </c>
      <c r="H8" s="60">
        <v>55000</v>
      </c>
      <c r="I8" s="241">
        <v>1000</v>
      </c>
      <c r="J8" s="242">
        <v>11000</v>
      </c>
      <c r="K8" s="62">
        <v>55000</v>
      </c>
      <c r="L8" s="263">
        <v>1650</v>
      </c>
      <c r="M8" s="63">
        <v>11000</v>
      </c>
      <c r="N8" s="174">
        <v>1100</v>
      </c>
      <c r="O8" s="264">
        <v>-0.52</v>
      </c>
      <c r="P8" s="157">
        <v>-0.52</v>
      </c>
      <c r="Q8" s="158" t="s">
        <v>177</v>
      </c>
      <c r="R8" s="159" t="s">
        <v>180</v>
      </c>
      <c r="S8" s="257">
        <v>35</v>
      </c>
      <c r="T8" s="116">
        <v>748</v>
      </c>
      <c r="U8" s="117">
        <v>2200</v>
      </c>
      <c r="V8" s="258" t="s">
        <v>78</v>
      </c>
      <c r="W8" s="259">
        <f t="shared" si="0"/>
        <v>26666.666666666664</v>
      </c>
      <c r="X8" s="260">
        <f t="shared" si="1"/>
        <v>111333.33333333333</v>
      </c>
    </row>
    <row r="9" spans="1:24" x14ac:dyDescent="0.2">
      <c r="A9" s="114"/>
      <c r="B9" s="66" t="s">
        <v>79</v>
      </c>
      <c r="C9" s="9">
        <v>9000</v>
      </c>
      <c r="D9" s="8">
        <v>45000</v>
      </c>
      <c r="E9" s="265">
        <f t="shared" si="2"/>
        <v>1500</v>
      </c>
      <c r="F9" s="73">
        <v>2250</v>
      </c>
      <c r="G9" s="13">
        <v>15000</v>
      </c>
      <c r="H9" s="12">
        <v>75000</v>
      </c>
      <c r="I9" s="253">
        <v>2000</v>
      </c>
      <c r="J9" s="16">
        <v>15000</v>
      </c>
      <c r="K9" s="15">
        <v>75000</v>
      </c>
      <c r="L9" s="254">
        <v>1750</v>
      </c>
      <c r="M9" s="18">
        <v>15000</v>
      </c>
      <c r="N9" s="255">
        <v>1150</v>
      </c>
      <c r="O9" s="256">
        <v>-0.53</v>
      </c>
      <c r="P9" s="145">
        <v>-0.53</v>
      </c>
      <c r="Q9" s="146" t="s">
        <v>181</v>
      </c>
      <c r="R9" s="147" t="s">
        <v>182</v>
      </c>
      <c r="S9" s="261" t="s">
        <v>183</v>
      </c>
      <c r="T9" s="116">
        <v>782</v>
      </c>
      <c r="U9" s="117">
        <v>2300</v>
      </c>
      <c r="V9" s="258" t="s">
        <v>79</v>
      </c>
      <c r="W9" s="259">
        <f t="shared" si="0"/>
        <v>36500</v>
      </c>
      <c r="X9" s="260">
        <f t="shared" si="1"/>
        <v>152500</v>
      </c>
    </row>
    <row r="10" spans="1:24" x14ac:dyDescent="0.2">
      <c r="A10" s="114"/>
      <c r="B10" s="66" t="s">
        <v>80</v>
      </c>
      <c r="C10" s="9">
        <v>13000</v>
      </c>
      <c r="D10" s="8">
        <v>65000</v>
      </c>
      <c r="E10" s="265">
        <f t="shared" si="2"/>
        <v>3000</v>
      </c>
      <c r="F10" s="73">
        <v>4500</v>
      </c>
      <c r="G10" s="13">
        <v>21000</v>
      </c>
      <c r="H10" s="12">
        <v>105000</v>
      </c>
      <c r="I10" s="253">
        <v>4000</v>
      </c>
      <c r="J10" s="16">
        <v>21000</v>
      </c>
      <c r="K10" s="15">
        <v>105000</v>
      </c>
      <c r="L10" s="254">
        <v>1900</v>
      </c>
      <c r="M10" s="18">
        <v>21000</v>
      </c>
      <c r="N10" s="255">
        <v>1200</v>
      </c>
      <c r="O10" s="256">
        <v>-0.54</v>
      </c>
      <c r="P10" s="145">
        <v>-0.54</v>
      </c>
      <c r="Q10" s="146" t="s">
        <v>184</v>
      </c>
      <c r="R10" s="147" t="s">
        <v>185</v>
      </c>
      <c r="S10" s="261">
        <v>38</v>
      </c>
      <c r="T10" s="116">
        <v>816</v>
      </c>
      <c r="U10" s="117">
        <v>2400</v>
      </c>
      <c r="V10" s="258" t="s">
        <v>80</v>
      </c>
      <c r="W10" s="259">
        <f t="shared" si="0"/>
        <v>51500</v>
      </c>
      <c r="X10" s="260">
        <f t="shared" si="1"/>
        <v>215500</v>
      </c>
    </row>
    <row r="11" spans="1:24" x14ac:dyDescent="0.2">
      <c r="A11" s="114"/>
      <c r="B11" s="54" t="s">
        <v>81</v>
      </c>
      <c r="C11" s="55">
        <v>17000</v>
      </c>
      <c r="D11" s="56">
        <v>85000</v>
      </c>
      <c r="E11" s="262">
        <f t="shared" si="2"/>
        <v>4500</v>
      </c>
      <c r="F11" s="75">
        <v>6750</v>
      </c>
      <c r="G11" s="59">
        <v>27000</v>
      </c>
      <c r="H11" s="60">
        <v>135000</v>
      </c>
      <c r="I11" s="241">
        <v>6000</v>
      </c>
      <c r="J11" s="242">
        <v>27000</v>
      </c>
      <c r="K11" s="62">
        <v>135000</v>
      </c>
      <c r="L11" s="263">
        <v>2075</v>
      </c>
      <c r="M11" s="63">
        <v>27000</v>
      </c>
      <c r="N11" s="174">
        <v>1250</v>
      </c>
      <c r="O11" s="264">
        <v>-0.55000000000000004</v>
      </c>
      <c r="P11" s="157">
        <v>-0.55000000000000004</v>
      </c>
      <c r="Q11" s="158" t="s">
        <v>186</v>
      </c>
      <c r="R11" s="159" t="s">
        <v>187</v>
      </c>
      <c r="S11" s="257">
        <v>39</v>
      </c>
      <c r="T11" s="116">
        <v>850</v>
      </c>
      <c r="U11" s="117">
        <v>2500</v>
      </c>
      <c r="V11" s="258" t="s">
        <v>81</v>
      </c>
      <c r="W11" s="259">
        <f t="shared" si="0"/>
        <v>66500</v>
      </c>
      <c r="X11" s="260">
        <f t="shared" si="1"/>
        <v>278500</v>
      </c>
    </row>
    <row r="12" spans="1:24" x14ac:dyDescent="0.2">
      <c r="A12" s="114"/>
      <c r="B12" s="66" t="s">
        <v>82</v>
      </c>
      <c r="C12" s="9">
        <v>25000</v>
      </c>
      <c r="D12" s="8">
        <v>125000</v>
      </c>
      <c r="E12" s="265">
        <f t="shared" si="2"/>
        <v>6000</v>
      </c>
      <c r="F12" s="73">
        <v>9000</v>
      </c>
      <c r="G12" s="13">
        <v>40000</v>
      </c>
      <c r="H12" s="12">
        <v>200000</v>
      </c>
      <c r="I12" s="253">
        <v>8000</v>
      </c>
      <c r="J12" s="16">
        <v>40000</v>
      </c>
      <c r="K12" s="15">
        <v>200000</v>
      </c>
      <c r="L12" s="254">
        <v>2250</v>
      </c>
      <c r="M12" s="18">
        <v>40000</v>
      </c>
      <c r="N12" s="255">
        <v>1300</v>
      </c>
      <c r="O12" s="256">
        <v>-0.56000000000000005</v>
      </c>
      <c r="P12" s="145">
        <v>-0.56000000000000005</v>
      </c>
      <c r="Q12" s="146" t="s">
        <v>188</v>
      </c>
      <c r="R12" s="147" t="s">
        <v>178</v>
      </c>
      <c r="S12" s="261">
        <v>40</v>
      </c>
      <c r="T12" s="116">
        <v>884</v>
      </c>
      <c r="U12" s="117">
        <v>2600</v>
      </c>
      <c r="V12" s="258" t="s">
        <v>82</v>
      </c>
      <c r="W12" s="259">
        <f t="shared" si="0"/>
        <v>98333.333333333343</v>
      </c>
      <c r="X12" s="260">
        <f t="shared" si="1"/>
        <v>411666.66666666669</v>
      </c>
    </row>
    <row r="13" spans="1:24" x14ac:dyDescent="0.2">
      <c r="A13" s="114"/>
      <c r="B13" s="66" t="s">
        <v>83</v>
      </c>
      <c r="C13" s="9">
        <v>33000</v>
      </c>
      <c r="D13" s="8">
        <v>165000</v>
      </c>
      <c r="E13" s="265">
        <f t="shared" si="2"/>
        <v>10500</v>
      </c>
      <c r="F13" s="73">
        <v>15750</v>
      </c>
      <c r="G13" s="13">
        <v>50000</v>
      </c>
      <c r="H13" s="12">
        <v>250000</v>
      </c>
      <c r="I13" s="253">
        <v>14000</v>
      </c>
      <c r="J13" s="16">
        <v>50000</v>
      </c>
      <c r="K13" s="15">
        <v>250000</v>
      </c>
      <c r="L13" s="254">
        <v>2475</v>
      </c>
      <c r="M13" s="18">
        <v>50000</v>
      </c>
      <c r="N13" s="255">
        <v>1350</v>
      </c>
      <c r="O13" s="256">
        <v>-0.56999999999999995</v>
      </c>
      <c r="P13" s="145">
        <v>-0.56999999999999995</v>
      </c>
      <c r="Q13" s="146" t="s">
        <v>189</v>
      </c>
      <c r="R13" s="147" t="s">
        <v>190</v>
      </c>
      <c r="S13" s="257" t="s">
        <v>191</v>
      </c>
      <c r="T13" s="116">
        <v>918</v>
      </c>
      <c r="U13" s="117">
        <v>2700</v>
      </c>
      <c r="V13" s="258" t="s">
        <v>83</v>
      </c>
      <c r="W13" s="259">
        <f t="shared" si="0"/>
        <v>124666.66666666667</v>
      </c>
      <c r="X13" s="260">
        <f t="shared" si="1"/>
        <v>523333.33333333331</v>
      </c>
    </row>
    <row r="14" spans="1:24" x14ac:dyDescent="0.2">
      <c r="A14" s="114"/>
      <c r="B14" s="54" t="s">
        <v>84</v>
      </c>
      <c r="C14" s="55">
        <v>49000</v>
      </c>
      <c r="D14" s="56">
        <v>245000</v>
      </c>
      <c r="E14" s="262">
        <f t="shared" si="2"/>
        <v>15000</v>
      </c>
      <c r="F14" s="75">
        <v>22500</v>
      </c>
      <c r="G14" s="59">
        <v>70000</v>
      </c>
      <c r="H14" s="60">
        <v>350000</v>
      </c>
      <c r="I14" s="241">
        <v>20000</v>
      </c>
      <c r="J14" s="242">
        <v>70000</v>
      </c>
      <c r="K14" s="62">
        <v>350000</v>
      </c>
      <c r="L14" s="263">
        <v>2700</v>
      </c>
      <c r="M14" s="63">
        <v>70000</v>
      </c>
      <c r="N14" s="174">
        <v>1400</v>
      </c>
      <c r="O14" s="266">
        <v>-0.57999999999999996</v>
      </c>
      <c r="P14" s="267">
        <v>-0.57999999999999996</v>
      </c>
      <c r="Q14" s="158" t="s">
        <v>192</v>
      </c>
      <c r="R14" s="159" t="s">
        <v>193</v>
      </c>
      <c r="S14" s="257" t="s">
        <v>194</v>
      </c>
      <c r="T14" s="116">
        <v>952</v>
      </c>
      <c r="U14" s="117">
        <v>2800</v>
      </c>
      <c r="V14" s="258" t="s">
        <v>84</v>
      </c>
      <c r="W14" s="259">
        <f t="shared" si="0"/>
        <v>177333.33333333331</v>
      </c>
      <c r="X14" s="260">
        <f t="shared" si="1"/>
        <v>746666.66666666674</v>
      </c>
    </row>
    <row r="15" spans="1:24" x14ac:dyDescent="0.2">
      <c r="A15" s="114"/>
      <c r="B15" s="66" t="s">
        <v>85</v>
      </c>
      <c r="C15" s="9">
        <v>67000</v>
      </c>
      <c r="D15" s="8">
        <v>335000</v>
      </c>
      <c r="E15" s="265">
        <f t="shared" si="2"/>
        <v>25000</v>
      </c>
      <c r="F15" s="73">
        <v>37500</v>
      </c>
      <c r="G15" s="13">
        <v>90000</v>
      </c>
      <c r="H15" s="12">
        <v>450000</v>
      </c>
      <c r="I15" s="253">
        <v>35000</v>
      </c>
      <c r="J15" s="16">
        <v>90000</v>
      </c>
      <c r="K15" s="15">
        <v>450000</v>
      </c>
      <c r="L15" s="254">
        <v>3000</v>
      </c>
      <c r="M15" s="18">
        <v>90000</v>
      </c>
      <c r="N15" s="255">
        <v>1450</v>
      </c>
      <c r="O15" s="256">
        <v>-0.59</v>
      </c>
      <c r="P15" s="145">
        <v>-0.59</v>
      </c>
      <c r="Q15" s="146" t="s">
        <v>195</v>
      </c>
      <c r="R15" s="147" t="s">
        <v>196</v>
      </c>
      <c r="S15" s="257" t="s">
        <v>197</v>
      </c>
      <c r="T15" s="116">
        <v>986</v>
      </c>
      <c r="U15" s="117">
        <v>2900</v>
      </c>
      <c r="V15" s="258" t="s">
        <v>85</v>
      </c>
      <c r="W15" s="259">
        <f t="shared" si="0"/>
        <v>232000</v>
      </c>
      <c r="X15" s="260">
        <f t="shared" si="1"/>
        <v>980000</v>
      </c>
    </row>
    <row r="16" spans="1:24" x14ac:dyDescent="0.2">
      <c r="A16" s="114"/>
      <c r="B16" s="66" t="s">
        <v>86</v>
      </c>
      <c r="C16" s="9">
        <v>110000</v>
      </c>
      <c r="D16" s="8">
        <v>550000</v>
      </c>
      <c r="E16" s="265">
        <f t="shared" si="2"/>
        <v>40000</v>
      </c>
      <c r="F16" s="73">
        <v>60000</v>
      </c>
      <c r="G16" s="13">
        <v>130000</v>
      </c>
      <c r="H16" s="12">
        <v>650000</v>
      </c>
      <c r="I16" s="253">
        <v>55000</v>
      </c>
      <c r="J16" s="16">
        <v>130000</v>
      </c>
      <c r="K16" s="15">
        <v>650000</v>
      </c>
      <c r="L16" s="254">
        <v>3300</v>
      </c>
      <c r="M16" s="18">
        <v>130000</v>
      </c>
      <c r="N16" s="255">
        <v>1500</v>
      </c>
      <c r="O16" s="268">
        <v>-0.6</v>
      </c>
      <c r="P16" s="269">
        <v>-0.6</v>
      </c>
      <c r="Q16" s="146" t="s">
        <v>198</v>
      </c>
      <c r="R16" s="147" t="s">
        <v>176</v>
      </c>
      <c r="S16" s="261" t="s">
        <v>199</v>
      </c>
      <c r="T16" s="116">
        <v>1020</v>
      </c>
      <c r="U16" s="117">
        <v>3000</v>
      </c>
      <c r="V16" s="258" t="s">
        <v>86</v>
      </c>
      <c r="W16" s="259">
        <f t="shared" si="0"/>
        <v>348333.33333333337</v>
      </c>
      <c r="X16" s="260">
        <f t="shared" si="1"/>
        <v>1481666.6666666665</v>
      </c>
    </row>
    <row r="17" spans="1:24" x14ac:dyDescent="0.2">
      <c r="A17" s="114"/>
      <c r="B17" s="54" t="s">
        <v>87</v>
      </c>
      <c r="C17" s="55">
        <v>200000</v>
      </c>
      <c r="D17" s="56">
        <v>1000000</v>
      </c>
      <c r="E17" s="262">
        <f t="shared" si="2"/>
        <v>70000</v>
      </c>
      <c r="F17" s="75">
        <v>105000</v>
      </c>
      <c r="G17" s="59">
        <v>230000</v>
      </c>
      <c r="H17" s="60">
        <v>1150000</v>
      </c>
      <c r="I17" s="241">
        <v>95000</v>
      </c>
      <c r="J17" s="242">
        <v>230000</v>
      </c>
      <c r="K17" s="62">
        <v>1150000</v>
      </c>
      <c r="L17" s="263">
        <v>3750</v>
      </c>
      <c r="M17" s="63">
        <v>230000</v>
      </c>
      <c r="N17" s="174">
        <v>1800</v>
      </c>
      <c r="O17" s="264">
        <v>-0.7</v>
      </c>
      <c r="P17" s="157">
        <v>-0.7</v>
      </c>
      <c r="Q17" s="158" t="s">
        <v>200</v>
      </c>
      <c r="R17" s="159" t="s">
        <v>201</v>
      </c>
      <c r="S17" s="270" t="s">
        <v>202</v>
      </c>
      <c r="T17" s="248">
        <v>1224</v>
      </c>
      <c r="U17" s="249">
        <v>3600</v>
      </c>
      <c r="V17" s="258" t="s">
        <v>87</v>
      </c>
      <c r="W17" s="259">
        <f>(C17)*0+(G17/3)+(J17)+(M17/2)</f>
        <v>421666.66666666669</v>
      </c>
      <c r="X17" s="260">
        <f>(D17)*0+(H17/3)+(K17)+(M17/2)</f>
        <v>1648333.3333333333</v>
      </c>
    </row>
    <row r="18" spans="1:24" x14ac:dyDescent="0.2">
      <c r="A18" s="114"/>
      <c r="B18" s="114" t="s">
        <v>258</v>
      </c>
      <c r="C18" s="78"/>
      <c r="D18" s="78"/>
      <c r="E18" s="78"/>
      <c r="F18" s="78"/>
      <c r="G18" s="78"/>
      <c r="H18" s="78"/>
      <c r="I18" s="78"/>
      <c r="J18" s="78"/>
      <c r="K18" s="78" t="s">
        <v>203</v>
      </c>
      <c r="L18" s="78"/>
      <c r="M18" s="78"/>
      <c r="N18" s="78"/>
      <c r="O18" s="78"/>
      <c r="P18" s="78" t="s">
        <v>259</v>
      </c>
      <c r="Q18" s="78"/>
      <c r="R18" s="78"/>
      <c r="U18" s="161"/>
      <c r="V18" s="250" t="s">
        <v>207</v>
      </c>
      <c r="W18" s="271">
        <f>(C17)*0+(G17/3)*0+(J17)+(M17/2)</f>
        <v>345000</v>
      </c>
      <c r="X18" s="272">
        <f>(D17)*0+(H17/3)*0+(K17)+(M17/2)</f>
        <v>1265000</v>
      </c>
    </row>
    <row r="19" spans="1:24" x14ac:dyDescent="0.2">
      <c r="A19" s="114"/>
      <c r="B19" s="114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V19" s="78"/>
      <c r="W19" s="78"/>
      <c r="X19" s="78"/>
    </row>
    <row r="20" spans="1:24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</row>
    <row r="21" spans="1:24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</row>
    <row r="22" spans="1:24" ht="15.75" customHeight="1" x14ac:dyDescent="0.35">
      <c r="A22" s="78"/>
      <c r="B22" s="416" t="s">
        <v>208</v>
      </c>
      <c r="C22" s="374"/>
      <c r="D22" s="374"/>
      <c r="E22" s="374"/>
      <c r="F22" s="374"/>
      <c r="G22" s="374"/>
      <c r="H22" s="374"/>
      <c r="I22" s="374"/>
      <c r="J22" s="374"/>
      <c r="K22" s="374"/>
      <c r="L22" s="164"/>
      <c r="M22" s="164"/>
      <c r="N22" s="416" t="s">
        <v>209</v>
      </c>
      <c r="O22" s="374"/>
      <c r="P22" s="374"/>
      <c r="Q22" s="374"/>
      <c r="R22" s="374"/>
      <c r="S22" s="374"/>
      <c r="T22" s="374"/>
      <c r="U22" s="374"/>
      <c r="V22" s="374"/>
      <c r="W22" s="374"/>
      <c r="X22" s="374"/>
    </row>
    <row r="23" spans="1:24" ht="15.75" customHeight="1" x14ac:dyDescent="0.35">
      <c r="A23" s="78"/>
      <c r="B23" s="165"/>
      <c r="C23" s="402" t="s">
        <v>210</v>
      </c>
      <c r="D23" s="389"/>
      <c r="E23" s="389"/>
      <c r="F23" s="389"/>
      <c r="G23" s="417" t="s">
        <v>211</v>
      </c>
      <c r="H23" s="389"/>
      <c r="I23" s="413" t="s">
        <v>23</v>
      </c>
      <c r="J23" s="389"/>
      <c r="K23" s="273" t="s">
        <v>212</v>
      </c>
      <c r="L23" s="164"/>
      <c r="N23" s="165"/>
      <c r="O23" s="402" t="s">
        <v>210</v>
      </c>
      <c r="P23" s="389"/>
      <c r="Q23" s="389"/>
      <c r="R23" s="389"/>
      <c r="S23" s="417" t="s">
        <v>211</v>
      </c>
      <c r="T23" s="389"/>
      <c r="U23" s="413" t="s">
        <v>23</v>
      </c>
      <c r="V23" s="389"/>
      <c r="W23" s="422" t="s">
        <v>212</v>
      </c>
      <c r="X23" s="390"/>
    </row>
    <row r="24" spans="1:24" ht="23.25" x14ac:dyDescent="0.35">
      <c r="A24" s="78"/>
      <c r="B24" s="165"/>
      <c r="C24" s="391" t="s">
        <v>67</v>
      </c>
      <c r="D24" s="374"/>
      <c r="E24" s="374"/>
      <c r="F24" s="374"/>
      <c r="G24" s="418" t="s">
        <v>68</v>
      </c>
      <c r="H24" s="374"/>
      <c r="I24" s="394" t="s">
        <v>67</v>
      </c>
      <c r="J24" s="374"/>
      <c r="K24" s="274" t="s">
        <v>69</v>
      </c>
      <c r="L24" s="164"/>
      <c r="N24" s="165"/>
      <c r="O24" s="391" t="s">
        <v>67</v>
      </c>
      <c r="P24" s="374"/>
      <c r="Q24" s="374"/>
      <c r="R24" s="374"/>
      <c r="S24" s="418" t="s">
        <v>68</v>
      </c>
      <c r="T24" s="374"/>
      <c r="U24" s="394" t="s">
        <v>67</v>
      </c>
      <c r="V24" s="374"/>
      <c r="W24" s="419" t="s">
        <v>69</v>
      </c>
      <c r="X24" s="392"/>
    </row>
    <row r="25" spans="1:24" ht="23.25" x14ac:dyDescent="0.35">
      <c r="A25" s="78"/>
      <c r="B25" s="171" t="s">
        <v>34</v>
      </c>
      <c r="C25" s="172" t="s">
        <v>25</v>
      </c>
      <c r="D25" s="121" t="s">
        <v>70</v>
      </c>
      <c r="E25" s="123" t="s">
        <v>74</v>
      </c>
      <c r="F25" s="123" t="s">
        <v>213</v>
      </c>
      <c r="G25" s="125" t="s">
        <v>25</v>
      </c>
      <c r="H25" s="125" t="s">
        <v>70</v>
      </c>
      <c r="I25" s="127" t="s">
        <v>25</v>
      </c>
      <c r="J25" s="127" t="s">
        <v>70</v>
      </c>
      <c r="K25" s="275" t="s">
        <v>25</v>
      </c>
      <c r="L25" s="164"/>
      <c r="N25" s="171" t="s">
        <v>34</v>
      </c>
      <c r="O25" s="55" t="s">
        <v>25</v>
      </c>
      <c r="P25" s="56" t="s">
        <v>70</v>
      </c>
      <c r="Q25" s="74" t="s">
        <v>74</v>
      </c>
      <c r="R25" s="74" t="s">
        <v>74</v>
      </c>
      <c r="S25" s="60" t="s">
        <v>25</v>
      </c>
      <c r="T25" s="60" t="s">
        <v>70</v>
      </c>
      <c r="U25" s="62" t="s">
        <v>25</v>
      </c>
      <c r="V25" s="62" t="s">
        <v>70</v>
      </c>
      <c r="W25" s="64" t="s">
        <v>25</v>
      </c>
      <c r="X25" s="174"/>
    </row>
    <row r="26" spans="1:24" ht="23.25" x14ac:dyDescent="0.35">
      <c r="A26" s="78"/>
      <c r="B26" s="175" t="s">
        <v>77</v>
      </c>
      <c r="C26" s="176">
        <f t="shared" ref="C26:C37" si="3">C6/E6</f>
        <v>20</v>
      </c>
      <c r="D26" s="177">
        <f t="shared" ref="D26:D37" si="4">D6/E6</f>
        <v>100</v>
      </c>
      <c r="E26" s="178">
        <f t="shared" ref="E26:E37" si="5">C6/F6</f>
        <v>13.333333333333334</v>
      </c>
      <c r="F26" s="178">
        <f t="shared" ref="F26:F37" si="6">D6/F6</f>
        <v>66.666666666666671</v>
      </c>
      <c r="G26" s="179">
        <f t="shared" ref="G26:G37" si="7">G6/I6</f>
        <v>30</v>
      </c>
      <c r="H26" s="179">
        <f t="shared" ref="H26:H37" si="8">H6/I6</f>
        <v>150</v>
      </c>
      <c r="I26" s="180">
        <f t="shared" ref="I26:I37" si="9">J6/L6</f>
        <v>3.9735099337748343</v>
      </c>
      <c r="J26" s="180">
        <f t="shared" ref="J26:J37" si="10">K6/L6</f>
        <v>19.867549668874172</v>
      </c>
      <c r="K26" s="181">
        <f t="shared" ref="K26:K37" si="11">M6/N6</f>
        <v>6</v>
      </c>
      <c r="L26" s="164"/>
      <c r="N26" s="175" t="s">
        <v>77</v>
      </c>
      <c r="O26" s="176">
        <f t="shared" ref="O26:O37" si="12">E6/C6</f>
        <v>0.05</v>
      </c>
      <c r="P26" s="177">
        <f t="shared" ref="P26:P37" si="13">E6/D6</f>
        <v>0.01</v>
      </c>
      <c r="Q26" s="178">
        <f t="shared" ref="Q26:Q37" si="14">F6/C6</f>
        <v>7.4999999999999997E-2</v>
      </c>
      <c r="R26" s="178">
        <f t="shared" ref="R26:R37" si="15">F6/D6</f>
        <v>1.4999999999999999E-2</v>
      </c>
      <c r="S26" s="179">
        <f t="shared" ref="S26:S37" si="16">I6/G6</f>
        <v>3.3333333333333333E-2</v>
      </c>
      <c r="T26" s="179">
        <f t="shared" ref="T26:T37" si="17">I6/H6</f>
        <v>6.6666666666666671E-3</v>
      </c>
      <c r="U26" s="180">
        <f t="shared" ref="U26:U37" si="18">L6/J6</f>
        <v>0.25166666666666665</v>
      </c>
      <c r="V26" s="180">
        <f t="shared" ref="V26:V37" si="19">L6/K6</f>
        <v>5.0333333333333334E-2</v>
      </c>
      <c r="W26" s="182">
        <f t="shared" ref="W26:W37" si="20">N6/M6</f>
        <v>0.16666666666666666</v>
      </c>
      <c r="X26" s="181"/>
    </row>
    <row r="27" spans="1:24" ht="23.25" x14ac:dyDescent="0.35">
      <c r="A27" s="78"/>
      <c r="B27" s="175" t="s">
        <v>4</v>
      </c>
      <c r="C27" s="183">
        <f t="shared" si="3"/>
        <v>13.333333333333334</v>
      </c>
      <c r="D27" s="184">
        <f t="shared" si="4"/>
        <v>66.666666666666671</v>
      </c>
      <c r="E27" s="185">
        <f t="shared" si="5"/>
        <v>8.8888888888888893</v>
      </c>
      <c r="F27" s="185">
        <f t="shared" si="6"/>
        <v>44.444444444444443</v>
      </c>
      <c r="G27" s="186">
        <f t="shared" si="7"/>
        <v>17.5</v>
      </c>
      <c r="H27" s="186">
        <f t="shared" si="8"/>
        <v>87.5</v>
      </c>
      <c r="I27" s="187">
        <f t="shared" si="9"/>
        <v>4.4444444444444446</v>
      </c>
      <c r="J27" s="187">
        <f t="shared" si="10"/>
        <v>22.222222222222221</v>
      </c>
      <c r="K27" s="188">
        <f t="shared" si="11"/>
        <v>6.666666666666667</v>
      </c>
      <c r="L27" s="164"/>
      <c r="N27" s="175" t="s">
        <v>4</v>
      </c>
      <c r="O27" s="183">
        <f t="shared" si="12"/>
        <v>7.4999999999999997E-2</v>
      </c>
      <c r="P27" s="184">
        <f t="shared" si="13"/>
        <v>1.4999999999999999E-2</v>
      </c>
      <c r="Q27" s="185">
        <f t="shared" si="14"/>
        <v>0.1125</v>
      </c>
      <c r="R27" s="185">
        <f t="shared" si="15"/>
        <v>2.2499999999999999E-2</v>
      </c>
      <c r="S27" s="186">
        <f t="shared" si="16"/>
        <v>5.7142857142857141E-2</v>
      </c>
      <c r="T27" s="186">
        <f t="shared" si="17"/>
        <v>1.1428571428571429E-2</v>
      </c>
      <c r="U27" s="187">
        <f t="shared" si="18"/>
        <v>0.22500000000000001</v>
      </c>
      <c r="V27" s="187">
        <f t="shared" si="19"/>
        <v>4.4999999999999998E-2</v>
      </c>
      <c r="W27" s="189">
        <f t="shared" si="20"/>
        <v>0.15</v>
      </c>
      <c r="X27" s="188"/>
    </row>
    <row r="28" spans="1:24" ht="23.25" x14ac:dyDescent="0.35">
      <c r="A28" s="78"/>
      <c r="B28" s="171" t="s">
        <v>78</v>
      </c>
      <c r="C28" s="190">
        <f t="shared" si="3"/>
        <v>8.6666666666666661</v>
      </c>
      <c r="D28" s="191">
        <f t="shared" si="4"/>
        <v>43.333333333333336</v>
      </c>
      <c r="E28" s="192">
        <f t="shared" si="5"/>
        <v>5.7777777777777777</v>
      </c>
      <c r="F28" s="192">
        <f t="shared" si="6"/>
        <v>28.888888888888889</v>
      </c>
      <c r="G28" s="193">
        <f t="shared" si="7"/>
        <v>11</v>
      </c>
      <c r="H28" s="193">
        <f t="shared" si="8"/>
        <v>55</v>
      </c>
      <c r="I28" s="194">
        <f t="shared" si="9"/>
        <v>6.666666666666667</v>
      </c>
      <c r="J28" s="194">
        <f t="shared" si="10"/>
        <v>33.333333333333336</v>
      </c>
      <c r="K28" s="195">
        <f t="shared" si="11"/>
        <v>10</v>
      </c>
      <c r="L28" s="164"/>
      <c r="N28" s="171" t="s">
        <v>78</v>
      </c>
      <c r="O28" s="190">
        <f t="shared" si="12"/>
        <v>0.11538461538461539</v>
      </c>
      <c r="P28" s="191">
        <f t="shared" si="13"/>
        <v>2.3076923076923078E-2</v>
      </c>
      <c r="Q28" s="192">
        <f t="shared" si="14"/>
        <v>0.17307692307692307</v>
      </c>
      <c r="R28" s="192">
        <f t="shared" si="15"/>
        <v>3.4615384615384617E-2</v>
      </c>
      <c r="S28" s="193">
        <f t="shared" si="16"/>
        <v>9.0909090909090912E-2</v>
      </c>
      <c r="T28" s="193">
        <f t="shared" si="17"/>
        <v>1.8181818181818181E-2</v>
      </c>
      <c r="U28" s="194">
        <f t="shared" si="18"/>
        <v>0.15</v>
      </c>
      <c r="V28" s="194">
        <f t="shared" si="19"/>
        <v>0.03</v>
      </c>
      <c r="W28" s="196">
        <f t="shared" si="20"/>
        <v>0.1</v>
      </c>
      <c r="X28" s="195"/>
    </row>
    <row r="29" spans="1:24" ht="23.25" x14ac:dyDescent="0.35">
      <c r="A29" s="78"/>
      <c r="B29" s="175" t="s">
        <v>79</v>
      </c>
      <c r="C29" s="176">
        <f t="shared" si="3"/>
        <v>6</v>
      </c>
      <c r="D29" s="177">
        <f t="shared" si="4"/>
        <v>30</v>
      </c>
      <c r="E29" s="178">
        <f t="shared" si="5"/>
        <v>4</v>
      </c>
      <c r="F29" s="178">
        <f t="shared" si="6"/>
        <v>20</v>
      </c>
      <c r="G29" s="179">
        <f t="shared" si="7"/>
        <v>7.5</v>
      </c>
      <c r="H29" s="179">
        <f t="shared" si="8"/>
        <v>37.5</v>
      </c>
      <c r="I29" s="180">
        <f t="shared" si="9"/>
        <v>8.5714285714285712</v>
      </c>
      <c r="J29" s="180">
        <f t="shared" si="10"/>
        <v>42.857142857142854</v>
      </c>
      <c r="K29" s="181">
        <f t="shared" si="11"/>
        <v>13.043478260869565</v>
      </c>
      <c r="L29" s="164"/>
      <c r="N29" s="175" t="s">
        <v>79</v>
      </c>
      <c r="O29" s="176">
        <f t="shared" si="12"/>
        <v>0.16666666666666666</v>
      </c>
      <c r="P29" s="177">
        <f t="shared" si="13"/>
        <v>3.3333333333333333E-2</v>
      </c>
      <c r="Q29" s="178">
        <f t="shared" si="14"/>
        <v>0.25</v>
      </c>
      <c r="R29" s="178">
        <f t="shared" si="15"/>
        <v>0.05</v>
      </c>
      <c r="S29" s="179">
        <f t="shared" si="16"/>
        <v>0.13333333333333333</v>
      </c>
      <c r="T29" s="179">
        <f t="shared" si="17"/>
        <v>2.6666666666666668E-2</v>
      </c>
      <c r="U29" s="180">
        <f t="shared" si="18"/>
        <v>0.11666666666666667</v>
      </c>
      <c r="V29" s="180">
        <f t="shared" si="19"/>
        <v>2.3333333333333334E-2</v>
      </c>
      <c r="W29" s="182">
        <f t="shared" si="20"/>
        <v>7.6666666666666661E-2</v>
      </c>
      <c r="X29" s="181"/>
    </row>
    <row r="30" spans="1:24" ht="23.25" x14ac:dyDescent="0.35">
      <c r="A30" s="78"/>
      <c r="B30" s="175" t="s">
        <v>80</v>
      </c>
      <c r="C30" s="183">
        <f t="shared" si="3"/>
        <v>4.333333333333333</v>
      </c>
      <c r="D30" s="184">
        <f t="shared" si="4"/>
        <v>21.666666666666668</v>
      </c>
      <c r="E30" s="185">
        <f t="shared" si="5"/>
        <v>2.8888888888888888</v>
      </c>
      <c r="F30" s="185">
        <f t="shared" si="6"/>
        <v>14.444444444444445</v>
      </c>
      <c r="G30" s="186">
        <f t="shared" si="7"/>
        <v>5.25</v>
      </c>
      <c r="H30" s="186">
        <f t="shared" si="8"/>
        <v>26.25</v>
      </c>
      <c r="I30" s="187">
        <f t="shared" si="9"/>
        <v>11.052631578947368</v>
      </c>
      <c r="J30" s="187">
        <f t="shared" si="10"/>
        <v>55.263157894736842</v>
      </c>
      <c r="K30" s="188">
        <f t="shared" si="11"/>
        <v>17.5</v>
      </c>
      <c r="L30" s="164"/>
      <c r="N30" s="175" t="s">
        <v>80</v>
      </c>
      <c r="O30" s="183">
        <f t="shared" si="12"/>
        <v>0.23076923076923078</v>
      </c>
      <c r="P30" s="184">
        <f t="shared" si="13"/>
        <v>4.6153846153846156E-2</v>
      </c>
      <c r="Q30" s="185">
        <f t="shared" si="14"/>
        <v>0.34615384615384615</v>
      </c>
      <c r="R30" s="185">
        <f t="shared" si="15"/>
        <v>6.9230769230769235E-2</v>
      </c>
      <c r="S30" s="186">
        <f t="shared" si="16"/>
        <v>0.19047619047619047</v>
      </c>
      <c r="T30" s="186">
        <f t="shared" si="17"/>
        <v>3.8095238095238099E-2</v>
      </c>
      <c r="U30" s="187">
        <f t="shared" si="18"/>
        <v>9.0476190476190474E-2</v>
      </c>
      <c r="V30" s="187">
        <f t="shared" si="19"/>
        <v>1.8095238095238095E-2</v>
      </c>
      <c r="W30" s="189">
        <f t="shared" si="20"/>
        <v>5.7142857142857141E-2</v>
      </c>
      <c r="X30" s="188"/>
    </row>
    <row r="31" spans="1:24" ht="23.25" x14ac:dyDescent="0.35">
      <c r="A31" s="78"/>
      <c r="B31" s="171" t="s">
        <v>81</v>
      </c>
      <c r="C31" s="190">
        <f t="shared" si="3"/>
        <v>3.7777777777777777</v>
      </c>
      <c r="D31" s="191">
        <f t="shared" si="4"/>
        <v>18.888888888888889</v>
      </c>
      <c r="E31" s="192">
        <f t="shared" si="5"/>
        <v>2.5185185185185186</v>
      </c>
      <c r="F31" s="192">
        <f t="shared" si="6"/>
        <v>12.592592592592593</v>
      </c>
      <c r="G31" s="193">
        <f t="shared" si="7"/>
        <v>4.5</v>
      </c>
      <c r="H31" s="193">
        <f t="shared" si="8"/>
        <v>22.5</v>
      </c>
      <c r="I31" s="194">
        <f t="shared" si="9"/>
        <v>13.012048192771084</v>
      </c>
      <c r="J31" s="194">
        <f t="shared" si="10"/>
        <v>65.060240963855421</v>
      </c>
      <c r="K31" s="195">
        <f t="shared" si="11"/>
        <v>21.6</v>
      </c>
      <c r="L31" s="164"/>
      <c r="N31" s="171" t="s">
        <v>81</v>
      </c>
      <c r="O31" s="190">
        <f t="shared" si="12"/>
        <v>0.26470588235294118</v>
      </c>
      <c r="P31" s="191">
        <f t="shared" si="13"/>
        <v>5.2941176470588235E-2</v>
      </c>
      <c r="Q31" s="192">
        <f t="shared" si="14"/>
        <v>0.39705882352941174</v>
      </c>
      <c r="R31" s="192">
        <f t="shared" si="15"/>
        <v>7.9411764705882348E-2</v>
      </c>
      <c r="S31" s="193">
        <f t="shared" si="16"/>
        <v>0.22222222222222221</v>
      </c>
      <c r="T31" s="193">
        <f t="shared" si="17"/>
        <v>4.4444444444444446E-2</v>
      </c>
      <c r="U31" s="194">
        <f t="shared" si="18"/>
        <v>7.6851851851851852E-2</v>
      </c>
      <c r="V31" s="194">
        <f t="shared" si="19"/>
        <v>1.5370370370370371E-2</v>
      </c>
      <c r="W31" s="196">
        <f t="shared" si="20"/>
        <v>4.6296296296296294E-2</v>
      </c>
      <c r="X31" s="195"/>
    </row>
    <row r="32" spans="1:24" ht="23.25" x14ac:dyDescent="0.35">
      <c r="A32" s="78"/>
      <c r="B32" s="175" t="s">
        <v>82</v>
      </c>
      <c r="C32" s="176">
        <f t="shared" si="3"/>
        <v>4.166666666666667</v>
      </c>
      <c r="D32" s="177">
        <f t="shared" si="4"/>
        <v>20.833333333333332</v>
      </c>
      <c r="E32" s="178">
        <f t="shared" si="5"/>
        <v>2.7777777777777777</v>
      </c>
      <c r="F32" s="178">
        <f t="shared" si="6"/>
        <v>13.888888888888889</v>
      </c>
      <c r="G32" s="179">
        <f t="shared" si="7"/>
        <v>5</v>
      </c>
      <c r="H32" s="179">
        <f t="shared" si="8"/>
        <v>25</v>
      </c>
      <c r="I32" s="180">
        <f t="shared" si="9"/>
        <v>17.777777777777779</v>
      </c>
      <c r="J32" s="180">
        <f t="shared" si="10"/>
        <v>88.888888888888886</v>
      </c>
      <c r="K32" s="181">
        <f t="shared" si="11"/>
        <v>30.76923076923077</v>
      </c>
      <c r="L32" s="164"/>
      <c r="M32" s="164"/>
      <c r="N32" s="175" t="s">
        <v>82</v>
      </c>
      <c r="O32" s="176">
        <f t="shared" si="12"/>
        <v>0.24</v>
      </c>
      <c r="P32" s="177">
        <f t="shared" si="13"/>
        <v>4.8000000000000001E-2</v>
      </c>
      <c r="Q32" s="178">
        <f t="shared" si="14"/>
        <v>0.36</v>
      </c>
      <c r="R32" s="178">
        <f t="shared" si="15"/>
        <v>7.1999999999999995E-2</v>
      </c>
      <c r="S32" s="179">
        <f t="shared" si="16"/>
        <v>0.2</v>
      </c>
      <c r="T32" s="179">
        <f t="shared" si="17"/>
        <v>0.04</v>
      </c>
      <c r="U32" s="180">
        <f t="shared" si="18"/>
        <v>5.6250000000000001E-2</v>
      </c>
      <c r="V32" s="180">
        <f t="shared" si="19"/>
        <v>1.125E-2</v>
      </c>
      <c r="W32" s="182">
        <f t="shared" si="20"/>
        <v>3.2500000000000001E-2</v>
      </c>
      <c r="X32" s="181"/>
    </row>
    <row r="33" spans="1:24" ht="23.25" x14ac:dyDescent="0.35">
      <c r="A33" s="78"/>
      <c r="B33" s="175" t="s">
        <v>83</v>
      </c>
      <c r="C33" s="183">
        <f t="shared" si="3"/>
        <v>3.1428571428571428</v>
      </c>
      <c r="D33" s="184">
        <f t="shared" si="4"/>
        <v>15.714285714285714</v>
      </c>
      <c r="E33" s="185">
        <f t="shared" si="5"/>
        <v>2.0952380952380953</v>
      </c>
      <c r="F33" s="185">
        <f t="shared" si="6"/>
        <v>10.476190476190476</v>
      </c>
      <c r="G33" s="186">
        <f t="shared" si="7"/>
        <v>3.5714285714285716</v>
      </c>
      <c r="H33" s="186">
        <f t="shared" si="8"/>
        <v>17.857142857142858</v>
      </c>
      <c r="I33" s="187">
        <f t="shared" si="9"/>
        <v>20.202020202020201</v>
      </c>
      <c r="J33" s="187">
        <f t="shared" si="10"/>
        <v>101.01010101010101</v>
      </c>
      <c r="K33" s="188">
        <f t="shared" si="11"/>
        <v>37.037037037037038</v>
      </c>
      <c r="L33" s="164"/>
      <c r="N33" s="175" t="s">
        <v>83</v>
      </c>
      <c r="O33" s="183">
        <f t="shared" si="12"/>
        <v>0.31818181818181818</v>
      </c>
      <c r="P33" s="184">
        <f t="shared" si="13"/>
        <v>6.363636363636363E-2</v>
      </c>
      <c r="Q33" s="185">
        <f t="shared" si="14"/>
        <v>0.47727272727272729</v>
      </c>
      <c r="R33" s="185">
        <f t="shared" si="15"/>
        <v>9.5454545454545459E-2</v>
      </c>
      <c r="S33" s="186">
        <f t="shared" si="16"/>
        <v>0.28000000000000003</v>
      </c>
      <c r="T33" s="186">
        <f t="shared" si="17"/>
        <v>5.6000000000000001E-2</v>
      </c>
      <c r="U33" s="187">
        <f t="shared" si="18"/>
        <v>4.9500000000000002E-2</v>
      </c>
      <c r="V33" s="187">
        <f t="shared" si="19"/>
        <v>9.9000000000000008E-3</v>
      </c>
      <c r="W33" s="189">
        <f t="shared" si="20"/>
        <v>2.7E-2</v>
      </c>
      <c r="X33" s="188"/>
    </row>
    <row r="34" spans="1:24" ht="23.25" x14ac:dyDescent="0.35">
      <c r="A34" s="78"/>
      <c r="B34" s="171" t="s">
        <v>84</v>
      </c>
      <c r="C34" s="183">
        <f t="shared" si="3"/>
        <v>3.2666666666666666</v>
      </c>
      <c r="D34" s="184">
        <f t="shared" si="4"/>
        <v>16.333333333333332</v>
      </c>
      <c r="E34" s="185">
        <f t="shared" si="5"/>
        <v>2.1777777777777776</v>
      </c>
      <c r="F34" s="185">
        <f t="shared" si="6"/>
        <v>10.888888888888889</v>
      </c>
      <c r="G34" s="186">
        <f t="shared" si="7"/>
        <v>3.5</v>
      </c>
      <c r="H34" s="186">
        <f t="shared" si="8"/>
        <v>17.5</v>
      </c>
      <c r="I34" s="187">
        <f t="shared" si="9"/>
        <v>25.925925925925927</v>
      </c>
      <c r="J34" s="187">
        <f t="shared" si="10"/>
        <v>129.62962962962962</v>
      </c>
      <c r="K34" s="188">
        <f t="shared" si="11"/>
        <v>50</v>
      </c>
      <c r="L34" s="164"/>
      <c r="N34" s="171" t="s">
        <v>84</v>
      </c>
      <c r="O34" s="190">
        <f t="shared" si="12"/>
        <v>0.30612244897959184</v>
      </c>
      <c r="P34" s="191">
        <f t="shared" si="13"/>
        <v>6.1224489795918366E-2</v>
      </c>
      <c r="Q34" s="192">
        <f t="shared" si="14"/>
        <v>0.45918367346938777</v>
      </c>
      <c r="R34" s="192">
        <f t="shared" si="15"/>
        <v>9.1836734693877556E-2</v>
      </c>
      <c r="S34" s="193">
        <f t="shared" si="16"/>
        <v>0.2857142857142857</v>
      </c>
      <c r="T34" s="193">
        <f t="shared" si="17"/>
        <v>5.7142857142857141E-2</v>
      </c>
      <c r="U34" s="194">
        <f t="shared" si="18"/>
        <v>3.8571428571428569E-2</v>
      </c>
      <c r="V34" s="194">
        <f t="shared" si="19"/>
        <v>7.7142857142857143E-3</v>
      </c>
      <c r="W34" s="196">
        <f t="shared" si="20"/>
        <v>0.02</v>
      </c>
      <c r="X34" s="195"/>
    </row>
    <row r="35" spans="1:24" ht="23.25" x14ac:dyDescent="0.35">
      <c r="A35" s="78"/>
      <c r="B35" s="175" t="s">
        <v>85</v>
      </c>
      <c r="C35" s="183">
        <f t="shared" si="3"/>
        <v>2.68</v>
      </c>
      <c r="D35" s="184">
        <f t="shared" si="4"/>
        <v>13.4</v>
      </c>
      <c r="E35" s="185">
        <f t="shared" si="5"/>
        <v>1.7866666666666666</v>
      </c>
      <c r="F35" s="185">
        <f t="shared" si="6"/>
        <v>8.9333333333333336</v>
      </c>
      <c r="G35" s="186">
        <f t="shared" si="7"/>
        <v>2.5714285714285716</v>
      </c>
      <c r="H35" s="186">
        <f t="shared" si="8"/>
        <v>12.857142857142858</v>
      </c>
      <c r="I35" s="187">
        <f t="shared" si="9"/>
        <v>30</v>
      </c>
      <c r="J35" s="187">
        <f t="shared" si="10"/>
        <v>150</v>
      </c>
      <c r="K35" s="188">
        <f t="shared" si="11"/>
        <v>62.068965517241381</v>
      </c>
      <c r="L35" s="164"/>
      <c r="N35" s="175" t="s">
        <v>85</v>
      </c>
      <c r="O35" s="183">
        <f t="shared" si="12"/>
        <v>0.37313432835820898</v>
      </c>
      <c r="P35" s="184">
        <f t="shared" si="13"/>
        <v>7.4626865671641784E-2</v>
      </c>
      <c r="Q35" s="185">
        <f t="shared" si="14"/>
        <v>0.55970149253731338</v>
      </c>
      <c r="R35" s="185">
        <f t="shared" si="15"/>
        <v>0.11194029850746269</v>
      </c>
      <c r="S35" s="186">
        <f t="shared" si="16"/>
        <v>0.3888888888888889</v>
      </c>
      <c r="T35" s="186">
        <f t="shared" si="17"/>
        <v>7.7777777777777779E-2</v>
      </c>
      <c r="U35" s="187">
        <f t="shared" si="18"/>
        <v>3.3333333333333333E-2</v>
      </c>
      <c r="V35" s="187">
        <f t="shared" si="19"/>
        <v>6.6666666666666671E-3</v>
      </c>
      <c r="W35" s="189">
        <f t="shared" si="20"/>
        <v>1.6111111111111111E-2</v>
      </c>
      <c r="X35" s="181"/>
    </row>
    <row r="36" spans="1:24" ht="23.25" x14ac:dyDescent="0.35">
      <c r="A36" s="78"/>
      <c r="B36" s="175" t="s">
        <v>86</v>
      </c>
      <c r="C36" s="183">
        <f t="shared" si="3"/>
        <v>2.75</v>
      </c>
      <c r="D36" s="184">
        <f t="shared" si="4"/>
        <v>13.75</v>
      </c>
      <c r="E36" s="185">
        <f t="shared" si="5"/>
        <v>1.8333333333333333</v>
      </c>
      <c r="F36" s="185">
        <f t="shared" si="6"/>
        <v>9.1666666666666661</v>
      </c>
      <c r="G36" s="186">
        <f t="shared" si="7"/>
        <v>2.3636363636363638</v>
      </c>
      <c r="H36" s="186">
        <f t="shared" si="8"/>
        <v>11.818181818181818</v>
      </c>
      <c r="I36" s="187">
        <f t="shared" si="9"/>
        <v>39.393939393939391</v>
      </c>
      <c r="J36" s="187">
        <f t="shared" si="10"/>
        <v>196.96969696969697</v>
      </c>
      <c r="K36" s="188">
        <f t="shared" si="11"/>
        <v>86.666666666666671</v>
      </c>
      <c r="L36" s="164"/>
      <c r="N36" s="175" t="s">
        <v>86</v>
      </c>
      <c r="O36" s="183">
        <f t="shared" si="12"/>
        <v>0.36363636363636365</v>
      </c>
      <c r="P36" s="184">
        <f t="shared" si="13"/>
        <v>7.2727272727272724E-2</v>
      </c>
      <c r="Q36" s="185">
        <f t="shared" si="14"/>
        <v>0.54545454545454541</v>
      </c>
      <c r="R36" s="185">
        <f t="shared" si="15"/>
        <v>0.10909090909090909</v>
      </c>
      <c r="S36" s="186">
        <f t="shared" si="16"/>
        <v>0.42307692307692307</v>
      </c>
      <c r="T36" s="186">
        <f t="shared" si="17"/>
        <v>8.461538461538462E-2</v>
      </c>
      <c r="U36" s="187">
        <f t="shared" si="18"/>
        <v>2.5384615384615384E-2</v>
      </c>
      <c r="V36" s="187">
        <f t="shared" si="19"/>
        <v>5.076923076923077E-3</v>
      </c>
      <c r="W36" s="189">
        <f t="shared" si="20"/>
        <v>1.1538461538461539E-2</v>
      </c>
      <c r="X36" s="188"/>
    </row>
    <row r="37" spans="1:24" ht="23.25" x14ac:dyDescent="0.35">
      <c r="A37" s="78"/>
      <c r="B37" s="175" t="s">
        <v>87</v>
      </c>
      <c r="C37" s="183">
        <f t="shared" si="3"/>
        <v>2.8571428571428572</v>
      </c>
      <c r="D37" s="184">
        <f t="shared" si="4"/>
        <v>14.285714285714286</v>
      </c>
      <c r="E37" s="185">
        <f t="shared" si="5"/>
        <v>1.9047619047619047</v>
      </c>
      <c r="F37" s="185">
        <f t="shared" si="6"/>
        <v>9.5238095238095237</v>
      </c>
      <c r="G37" s="186">
        <f t="shared" si="7"/>
        <v>2.4210526315789473</v>
      </c>
      <c r="H37" s="186">
        <f t="shared" si="8"/>
        <v>12.105263157894736</v>
      </c>
      <c r="I37" s="187">
        <f t="shared" si="9"/>
        <v>61.333333333333336</v>
      </c>
      <c r="J37" s="187">
        <f t="shared" si="10"/>
        <v>306.66666666666669</v>
      </c>
      <c r="K37" s="188">
        <f t="shared" si="11"/>
        <v>127.77777777777777</v>
      </c>
      <c r="L37" s="164"/>
      <c r="N37" s="175" t="s">
        <v>87</v>
      </c>
      <c r="O37" s="183">
        <f t="shared" si="12"/>
        <v>0.35</v>
      </c>
      <c r="P37" s="184">
        <f t="shared" si="13"/>
        <v>7.0000000000000007E-2</v>
      </c>
      <c r="Q37" s="185">
        <f t="shared" si="14"/>
        <v>0.52500000000000002</v>
      </c>
      <c r="R37" s="185">
        <f t="shared" si="15"/>
        <v>0.105</v>
      </c>
      <c r="S37" s="186">
        <f t="shared" si="16"/>
        <v>0.41304347826086957</v>
      </c>
      <c r="T37" s="186">
        <f t="shared" si="17"/>
        <v>8.2608695652173908E-2</v>
      </c>
      <c r="U37" s="187">
        <f t="shared" si="18"/>
        <v>1.6304347826086956E-2</v>
      </c>
      <c r="V37" s="187">
        <f t="shared" si="19"/>
        <v>3.2608695652173911E-3</v>
      </c>
      <c r="W37" s="189">
        <f t="shared" si="20"/>
        <v>7.8260869565217397E-3</v>
      </c>
      <c r="X37" s="195"/>
    </row>
    <row r="38" spans="1:24" ht="23.25" x14ac:dyDescent="0.3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164"/>
      <c r="M38" s="78"/>
      <c r="N38" s="78"/>
      <c r="O38" s="164"/>
      <c r="P38" s="164"/>
      <c r="Q38" s="164"/>
      <c r="R38" s="164"/>
      <c r="S38" s="164"/>
      <c r="T38" s="164"/>
      <c r="U38" s="78"/>
      <c r="V38" s="78"/>
      <c r="W38" s="78"/>
      <c r="X38" s="78"/>
    </row>
    <row r="39" spans="1:24" ht="12.75" x14ac:dyDescent="0.2">
      <c r="A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</row>
    <row r="40" spans="1:24" ht="12.75" x14ac:dyDescent="0.2">
      <c r="A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</row>
    <row r="41" spans="1:24" ht="12.75" x14ac:dyDescent="0.2">
      <c r="A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</row>
    <row r="42" spans="1:24" ht="12.75" x14ac:dyDescent="0.2">
      <c r="A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</row>
    <row r="43" spans="1:24" ht="12.75" x14ac:dyDescent="0.2">
      <c r="A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</row>
    <row r="44" spans="1:24" ht="12.75" x14ac:dyDescent="0.2">
      <c r="A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</row>
    <row r="45" spans="1:24" ht="12.75" x14ac:dyDescent="0.2">
      <c r="A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</row>
    <row r="46" spans="1:24" ht="12.75" x14ac:dyDescent="0.2">
      <c r="A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</row>
    <row r="47" spans="1:24" ht="12.75" x14ac:dyDescent="0.2">
      <c r="A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</row>
    <row r="48" spans="1:24" ht="12.75" x14ac:dyDescent="0.2">
      <c r="A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</row>
    <row r="49" spans="1:24" ht="12.75" x14ac:dyDescent="0.2">
      <c r="A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</row>
    <row r="50" spans="1:24" ht="12.75" x14ac:dyDescent="0.2"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</row>
    <row r="51" spans="1:24" ht="12.75" x14ac:dyDescent="0.2"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</row>
    <row r="52" spans="1:24" ht="12.75" x14ac:dyDescent="0.2"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</row>
    <row r="53" spans="1:24" ht="12.75" x14ac:dyDescent="0.2"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</row>
    <row r="54" spans="1:24" ht="12.75" x14ac:dyDescent="0.2"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</row>
    <row r="55" spans="1:24" ht="12.75" x14ac:dyDescent="0.2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</row>
    <row r="56" spans="1:24" ht="12.75" x14ac:dyDescent="0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</row>
    <row r="57" spans="1:24" ht="12.75" x14ac:dyDescent="0.2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</row>
    <row r="58" spans="1:24" ht="12.75" x14ac:dyDescent="0.2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</row>
    <row r="59" spans="1:24" ht="12.7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</row>
    <row r="60" spans="1:24" ht="12.7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</row>
    <row r="61" spans="1:24" ht="12.75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</row>
    <row r="62" spans="1:24" ht="12.75" x14ac:dyDescent="0.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</row>
    <row r="63" spans="1:24" ht="12.75" x14ac:dyDescent="0.2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</row>
    <row r="64" spans="1:24" ht="12.75" x14ac:dyDescent="0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</row>
    <row r="65" spans="1:24" ht="12.75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</row>
    <row r="66" spans="1:24" ht="12.75" x14ac:dyDescent="0.2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</row>
    <row r="67" spans="1:24" ht="12.75" x14ac:dyDescent="0.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</row>
    <row r="68" spans="1:24" ht="12.75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</row>
    <row r="69" spans="1:24" ht="12.75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</row>
    <row r="70" spans="1:24" ht="12.75" x14ac:dyDescent="0.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</row>
    <row r="71" spans="1:24" ht="12.75" x14ac:dyDescent="0.2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</row>
    <row r="72" spans="1:24" ht="12.75" x14ac:dyDescent="0.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</row>
    <row r="73" spans="1:24" ht="12.75" x14ac:dyDescent="0.2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</row>
    <row r="74" spans="1:24" ht="12.75" x14ac:dyDescent="0.2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</row>
    <row r="75" spans="1:24" ht="12.75" x14ac:dyDescent="0.2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</row>
    <row r="76" spans="1:24" ht="12.75" x14ac:dyDescent="0.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</row>
    <row r="77" spans="1:24" ht="12.75" x14ac:dyDescent="0.2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</row>
    <row r="78" spans="1:24" ht="12.75" x14ac:dyDescent="0.2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</row>
    <row r="79" spans="1:24" ht="12.7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</row>
    <row r="80" spans="1:24" ht="12.7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</row>
    <row r="81" spans="1:24" ht="12.75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</row>
    <row r="82" spans="1:24" ht="12.75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</row>
    <row r="83" spans="1:24" ht="12.75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</row>
    <row r="84" spans="1:24" ht="12.75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</row>
    <row r="85" spans="1:24" ht="12.75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</row>
    <row r="86" spans="1:24" ht="12.75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</row>
    <row r="87" spans="1:24" ht="12.75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</row>
    <row r="88" spans="1:24" ht="12.7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</row>
    <row r="89" spans="1:24" ht="12.7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</row>
    <row r="90" spans="1:24" ht="12.75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</row>
    <row r="91" spans="1:24" ht="12.75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</row>
    <row r="92" spans="1:24" ht="12.75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</row>
    <row r="93" spans="1:24" ht="12.75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</row>
    <row r="94" spans="1:24" ht="12.75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</row>
    <row r="95" spans="1:24" ht="12.75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</row>
    <row r="96" spans="1:24" ht="12.75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</row>
    <row r="97" spans="1:24" ht="12.75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</row>
    <row r="98" spans="1:24" ht="12.75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</row>
    <row r="99" spans="1:24" ht="12.75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</row>
    <row r="100" spans="1:24" ht="12.7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</row>
    <row r="101" spans="1:24" ht="12.7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</row>
    <row r="102" spans="1:24" ht="12.75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</row>
    <row r="103" spans="1:24" ht="12.75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</row>
    <row r="104" spans="1:24" ht="12.75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</row>
    <row r="105" spans="1:24" ht="12.75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</row>
    <row r="106" spans="1:24" ht="12.75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</row>
    <row r="107" spans="1:24" ht="12.75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</row>
    <row r="108" spans="1:24" ht="12.75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</row>
    <row r="109" spans="1:24" ht="12.75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</row>
    <row r="110" spans="1:24" ht="12.7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</row>
    <row r="111" spans="1:24" ht="12.7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</row>
    <row r="112" spans="1:24" ht="12.75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</row>
    <row r="113" spans="1:24" ht="12.75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</row>
    <row r="114" spans="1:24" ht="12.75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</row>
    <row r="115" spans="1:24" ht="12.75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</row>
    <row r="116" spans="1:24" ht="12.75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</row>
    <row r="117" spans="1:24" ht="12.7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</row>
    <row r="118" spans="1:24" ht="12.7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</row>
    <row r="119" spans="1:24" ht="12.75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</row>
    <row r="120" spans="1:24" ht="12.75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</row>
    <row r="121" spans="1:24" ht="12.75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</row>
    <row r="122" spans="1:24" ht="12.75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</row>
    <row r="123" spans="1:24" ht="12.75" x14ac:dyDescent="0.2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</row>
    <row r="124" spans="1:24" ht="12.75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</row>
    <row r="125" spans="1:24" ht="12.7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</row>
    <row r="126" spans="1:24" ht="12.7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</row>
    <row r="127" spans="1:24" ht="12.75" x14ac:dyDescent="0.2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</row>
    <row r="128" spans="1:24" ht="12.75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</row>
    <row r="129" spans="1:24" ht="12.75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</row>
    <row r="130" spans="1:24" ht="12.75" x14ac:dyDescent="0.2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</row>
    <row r="131" spans="1:24" ht="12.75" x14ac:dyDescent="0.2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</row>
    <row r="132" spans="1:24" ht="12.75" x14ac:dyDescent="0.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</row>
    <row r="133" spans="1:24" ht="12.7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</row>
    <row r="134" spans="1:24" ht="12.7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</row>
    <row r="135" spans="1:24" ht="12.75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</row>
    <row r="136" spans="1:24" ht="12.75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</row>
    <row r="137" spans="1:24" ht="12.75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</row>
    <row r="138" spans="1:24" ht="12.75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</row>
    <row r="139" spans="1:24" ht="12.75" x14ac:dyDescent="0.2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</row>
    <row r="140" spans="1:24" ht="12.75" x14ac:dyDescent="0.2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</row>
    <row r="141" spans="1:24" ht="12.75" x14ac:dyDescent="0.2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</row>
    <row r="142" spans="1:24" ht="12.75" x14ac:dyDescent="0.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</row>
    <row r="143" spans="1:24" ht="12.75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</row>
    <row r="144" spans="1:24" ht="12.75" x14ac:dyDescent="0.2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</row>
    <row r="145" spans="1:24" ht="12.75" x14ac:dyDescent="0.2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</row>
    <row r="146" spans="1:24" ht="12.75" x14ac:dyDescent="0.2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</row>
    <row r="147" spans="1:24" ht="12.75" x14ac:dyDescent="0.2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</row>
    <row r="148" spans="1:24" ht="12.75" x14ac:dyDescent="0.2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</row>
    <row r="149" spans="1:24" ht="12.75" x14ac:dyDescent="0.2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</row>
    <row r="150" spans="1:24" ht="12.75" x14ac:dyDescent="0.2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</row>
    <row r="151" spans="1:24" ht="12.75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</row>
    <row r="152" spans="1:24" ht="12.7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</row>
    <row r="153" spans="1:24" ht="12.7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</row>
    <row r="154" spans="1:24" ht="12.75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</row>
    <row r="155" spans="1:24" ht="12.75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</row>
    <row r="156" spans="1:24" ht="12.7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</row>
    <row r="157" spans="1:24" ht="12.7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</row>
    <row r="158" spans="1:24" ht="12.75" x14ac:dyDescent="0.2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</row>
    <row r="159" spans="1:24" ht="12.75" x14ac:dyDescent="0.2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</row>
    <row r="160" spans="1:24" ht="12.75" x14ac:dyDescent="0.2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</row>
    <row r="161" spans="1:24" ht="12.75" x14ac:dyDescent="0.2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</row>
    <row r="162" spans="1:24" ht="12.75" x14ac:dyDescent="0.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</row>
    <row r="163" spans="1:24" ht="12.75" x14ac:dyDescent="0.2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</row>
    <row r="164" spans="1:24" ht="12.75" x14ac:dyDescent="0.2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</row>
    <row r="165" spans="1:24" ht="12.75" x14ac:dyDescent="0.2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</row>
    <row r="166" spans="1:24" ht="12.75" x14ac:dyDescent="0.2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</row>
    <row r="167" spans="1:24" ht="12.75" x14ac:dyDescent="0.2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</row>
    <row r="168" spans="1:24" ht="12.75" x14ac:dyDescent="0.2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</row>
    <row r="169" spans="1:24" ht="12.75" x14ac:dyDescent="0.2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</row>
    <row r="170" spans="1:24" ht="12.75" x14ac:dyDescent="0.2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</row>
    <row r="171" spans="1:24" ht="12.75" x14ac:dyDescent="0.2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</row>
    <row r="172" spans="1:24" ht="12.75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</row>
    <row r="173" spans="1:24" ht="12.75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</row>
    <row r="174" spans="1:24" ht="12.75" x14ac:dyDescent="0.2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</row>
    <row r="175" spans="1:24" ht="12.7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</row>
    <row r="176" spans="1:24" ht="12.7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</row>
    <row r="177" spans="1:24" ht="12.75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</row>
    <row r="178" spans="1:24" ht="12.75" x14ac:dyDescent="0.2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</row>
    <row r="179" spans="1:24" ht="12.75" x14ac:dyDescent="0.2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</row>
    <row r="180" spans="1:24" ht="12.75" x14ac:dyDescent="0.2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</row>
    <row r="181" spans="1:24" ht="12.75" x14ac:dyDescent="0.2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</row>
    <row r="182" spans="1:24" ht="12.75" x14ac:dyDescent="0.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</row>
    <row r="183" spans="1:24" ht="12.75" x14ac:dyDescent="0.2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</row>
    <row r="184" spans="1:24" ht="12.75" x14ac:dyDescent="0.2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</row>
    <row r="185" spans="1:24" ht="12.75" x14ac:dyDescent="0.2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</row>
    <row r="186" spans="1:24" ht="12.75" x14ac:dyDescent="0.2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</row>
    <row r="187" spans="1:24" ht="12.75" x14ac:dyDescent="0.2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</row>
    <row r="188" spans="1:24" ht="12.75" x14ac:dyDescent="0.2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</row>
    <row r="189" spans="1:24" ht="12.75" x14ac:dyDescent="0.2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</row>
    <row r="190" spans="1:24" ht="12.75" x14ac:dyDescent="0.2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</row>
    <row r="191" spans="1:24" ht="12.75" x14ac:dyDescent="0.2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</row>
    <row r="192" spans="1:24" ht="12.75" x14ac:dyDescent="0.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</row>
    <row r="193" spans="1:24" ht="12.75" x14ac:dyDescent="0.2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</row>
    <row r="194" spans="1:24" ht="12.75" x14ac:dyDescent="0.2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</row>
    <row r="195" spans="1:24" ht="12.75" x14ac:dyDescent="0.2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</row>
    <row r="196" spans="1:24" ht="12.75" x14ac:dyDescent="0.2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</row>
    <row r="197" spans="1:24" ht="12.75" x14ac:dyDescent="0.2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</row>
    <row r="198" spans="1:24" ht="12.75" x14ac:dyDescent="0.2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</row>
    <row r="199" spans="1:24" ht="12.75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</row>
    <row r="200" spans="1:24" ht="12.75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</row>
    <row r="201" spans="1:24" ht="12.75" x14ac:dyDescent="0.2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</row>
    <row r="202" spans="1:24" ht="12.7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</row>
    <row r="203" spans="1:24" ht="12.7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</row>
    <row r="204" spans="1:24" ht="12.75" x14ac:dyDescent="0.2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</row>
    <row r="205" spans="1:24" ht="12.75" x14ac:dyDescent="0.2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</row>
    <row r="206" spans="1:24" ht="12.75" x14ac:dyDescent="0.2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</row>
    <row r="207" spans="1:24" ht="12.75" x14ac:dyDescent="0.2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</row>
    <row r="208" spans="1:24" ht="12.75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</row>
    <row r="209" spans="1:24" ht="12.75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</row>
    <row r="210" spans="1:24" ht="12.75" x14ac:dyDescent="0.2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</row>
    <row r="211" spans="1:24" ht="12.7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</row>
    <row r="212" spans="1:24" ht="12.7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</row>
    <row r="213" spans="1:24" ht="12.75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</row>
    <row r="214" spans="1:24" ht="12.75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</row>
    <row r="215" spans="1:24" ht="12.75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</row>
    <row r="216" spans="1:24" ht="12.75" x14ac:dyDescent="0.2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</row>
    <row r="217" spans="1:24" ht="12.7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</row>
    <row r="218" spans="1:24" ht="12.7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</row>
    <row r="219" spans="1:24" ht="12.75" x14ac:dyDescent="0.2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</row>
    <row r="220" spans="1:24" ht="12.75" x14ac:dyDescent="0.2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</row>
    <row r="221" spans="1:24" ht="12.75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</row>
    <row r="222" spans="1:24" ht="12.75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</row>
    <row r="223" spans="1:24" ht="12.75" x14ac:dyDescent="0.2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</row>
    <row r="224" spans="1:24" ht="12.7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</row>
    <row r="225" spans="1:24" ht="12.7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</row>
    <row r="226" spans="1:24" ht="12.75" x14ac:dyDescent="0.2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</row>
    <row r="227" spans="1:24" ht="12.75" x14ac:dyDescent="0.2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</row>
    <row r="228" spans="1:24" ht="12.75" x14ac:dyDescent="0.2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</row>
    <row r="229" spans="1:24" ht="12.75" x14ac:dyDescent="0.2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</row>
    <row r="230" spans="1:24" ht="12.75" x14ac:dyDescent="0.2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</row>
    <row r="231" spans="1:24" ht="12.75" x14ac:dyDescent="0.2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</row>
    <row r="232" spans="1:24" ht="12.75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</row>
    <row r="233" spans="1:24" ht="12.75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</row>
    <row r="234" spans="1:24" ht="12.75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</row>
    <row r="235" spans="1:24" ht="12.7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</row>
    <row r="236" spans="1:24" ht="12.7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</row>
    <row r="237" spans="1:24" ht="12.75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</row>
    <row r="238" spans="1:24" ht="12.75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</row>
    <row r="239" spans="1:24" ht="12.75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</row>
    <row r="240" spans="1:24" ht="12.7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</row>
    <row r="241" spans="1:24" ht="12.7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</row>
    <row r="242" spans="1:24" ht="12.75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</row>
    <row r="243" spans="1:24" ht="12.75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</row>
    <row r="244" spans="1:24" ht="12.75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</row>
    <row r="245" spans="1:24" ht="12.75" x14ac:dyDescent="0.2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</row>
    <row r="246" spans="1:24" ht="12.7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</row>
    <row r="247" spans="1:24" ht="12.7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</row>
    <row r="248" spans="1:24" ht="12.75" x14ac:dyDescent="0.2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</row>
    <row r="249" spans="1:24" ht="12.75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</row>
    <row r="250" spans="1:24" ht="12.75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</row>
    <row r="251" spans="1:24" ht="12.75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</row>
    <row r="252" spans="1:24" ht="12.7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</row>
    <row r="253" spans="1:24" ht="12.7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</row>
    <row r="254" spans="1:24" ht="12.75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</row>
    <row r="255" spans="1:24" ht="12.75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</row>
    <row r="256" spans="1:24" ht="12.7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</row>
    <row r="257" spans="1:24" ht="12.7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</row>
    <row r="258" spans="1:24" ht="12.75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</row>
    <row r="259" spans="1:24" ht="12.75" x14ac:dyDescent="0.2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</row>
    <row r="260" spans="1:24" ht="12.7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</row>
    <row r="261" spans="1:24" ht="12.7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</row>
    <row r="262" spans="1:24" ht="12.75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</row>
    <row r="263" spans="1:24" ht="12.75" x14ac:dyDescent="0.2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</row>
    <row r="264" spans="1:24" ht="12.7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</row>
    <row r="265" spans="1:24" ht="12.7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</row>
    <row r="266" spans="1:24" ht="12.75" x14ac:dyDescent="0.2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</row>
    <row r="267" spans="1:24" ht="12.75" x14ac:dyDescent="0.2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</row>
    <row r="268" spans="1:24" ht="12.75" x14ac:dyDescent="0.2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</row>
    <row r="269" spans="1:24" ht="12.75" x14ac:dyDescent="0.2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</row>
    <row r="270" spans="1:24" ht="12.75" x14ac:dyDescent="0.2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</row>
    <row r="271" spans="1:24" ht="12.75" x14ac:dyDescent="0.2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</row>
    <row r="272" spans="1:24" ht="12.75" x14ac:dyDescent="0.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</row>
    <row r="273" spans="1:24" ht="12.75" x14ac:dyDescent="0.2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</row>
    <row r="274" spans="1:24" ht="12.75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</row>
    <row r="275" spans="1:24" ht="12.75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</row>
    <row r="276" spans="1:24" ht="12.75" x14ac:dyDescent="0.2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</row>
    <row r="277" spans="1:24" ht="12.7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</row>
    <row r="278" spans="1:24" ht="12.7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</row>
    <row r="279" spans="1:24" ht="12.75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</row>
    <row r="280" spans="1:24" ht="12.75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</row>
    <row r="281" spans="1:24" ht="12.75" x14ac:dyDescent="0.2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</row>
    <row r="282" spans="1:24" ht="12.7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</row>
    <row r="283" spans="1:24" ht="12.7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</row>
    <row r="284" spans="1:24" ht="12.75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</row>
    <row r="285" spans="1:24" ht="12.75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</row>
    <row r="286" spans="1:24" ht="12.75" x14ac:dyDescent="0.2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</row>
    <row r="287" spans="1:24" ht="12.7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</row>
    <row r="288" spans="1:24" ht="12.7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</row>
    <row r="289" spans="1:24" ht="12.75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</row>
    <row r="290" spans="1:24" ht="12.75" x14ac:dyDescent="0.2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</row>
    <row r="291" spans="1:24" ht="12.7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</row>
    <row r="292" spans="1:24" ht="12.7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</row>
    <row r="293" spans="1:24" ht="12.75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</row>
    <row r="294" spans="1:24" ht="12.75" x14ac:dyDescent="0.2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</row>
    <row r="295" spans="1:24" ht="12.7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</row>
    <row r="296" spans="1:24" ht="12.7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</row>
    <row r="297" spans="1:24" ht="12.75" x14ac:dyDescent="0.2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</row>
    <row r="298" spans="1:24" ht="12.75" x14ac:dyDescent="0.2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</row>
    <row r="299" spans="1:24" ht="12.75" x14ac:dyDescent="0.2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</row>
    <row r="300" spans="1:24" ht="12.75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</row>
    <row r="301" spans="1:24" ht="12.75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</row>
    <row r="302" spans="1:24" ht="12.75" x14ac:dyDescent="0.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</row>
    <row r="303" spans="1:24" ht="12.7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</row>
    <row r="304" spans="1:24" ht="12.7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</row>
    <row r="305" spans="1:24" ht="12.75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</row>
    <row r="306" spans="1:24" ht="12.75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</row>
    <row r="307" spans="1:24" ht="12.75" x14ac:dyDescent="0.2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</row>
    <row r="308" spans="1:24" ht="12.7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</row>
    <row r="309" spans="1:24" ht="12.7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</row>
    <row r="310" spans="1:24" ht="12.75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</row>
    <row r="311" spans="1:24" ht="12.75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</row>
    <row r="312" spans="1:24" ht="12.75" x14ac:dyDescent="0.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</row>
    <row r="313" spans="1:24" ht="12.75" x14ac:dyDescent="0.2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</row>
    <row r="314" spans="1:24" ht="12.75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</row>
    <row r="315" spans="1:24" ht="12.7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</row>
    <row r="316" spans="1:24" ht="12.7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</row>
    <row r="317" spans="1:24" ht="12.75" x14ac:dyDescent="0.2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</row>
    <row r="318" spans="1:24" ht="12.75" x14ac:dyDescent="0.2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</row>
    <row r="319" spans="1:24" ht="12.75" x14ac:dyDescent="0.2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</row>
    <row r="320" spans="1:24" ht="12.7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</row>
    <row r="321" spans="1:24" ht="12.7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</row>
    <row r="322" spans="1:24" ht="12.75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</row>
    <row r="323" spans="1:24" ht="12.75" x14ac:dyDescent="0.2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</row>
    <row r="324" spans="1:24" ht="12.75" x14ac:dyDescent="0.2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</row>
    <row r="325" spans="1:24" ht="12.75" x14ac:dyDescent="0.2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</row>
    <row r="326" spans="1:24" ht="12.75" x14ac:dyDescent="0.2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</row>
    <row r="327" spans="1:24" ht="12.7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</row>
    <row r="328" spans="1:24" ht="12.7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</row>
    <row r="329" spans="1:24" ht="12.75" x14ac:dyDescent="0.2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</row>
    <row r="330" spans="1:24" ht="12.75" x14ac:dyDescent="0.2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</row>
    <row r="331" spans="1:24" ht="12.75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</row>
    <row r="332" spans="1:24" ht="12.75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</row>
    <row r="333" spans="1:24" ht="12.75" x14ac:dyDescent="0.2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</row>
    <row r="334" spans="1:24" ht="12.75" x14ac:dyDescent="0.2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</row>
    <row r="335" spans="1:24" ht="12.75" x14ac:dyDescent="0.2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</row>
    <row r="336" spans="1:24" ht="12.75" x14ac:dyDescent="0.2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</row>
    <row r="337" spans="1:24" ht="12.7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</row>
    <row r="338" spans="1:24" ht="12.7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</row>
    <row r="339" spans="1:24" ht="12.75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</row>
    <row r="340" spans="1:24" ht="12.75" x14ac:dyDescent="0.2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</row>
    <row r="341" spans="1:24" ht="12.75" x14ac:dyDescent="0.2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</row>
    <row r="342" spans="1:24" ht="12.75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</row>
    <row r="343" spans="1:24" ht="12.75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</row>
    <row r="344" spans="1:24" ht="12.7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</row>
    <row r="345" spans="1:24" ht="12.7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</row>
    <row r="346" spans="1:24" ht="12.75" x14ac:dyDescent="0.2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</row>
    <row r="347" spans="1:24" ht="12.75" x14ac:dyDescent="0.2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</row>
    <row r="348" spans="1:24" ht="12.7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</row>
    <row r="349" spans="1:24" ht="12.7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</row>
    <row r="350" spans="1:24" ht="12.75" x14ac:dyDescent="0.2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</row>
    <row r="351" spans="1:24" ht="12.75" x14ac:dyDescent="0.2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</row>
    <row r="352" spans="1:24" ht="12.75" x14ac:dyDescent="0.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</row>
    <row r="353" spans="1:24" ht="12.75" x14ac:dyDescent="0.2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</row>
    <row r="354" spans="1:24" ht="12.7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</row>
    <row r="355" spans="1:24" ht="12.7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</row>
    <row r="356" spans="1:24" ht="12.75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</row>
    <row r="357" spans="1:24" ht="12.75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</row>
    <row r="358" spans="1:24" ht="12.75" x14ac:dyDescent="0.2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</row>
    <row r="359" spans="1:24" ht="12.75" x14ac:dyDescent="0.2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</row>
    <row r="360" spans="1:24" ht="12.75" x14ac:dyDescent="0.2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</row>
    <row r="361" spans="1:24" ht="12.75" x14ac:dyDescent="0.2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</row>
    <row r="362" spans="1:24" ht="12.7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</row>
    <row r="363" spans="1:24" ht="12.7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</row>
    <row r="364" spans="1:24" ht="12.75" x14ac:dyDescent="0.2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</row>
    <row r="365" spans="1:24" ht="12.75" x14ac:dyDescent="0.2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</row>
    <row r="366" spans="1:24" ht="12.75" x14ac:dyDescent="0.2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</row>
    <row r="367" spans="1:24" ht="12.75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</row>
    <row r="368" spans="1:24" ht="12.75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</row>
    <row r="369" spans="1:24" ht="12.75" x14ac:dyDescent="0.2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</row>
    <row r="370" spans="1:24" ht="12.75" x14ac:dyDescent="0.2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</row>
    <row r="371" spans="1:24" ht="12.75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</row>
    <row r="372" spans="1:24" ht="12.75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</row>
    <row r="373" spans="1:24" ht="12.75" x14ac:dyDescent="0.2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</row>
    <row r="374" spans="1:24" ht="12.75" x14ac:dyDescent="0.2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</row>
    <row r="375" spans="1:24" ht="12.75" x14ac:dyDescent="0.2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</row>
    <row r="376" spans="1:24" ht="12.75" x14ac:dyDescent="0.2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</row>
    <row r="377" spans="1:24" ht="12.7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</row>
    <row r="378" spans="1:24" ht="12.7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</row>
    <row r="379" spans="1:24" ht="12.75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</row>
    <row r="380" spans="1:24" ht="12.75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</row>
    <row r="381" spans="1:24" ht="12.75" x14ac:dyDescent="0.2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</row>
    <row r="382" spans="1:24" ht="12.7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</row>
    <row r="383" spans="1:24" ht="12.7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</row>
    <row r="384" spans="1:24" ht="12.75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</row>
    <row r="385" spans="1:24" ht="12.75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</row>
    <row r="386" spans="1:24" ht="12.75" x14ac:dyDescent="0.2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</row>
    <row r="387" spans="1:24" ht="12.75" x14ac:dyDescent="0.2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</row>
    <row r="388" spans="1:24" ht="12.75" x14ac:dyDescent="0.2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</row>
    <row r="389" spans="1:24" ht="12.75" x14ac:dyDescent="0.2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</row>
    <row r="390" spans="1:24" ht="12.75" x14ac:dyDescent="0.2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</row>
    <row r="391" spans="1:24" ht="12.7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</row>
    <row r="392" spans="1:24" ht="12.7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</row>
    <row r="393" spans="1:24" ht="12.75" x14ac:dyDescent="0.2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</row>
    <row r="394" spans="1:24" ht="12.75" x14ac:dyDescent="0.2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</row>
    <row r="395" spans="1:24" ht="12.75" x14ac:dyDescent="0.2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</row>
    <row r="396" spans="1:24" ht="12.7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</row>
    <row r="397" spans="1:24" ht="12.7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</row>
    <row r="398" spans="1:24" ht="12.75" x14ac:dyDescent="0.2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</row>
    <row r="399" spans="1:24" ht="12.75" x14ac:dyDescent="0.2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</row>
    <row r="400" spans="1:24" ht="12.75" x14ac:dyDescent="0.2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</row>
    <row r="401" spans="1:24" ht="12.75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</row>
    <row r="402" spans="1:24" ht="12.75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</row>
    <row r="403" spans="1:24" ht="12.7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</row>
    <row r="404" spans="1:24" ht="12.7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</row>
    <row r="405" spans="1:24" ht="12.75" x14ac:dyDescent="0.2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</row>
    <row r="406" spans="1:24" ht="12.75" x14ac:dyDescent="0.2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</row>
    <row r="407" spans="1:24" ht="12.75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</row>
    <row r="408" spans="1:24" ht="12.7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</row>
    <row r="409" spans="1:24" ht="12.7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</row>
    <row r="410" spans="1:24" ht="12.75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</row>
    <row r="411" spans="1:24" ht="12.75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</row>
    <row r="412" spans="1:24" ht="12.75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</row>
    <row r="413" spans="1:24" ht="12.7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</row>
    <row r="414" spans="1:24" ht="12.7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</row>
    <row r="415" spans="1:24" ht="12.75" x14ac:dyDescent="0.2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</row>
    <row r="416" spans="1:24" ht="12.75" x14ac:dyDescent="0.2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</row>
    <row r="417" spans="1:24" ht="12.75" x14ac:dyDescent="0.2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</row>
    <row r="418" spans="1:24" ht="12.75" x14ac:dyDescent="0.2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</row>
    <row r="419" spans="1:24" ht="12.75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</row>
    <row r="420" spans="1:24" ht="12.75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</row>
    <row r="421" spans="1:24" ht="12.75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</row>
    <row r="422" spans="1:24" ht="12.75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</row>
    <row r="423" spans="1:24" ht="12.75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</row>
    <row r="424" spans="1:24" ht="12.75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</row>
    <row r="425" spans="1:24" ht="12.75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</row>
    <row r="426" spans="1:24" ht="12.7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</row>
    <row r="427" spans="1:24" ht="12.75" x14ac:dyDescent="0.2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</row>
    <row r="428" spans="1:24" ht="12.75" x14ac:dyDescent="0.2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</row>
    <row r="429" spans="1:24" ht="12.75" x14ac:dyDescent="0.2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</row>
    <row r="430" spans="1:24" ht="12.75" x14ac:dyDescent="0.2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</row>
    <row r="431" spans="1:24" ht="12.75" x14ac:dyDescent="0.2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</row>
    <row r="432" spans="1:24" ht="12.75" x14ac:dyDescent="0.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</row>
    <row r="433" spans="1:24" ht="12.75" x14ac:dyDescent="0.2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</row>
    <row r="434" spans="1:24" ht="12.75" x14ac:dyDescent="0.2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</row>
    <row r="435" spans="1:24" ht="12.75" x14ac:dyDescent="0.2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</row>
    <row r="436" spans="1:24" ht="12.75" x14ac:dyDescent="0.2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</row>
    <row r="437" spans="1:24" ht="12.75" x14ac:dyDescent="0.2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</row>
    <row r="438" spans="1:24" ht="12.75" x14ac:dyDescent="0.2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</row>
    <row r="439" spans="1:24" ht="12.75" x14ac:dyDescent="0.2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</row>
    <row r="440" spans="1:24" ht="12.75" x14ac:dyDescent="0.2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</row>
    <row r="441" spans="1:24" ht="12.75" x14ac:dyDescent="0.2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</row>
    <row r="442" spans="1:24" ht="12.75" x14ac:dyDescent="0.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</row>
    <row r="443" spans="1:24" ht="12.75" x14ac:dyDescent="0.2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</row>
    <row r="444" spans="1:24" ht="12.75" x14ac:dyDescent="0.2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</row>
    <row r="445" spans="1:24" ht="12.75" x14ac:dyDescent="0.2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</row>
    <row r="446" spans="1:24" ht="12.75" x14ac:dyDescent="0.2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</row>
    <row r="447" spans="1:24" ht="12.75" x14ac:dyDescent="0.2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</row>
    <row r="448" spans="1:24" ht="12.75" x14ac:dyDescent="0.2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</row>
    <row r="449" spans="1:24" ht="12.75" x14ac:dyDescent="0.2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</row>
    <row r="450" spans="1:24" ht="12.75" x14ac:dyDescent="0.2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</row>
    <row r="451" spans="1:24" ht="12.75" x14ac:dyDescent="0.2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</row>
    <row r="452" spans="1:24" ht="12.75" x14ac:dyDescent="0.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</row>
    <row r="453" spans="1:24" ht="12.75" x14ac:dyDescent="0.2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</row>
    <row r="454" spans="1:24" ht="12.75" x14ac:dyDescent="0.2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</row>
    <row r="455" spans="1:24" ht="12.75" x14ac:dyDescent="0.2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</row>
    <row r="456" spans="1:24" ht="12.75" x14ac:dyDescent="0.2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</row>
    <row r="457" spans="1:24" ht="12.75" x14ac:dyDescent="0.2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</row>
    <row r="458" spans="1:24" ht="12.75" x14ac:dyDescent="0.2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</row>
    <row r="459" spans="1:24" ht="12.75" x14ac:dyDescent="0.2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</row>
    <row r="460" spans="1:24" ht="12.75" x14ac:dyDescent="0.2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</row>
    <row r="461" spans="1:24" ht="12.75" x14ac:dyDescent="0.2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</row>
    <row r="462" spans="1:24" ht="12.75" x14ac:dyDescent="0.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</row>
    <row r="463" spans="1:24" ht="12.75" x14ac:dyDescent="0.2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</row>
    <row r="464" spans="1:24" ht="12.75" x14ac:dyDescent="0.2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</row>
    <row r="465" spans="1:24" ht="12.75" x14ac:dyDescent="0.2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</row>
    <row r="466" spans="1:24" ht="12.75" x14ac:dyDescent="0.2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</row>
    <row r="467" spans="1:24" ht="12.75" x14ac:dyDescent="0.2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</row>
    <row r="468" spans="1:24" ht="12.75" x14ac:dyDescent="0.2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</row>
    <row r="469" spans="1:24" ht="12.75" x14ac:dyDescent="0.2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</row>
    <row r="470" spans="1:24" ht="12.75" x14ac:dyDescent="0.2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</row>
    <row r="471" spans="1:24" ht="12.75" x14ac:dyDescent="0.2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</row>
    <row r="472" spans="1:24" ht="12.75" x14ac:dyDescent="0.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</row>
    <row r="473" spans="1:24" ht="12.75" x14ac:dyDescent="0.2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</row>
    <row r="474" spans="1:24" ht="12.75" x14ac:dyDescent="0.2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</row>
    <row r="475" spans="1:24" ht="12.75" x14ac:dyDescent="0.2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</row>
    <row r="476" spans="1:24" ht="12.75" x14ac:dyDescent="0.2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</row>
    <row r="477" spans="1:24" ht="12.75" x14ac:dyDescent="0.2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</row>
    <row r="478" spans="1:24" ht="12.75" x14ac:dyDescent="0.2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</row>
    <row r="479" spans="1:24" ht="12.75" x14ac:dyDescent="0.2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</row>
    <row r="480" spans="1:24" ht="12.75" x14ac:dyDescent="0.2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</row>
    <row r="481" spans="1:24" ht="12.75" x14ac:dyDescent="0.2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</row>
    <row r="482" spans="1:24" ht="12.75" x14ac:dyDescent="0.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</row>
    <row r="483" spans="1:24" ht="12.75" x14ac:dyDescent="0.2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</row>
    <row r="484" spans="1:24" ht="12.75" x14ac:dyDescent="0.2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</row>
    <row r="485" spans="1:24" ht="12.75" x14ac:dyDescent="0.2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</row>
    <row r="486" spans="1:24" ht="12.75" x14ac:dyDescent="0.2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</row>
    <row r="487" spans="1:24" ht="12.75" x14ac:dyDescent="0.2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</row>
    <row r="488" spans="1:24" ht="12.75" x14ac:dyDescent="0.2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</row>
    <row r="489" spans="1:24" ht="12.75" x14ac:dyDescent="0.2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</row>
    <row r="490" spans="1:24" ht="12.75" x14ac:dyDescent="0.2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</row>
    <row r="491" spans="1:24" ht="12.75" x14ac:dyDescent="0.2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</row>
    <row r="492" spans="1:24" ht="12.75" x14ac:dyDescent="0.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</row>
    <row r="493" spans="1:24" ht="12.75" x14ac:dyDescent="0.2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</row>
    <row r="494" spans="1:24" ht="12.75" x14ac:dyDescent="0.2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</row>
    <row r="495" spans="1:24" ht="12.75" x14ac:dyDescent="0.2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</row>
    <row r="496" spans="1:24" ht="12.75" x14ac:dyDescent="0.2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</row>
    <row r="497" spans="1:24" ht="12.75" x14ac:dyDescent="0.2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</row>
    <row r="498" spans="1:24" ht="12.75" x14ac:dyDescent="0.2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</row>
    <row r="499" spans="1:24" ht="12.75" x14ac:dyDescent="0.2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</row>
    <row r="500" spans="1:24" ht="12.75" x14ac:dyDescent="0.2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</row>
    <row r="501" spans="1:24" ht="12.75" x14ac:dyDescent="0.2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</row>
    <row r="502" spans="1:24" ht="12.75" x14ac:dyDescent="0.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</row>
    <row r="503" spans="1:24" ht="12.75" x14ac:dyDescent="0.2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</row>
    <row r="504" spans="1:24" ht="12.75" x14ac:dyDescent="0.2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</row>
    <row r="505" spans="1:24" ht="12.75" x14ac:dyDescent="0.2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</row>
    <row r="506" spans="1:24" ht="12.75" x14ac:dyDescent="0.2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</row>
    <row r="507" spans="1:24" ht="12.75" x14ac:dyDescent="0.2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</row>
    <row r="508" spans="1:24" ht="12.75" x14ac:dyDescent="0.2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</row>
    <row r="509" spans="1:24" ht="12.75" x14ac:dyDescent="0.2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</row>
    <row r="510" spans="1:24" ht="12.75" x14ac:dyDescent="0.2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</row>
    <row r="511" spans="1:24" ht="12.75" x14ac:dyDescent="0.2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</row>
    <row r="512" spans="1:24" ht="12.75" x14ac:dyDescent="0.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</row>
    <row r="513" spans="1:24" ht="12.75" x14ac:dyDescent="0.2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</row>
    <row r="514" spans="1:24" ht="12.75" x14ac:dyDescent="0.2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</row>
    <row r="515" spans="1:24" ht="12.75" x14ac:dyDescent="0.2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</row>
    <row r="516" spans="1:24" ht="12.75" x14ac:dyDescent="0.2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</row>
    <row r="517" spans="1:24" ht="12.75" x14ac:dyDescent="0.2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</row>
    <row r="518" spans="1:24" ht="12.75" x14ac:dyDescent="0.2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</row>
    <row r="519" spans="1:24" ht="12.75" x14ac:dyDescent="0.2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</row>
    <row r="520" spans="1:24" ht="12.75" x14ac:dyDescent="0.2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</row>
    <row r="521" spans="1:24" ht="12.75" x14ac:dyDescent="0.2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</row>
    <row r="522" spans="1:24" ht="12.75" x14ac:dyDescent="0.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</row>
    <row r="523" spans="1:24" ht="12.75" x14ac:dyDescent="0.2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</row>
    <row r="524" spans="1:24" ht="12.75" x14ac:dyDescent="0.2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</row>
    <row r="525" spans="1:24" ht="12.75" x14ac:dyDescent="0.2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</row>
    <row r="526" spans="1:24" ht="12.75" x14ac:dyDescent="0.2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</row>
    <row r="527" spans="1:24" ht="12.75" x14ac:dyDescent="0.2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</row>
    <row r="528" spans="1:24" ht="12.75" x14ac:dyDescent="0.2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</row>
    <row r="529" spans="1:24" ht="12.75" x14ac:dyDescent="0.2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</row>
    <row r="530" spans="1:24" ht="12.75" x14ac:dyDescent="0.2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</row>
    <row r="531" spans="1:24" ht="12.75" x14ac:dyDescent="0.2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</row>
    <row r="532" spans="1:24" ht="12.75" x14ac:dyDescent="0.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</row>
    <row r="533" spans="1:24" ht="12.75" x14ac:dyDescent="0.2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</row>
    <row r="534" spans="1:24" ht="12.75" x14ac:dyDescent="0.2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</row>
    <row r="535" spans="1:24" ht="12.75" x14ac:dyDescent="0.2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</row>
    <row r="536" spans="1:24" ht="12.75" x14ac:dyDescent="0.2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</row>
    <row r="537" spans="1:24" ht="12.75" x14ac:dyDescent="0.2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</row>
    <row r="538" spans="1:24" ht="12.75" x14ac:dyDescent="0.2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</row>
    <row r="539" spans="1:24" ht="12.75" x14ac:dyDescent="0.2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</row>
    <row r="540" spans="1:24" ht="12.75" x14ac:dyDescent="0.2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</row>
    <row r="541" spans="1:24" ht="12.75" x14ac:dyDescent="0.2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</row>
    <row r="542" spans="1:24" ht="12.75" x14ac:dyDescent="0.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</row>
    <row r="543" spans="1:24" ht="12.75" x14ac:dyDescent="0.2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</row>
    <row r="544" spans="1:24" ht="12.75" x14ac:dyDescent="0.2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</row>
    <row r="545" spans="1:24" ht="12.75" x14ac:dyDescent="0.2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</row>
    <row r="546" spans="1:24" ht="12.75" x14ac:dyDescent="0.2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</row>
    <row r="547" spans="1:24" ht="12.75" x14ac:dyDescent="0.2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</row>
    <row r="548" spans="1:24" ht="12.75" x14ac:dyDescent="0.2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</row>
    <row r="549" spans="1:24" ht="12.75" x14ac:dyDescent="0.2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</row>
    <row r="550" spans="1:24" ht="12.75" x14ac:dyDescent="0.2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</row>
    <row r="551" spans="1:24" ht="12.75" x14ac:dyDescent="0.2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</row>
    <row r="552" spans="1:24" ht="12.75" x14ac:dyDescent="0.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</row>
    <row r="553" spans="1:24" ht="12.75" x14ac:dyDescent="0.2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</row>
    <row r="554" spans="1:24" ht="12.75" x14ac:dyDescent="0.2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</row>
    <row r="555" spans="1:24" ht="12.75" x14ac:dyDescent="0.2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</row>
    <row r="556" spans="1:24" ht="12.75" x14ac:dyDescent="0.2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</row>
    <row r="557" spans="1:24" ht="12.75" x14ac:dyDescent="0.2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</row>
    <row r="558" spans="1:24" ht="12.75" x14ac:dyDescent="0.2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</row>
    <row r="559" spans="1:24" ht="12.75" x14ac:dyDescent="0.2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</row>
    <row r="560" spans="1:24" ht="12.75" x14ac:dyDescent="0.2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</row>
    <row r="561" spans="1:24" ht="12.75" x14ac:dyDescent="0.2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</row>
    <row r="562" spans="1:24" ht="12.75" x14ac:dyDescent="0.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</row>
    <row r="563" spans="1:24" ht="12.75" x14ac:dyDescent="0.2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</row>
    <row r="564" spans="1:24" ht="12.75" x14ac:dyDescent="0.2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</row>
    <row r="565" spans="1:24" ht="12.75" x14ac:dyDescent="0.2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</row>
    <row r="566" spans="1:24" ht="12.75" x14ac:dyDescent="0.2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</row>
    <row r="567" spans="1:24" ht="12.75" x14ac:dyDescent="0.2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</row>
    <row r="568" spans="1:24" ht="12.75" x14ac:dyDescent="0.2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</row>
    <row r="569" spans="1:24" ht="12.75" x14ac:dyDescent="0.2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</row>
    <row r="570" spans="1:24" ht="12.75" x14ac:dyDescent="0.2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</row>
    <row r="571" spans="1:24" ht="12.75" x14ac:dyDescent="0.2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</row>
    <row r="572" spans="1:24" ht="12.75" x14ac:dyDescent="0.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</row>
    <row r="573" spans="1:24" ht="12.75" x14ac:dyDescent="0.2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</row>
    <row r="574" spans="1:24" ht="12.75" x14ac:dyDescent="0.2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</row>
    <row r="575" spans="1:24" ht="12.75" x14ac:dyDescent="0.2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</row>
    <row r="576" spans="1:24" ht="12.75" x14ac:dyDescent="0.2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</row>
    <row r="577" spans="1:24" ht="12.75" x14ac:dyDescent="0.2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</row>
    <row r="578" spans="1:24" ht="12.75" x14ac:dyDescent="0.2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</row>
    <row r="579" spans="1:24" ht="12.75" x14ac:dyDescent="0.2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</row>
    <row r="580" spans="1:24" ht="12.75" x14ac:dyDescent="0.2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</row>
    <row r="581" spans="1:24" ht="12.75" x14ac:dyDescent="0.2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</row>
    <row r="582" spans="1:24" ht="12.75" x14ac:dyDescent="0.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</row>
    <row r="583" spans="1:24" ht="12.75" x14ac:dyDescent="0.2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</row>
    <row r="584" spans="1:24" ht="12.75" x14ac:dyDescent="0.2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</row>
    <row r="585" spans="1:24" ht="12.75" x14ac:dyDescent="0.2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</row>
    <row r="586" spans="1:24" ht="12.75" x14ac:dyDescent="0.2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</row>
    <row r="587" spans="1:24" ht="12.75" x14ac:dyDescent="0.2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</row>
    <row r="588" spans="1:24" ht="12.75" x14ac:dyDescent="0.2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</row>
    <row r="589" spans="1:24" ht="12.75" x14ac:dyDescent="0.2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</row>
    <row r="590" spans="1:24" ht="12.75" x14ac:dyDescent="0.2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</row>
    <row r="591" spans="1:24" ht="12.75" x14ac:dyDescent="0.2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</row>
    <row r="592" spans="1:24" ht="12.75" x14ac:dyDescent="0.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</row>
    <row r="593" spans="1:24" ht="12.75" x14ac:dyDescent="0.2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</row>
    <row r="594" spans="1:24" ht="12.75" x14ac:dyDescent="0.2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</row>
    <row r="595" spans="1:24" ht="12.75" x14ac:dyDescent="0.2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</row>
    <row r="596" spans="1:24" ht="12.75" x14ac:dyDescent="0.2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</row>
    <row r="597" spans="1:24" ht="12.75" x14ac:dyDescent="0.2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</row>
    <row r="598" spans="1:24" ht="12.75" x14ac:dyDescent="0.2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</row>
    <row r="599" spans="1:24" ht="12.75" x14ac:dyDescent="0.2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</row>
    <row r="600" spans="1:24" ht="12.75" x14ac:dyDescent="0.2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</row>
    <row r="601" spans="1:24" ht="12.75" x14ac:dyDescent="0.2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</row>
    <row r="602" spans="1:24" ht="12.75" x14ac:dyDescent="0.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</row>
    <row r="603" spans="1:24" ht="12.75" x14ac:dyDescent="0.2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</row>
    <row r="604" spans="1:24" ht="12.75" x14ac:dyDescent="0.2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</row>
    <row r="605" spans="1:24" ht="12.75" x14ac:dyDescent="0.2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</row>
    <row r="606" spans="1:24" ht="12.75" x14ac:dyDescent="0.2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</row>
    <row r="607" spans="1:24" ht="12.75" x14ac:dyDescent="0.2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</row>
    <row r="608" spans="1:24" ht="12.75" x14ac:dyDescent="0.2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</row>
    <row r="609" spans="1:24" ht="12.75" x14ac:dyDescent="0.2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</row>
    <row r="610" spans="1:24" ht="12.75" x14ac:dyDescent="0.2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</row>
    <row r="611" spans="1:24" ht="12.75" x14ac:dyDescent="0.2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</row>
    <row r="612" spans="1:24" ht="12.75" x14ac:dyDescent="0.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</row>
    <row r="613" spans="1:24" ht="12.75" x14ac:dyDescent="0.2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</row>
    <row r="614" spans="1:24" ht="12.75" x14ac:dyDescent="0.2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</row>
    <row r="615" spans="1:24" ht="12.75" x14ac:dyDescent="0.2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</row>
    <row r="616" spans="1:24" ht="12.75" x14ac:dyDescent="0.2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</row>
    <row r="617" spans="1:24" ht="12.75" x14ac:dyDescent="0.2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</row>
    <row r="618" spans="1:24" ht="12.75" x14ac:dyDescent="0.2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</row>
    <row r="619" spans="1:24" ht="12.75" x14ac:dyDescent="0.2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</row>
    <row r="620" spans="1:24" ht="12.75" x14ac:dyDescent="0.2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</row>
    <row r="621" spans="1:24" ht="12.75" x14ac:dyDescent="0.2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</row>
    <row r="622" spans="1:24" ht="12.75" x14ac:dyDescent="0.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</row>
    <row r="623" spans="1:24" ht="12.75" x14ac:dyDescent="0.2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</row>
    <row r="624" spans="1:24" ht="12.75" x14ac:dyDescent="0.2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</row>
    <row r="625" spans="1:24" ht="12.75" x14ac:dyDescent="0.2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</row>
    <row r="626" spans="1:24" ht="12.75" x14ac:dyDescent="0.2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</row>
    <row r="627" spans="1:24" ht="12.75" x14ac:dyDescent="0.2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</row>
    <row r="628" spans="1:24" ht="12.75" x14ac:dyDescent="0.2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</row>
    <row r="629" spans="1:24" ht="12.75" x14ac:dyDescent="0.2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</row>
    <row r="630" spans="1:24" ht="12.75" x14ac:dyDescent="0.2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</row>
    <row r="631" spans="1:24" ht="12.75" x14ac:dyDescent="0.2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</row>
    <row r="632" spans="1:24" ht="12.75" x14ac:dyDescent="0.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</row>
    <row r="633" spans="1:24" ht="12.75" x14ac:dyDescent="0.2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</row>
    <row r="634" spans="1:24" ht="12.75" x14ac:dyDescent="0.2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</row>
    <row r="635" spans="1:24" ht="12.75" x14ac:dyDescent="0.2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</row>
    <row r="636" spans="1:24" ht="12.75" x14ac:dyDescent="0.2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</row>
    <row r="637" spans="1:24" ht="12.75" x14ac:dyDescent="0.2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</row>
    <row r="638" spans="1:24" ht="12.75" x14ac:dyDescent="0.2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</row>
    <row r="639" spans="1:24" ht="12.75" x14ac:dyDescent="0.2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</row>
    <row r="640" spans="1:24" ht="12.75" x14ac:dyDescent="0.2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</row>
    <row r="641" spans="1:24" ht="12.75" x14ac:dyDescent="0.2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</row>
    <row r="642" spans="1:24" ht="12.75" x14ac:dyDescent="0.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</row>
    <row r="643" spans="1:24" ht="12.75" x14ac:dyDescent="0.2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</row>
    <row r="644" spans="1:24" ht="12.75" x14ac:dyDescent="0.2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</row>
    <row r="645" spans="1:24" ht="12.75" x14ac:dyDescent="0.2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</row>
    <row r="646" spans="1:24" ht="12.75" x14ac:dyDescent="0.2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</row>
    <row r="647" spans="1:24" ht="12.75" x14ac:dyDescent="0.2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</row>
    <row r="648" spans="1:24" ht="12.75" x14ac:dyDescent="0.2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</row>
    <row r="649" spans="1:24" ht="12.75" x14ac:dyDescent="0.2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</row>
    <row r="650" spans="1:24" ht="12.75" x14ac:dyDescent="0.2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</row>
    <row r="651" spans="1:24" ht="12.75" x14ac:dyDescent="0.2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</row>
    <row r="652" spans="1:24" ht="12.75" x14ac:dyDescent="0.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</row>
    <row r="653" spans="1:24" ht="12.75" x14ac:dyDescent="0.2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</row>
    <row r="654" spans="1:24" ht="12.75" x14ac:dyDescent="0.2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</row>
    <row r="655" spans="1:24" ht="12.75" x14ac:dyDescent="0.2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</row>
    <row r="656" spans="1:24" ht="12.75" x14ac:dyDescent="0.2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</row>
    <row r="657" spans="1:24" ht="12.75" x14ac:dyDescent="0.2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</row>
    <row r="658" spans="1:24" ht="12.75" x14ac:dyDescent="0.2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</row>
    <row r="659" spans="1:24" ht="12.75" x14ac:dyDescent="0.2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</row>
    <row r="660" spans="1:24" ht="12.75" x14ac:dyDescent="0.2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</row>
    <row r="661" spans="1:24" ht="12.75" x14ac:dyDescent="0.2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</row>
    <row r="662" spans="1:24" ht="12.75" x14ac:dyDescent="0.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</row>
    <row r="663" spans="1:24" ht="12.75" x14ac:dyDescent="0.2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</row>
    <row r="664" spans="1:24" ht="12.75" x14ac:dyDescent="0.2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</row>
    <row r="665" spans="1:24" ht="12.75" x14ac:dyDescent="0.2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</row>
    <row r="666" spans="1:24" ht="12.75" x14ac:dyDescent="0.2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</row>
    <row r="667" spans="1:24" ht="12.75" x14ac:dyDescent="0.2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</row>
    <row r="668" spans="1:24" ht="12.75" x14ac:dyDescent="0.2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</row>
    <row r="669" spans="1:24" ht="12.75" x14ac:dyDescent="0.2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</row>
    <row r="670" spans="1:24" ht="12.75" x14ac:dyDescent="0.2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</row>
    <row r="671" spans="1:24" ht="12.75" x14ac:dyDescent="0.2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</row>
    <row r="672" spans="1:24" ht="12.75" x14ac:dyDescent="0.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</row>
    <row r="673" spans="1:24" ht="12.75" x14ac:dyDescent="0.2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</row>
    <row r="674" spans="1:24" ht="12.75" x14ac:dyDescent="0.2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</row>
    <row r="675" spans="1:24" ht="12.75" x14ac:dyDescent="0.2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</row>
    <row r="676" spans="1:24" ht="12.75" x14ac:dyDescent="0.2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</row>
    <row r="677" spans="1:24" ht="12.75" x14ac:dyDescent="0.2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</row>
    <row r="678" spans="1:24" ht="12.75" x14ac:dyDescent="0.2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</row>
    <row r="679" spans="1:24" ht="12.75" x14ac:dyDescent="0.2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</row>
    <row r="680" spans="1:24" ht="12.75" x14ac:dyDescent="0.2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</row>
    <row r="681" spans="1:24" ht="12.75" x14ac:dyDescent="0.2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</row>
    <row r="682" spans="1:24" ht="12.75" x14ac:dyDescent="0.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</row>
    <row r="683" spans="1:24" ht="12.75" x14ac:dyDescent="0.2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</row>
    <row r="684" spans="1:24" ht="12.75" x14ac:dyDescent="0.2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</row>
    <row r="685" spans="1:24" ht="12.75" x14ac:dyDescent="0.2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</row>
    <row r="686" spans="1:24" ht="12.75" x14ac:dyDescent="0.2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</row>
    <row r="687" spans="1:24" ht="12.75" x14ac:dyDescent="0.2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</row>
    <row r="688" spans="1:24" ht="12.75" x14ac:dyDescent="0.2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</row>
    <row r="689" spans="1:24" ht="12.75" x14ac:dyDescent="0.2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</row>
    <row r="690" spans="1:24" ht="12.75" x14ac:dyDescent="0.2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</row>
    <row r="691" spans="1:24" ht="12.75" x14ac:dyDescent="0.2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</row>
    <row r="692" spans="1:24" ht="12.75" x14ac:dyDescent="0.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</row>
    <row r="693" spans="1:24" ht="12.75" x14ac:dyDescent="0.2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</row>
    <row r="694" spans="1:24" ht="12.75" x14ac:dyDescent="0.2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</row>
    <row r="695" spans="1:24" ht="12.75" x14ac:dyDescent="0.2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</row>
    <row r="696" spans="1:24" ht="12.75" x14ac:dyDescent="0.2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</row>
    <row r="697" spans="1:24" ht="12.75" x14ac:dyDescent="0.2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</row>
    <row r="698" spans="1:24" ht="12.75" x14ac:dyDescent="0.2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</row>
    <row r="699" spans="1:24" ht="12.75" x14ac:dyDescent="0.2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</row>
    <row r="700" spans="1:24" ht="12.75" x14ac:dyDescent="0.2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</row>
    <row r="701" spans="1:24" ht="12.75" x14ac:dyDescent="0.2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</row>
    <row r="702" spans="1:24" ht="12.75" x14ac:dyDescent="0.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</row>
    <row r="703" spans="1:24" ht="12.75" x14ac:dyDescent="0.2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</row>
    <row r="704" spans="1:24" ht="12.75" x14ac:dyDescent="0.2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</row>
    <row r="705" spans="1:24" ht="12.75" x14ac:dyDescent="0.2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</row>
    <row r="706" spans="1:24" ht="12.75" x14ac:dyDescent="0.2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</row>
    <row r="707" spans="1:24" ht="12.75" x14ac:dyDescent="0.2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</row>
    <row r="708" spans="1:24" ht="12.75" x14ac:dyDescent="0.2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</row>
    <row r="709" spans="1:24" ht="12.75" x14ac:dyDescent="0.2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</row>
    <row r="710" spans="1:24" ht="12.75" x14ac:dyDescent="0.2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</row>
    <row r="711" spans="1:24" ht="12.75" x14ac:dyDescent="0.2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</row>
    <row r="712" spans="1:24" ht="12.75" x14ac:dyDescent="0.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</row>
    <row r="713" spans="1:24" ht="12.75" x14ac:dyDescent="0.2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</row>
    <row r="714" spans="1:24" ht="12.75" x14ac:dyDescent="0.2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</row>
    <row r="715" spans="1:24" ht="12.75" x14ac:dyDescent="0.2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</row>
    <row r="716" spans="1:24" ht="12.75" x14ac:dyDescent="0.2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</row>
    <row r="717" spans="1:24" ht="12.75" x14ac:dyDescent="0.2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</row>
    <row r="718" spans="1:24" ht="12.75" x14ac:dyDescent="0.2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</row>
    <row r="719" spans="1:24" ht="12.75" x14ac:dyDescent="0.2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</row>
    <row r="720" spans="1:24" ht="12.75" x14ac:dyDescent="0.2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</row>
    <row r="721" spans="1:24" ht="12.75" x14ac:dyDescent="0.2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</row>
    <row r="722" spans="1:24" ht="12.75" x14ac:dyDescent="0.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</row>
    <row r="723" spans="1:24" ht="12.75" x14ac:dyDescent="0.2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</row>
    <row r="724" spans="1:24" ht="12.75" x14ac:dyDescent="0.2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</row>
    <row r="725" spans="1:24" ht="12.75" x14ac:dyDescent="0.2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</row>
    <row r="726" spans="1:24" ht="12.75" x14ac:dyDescent="0.2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</row>
    <row r="727" spans="1:24" ht="12.75" x14ac:dyDescent="0.2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</row>
    <row r="728" spans="1:24" ht="12.75" x14ac:dyDescent="0.2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</row>
    <row r="729" spans="1:24" ht="12.75" x14ac:dyDescent="0.2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</row>
    <row r="730" spans="1:24" ht="12.75" x14ac:dyDescent="0.2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</row>
    <row r="731" spans="1:24" ht="12.75" x14ac:dyDescent="0.2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</row>
    <row r="732" spans="1:24" ht="12.75" x14ac:dyDescent="0.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</row>
    <row r="733" spans="1:24" ht="12.75" x14ac:dyDescent="0.2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</row>
    <row r="734" spans="1:24" ht="12.75" x14ac:dyDescent="0.2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</row>
    <row r="735" spans="1:24" ht="12.75" x14ac:dyDescent="0.2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</row>
    <row r="736" spans="1:24" ht="12.75" x14ac:dyDescent="0.2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</row>
    <row r="737" spans="1:24" ht="12.75" x14ac:dyDescent="0.2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</row>
    <row r="738" spans="1:24" ht="12.75" x14ac:dyDescent="0.2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</row>
    <row r="739" spans="1:24" ht="12.75" x14ac:dyDescent="0.2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</row>
    <row r="740" spans="1:24" ht="12.75" x14ac:dyDescent="0.2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</row>
    <row r="741" spans="1:24" ht="12.75" x14ac:dyDescent="0.2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</row>
    <row r="742" spans="1:24" ht="12.75" x14ac:dyDescent="0.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</row>
    <row r="743" spans="1:24" ht="12.75" x14ac:dyDescent="0.2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</row>
    <row r="744" spans="1:24" ht="12.75" x14ac:dyDescent="0.2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</row>
    <row r="745" spans="1:24" ht="12.75" x14ac:dyDescent="0.2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</row>
    <row r="746" spans="1:24" ht="12.75" x14ac:dyDescent="0.2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</row>
    <row r="747" spans="1:24" ht="12.75" x14ac:dyDescent="0.2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</row>
    <row r="748" spans="1:24" ht="12.75" x14ac:dyDescent="0.2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</row>
    <row r="749" spans="1:24" ht="12.75" x14ac:dyDescent="0.2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</row>
    <row r="750" spans="1:24" ht="12.75" x14ac:dyDescent="0.2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</row>
    <row r="751" spans="1:24" ht="12.75" x14ac:dyDescent="0.2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</row>
    <row r="752" spans="1:24" ht="12.75" x14ac:dyDescent="0.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</row>
    <row r="753" spans="1:24" ht="12.75" x14ac:dyDescent="0.2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</row>
    <row r="754" spans="1:24" ht="12.75" x14ac:dyDescent="0.2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</row>
    <row r="755" spans="1:24" ht="12.75" x14ac:dyDescent="0.2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</row>
    <row r="756" spans="1:24" ht="12.75" x14ac:dyDescent="0.2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</row>
    <row r="757" spans="1:24" ht="12.75" x14ac:dyDescent="0.2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</row>
    <row r="758" spans="1:24" ht="12.75" x14ac:dyDescent="0.2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</row>
    <row r="759" spans="1:24" ht="12.75" x14ac:dyDescent="0.2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</row>
    <row r="760" spans="1:24" ht="12.75" x14ac:dyDescent="0.2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</row>
    <row r="761" spans="1:24" ht="12.75" x14ac:dyDescent="0.2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</row>
    <row r="762" spans="1:24" ht="12.75" x14ac:dyDescent="0.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</row>
    <row r="763" spans="1:24" ht="12.75" x14ac:dyDescent="0.2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</row>
    <row r="764" spans="1:24" ht="12.75" x14ac:dyDescent="0.2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</row>
    <row r="765" spans="1:24" ht="12.75" x14ac:dyDescent="0.2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</row>
    <row r="766" spans="1:24" ht="12.75" x14ac:dyDescent="0.2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</row>
    <row r="767" spans="1:24" ht="12.75" x14ac:dyDescent="0.2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</row>
    <row r="768" spans="1:24" ht="12.75" x14ac:dyDescent="0.2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</row>
    <row r="769" spans="1:24" ht="12.75" x14ac:dyDescent="0.2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</row>
    <row r="770" spans="1:24" ht="12.75" x14ac:dyDescent="0.2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</row>
    <row r="771" spans="1:24" ht="12.75" x14ac:dyDescent="0.2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</row>
    <row r="772" spans="1:24" ht="12.75" x14ac:dyDescent="0.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</row>
    <row r="773" spans="1:24" ht="12.75" x14ac:dyDescent="0.2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</row>
    <row r="774" spans="1:24" ht="12.75" x14ac:dyDescent="0.2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</row>
    <row r="775" spans="1:24" ht="12.75" x14ac:dyDescent="0.2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</row>
    <row r="776" spans="1:24" ht="12.75" x14ac:dyDescent="0.2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</row>
    <row r="777" spans="1:24" ht="12.75" x14ac:dyDescent="0.2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</row>
    <row r="778" spans="1:24" ht="12.75" x14ac:dyDescent="0.2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</row>
    <row r="779" spans="1:24" ht="12.75" x14ac:dyDescent="0.2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</row>
    <row r="780" spans="1:24" ht="12.75" x14ac:dyDescent="0.2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</row>
    <row r="781" spans="1:24" ht="12.75" x14ac:dyDescent="0.2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</row>
    <row r="782" spans="1:24" ht="12.75" x14ac:dyDescent="0.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</row>
    <row r="783" spans="1:24" ht="12.75" x14ac:dyDescent="0.2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</row>
    <row r="784" spans="1:24" ht="12.75" x14ac:dyDescent="0.2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</row>
    <row r="785" spans="1:24" ht="12.75" x14ac:dyDescent="0.2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</row>
    <row r="786" spans="1:24" ht="12.75" x14ac:dyDescent="0.2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</row>
    <row r="787" spans="1:24" ht="12.75" x14ac:dyDescent="0.2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</row>
    <row r="788" spans="1:24" ht="12.75" x14ac:dyDescent="0.2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</row>
    <row r="789" spans="1:24" ht="12.75" x14ac:dyDescent="0.2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</row>
    <row r="790" spans="1:24" ht="12.75" x14ac:dyDescent="0.2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</row>
    <row r="791" spans="1:24" ht="12.75" x14ac:dyDescent="0.2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</row>
    <row r="792" spans="1:24" ht="12.75" x14ac:dyDescent="0.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</row>
    <row r="793" spans="1:24" ht="12.75" x14ac:dyDescent="0.2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</row>
    <row r="794" spans="1:24" ht="12.75" x14ac:dyDescent="0.2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</row>
    <row r="795" spans="1:24" ht="12.75" x14ac:dyDescent="0.2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</row>
    <row r="796" spans="1:24" ht="12.75" x14ac:dyDescent="0.2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</row>
    <row r="797" spans="1:24" ht="12.75" x14ac:dyDescent="0.2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</row>
    <row r="798" spans="1:24" ht="12.75" x14ac:dyDescent="0.2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</row>
    <row r="799" spans="1:24" ht="12.75" x14ac:dyDescent="0.2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</row>
    <row r="800" spans="1:24" ht="12.75" x14ac:dyDescent="0.2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</row>
    <row r="801" spans="1:24" ht="12.75" x14ac:dyDescent="0.2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</row>
    <row r="802" spans="1:24" ht="12.75" x14ac:dyDescent="0.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</row>
    <row r="803" spans="1:24" ht="12.75" x14ac:dyDescent="0.2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</row>
    <row r="804" spans="1:24" ht="12.75" x14ac:dyDescent="0.2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</row>
    <row r="805" spans="1:24" ht="12.75" x14ac:dyDescent="0.2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</row>
    <row r="806" spans="1:24" ht="12.75" x14ac:dyDescent="0.2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</row>
    <row r="807" spans="1:24" ht="12.75" x14ac:dyDescent="0.2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</row>
    <row r="808" spans="1:24" ht="12.75" x14ac:dyDescent="0.2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</row>
    <row r="809" spans="1:24" ht="12.75" x14ac:dyDescent="0.2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</row>
    <row r="810" spans="1:24" ht="12.75" x14ac:dyDescent="0.2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</row>
    <row r="811" spans="1:24" ht="12.75" x14ac:dyDescent="0.2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</row>
    <row r="812" spans="1:24" ht="12.75" x14ac:dyDescent="0.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</row>
    <row r="813" spans="1:24" ht="12.75" x14ac:dyDescent="0.2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</row>
    <row r="814" spans="1:24" ht="12.75" x14ac:dyDescent="0.2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</row>
    <row r="815" spans="1:24" ht="12.75" x14ac:dyDescent="0.2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</row>
    <row r="816" spans="1:24" ht="12.75" x14ac:dyDescent="0.2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</row>
    <row r="817" spans="1:24" ht="12.75" x14ac:dyDescent="0.2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</row>
    <row r="818" spans="1:24" ht="12.75" x14ac:dyDescent="0.2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</row>
    <row r="819" spans="1:24" ht="12.75" x14ac:dyDescent="0.2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</row>
    <row r="820" spans="1:24" ht="12.75" x14ac:dyDescent="0.2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</row>
    <row r="821" spans="1:24" ht="12.75" x14ac:dyDescent="0.2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</row>
    <row r="822" spans="1:24" ht="12.75" x14ac:dyDescent="0.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</row>
    <row r="823" spans="1:24" ht="12.75" x14ac:dyDescent="0.2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</row>
    <row r="824" spans="1:24" ht="12.75" x14ac:dyDescent="0.2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</row>
    <row r="825" spans="1:24" ht="12.75" x14ac:dyDescent="0.2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</row>
    <row r="826" spans="1:24" ht="12.75" x14ac:dyDescent="0.2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</row>
    <row r="827" spans="1:24" ht="12.75" x14ac:dyDescent="0.2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</row>
    <row r="828" spans="1:24" ht="12.75" x14ac:dyDescent="0.2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</row>
    <row r="829" spans="1:24" ht="12.75" x14ac:dyDescent="0.2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</row>
    <row r="830" spans="1:24" ht="12.75" x14ac:dyDescent="0.2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</row>
    <row r="831" spans="1:24" ht="12.75" x14ac:dyDescent="0.2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</row>
    <row r="832" spans="1:24" ht="12.75" x14ac:dyDescent="0.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</row>
    <row r="833" spans="1:24" ht="12.75" x14ac:dyDescent="0.2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</row>
    <row r="834" spans="1:24" ht="12.75" x14ac:dyDescent="0.2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</row>
    <row r="835" spans="1:24" ht="12.75" x14ac:dyDescent="0.2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</row>
    <row r="836" spans="1:24" ht="12.75" x14ac:dyDescent="0.2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</row>
    <row r="837" spans="1:24" ht="12.75" x14ac:dyDescent="0.2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</row>
    <row r="838" spans="1:24" ht="12.75" x14ac:dyDescent="0.2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</row>
    <row r="839" spans="1:24" ht="12.75" x14ac:dyDescent="0.2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</row>
    <row r="840" spans="1:24" ht="12.75" x14ac:dyDescent="0.2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</row>
    <row r="841" spans="1:24" ht="12.75" x14ac:dyDescent="0.2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</row>
    <row r="842" spans="1:24" ht="12.75" x14ac:dyDescent="0.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</row>
    <row r="843" spans="1:24" ht="12.75" x14ac:dyDescent="0.2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</row>
    <row r="844" spans="1:24" ht="12.75" x14ac:dyDescent="0.2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</row>
    <row r="845" spans="1:24" ht="12.75" x14ac:dyDescent="0.2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</row>
    <row r="846" spans="1:24" ht="12.75" x14ac:dyDescent="0.2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</row>
    <row r="847" spans="1:24" ht="12.75" x14ac:dyDescent="0.2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</row>
    <row r="848" spans="1:24" ht="12.75" x14ac:dyDescent="0.2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</row>
    <row r="849" spans="1:24" ht="12.75" x14ac:dyDescent="0.2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</row>
    <row r="850" spans="1:24" ht="12.75" x14ac:dyDescent="0.2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</row>
    <row r="851" spans="1:24" ht="12.75" x14ac:dyDescent="0.2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</row>
    <row r="852" spans="1:24" ht="12.75" x14ac:dyDescent="0.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</row>
    <row r="853" spans="1:24" ht="12.75" x14ac:dyDescent="0.2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</row>
    <row r="854" spans="1:24" ht="12.75" x14ac:dyDescent="0.2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</row>
    <row r="855" spans="1:24" ht="12.75" x14ac:dyDescent="0.2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</row>
    <row r="856" spans="1:24" ht="12.75" x14ac:dyDescent="0.2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</row>
    <row r="857" spans="1:24" ht="12.75" x14ac:dyDescent="0.2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</row>
    <row r="858" spans="1:24" ht="12.75" x14ac:dyDescent="0.2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</row>
    <row r="859" spans="1:24" ht="12.75" x14ac:dyDescent="0.2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</row>
    <row r="860" spans="1:24" ht="12.75" x14ac:dyDescent="0.2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</row>
    <row r="861" spans="1:24" ht="12.75" x14ac:dyDescent="0.2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</row>
    <row r="862" spans="1:24" ht="12.75" x14ac:dyDescent="0.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</row>
    <row r="863" spans="1:24" ht="12.75" x14ac:dyDescent="0.2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</row>
    <row r="864" spans="1:24" ht="12.75" x14ac:dyDescent="0.2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</row>
    <row r="865" spans="1:24" ht="12.75" x14ac:dyDescent="0.2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</row>
    <row r="866" spans="1:24" ht="12.75" x14ac:dyDescent="0.2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</row>
    <row r="867" spans="1:24" ht="12.75" x14ac:dyDescent="0.2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</row>
    <row r="868" spans="1:24" ht="12.75" x14ac:dyDescent="0.2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</row>
    <row r="869" spans="1:24" ht="12.75" x14ac:dyDescent="0.2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</row>
    <row r="870" spans="1:24" ht="12.75" x14ac:dyDescent="0.2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</row>
    <row r="871" spans="1:24" ht="12.75" x14ac:dyDescent="0.2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</row>
    <row r="872" spans="1:24" ht="12.75" x14ac:dyDescent="0.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</row>
    <row r="873" spans="1:24" ht="12.75" x14ac:dyDescent="0.2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</row>
    <row r="874" spans="1:24" ht="12.75" x14ac:dyDescent="0.2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</row>
    <row r="875" spans="1:24" ht="12.75" x14ac:dyDescent="0.2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</row>
    <row r="876" spans="1:24" ht="12.75" x14ac:dyDescent="0.2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</row>
    <row r="877" spans="1:24" ht="12.75" x14ac:dyDescent="0.2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</row>
    <row r="878" spans="1:24" ht="12.75" x14ac:dyDescent="0.2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</row>
    <row r="879" spans="1:24" ht="12.75" x14ac:dyDescent="0.2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</row>
    <row r="880" spans="1:24" ht="12.75" x14ac:dyDescent="0.2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</row>
    <row r="881" spans="1:24" ht="12.75" x14ac:dyDescent="0.2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</row>
    <row r="882" spans="1:24" ht="12.75" x14ac:dyDescent="0.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</row>
    <row r="883" spans="1:24" ht="12.75" x14ac:dyDescent="0.2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</row>
    <row r="884" spans="1:24" ht="12.75" x14ac:dyDescent="0.2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</row>
    <row r="885" spans="1:24" ht="12.75" x14ac:dyDescent="0.2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</row>
    <row r="886" spans="1:24" ht="12.75" x14ac:dyDescent="0.2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</row>
    <row r="887" spans="1:24" ht="12.75" x14ac:dyDescent="0.2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</row>
    <row r="888" spans="1:24" ht="12.75" x14ac:dyDescent="0.2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</row>
    <row r="889" spans="1:24" ht="12.75" x14ac:dyDescent="0.2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</row>
    <row r="890" spans="1:24" ht="12.75" x14ac:dyDescent="0.2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</row>
    <row r="891" spans="1:24" ht="12.75" x14ac:dyDescent="0.2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</row>
    <row r="892" spans="1:24" ht="12.75" x14ac:dyDescent="0.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</row>
    <row r="893" spans="1:24" ht="12.75" x14ac:dyDescent="0.2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</row>
    <row r="894" spans="1:24" ht="12.75" x14ac:dyDescent="0.2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</row>
    <row r="895" spans="1:24" ht="12.75" x14ac:dyDescent="0.2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</row>
    <row r="896" spans="1:24" ht="12.75" x14ac:dyDescent="0.2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</row>
    <row r="897" spans="1:24" ht="12.75" x14ac:dyDescent="0.2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</row>
    <row r="898" spans="1:24" ht="12.75" x14ac:dyDescent="0.2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</row>
    <row r="899" spans="1:24" ht="12.75" x14ac:dyDescent="0.2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</row>
    <row r="900" spans="1:24" ht="12.75" x14ac:dyDescent="0.2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</row>
    <row r="901" spans="1:24" ht="12.75" x14ac:dyDescent="0.2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</row>
    <row r="902" spans="1:24" ht="12.75" x14ac:dyDescent="0.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</row>
    <row r="903" spans="1:24" ht="12.75" x14ac:dyDescent="0.2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</row>
    <row r="904" spans="1:24" ht="12.75" x14ac:dyDescent="0.2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</row>
    <row r="905" spans="1:24" ht="12.75" x14ac:dyDescent="0.2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</row>
    <row r="906" spans="1:24" ht="12.75" x14ac:dyDescent="0.2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</row>
    <row r="907" spans="1:24" ht="12.75" x14ac:dyDescent="0.2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</row>
    <row r="908" spans="1:24" ht="12.75" x14ac:dyDescent="0.2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</row>
    <row r="909" spans="1:24" ht="12.75" x14ac:dyDescent="0.2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</row>
    <row r="910" spans="1:24" ht="12.75" x14ac:dyDescent="0.2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</row>
    <row r="911" spans="1:24" ht="12.75" x14ac:dyDescent="0.2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</row>
    <row r="912" spans="1:24" ht="12.75" x14ac:dyDescent="0.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</row>
    <row r="913" spans="1:24" ht="12.75" x14ac:dyDescent="0.2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</row>
    <row r="914" spans="1:24" ht="12.75" x14ac:dyDescent="0.2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</row>
    <row r="915" spans="1:24" ht="12.75" x14ac:dyDescent="0.2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</row>
    <row r="916" spans="1:24" ht="12.75" x14ac:dyDescent="0.2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</row>
    <row r="917" spans="1:24" ht="12.75" x14ac:dyDescent="0.2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</row>
    <row r="918" spans="1:24" ht="12.75" x14ac:dyDescent="0.2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</row>
    <row r="919" spans="1:24" ht="12.75" x14ac:dyDescent="0.2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</row>
    <row r="920" spans="1:24" ht="12.75" x14ac:dyDescent="0.2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</row>
    <row r="921" spans="1:24" ht="12.75" x14ac:dyDescent="0.2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</row>
    <row r="922" spans="1:24" ht="12.75" x14ac:dyDescent="0.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</row>
    <row r="923" spans="1:24" ht="12.75" x14ac:dyDescent="0.2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</row>
    <row r="924" spans="1:24" ht="12.75" x14ac:dyDescent="0.2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</row>
    <row r="925" spans="1:24" ht="12.75" x14ac:dyDescent="0.2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</row>
    <row r="926" spans="1:24" ht="12.75" x14ac:dyDescent="0.2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</row>
    <row r="927" spans="1:24" ht="12.75" x14ac:dyDescent="0.2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</row>
    <row r="928" spans="1:24" ht="12.75" x14ac:dyDescent="0.2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</row>
    <row r="929" spans="1:24" ht="12.75" x14ac:dyDescent="0.2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</row>
    <row r="930" spans="1:24" ht="12.75" x14ac:dyDescent="0.2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</row>
    <row r="931" spans="1:24" ht="12.75" x14ac:dyDescent="0.2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</row>
    <row r="932" spans="1:24" ht="12.75" x14ac:dyDescent="0.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</row>
    <row r="933" spans="1:24" ht="12.75" x14ac:dyDescent="0.2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</row>
    <row r="934" spans="1:24" ht="12.75" x14ac:dyDescent="0.2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</row>
    <row r="935" spans="1:24" ht="12.75" x14ac:dyDescent="0.2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</row>
    <row r="936" spans="1:24" ht="12.75" x14ac:dyDescent="0.2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</row>
    <row r="937" spans="1:24" ht="12.75" x14ac:dyDescent="0.2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</row>
    <row r="938" spans="1:24" ht="12.75" x14ac:dyDescent="0.2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</row>
    <row r="939" spans="1:24" ht="12.75" x14ac:dyDescent="0.2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</row>
    <row r="940" spans="1:24" ht="12.75" x14ac:dyDescent="0.2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</row>
    <row r="941" spans="1:24" ht="12.75" x14ac:dyDescent="0.2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</row>
    <row r="942" spans="1:24" ht="12.75" x14ac:dyDescent="0.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</row>
    <row r="943" spans="1:24" ht="12.75" x14ac:dyDescent="0.2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</row>
    <row r="944" spans="1:24" ht="12.75" x14ac:dyDescent="0.2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</row>
    <row r="945" spans="1:24" ht="12.75" x14ac:dyDescent="0.2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</row>
    <row r="946" spans="1:24" ht="12.75" x14ac:dyDescent="0.2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</row>
    <row r="947" spans="1:24" ht="12.75" x14ac:dyDescent="0.2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</row>
    <row r="948" spans="1:24" ht="12.75" x14ac:dyDescent="0.2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</row>
    <row r="949" spans="1:24" ht="12.75" x14ac:dyDescent="0.2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</row>
    <row r="950" spans="1:24" ht="12.75" x14ac:dyDescent="0.2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</row>
    <row r="951" spans="1:24" ht="12.75" x14ac:dyDescent="0.2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</row>
    <row r="952" spans="1:24" ht="12.75" x14ac:dyDescent="0.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</row>
    <row r="953" spans="1:24" ht="12.75" x14ac:dyDescent="0.2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</row>
    <row r="954" spans="1:24" ht="12.75" x14ac:dyDescent="0.2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</row>
    <row r="955" spans="1:24" ht="12.75" x14ac:dyDescent="0.2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</row>
    <row r="956" spans="1:24" ht="12.75" x14ac:dyDescent="0.2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</row>
    <row r="957" spans="1:24" ht="12.75" x14ac:dyDescent="0.2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</row>
    <row r="958" spans="1:24" ht="12.75" x14ac:dyDescent="0.2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</row>
    <row r="959" spans="1:24" ht="12.75" x14ac:dyDescent="0.2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</row>
    <row r="960" spans="1:24" ht="12.75" x14ac:dyDescent="0.2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</row>
    <row r="961" spans="1:24" ht="12.75" x14ac:dyDescent="0.2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</row>
    <row r="962" spans="1:24" ht="12.75" x14ac:dyDescent="0.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</row>
    <row r="963" spans="1:24" ht="12.75" x14ac:dyDescent="0.2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</row>
    <row r="964" spans="1:24" ht="12.75" x14ac:dyDescent="0.2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</row>
    <row r="965" spans="1:24" ht="12.75" x14ac:dyDescent="0.2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</row>
    <row r="966" spans="1:24" ht="12.75" x14ac:dyDescent="0.2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</row>
    <row r="967" spans="1:24" ht="12.75" x14ac:dyDescent="0.2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</row>
    <row r="968" spans="1:24" ht="12.75" x14ac:dyDescent="0.2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</row>
    <row r="969" spans="1:24" ht="12.75" x14ac:dyDescent="0.2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</row>
    <row r="970" spans="1:24" ht="12.75" x14ac:dyDescent="0.2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</row>
  </sheetData>
  <mergeCells count="30">
    <mergeCell ref="W24:X24"/>
    <mergeCell ref="G4:I4"/>
    <mergeCell ref="J4:K4"/>
    <mergeCell ref="B22:K22"/>
    <mergeCell ref="C23:F23"/>
    <mergeCell ref="G23:H23"/>
    <mergeCell ref="I23:J23"/>
    <mergeCell ref="C24:F24"/>
    <mergeCell ref="G24:H24"/>
    <mergeCell ref="I24:J24"/>
    <mergeCell ref="O24:R24"/>
    <mergeCell ref="S24:T24"/>
    <mergeCell ref="U24:V24"/>
    <mergeCell ref="C3:F3"/>
    <mergeCell ref="C4:F4"/>
    <mergeCell ref="B2:R2"/>
    <mergeCell ref="V2:X2"/>
    <mergeCell ref="G3:I3"/>
    <mergeCell ref="J3:K3"/>
    <mergeCell ref="M3:N3"/>
    <mergeCell ref="O3:R4"/>
    <mergeCell ref="V3:X4"/>
    <mergeCell ref="M4:N4"/>
    <mergeCell ref="S2:U2"/>
    <mergeCell ref="S3:U3"/>
    <mergeCell ref="N22:X22"/>
    <mergeCell ref="O23:R23"/>
    <mergeCell ref="S23:T23"/>
    <mergeCell ref="U23:V23"/>
    <mergeCell ref="W23:X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38"/>
  <sheetViews>
    <sheetView workbookViewId="0"/>
  </sheetViews>
  <sheetFormatPr defaultColWidth="12.5703125" defaultRowHeight="15.75" customHeight="1" x14ac:dyDescent="0.2"/>
  <cols>
    <col min="1" max="1" width="5.42578125" customWidth="1"/>
    <col min="2" max="2" width="10" customWidth="1"/>
    <col min="3" max="8" width="10.28515625" customWidth="1"/>
    <col min="9" max="9" width="12" customWidth="1"/>
    <col min="10" max="11" width="10.42578125" customWidth="1"/>
    <col min="12" max="12" width="8.42578125" customWidth="1"/>
    <col min="13" max="13" width="14.85546875" customWidth="1"/>
  </cols>
  <sheetData>
    <row r="1" spans="1:19" ht="30.75" customHeight="1" x14ac:dyDescent="0.35">
      <c r="A1" s="438" t="s">
        <v>260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439" t="s">
        <v>261</v>
      </c>
      <c r="M1" s="374"/>
      <c r="N1" s="374"/>
      <c r="O1" s="392"/>
    </row>
    <row r="2" spans="1:19" ht="25.5" customHeight="1" x14ac:dyDescent="0.2">
      <c r="A2" s="374"/>
      <c r="B2" s="374"/>
      <c r="C2" s="440" t="s">
        <v>262</v>
      </c>
      <c r="D2" s="374"/>
      <c r="E2" s="374"/>
      <c r="F2" s="374"/>
      <c r="G2" s="374"/>
      <c r="H2" s="374"/>
      <c r="I2" s="374"/>
      <c r="J2" s="441" t="s">
        <v>263</v>
      </c>
      <c r="K2" s="390"/>
      <c r="L2" s="442" t="s">
        <v>264</v>
      </c>
      <c r="M2" s="428" t="s">
        <v>265</v>
      </c>
      <c r="N2" s="428" t="s">
        <v>266</v>
      </c>
      <c r="O2" s="430" t="s">
        <v>267</v>
      </c>
    </row>
    <row r="3" spans="1:19" ht="12.75" x14ac:dyDescent="0.2">
      <c r="A3" s="5" t="s">
        <v>34</v>
      </c>
      <c r="B3" s="5" t="s">
        <v>268</v>
      </c>
      <c r="C3" s="277">
        <v>35</v>
      </c>
      <c r="D3" s="278">
        <v>40</v>
      </c>
      <c r="E3" s="278">
        <v>45</v>
      </c>
      <c r="F3" s="278">
        <v>50</v>
      </c>
      <c r="G3" s="278">
        <v>55</v>
      </c>
      <c r="H3" s="278">
        <v>60</v>
      </c>
      <c r="I3" s="279" t="s">
        <v>269</v>
      </c>
      <c r="J3" s="6" t="s">
        <v>270</v>
      </c>
      <c r="K3" s="35" t="s">
        <v>271</v>
      </c>
      <c r="L3" s="443"/>
      <c r="M3" s="429"/>
      <c r="N3" s="429"/>
      <c r="O3" s="431"/>
    </row>
    <row r="4" spans="1:19" ht="12.75" x14ac:dyDescent="0.2">
      <c r="A4" s="2" t="s">
        <v>77</v>
      </c>
      <c r="B4" s="2">
        <v>11000</v>
      </c>
      <c r="C4" s="280">
        <f t="shared" ref="C4:H4" si="0">$B4*(1+C$28)</f>
        <v>49500</v>
      </c>
      <c r="D4" s="281">
        <f t="shared" si="0"/>
        <v>59510</v>
      </c>
      <c r="E4" s="12">
        <f t="shared" si="0"/>
        <v>68860</v>
      </c>
      <c r="F4" s="12">
        <f t="shared" si="0"/>
        <v>91410</v>
      </c>
      <c r="G4" s="12">
        <f t="shared" si="0"/>
        <v>96800.000000000015</v>
      </c>
      <c r="H4" s="12">
        <f t="shared" si="0"/>
        <v>103400</v>
      </c>
      <c r="I4" s="282">
        <f>C4*2</f>
        <v>99000</v>
      </c>
      <c r="J4" s="76">
        <f>'Mantis Benefit by Tier'!D6+'Mantis Benefit by Tier'!L6/3+'Mantis Benefit by Tier'!P6+'Mantis Benefit by Tier'!S6/2</f>
        <v>14000</v>
      </c>
      <c r="K4" s="79">
        <f>'Mantis Benefit by Tier'!E6+'Mantis Benefit by Tier'!M6/3+'Mantis Benefit by Tier'!Q6+'Mantis Benefit by Tier'!S6/2</f>
        <v>58000</v>
      </c>
      <c r="L4" s="30">
        <v>35</v>
      </c>
      <c r="M4" s="78">
        <f t="shared" ref="M4:M15" si="1">K4/50</f>
        <v>1160</v>
      </c>
      <c r="N4" s="78">
        <f t="shared" ref="N4:N15" si="2">M4*25</f>
        <v>29000</v>
      </c>
      <c r="O4" s="79">
        <f>N4/(1+$C$28/2)</f>
        <v>10545.454545454546</v>
      </c>
      <c r="P4" s="78"/>
      <c r="Q4" s="78"/>
      <c r="R4" s="78"/>
      <c r="S4" s="78"/>
    </row>
    <row r="5" spans="1:19" ht="12.75" x14ac:dyDescent="0.2">
      <c r="A5" s="2" t="s">
        <v>4</v>
      </c>
      <c r="B5" s="2">
        <v>11900</v>
      </c>
      <c r="C5" s="281">
        <f t="shared" ref="C5:H5" si="3">$B5*(1+C$28)</f>
        <v>53550</v>
      </c>
      <c r="D5" s="280">
        <f t="shared" si="3"/>
        <v>64379</v>
      </c>
      <c r="E5" s="12">
        <f t="shared" si="3"/>
        <v>74494</v>
      </c>
      <c r="F5" s="12">
        <f t="shared" si="3"/>
        <v>98889</v>
      </c>
      <c r="G5" s="12">
        <f t="shared" si="3"/>
        <v>104720.00000000001</v>
      </c>
      <c r="H5" s="12">
        <f t="shared" si="3"/>
        <v>111860</v>
      </c>
      <c r="I5" s="282">
        <f t="shared" ref="I5:I6" si="4">D5*2</f>
        <v>128758</v>
      </c>
      <c r="J5" s="76">
        <f>'Mantis Benefit by Tier'!D7+'Mantis Benefit by Tier'!L7/3+'Mantis Benefit by Tier'!P7+'Mantis Benefit by Tier'!S7/2</f>
        <v>16833.333333333336</v>
      </c>
      <c r="K5" s="79">
        <f>'Mantis Benefit by Tier'!E7+'Mantis Benefit by Tier'!M7/3+'Mantis Benefit by Tier'!Q7+'Mantis Benefit by Tier'!S7/2</f>
        <v>70166.666666666657</v>
      </c>
      <c r="L5" s="30">
        <v>36</v>
      </c>
      <c r="M5" s="78">
        <f t="shared" si="1"/>
        <v>1403.333333333333</v>
      </c>
      <c r="N5" s="78">
        <f t="shared" si="2"/>
        <v>35083.333333333328</v>
      </c>
      <c r="O5" s="79">
        <f t="shared" ref="O5:O6" si="5">N5/(1+$D$28/2)</f>
        <v>10946.437857514298</v>
      </c>
      <c r="P5" s="78"/>
      <c r="Q5" s="78"/>
      <c r="R5" s="78"/>
      <c r="S5" s="78"/>
    </row>
    <row r="6" spans="1:19" ht="12.75" x14ac:dyDescent="0.2">
      <c r="A6" s="5" t="s">
        <v>78</v>
      </c>
      <c r="B6" s="5">
        <v>12800</v>
      </c>
      <c r="C6" s="283">
        <f t="shared" ref="C6:H6" si="6">$B6*(1+C$28)</f>
        <v>57600</v>
      </c>
      <c r="D6" s="284">
        <f t="shared" si="6"/>
        <v>69248</v>
      </c>
      <c r="E6" s="283">
        <f t="shared" si="6"/>
        <v>80128</v>
      </c>
      <c r="F6" s="60">
        <f t="shared" si="6"/>
        <v>106368</v>
      </c>
      <c r="G6" s="60">
        <f t="shared" si="6"/>
        <v>112640.00000000001</v>
      </c>
      <c r="H6" s="60">
        <f t="shared" si="6"/>
        <v>120320</v>
      </c>
      <c r="I6" s="285">
        <f t="shared" si="4"/>
        <v>138496</v>
      </c>
      <c r="J6" s="286">
        <f>'Mantis Benefit by Tier'!D8+'Mantis Benefit by Tier'!L8/3+'Mantis Benefit by Tier'!P8+'Mantis Benefit by Tier'!S8/2</f>
        <v>26666.666666666664</v>
      </c>
      <c r="K6" s="104">
        <f>'Mantis Benefit by Tier'!E8+'Mantis Benefit by Tier'!M8/3+'Mantis Benefit by Tier'!Q8+'Mantis Benefit by Tier'!S8/2</f>
        <v>111333.33333333333</v>
      </c>
      <c r="L6" s="30">
        <v>37</v>
      </c>
      <c r="M6" s="78">
        <f t="shared" si="1"/>
        <v>2226.6666666666665</v>
      </c>
      <c r="N6" s="78">
        <f t="shared" si="2"/>
        <v>55666.666666666664</v>
      </c>
      <c r="O6" s="79">
        <f t="shared" si="5"/>
        <v>17368.694747789912</v>
      </c>
      <c r="P6" s="78"/>
      <c r="Q6" s="78"/>
      <c r="R6" s="78"/>
      <c r="S6" s="78"/>
    </row>
    <row r="7" spans="1:19" ht="12.75" x14ac:dyDescent="0.2">
      <c r="A7" s="2" t="s">
        <v>79</v>
      </c>
      <c r="B7" s="2">
        <v>13700</v>
      </c>
      <c r="C7" s="12">
        <f t="shared" ref="C7:H7" si="7">$B7*(1+C$28)</f>
        <v>61650</v>
      </c>
      <c r="D7" s="281">
        <f t="shared" si="7"/>
        <v>74117</v>
      </c>
      <c r="E7" s="280">
        <f t="shared" si="7"/>
        <v>85762</v>
      </c>
      <c r="F7" s="281">
        <f t="shared" si="7"/>
        <v>113847</v>
      </c>
      <c r="G7" s="12">
        <f t="shared" si="7"/>
        <v>120560.00000000001</v>
      </c>
      <c r="H7" s="12">
        <f t="shared" si="7"/>
        <v>128780</v>
      </c>
      <c r="I7" s="282">
        <f t="shared" ref="I7:I8" si="8">E7*2</f>
        <v>171524</v>
      </c>
      <c r="J7" s="76">
        <f>'Mantis Benefit by Tier'!D9+'Mantis Benefit by Tier'!L9/3+'Mantis Benefit by Tier'!P9+'Mantis Benefit by Tier'!S9/2</f>
        <v>36500</v>
      </c>
      <c r="K7" s="79">
        <f>'Mantis Benefit by Tier'!E9+'Mantis Benefit by Tier'!M9/3+'Mantis Benefit by Tier'!Q9+'Mantis Benefit by Tier'!S9/2</f>
        <v>152500</v>
      </c>
      <c r="L7" s="30">
        <v>38</v>
      </c>
      <c r="M7" s="78">
        <f t="shared" si="1"/>
        <v>3050</v>
      </c>
      <c r="N7" s="78">
        <f t="shared" si="2"/>
        <v>76250</v>
      </c>
      <c r="O7" s="79">
        <f t="shared" ref="O7:O14" si="9">N7/(1+$C$28/2)</f>
        <v>27727.272727272728</v>
      </c>
      <c r="P7" s="78"/>
      <c r="Q7" s="78"/>
      <c r="R7" s="78"/>
      <c r="S7" s="78"/>
    </row>
    <row r="8" spans="1:19" ht="12.75" x14ac:dyDescent="0.2">
      <c r="A8" s="2" t="s">
        <v>80</v>
      </c>
      <c r="B8" s="2">
        <v>15200</v>
      </c>
      <c r="C8" s="12">
        <f t="shared" ref="C8:H8" si="10">$B8*(1+C$28)</f>
        <v>68400</v>
      </c>
      <c r="D8" s="281">
        <f t="shared" si="10"/>
        <v>82232</v>
      </c>
      <c r="E8" s="280">
        <f t="shared" si="10"/>
        <v>95152</v>
      </c>
      <c r="F8" s="281">
        <f t="shared" si="10"/>
        <v>126312.00000000001</v>
      </c>
      <c r="G8" s="12">
        <f t="shared" si="10"/>
        <v>133760</v>
      </c>
      <c r="H8" s="12">
        <f t="shared" si="10"/>
        <v>142880</v>
      </c>
      <c r="I8" s="282">
        <f t="shared" si="8"/>
        <v>190304</v>
      </c>
      <c r="J8" s="76">
        <f>'Mantis Benefit by Tier'!D10+'Mantis Benefit by Tier'!L10/3+'Mantis Benefit by Tier'!P10+'Mantis Benefit by Tier'!S10/2</f>
        <v>51500</v>
      </c>
      <c r="K8" s="79">
        <f>'Mantis Benefit by Tier'!E10+'Mantis Benefit by Tier'!M10/3+'Mantis Benefit by Tier'!Q10+'Mantis Benefit by Tier'!S10/2</f>
        <v>215500</v>
      </c>
      <c r="L8" s="30">
        <v>39</v>
      </c>
      <c r="M8" s="78">
        <f t="shared" si="1"/>
        <v>4310</v>
      </c>
      <c r="N8" s="78">
        <f t="shared" si="2"/>
        <v>107750</v>
      </c>
      <c r="O8" s="79">
        <f t="shared" si="9"/>
        <v>39181.818181818184</v>
      </c>
      <c r="P8" s="78"/>
      <c r="Q8" s="78"/>
      <c r="R8" s="78"/>
      <c r="S8" s="78"/>
    </row>
    <row r="9" spans="1:19" ht="12.75" x14ac:dyDescent="0.2">
      <c r="A9" s="5" t="s">
        <v>81</v>
      </c>
      <c r="B9" s="5">
        <v>18500</v>
      </c>
      <c r="C9" s="60">
        <f t="shared" ref="C9:H9" si="11">$B9*(1+C$28)</f>
        <v>83250</v>
      </c>
      <c r="D9" s="60">
        <f t="shared" si="11"/>
        <v>100085</v>
      </c>
      <c r="E9" s="283">
        <f t="shared" si="11"/>
        <v>115810</v>
      </c>
      <c r="F9" s="284">
        <f t="shared" si="11"/>
        <v>153735</v>
      </c>
      <c r="G9" s="283">
        <f t="shared" si="11"/>
        <v>162800</v>
      </c>
      <c r="H9" s="60">
        <f t="shared" si="11"/>
        <v>173900</v>
      </c>
      <c r="I9" s="285">
        <f t="shared" ref="I9:I11" si="12">F9*2</f>
        <v>307470</v>
      </c>
      <c r="J9" s="76">
        <f>'Mantis Benefit by Tier'!D11+'Mantis Benefit by Tier'!L11/3+'Mantis Benefit by Tier'!P11+'Mantis Benefit by Tier'!S11/2</f>
        <v>66500</v>
      </c>
      <c r="K9" s="79">
        <f>'Mantis Benefit by Tier'!E11+'Mantis Benefit by Tier'!M11/3+'Mantis Benefit by Tier'!Q11+'Mantis Benefit by Tier'!S11/2</f>
        <v>278500</v>
      </c>
      <c r="L9" s="30">
        <v>40</v>
      </c>
      <c r="M9" s="78">
        <f t="shared" si="1"/>
        <v>5570</v>
      </c>
      <c r="N9" s="78">
        <f t="shared" si="2"/>
        <v>139250</v>
      </c>
      <c r="O9" s="79">
        <f t="shared" si="9"/>
        <v>50636.36363636364</v>
      </c>
      <c r="P9" s="78"/>
      <c r="Q9" s="78"/>
      <c r="R9" s="78"/>
      <c r="S9" s="78"/>
    </row>
    <row r="10" spans="1:19" ht="12.75" x14ac:dyDescent="0.2">
      <c r="A10" s="2" t="s">
        <v>82</v>
      </c>
      <c r="B10" s="2">
        <v>24300</v>
      </c>
      <c r="C10" s="12">
        <f t="shared" ref="C10:H10" si="13">$B10*(1+C$28)</f>
        <v>109350</v>
      </c>
      <c r="D10" s="12">
        <f t="shared" si="13"/>
        <v>131463</v>
      </c>
      <c r="E10" s="281">
        <f t="shared" si="13"/>
        <v>152118</v>
      </c>
      <c r="F10" s="280">
        <f t="shared" si="13"/>
        <v>201933</v>
      </c>
      <c r="G10" s="281">
        <f t="shared" si="13"/>
        <v>213840.00000000003</v>
      </c>
      <c r="H10" s="12">
        <f t="shared" si="13"/>
        <v>228420</v>
      </c>
      <c r="I10" s="282">
        <f t="shared" si="12"/>
        <v>403866</v>
      </c>
      <c r="J10" s="76">
        <f>'Mantis Benefit by Tier'!D12+'Mantis Benefit by Tier'!L12/3+'Mantis Benefit by Tier'!P12+'Mantis Benefit by Tier'!S12/2</f>
        <v>98333.333333333343</v>
      </c>
      <c r="K10" s="79">
        <f>'Mantis Benefit by Tier'!E12+'Mantis Benefit by Tier'!M12/3+'Mantis Benefit by Tier'!Q12+'Mantis Benefit by Tier'!S12/2</f>
        <v>411666.66666666669</v>
      </c>
      <c r="L10" s="30">
        <v>41</v>
      </c>
      <c r="M10" s="78">
        <f t="shared" si="1"/>
        <v>8233.3333333333339</v>
      </c>
      <c r="N10" s="78">
        <f t="shared" si="2"/>
        <v>205833.33333333334</v>
      </c>
      <c r="O10" s="79">
        <f t="shared" si="9"/>
        <v>74848.484848484848</v>
      </c>
      <c r="P10" s="78"/>
      <c r="Q10" s="78"/>
      <c r="R10" s="78"/>
      <c r="S10" s="78"/>
    </row>
    <row r="11" spans="1:19" ht="12.75" x14ac:dyDescent="0.2">
      <c r="A11" s="2" t="s">
        <v>83</v>
      </c>
      <c r="B11" s="2">
        <v>29100</v>
      </c>
      <c r="C11" s="12">
        <f t="shared" ref="C11:H11" si="14">$B11*(1+C$28)</f>
        <v>130950</v>
      </c>
      <c r="D11" s="12">
        <f t="shared" si="14"/>
        <v>157431</v>
      </c>
      <c r="E11" s="281">
        <f t="shared" si="14"/>
        <v>182166</v>
      </c>
      <c r="F11" s="280">
        <f t="shared" si="14"/>
        <v>241821</v>
      </c>
      <c r="G11" s="281">
        <f t="shared" si="14"/>
        <v>256080.00000000003</v>
      </c>
      <c r="H11" s="12">
        <f t="shared" si="14"/>
        <v>273540</v>
      </c>
      <c r="I11" s="282">
        <f t="shared" si="12"/>
        <v>483642</v>
      </c>
      <c r="J11" s="76">
        <f>'Mantis Benefit by Tier'!D13+'Mantis Benefit by Tier'!L13/3+'Mantis Benefit by Tier'!P13+'Mantis Benefit by Tier'!S13/2</f>
        <v>124666.66666666667</v>
      </c>
      <c r="K11" s="79">
        <f>'Mantis Benefit by Tier'!E13+'Mantis Benefit by Tier'!M13/3+'Mantis Benefit by Tier'!Q13+'Mantis Benefit by Tier'!S13/2</f>
        <v>523333.33333333331</v>
      </c>
      <c r="L11" s="30">
        <v>42</v>
      </c>
      <c r="M11" s="78">
        <f t="shared" si="1"/>
        <v>10466.666666666666</v>
      </c>
      <c r="N11" s="78">
        <f t="shared" si="2"/>
        <v>261666.66666666666</v>
      </c>
      <c r="O11" s="79">
        <f t="shared" si="9"/>
        <v>95151.515151515152</v>
      </c>
      <c r="P11" s="78"/>
      <c r="Q11" s="78"/>
      <c r="R11" s="78"/>
      <c r="S11" s="78"/>
    </row>
    <row r="12" spans="1:19" ht="12.75" x14ac:dyDescent="0.2">
      <c r="A12" s="5" t="s">
        <v>84</v>
      </c>
      <c r="B12" s="5">
        <v>38400</v>
      </c>
      <c r="C12" s="60">
        <f t="shared" ref="C12:H12" si="15">$B12*(1+C$28)</f>
        <v>172800</v>
      </c>
      <c r="D12" s="60">
        <f t="shared" si="15"/>
        <v>207744</v>
      </c>
      <c r="E12" s="60">
        <f t="shared" si="15"/>
        <v>240384</v>
      </c>
      <c r="F12" s="283">
        <f t="shared" si="15"/>
        <v>319104</v>
      </c>
      <c r="G12" s="284">
        <f t="shared" si="15"/>
        <v>337920</v>
      </c>
      <c r="H12" s="283">
        <f t="shared" si="15"/>
        <v>360960</v>
      </c>
      <c r="I12" s="285">
        <f t="shared" ref="I12:I14" si="16">G12*2</f>
        <v>675840</v>
      </c>
      <c r="J12" s="287">
        <v>0</v>
      </c>
      <c r="K12" s="288">
        <v>0</v>
      </c>
      <c r="L12" s="30">
        <v>44</v>
      </c>
      <c r="M12" s="78">
        <f t="shared" si="1"/>
        <v>0</v>
      </c>
      <c r="N12" s="78">
        <f t="shared" si="2"/>
        <v>0</v>
      </c>
      <c r="O12" s="79">
        <f t="shared" si="9"/>
        <v>0</v>
      </c>
      <c r="P12" s="78"/>
      <c r="Q12" s="78"/>
      <c r="R12" s="78"/>
      <c r="S12" s="78"/>
    </row>
    <row r="13" spans="1:19" ht="12.75" x14ac:dyDescent="0.2">
      <c r="A13" s="2" t="s">
        <v>85</v>
      </c>
      <c r="B13" s="2">
        <v>45700</v>
      </c>
      <c r="C13" s="12">
        <f t="shared" ref="C13:H13" si="17">$B13*(1+C$28)</f>
        <v>205650</v>
      </c>
      <c r="D13" s="12">
        <f t="shared" si="17"/>
        <v>247237</v>
      </c>
      <c r="E13" s="12">
        <f t="shared" si="17"/>
        <v>286082</v>
      </c>
      <c r="F13" s="281">
        <f t="shared" si="17"/>
        <v>379767</v>
      </c>
      <c r="G13" s="280">
        <f t="shared" si="17"/>
        <v>402160.00000000006</v>
      </c>
      <c r="H13" s="281">
        <f t="shared" si="17"/>
        <v>429580</v>
      </c>
      <c r="I13" s="282">
        <f t="shared" si="16"/>
        <v>804320.00000000012</v>
      </c>
      <c r="J13" s="289">
        <v>0</v>
      </c>
      <c r="K13" s="290">
        <v>0</v>
      </c>
      <c r="L13" s="30">
        <v>46</v>
      </c>
      <c r="M13" s="78">
        <f t="shared" si="1"/>
        <v>0</v>
      </c>
      <c r="N13" s="78">
        <f t="shared" si="2"/>
        <v>0</v>
      </c>
      <c r="O13" s="79">
        <f t="shared" si="9"/>
        <v>0</v>
      </c>
      <c r="P13" s="78"/>
      <c r="Q13" s="78"/>
      <c r="R13" s="78"/>
      <c r="S13" s="78"/>
    </row>
    <row r="14" spans="1:19" ht="12.75" x14ac:dyDescent="0.2">
      <c r="A14" s="2" t="s">
        <v>86</v>
      </c>
      <c r="B14" s="2">
        <v>65000</v>
      </c>
      <c r="C14" s="12">
        <f t="shared" ref="C14:H14" si="18">$B14*(1+C$28)</f>
        <v>292500</v>
      </c>
      <c r="D14" s="12">
        <f t="shared" si="18"/>
        <v>351650</v>
      </c>
      <c r="E14" s="12">
        <f t="shared" si="18"/>
        <v>406900</v>
      </c>
      <c r="F14" s="281">
        <f t="shared" si="18"/>
        <v>540150</v>
      </c>
      <c r="G14" s="280">
        <f t="shared" si="18"/>
        <v>572000</v>
      </c>
      <c r="H14" s="281">
        <f t="shared" si="18"/>
        <v>611000</v>
      </c>
      <c r="I14" s="282">
        <f t="shared" si="16"/>
        <v>1144000</v>
      </c>
      <c r="J14" s="289">
        <v>0</v>
      </c>
      <c r="K14" s="290">
        <v>0</v>
      </c>
      <c r="L14" s="30">
        <v>48</v>
      </c>
      <c r="M14" s="78">
        <f t="shared" si="1"/>
        <v>0</v>
      </c>
      <c r="N14" s="78">
        <f t="shared" si="2"/>
        <v>0</v>
      </c>
      <c r="O14" s="79">
        <f t="shared" si="9"/>
        <v>0</v>
      </c>
      <c r="P14" s="78"/>
      <c r="Q14" s="78"/>
      <c r="R14" s="78"/>
      <c r="S14" s="78"/>
    </row>
    <row r="15" spans="1:19" ht="12.75" x14ac:dyDescent="0.2">
      <c r="A15" s="2" t="s">
        <v>87</v>
      </c>
      <c r="B15" s="2">
        <v>91300</v>
      </c>
      <c r="C15" s="12">
        <f t="shared" ref="C15:H15" si="19">$B15*(1+C$28)</f>
        <v>410850</v>
      </c>
      <c r="D15" s="12">
        <f t="shared" si="19"/>
        <v>493933</v>
      </c>
      <c r="E15" s="12">
        <f t="shared" si="19"/>
        <v>571538</v>
      </c>
      <c r="F15" s="281">
        <f t="shared" si="19"/>
        <v>758703</v>
      </c>
      <c r="G15" s="281">
        <f t="shared" si="19"/>
        <v>803440.00000000012</v>
      </c>
      <c r="H15" s="280">
        <f t="shared" si="19"/>
        <v>858220</v>
      </c>
      <c r="I15" s="282">
        <f>H15*2</f>
        <v>1716440</v>
      </c>
      <c r="J15" s="287">
        <v>548333.33333333337</v>
      </c>
      <c r="K15" s="288">
        <v>2223333.3333333335</v>
      </c>
      <c r="L15" s="6">
        <v>49</v>
      </c>
      <c r="M15" s="103">
        <f t="shared" si="1"/>
        <v>44466.666666666672</v>
      </c>
      <c r="N15" s="103">
        <f t="shared" si="2"/>
        <v>1111666.6666666667</v>
      </c>
      <c r="O15" s="104">
        <f>N15/(1+$H$28/2)</f>
        <v>213782.05128205128</v>
      </c>
      <c r="P15" s="78"/>
      <c r="Q15" s="78"/>
      <c r="R15" s="78"/>
      <c r="S15" s="78"/>
    </row>
    <row r="16" spans="1:19" ht="12.75" x14ac:dyDescent="0.2">
      <c r="A16" s="78"/>
      <c r="B16" s="78"/>
      <c r="C16" s="78"/>
      <c r="D16" s="78"/>
      <c r="E16" s="78"/>
      <c r="F16" s="78"/>
      <c r="G16" s="78"/>
      <c r="H16" s="114" t="s">
        <v>258</v>
      </c>
      <c r="L16" s="2" t="s">
        <v>272</v>
      </c>
      <c r="M16" s="78"/>
      <c r="N16" s="78"/>
      <c r="O16" s="78"/>
      <c r="P16" s="78"/>
    </row>
    <row r="17" spans="1:15" ht="12.75" x14ac:dyDescent="0.2">
      <c r="A17" s="93"/>
      <c r="B17" s="432" t="s">
        <v>273</v>
      </c>
      <c r="C17" s="389"/>
      <c r="D17" s="389"/>
      <c r="E17" s="389"/>
      <c r="F17" s="389"/>
      <c r="G17" s="389"/>
      <c r="H17" s="390"/>
    </row>
    <row r="18" spans="1:15" ht="12.75" x14ac:dyDescent="0.2">
      <c r="A18" s="433" t="s">
        <v>52</v>
      </c>
      <c r="B18" s="429"/>
      <c r="C18" s="6">
        <v>35</v>
      </c>
      <c r="D18" s="103">
        <v>40</v>
      </c>
      <c r="E18" s="103">
        <v>45</v>
      </c>
      <c r="F18" s="103">
        <v>50</v>
      </c>
      <c r="G18" s="103">
        <v>55</v>
      </c>
      <c r="H18" s="104">
        <v>60</v>
      </c>
      <c r="I18" s="434" t="s">
        <v>274</v>
      </c>
      <c r="J18" s="389"/>
      <c r="K18" s="389"/>
      <c r="L18" s="389"/>
      <c r="M18" s="389"/>
      <c r="N18" s="389"/>
      <c r="O18" s="390"/>
    </row>
    <row r="19" spans="1:15" ht="12.75" x14ac:dyDescent="0.2">
      <c r="A19" s="30"/>
      <c r="B19" s="78">
        <v>7</v>
      </c>
      <c r="C19" s="291">
        <v>0.04</v>
      </c>
      <c r="D19" s="292">
        <v>0.06</v>
      </c>
      <c r="E19" s="292">
        <v>0.06</v>
      </c>
      <c r="F19" s="292">
        <v>0.06</v>
      </c>
      <c r="G19" s="292">
        <v>0.1</v>
      </c>
      <c r="H19" s="293">
        <v>0.1</v>
      </c>
      <c r="I19" s="6" t="s">
        <v>33</v>
      </c>
      <c r="J19" s="5">
        <v>35</v>
      </c>
      <c r="K19" s="103">
        <v>40</v>
      </c>
      <c r="L19" s="103">
        <v>45</v>
      </c>
      <c r="M19" s="103">
        <v>50</v>
      </c>
      <c r="N19" s="103">
        <v>55</v>
      </c>
      <c r="O19" s="104">
        <v>60</v>
      </c>
    </row>
    <row r="20" spans="1:15" ht="12.75" x14ac:dyDescent="0.2">
      <c r="A20" s="30"/>
      <c r="B20" s="2">
        <v>11</v>
      </c>
      <c r="C20" s="291">
        <v>0.06</v>
      </c>
      <c r="D20" s="292">
        <v>0.1</v>
      </c>
      <c r="E20" s="292">
        <v>0.1</v>
      </c>
      <c r="F20" s="292">
        <v>0.1</v>
      </c>
      <c r="G20" s="292">
        <v>0.1</v>
      </c>
      <c r="H20" s="293">
        <v>0.1</v>
      </c>
      <c r="I20" s="76" t="s">
        <v>275</v>
      </c>
      <c r="J20" s="294">
        <v>0.35</v>
      </c>
      <c r="K20" s="294">
        <v>0.35</v>
      </c>
      <c r="L20" s="294">
        <v>0.35</v>
      </c>
      <c r="M20" s="294">
        <v>0.35</v>
      </c>
      <c r="N20" s="294">
        <v>0.35</v>
      </c>
      <c r="O20" s="295">
        <v>0.35</v>
      </c>
    </row>
    <row r="21" spans="1:15" ht="12.75" x14ac:dyDescent="0.2">
      <c r="A21" s="76"/>
      <c r="B21" s="78">
        <v>14</v>
      </c>
      <c r="C21" s="291">
        <v>0.1</v>
      </c>
      <c r="D21" s="292">
        <v>0.15</v>
      </c>
      <c r="E21" s="292">
        <v>0.15</v>
      </c>
      <c r="F21" s="292">
        <v>0.15</v>
      </c>
      <c r="G21" s="292">
        <v>0.2</v>
      </c>
      <c r="H21" s="293">
        <v>0.2</v>
      </c>
      <c r="I21" s="30" t="s">
        <v>42</v>
      </c>
      <c r="J21" s="296" t="s">
        <v>79</v>
      </c>
      <c r="K21" s="296" t="s">
        <v>80</v>
      </c>
      <c r="L21" s="296" t="s">
        <v>80</v>
      </c>
      <c r="M21" s="296" t="s">
        <v>80</v>
      </c>
      <c r="N21" s="296" t="s">
        <v>80</v>
      </c>
      <c r="O21" s="297" t="s">
        <v>80</v>
      </c>
    </row>
    <row r="22" spans="1:15" ht="12.75" x14ac:dyDescent="0.2">
      <c r="A22" s="76"/>
      <c r="B22" s="78">
        <v>29</v>
      </c>
      <c r="C22" s="298">
        <v>0.15</v>
      </c>
      <c r="D22" s="299">
        <v>0.2</v>
      </c>
      <c r="E22" s="299">
        <v>0.2</v>
      </c>
      <c r="F22" s="299">
        <v>0.2</v>
      </c>
      <c r="G22" s="292">
        <v>0.25</v>
      </c>
      <c r="H22" s="293">
        <v>0.25</v>
      </c>
      <c r="I22" s="30"/>
      <c r="J22" s="300">
        <v>0.25</v>
      </c>
      <c r="K22" s="294">
        <v>0.3</v>
      </c>
      <c r="L22" s="294">
        <v>0.3</v>
      </c>
      <c r="M22" s="294">
        <v>0.3</v>
      </c>
      <c r="N22" s="294">
        <v>0.3</v>
      </c>
      <c r="O22" s="295">
        <v>0.3</v>
      </c>
    </row>
    <row r="23" spans="1:15" ht="12.75" x14ac:dyDescent="0.2">
      <c r="A23" s="76"/>
      <c r="B23" s="78">
        <v>33</v>
      </c>
      <c r="C23" s="298">
        <v>0.2</v>
      </c>
      <c r="D23" s="299">
        <v>0.3</v>
      </c>
      <c r="E23" s="299">
        <v>0.3</v>
      </c>
      <c r="F23" s="299">
        <v>0.3</v>
      </c>
      <c r="G23" s="299">
        <v>0.4</v>
      </c>
      <c r="H23" s="293">
        <v>0.4</v>
      </c>
      <c r="I23" s="76" t="s">
        <v>276</v>
      </c>
      <c r="J23" s="296" t="s">
        <v>77</v>
      </c>
      <c r="K23" s="296" t="s">
        <v>77</v>
      </c>
      <c r="L23" s="296" t="s">
        <v>4</v>
      </c>
      <c r="M23" s="296" t="s">
        <v>78</v>
      </c>
      <c r="N23" s="296" t="s">
        <v>79</v>
      </c>
      <c r="O23" s="297" t="s">
        <v>80</v>
      </c>
    </row>
    <row r="24" spans="1:15" ht="12.75" x14ac:dyDescent="0.2">
      <c r="A24" s="435" t="s">
        <v>277</v>
      </c>
      <c r="B24" s="389"/>
      <c r="C24" s="301">
        <f t="shared" ref="C24:F24" si="20">SUM(C19:C21)</f>
        <v>0.2</v>
      </c>
      <c r="D24" s="302">
        <f t="shared" si="20"/>
        <v>0.31</v>
      </c>
      <c r="E24" s="302">
        <f t="shared" si="20"/>
        <v>0.31</v>
      </c>
      <c r="F24" s="302">
        <f t="shared" si="20"/>
        <v>0.31</v>
      </c>
      <c r="G24" s="302">
        <f>SUM(G19:G22)</f>
        <v>0.65</v>
      </c>
      <c r="H24" s="303">
        <f>SUM(H19:H23)</f>
        <v>1.05</v>
      </c>
      <c r="I24" s="76"/>
      <c r="J24" s="300">
        <v>0.4</v>
      </c>
      <c r="K24" s="300">
        <v>0.4</v>
      </c>
      <c r="L24" s="300">
        <v>0.45</v>
      </c>
      <c r="M24" s="300">
        <v>0.5</v>
      </c>
      <c r="N24" s="300">
        <v>0.55000000000000004</v>
      </c>
      <c r="O24" s="295">
        <v>0.6</v>
      </c>
    </row>
    <row r="25" spans="1:15" ht="12.75" x14ac:dyDescent="0.2">
      <c r="A25" s="436" t="s">
        <v>278</v>
      </c>
      <c r="B25" s="374"/>
      <c r="C25" s="256">
        <v>0.35</v>
      </c>
      <c r="D25" s="145">
        <v>0.4</v>
      </c>
      <c r="E25" s="145">
        <v>0.45</v>
      </c>
      <c r="F25" s="145">
        <v>0.5</v>
      </c>
      <c r="G25" s="145">
        <v>0.55000000000000004</v>
      </c>
      <c r="H25" s="304">
        <v>0.6</v>
      </c>
      <c r="I25" s="76" t="s">
        <v>279</v>
      </c>
      <c r="J25" s="296" t="s">
        <v>77</v>
      </c>
      <c r="K25" s="296" t="s">
        <v>77</v>
      </c>
      <c r="L25" s="296" t="s">
        <v>4</v>
      </c>
      <c r="M25" s="296" t="s">
        <v>78</v>
      </c>
      <c r="N25" s="296" t="s">
        <v>79</v>
      </c>
      <c r="O25" s="297" t="s">
        <v>80</v>
      </c>
    </row>
    <row r="26" spans="1:15" ht="12.75" x14ac:dyDescent="0.2">
      <c r="A26" s="30" t="s">
        <v>280</v>
      </c>
      <c r="C26" s="305">
        <f t="shared" ref="C26:H26" si="21">J27</f>
        <v>1.25</v>
      </c>
      <c r="D26" s="300">
        <f t="shared" si="21"/>
        <v>1.2999999999999998</v>
      </c>
      <c r="E26" s="300">
        <f t="shared" si="21"/>
        <v>1.4</v>
      </c>
      <c r="F26" s="300">
        <f t="shared" si="21"/>
        <v>1.5</v>
      </c>
      <c r="G26" s="300">
        <f t="shared" si="21"/>
        <v>1.6</v>
      </c>
      <c r="H26" s="306">
        <f t="shared" si="21"/>
        <v>1.75</v>
      </c>
      <c r="I26" s="30"/>
      <c r="J26" s="300">
        <v>0.25</v>
      </c>
      <c r="K26" s="300">
        <v>0.25</v>
      </c>
      <c r="L26" s="300">
        <v>0.3</v>
      </c>
      <c r="M26" s="300">
        <v>0.35</v>
      </c>
      <c r="N26" s="300">
        <v>0.4</v>
      </c>
      <c r="O26" s="295">
        <v>0.5</v>
      </c>
    </row>
    <row r="27" spans="1:15" ht="12.75" x14ac:dyDescent="0.2">
      <c r="A27" s="433" t="s">
        <v>240</v>
      </c>
      <c r="B27" s="429"/>
      <c r="C27" s="307">
        <v>1.7</v>
      </c>
      <c r="D27" s="308">
        <v>2.4</v>
      </c>
      <c r="E27" s="308">
        <v>3.1</v>
      </c>
      <c r="F27" s="308">
        <v>5</v>
      </c>
      <c r="G27" s="308">
        <v>5</v>
      </c>
      <c r="H27" s="309">
        <v>5</v>
      </c>
      <c r="I27" s="310" t="s">
        <v>137</v>
      </c>
      <c r="J27" s="311">
        <f t="shared" ref="J27:O27" si="22">SUM(J20:J26)</f>
        <v>1.25</v>
      </c>
      <c r="K27" s="311">
        <f t="shared" si="22"/>
        <v>1.2999999999999998</v>
      </c>
      <c r="L27" s="311">
        <f t="shared" si="22"/>
        <v>1.4</v>
      </c>
      <c r="M27" s="311">
        <f t="shared" si="22"/>
        <v>1.5</v>
      </c>
      <c r="N27" s="311">
        <f t="shared" si="22"/>
        <v>1.6</v>
      </c>
      <c r="O27" s="312">
        <f t="shared" si="22"/>
        <v>1.75</v>
      </c>
    </row>
    <row r="28" spans="1:15" ht="12.75" x14ac:dyDescent="0.2">
      <c r="A28" s="437" t="s">
        <v>137</v>
      </c>
      <c r="B28" s="429"/>
      <c r="C28" s="313">
        <f t="shared" ref="C28:H28" si="23">SUM(C24:C27)</f>
        <v>3.5</v>
      </c>
      <c r="D28" s="314">
        <f t="shared" si="23"/>
        <v>4.41</v>
      </c>
      <c r="E28" s="314">
        <f t="shared" si="23"/>
        <v>5.26</v>
      </c>
      <c r="F28" s="314">
        <f t="shared" si="23"/>
        <v>7.3100000000000005</v>
      </c>
      <c r="G28" s="314">
        <f t="shared" si="23"/>
        <v>7.8000000000000007</v>
      </c>
      <c r="H28" s="315">
        <f t="shared" si="23"/>
        <v>8.4</v>
      </c>
    </row>
    <row r="29" spans="1:15" ht="12.75" x14ac:dyDescent="0.2">
      <c r="B29" s="2">
        <f>B6*(1+SUM(C24:C26))</f>
        <v>35840</v>
      </c>
    </row>
    <row r="35" spans="1:1" ht="12.75" x14ac:dyDescent="0.2">
      <c r="A35" s="78"/>
    </row>
    <row r="36" spans="1:1" ht="12.75" x14ac:dyDescent="0.2">
      <c r="A36" s="78"/>
    </row>
    <row r="37" spans="1:1" ht="12.75" x14ac:dyDescent="0.2">
      <c r="A37" s="78"/>
    </row>
    <row r="38" spans="1:1" ht="12.75" x14ac:dyDescent="0.2">
      <c r="A38" s="78"/>
    </row>
  </sheetData>
  <mergeCells count="16">
    <mergeCell ref="L1:O1"/>
    <mergeCell ref="A2:B2"/>
    <mergeCell ref="C2:I2"/>
    <mergeCell ref="J2:K2"/>
    <mergeCell ref="L2:L3"/>
    <mergeCell ref="M2:M3"/>
    <mergeCell ref="A24:B24"/>
    <mergeCell ref="A25:B25"/>
    <mergeCell ref="A27:B27"/>
    <mergeCell ref="A28:B28"/>
    <mergeCell ref="A1:K1"/>
    <mergeCell ref="N2:N3"/>
    <mergeCell ref="O2:O3"/>
    <mergeCell ref="B17:H17"/>
    <mergeCell ref="A18:B18"/>
    <mergeCell ref="I18:O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5"/>
  <sheetViews>
    <sheetView workbookViewId="0"/>
  </sheetViews>
  <sheetFormatPr defaultColWidth="12.5703125" defaultRowHeight="15.75" customHeight="1" x14ac:dyDescent="0.2"/>
  <cols>
    <col min="1" max="1" width="10.42578125" customWidth="1"/>
    <col min="2" max="2" width="10.140625" customWidth="1"/>
    <col min="3" max="3" width="9.5703125" customWidth="1"/>
  </cols>
  <sheetData>
    <row r="1" spans="1:7" ht="12.75" x14ac:dyDescent="0.2">
      <c r="A1" s="444" t="s">
        <v>281</v>
      </c>
      <c r="B1" s="374"/>
      <c r="C1" s="374"/>
    </row>
    <row r="2" spans="1:7" ht="15.75" customHeight="1" x14ac:dyDescent="0.2">
      <c r="A2" s="374"/>
      <c r="B2" s="374"/>
      <c r="C2" s="374"/>
    </row>
    <row r="3" spans="1:7" ht="12.75" x14ac:dyDescent="0.2">
      <c r="A3" s="445" t="s">
        <v>282</v>
      </c>
      <c r="B3" s="374"/>
      <c r="C3" s="374"/>
      <c r="D3" s="226" t="s">
        <v>283</v>
      </c>
    </row>
    <row r="4" spans="1:7" ht="12.75" x14ac:dyDescent="0.2">
      <c r="A4" s="317" t="s">
        <v>102</v>
      </c>
      <c r="B4" s="127" t="s">
        <v>284</v>
      </c>
      <c r="C4" s="127" t="s">
        <v>285</v>
      </c>
      <c r="D4" s="318" t="s">
        <v>286</v>
      </c>
    </row>
    <row r="5" spans="1:7" ht="12.75" x14ac:dyDescent="0.2">
      <c r="A5" s="319">
        <v>33</v>
      </c>
      <c r="B5" s="53">
        <v>115</v>
      </c>
      <c r="C5" s="53">
        <v>680</v>
      </c>
      <c r="D5" s="320">
        <f t="shared" ref="D5:D21" si="0">C5/B5</f>
        <v>5.9130434782608692</v>
      </c>
    </row>
    <row r="6" spans="1:7" ht="12.75" x14ac:dyDescent="0.2">
      <c r="A6" s="316">
        <v>34</v>
      </c>
      <c r="B6" s="53">
        <v>140</v>
      </c>
      <c r="C6" s="53">
        <v>860</v>
      </c>
      <c r="D6" s="320">
        <f t="shared" si="0"/>
        <v>6.1428571428571432</v>
      </c>
    </row>
    <row r="7" spans="1:7" ht="12.75" x14ac:dyDescent="0.2">
      <c r="A7" s="319">
        <v>35</v>
      </c>
      <c r="B7" s="53">
        <v>195</v>
      </c>
      <c r="C7" s="53">
        <v>1172</v>
      </c>
      <c r="D7" s="320">
        <f t="shared" si="0"/>
        <v>6.0102564102564102</v>
      </c>
    </row>
    <row r="8" spans="1:7" ht="12.75" x14ac:dyDescent="0.2">
      <c r="A8" s="316">
        <v>36</v>
      </c>
      <c r="B8" s="53">
        <v>270</v>
      </c>
      <c r="C8" s="53">
        <v>1608</v>
      </c>
      <c r="D8" s="320">
        <f t="shared" si="0"/>
        <v>5.9555555555555557</v>
      </c>
    </row>
    <row r="9" spans="1:7" ht="12.75" x14ac:dyDescent="0.2">
      <c r="A9" s="319">
        <v>37</v>
      </c>
      <c r="B9" s="53">
        <v>340</v>
      </c>
      <c r="C9" s="53">
        <v>2073</v>
      </c>
      <c r="D9" s="320">
        <f t="shared" si="0"/>
        <v>6.0970588235294114</v>
      </c>
    </row>
    <row r="10" spans="1:7" ht="12.75" x14ac:dyDescent="0.2">
      <c r="A10" s="316">
        <v>38</v>
      </c>
      <c r="B10" s="53">
        <v>380</v>
      </c>
      <c r="C10" s="53">
        <v>2288</v>
      </c>
      <c r="D10" s="320">
        <f t="shared" si="0"/>
        <v>6.0210526315789474</v>
      </c>
    </row>
    <row r="11" spans="1:7" ht="12.75" x14ac:dyDescent="0.2">
      <c r="A11" s="319">
        <v>39</v>
      </c>
      <c r="B11" s="53">
        <v>442</v>
      </c>
      <c r="C11" s="53">
        <v>2797</v>
      </c>
      <c r="D11" s="320">
        <f t="shared" si="0"/>
        <v>6.3280542986425337</v>
      </c>
      <c r="F11" s="78"/>
      <c r="G11" s="78"/>
    </row>
    <row r="12" spans="1:7" ht="12.75" x14ac:dyDescent="0.2">
      <c r="A12" s="316">
        <v>40</v>
      </c>
      <c r="B12" s="53">
        <v>676</v>
      </c>
      <c r="C12" s="53">
        <v>4067</v>
      </c>
      <c r="D12" s="320">
        <f t="shared" si="0"/>
        <v>6.0162721893491122</v>
      </c>
      <c r="F12" s="78"/>
      <c r="G12" s="78"/>
    </row>
    <row r="13" spans="1:7" ht="12.75" x14ac:dyDescent="0.2">
      <c r="A13" s="319">
        <v>41</v>
      </c>
      <c r="B13" s="53">
        <v>719</v>
      </c>
      <c r="C13" s="53">
        <v>4615</v>
      </c>
      <c r="D13" s="320">
        <f t="shared" si="0"/>
        <v>6.418636995827538</v>
      </c>
      <c r="F13" s="78"/>
      <c r="G13" s="78"/>
    </row>
    <row r="14" spans="1:7" ht="12.75" x14ac:dyDescent="0.2">
      <c r="A14" s="316">
        <v>42</v>
      </c>
      <c r="B14" s="53">
        <v>961</v>
      </c>
      <c r="C14" s="53">
        <v>4979</v>
      </c>
      <c r="D14" s="320">
        <f t="shared" si="0"/>
        <v>5.181061394380853</v>
      </c>
      <c r="F14" s="78"/>
      <c r="G14" s="78"/>
    </row>
    <row r="15" spans="1:7" ht="12.75" x14ac:dyDescent="0.2">
      <c r="A15" s="319">
        <v>43</v>
      </c>
      <c r="B15" s="53">
        <v>1010</v>
      </c>
      <c r="C15" s="53">
        <v>5585</v>
      </c>
      <c r="D15" s="320">
        <f t="shared" si="0"/>
        <v>5.5297029702970297</v>
      </c>
      <c r="F15" s="78"/>
      <c r="G15" s="78"/>
    </row>
    <row r="16" spans="1:7" ht="12.75" x14ac:dyDescent="0.2">
      <c r="A16" s="316">
        <v>44</v>
      </c>
      <c r="B16" s="53">
        <v>1187</v>
      </c>
      <c r="C16" s="53">
        <v>7573</v>
      </c>
      <c r="D16" s="320">
        <f t="shared" si="0"/>
        <v>6.3799494524010107</v>
      </c>
      <c r="F16" s="78"/>
      <c r="G16" s="78"/>
    </row>
    <row r="17" spans="1:7" ht="12.75" x14ac:dyDescent="0.2">
      <c r="A17" s="319">
        <v>45</v>
      </c>
      <c r="B17" s="53">
        <v>1300</v>
      </c>
      <c r="C17" s="53">
        <v>8000</v>
      </c>
      <c r="D17" s="320">
        <f t="shared" si="0"/>
        <v>6.1538461538461542</v>
      </c>
      <c r="F17" s="78"/>
      <c r="G17" s="78"/>
    </row>
    <row r="18" spans="1:7" ht="12.75" x14ac:dyDescent="0.2">
      <c r="A18" s="316">
        <v>46</v>
      </c>
      <c r="B18" s="53">
        <v>1649</v>
      </c>
      <c r="C18" s="53">
        <v>8834</v>
      </c>
      <c r="D18" s="320">
        <f t="shared" si="0"/>
        <v>5.3571861734384472</v>
      </c>
      <c r="F18" s="78"/>
      <c r="G18" s="78"/>
    </row>
    <row r="19" spans="1:7" ht="12.75" x14ac:dyDescent="0.2">
      <c r="A19" s="319">
        <v>47</v>
      </c>
      <c r="B19" s="53">
        <v>2050</v>
      </c>
      <c r="C19" s="53">
        <v>11640</v>
      </c>
      <c r="D19" s="320">
        <f t="shared" si="0"/>
        <v>5.6780487804878046</v>
      </c>
      <c r="F19" s="78"/>
      <c r="G19" s="78"/>
    </row>
    <row r="20" spans="1:7" ht="12.75" x14ac:dyDescent="0.2">
      <c r="A20" s="316">
        <v>48</v>
      </c>
      <c r="B20" s="53">
        <v>2502</v>
      </c>
      <c r="C20" s="53">
        <v>15140</v>
      </c>
      <c r="D20" s="320">
        <f t="shared" si="0"/>
        <v>6.0511590727418065</v>
      </c>
      <c r="F20" s="78"/>
      <c r="G20" s="78"/>
    </row>
    <row r="21" spans="1:7" ht="12.75" x14ac:dyDescent="0.2">
      <c r="A21" s="319">
        <v>49</v>
      </c>
      <c r="B21" s="53">
        <v>3138</v>
      </c>
      <c r="C21" s="53">
        <v>19540</v>
      </c>
      <c r="D21" s="320">
        <f t="shared" si="0"/>
        <v>6.2268961121733586</v>
      </c>
      <c r="F21" s="78"/>
      <c r="G21" s="78"/>
    </row>
    <row r="22" spans="1:7" ht="12.75" hidden="1" x14ac:dyDescent="0.2">
      <c r="A22" s="321">
        <v>50</v>
      </c>
      <c r="B22" s="116"/>
      <c r="C22" s="116"/>
    </row>
    <row r="23" spans="1:7" ht="12.75" hidden="1" x14ac:dyDescent="0.2">
      <c r="A23" s="322">
        <v>51</v>
      </c>
      <c r="B23" s="116"/>
      <c r="C23" s="116"/>
    </row>
    <row r="24" spans="1:7" ht="12.75" hidden="1" x14ac:dyDescent="0.2">
      <c r="A24" s="321">
        <v>52</v>
      </c>
      <c r="B24" s="116"/>
      <c r="C24" s="116"/>
    </row>
    <row r="25" spans="1:7" ht="12.75" hidden="1" x14ac:dyDescent="0.2">
      <c r="A25" s="322">
        <v>53</v>
      </c>
      <c r="B25" s="116"/>
      <c r="C25" s="116"/>
    </row>
    <row r="26" spans="1:7" ht="12.75" hidden="1" x14ac:dyDescent="0.2">
      <c r="A26" s="321">
        <v>54</v>
      </c>
      <c r="B26" s="116"/>
      <c r="C26" s="116"/>
    </row>
    <row r="27" spans="1:7" ht="12.75" hidden="1" x14ac:dyDescent="0.2">
      <c r="A27" s="322">
        <v>55</v>
      </c>
      <c r="B27" s="116"/>
      <c r="C27" s="116"/>
    </row>
    <row r="28" spans="1:7" ht="12.75" hidden="1" x14ac:dyDescent="0.2">
      <c r="A28" s="321">
        <v>56</v>
      </c>
      <c r="B28" s="116"/>
      <c r="C28" s="116"/>
    </row>
    <row r="29" spans="1:7" ht="12.75" hidden="1" x14ac:dyDescent="0.2">
      <c r="A29" s="322">
        <v>57</v>
      </c>
      <c r="B29" s="116"/>
      <c r="C29" s="116"/>
    </row>
    <row r="30" spans="1:7" ht="12.75" hidden="1" x14ac:dyDescent="0.2">
      <c r="A30" s="321">
        <v>58</v>
      </c>
      <c r="B30" s="116"/>
      <c r="C30" s="116"/>
    </row>
    <row r="31" spans="1:7" ht="12.75" hidden="1" x14ac:dyDescent="0.2">
      <c r="A31" s="322">
        <v>59</v>
      </c>
      <c r="B31" s="116"/>
      <c r="C31" s="116"/>
    </row>
    <row r="32" spans="1:7" ht="12.75" hidden="1" x14ac:dyDescent="0.2">
      <c r="A32" s="321">
        <v>60</v>
      </c>
      <c r="B32" s="116"/>
      <c r="C32" s="116"/>
    </row>
    <row r="35" spans="1:1" ht="12.75" x14ac:dyDescent="0.2">
      <c r="A35" s="323" t="s">
        <v>258</v>
      </c>
    </row>
  </sheetData>
  <mergeCells count="2">
    <mergeCell ref="A1:C2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O60"/>
  <sheetViews>
    <sheetView showGridLines="0" workbookViewId="0"/>
  </sheetViews>
  <sheetFormatPr defaultColWidth="12.5703125" defaultRowHeight="15.75" customHeight="1" x14ac:dyDescent="0.2"/>
  <cols>
    <col min="1" max="2" width="5.42578125" customWidth="1"/>
    <col min="3" max="3" width="10" customWidth="1"/>
    <col min="4" max="10" width="9" customWidth="1"/>
    <col min="11" max="11" width="12.28515625" customWidth="1"/>
    <col min="12" max="18" width="8.42578125" customWidth="1"/>
    <col min="20" max="20" width="17.7109375" customWidth="1"/>
    <col min="21" max="21" width="4.7109375" customWidth="1"/>
    <col min="22" max="22" width="11.140625" customWidth="1"/>
  </cols>
  <sheetData>
    <row r="1" spans="1:41" ht="30.75" customHeight="1" x14ac:dyDescent="0.35">
      <c r="A1" s="164"/>
      <c r="B1" s="447" t="s">
        <v>287</v>
      </c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448"/>
      <c r="O1" s="374"/>
      <c r="P1" s="374"/>
      <c r="Q1" s="374"/>
      <c r="U1" s="447" t="s">
        <v>288</v>
      </c>
      <c r="V1" s="374"/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24"/>
      <c r="AH1" s="324"/>
      <c r="AI1" s="324"/>
      <c r="AJ1" s="324"/>
      <c r="AK1" s="439" t="s">
        <v>261</v>
      </c>
      <c r="AL1" s="374"/>
      <c r="AM1" s="374"/>
      <c r="AN1" s="392"/>
    </row>
    <row r="2" spans="1:41" ht="25.5" customHeight="1" x14ac:dyDescent="0.2">
      <c r="A2" s="82"/>
      <c r="B2" s="440" t="s">
        <v>289</v>
      </c>
      <c r="C2" s="374"/>
      <c r="D2" s="374"/>
      <c r="E2" s="374"/>
      <c r="F2" s="374"/>
      <c r="G2" s="374"/>
      <c r="H2" s="374"/>
      <c r="I2" s="374"/>
      <c r="J2" s="374"/>
      <c r="K2" s="374"/>
      <c r="L2" s="446" t="s">
        <v>290</v>
      </c>
      <c r="M2" s="390"/>
      <c r="N2" s="449"/>
      <c r="O2" s="449"/>
      <c r="P2" s="449"/>
      <c r="Q2" s="449"/>
      <c r="U2" s="374"/>
      <c r="V2" s="374"/>
      <c r="W2" s="440" t="s">
        <v>291</v>
      </c>
      <c r="X2" s="374"/>
      <c r="Y2" s="374"/>
      <c r="Z2" s="374"/>
      <c r="AA2" s="374"/>
      <c r="AB2" s="374"/>
      <c r="AC2" s="374"/>
      <c r="AD2" s="374"/>
      <c r="AE2" s="441" t="s">
        <v>263</v>
      </c>
      <c r="AF2" s="390"/>
      <c r="AG2" s="276"/>
      <c r="AH2" s="276"/>
      <c r="AI2" s="276"/>
      <c r="AJ2" s="276"/>
      <c r="AK2" s="442" t="s">
        <v>264</v>
      </c>
      <c r="AL2" s="428" t="s">
        <v>265</v>
      </c>
      <c r="AM2" s="428" t="s">
        <v>266</v>
      </c>
      <c r="AN2" s="430" t="s">
        <v>267</v>
      </c>
    </row>
    <row r="3" spans="1:41" ht="25.5" x14ac:dyDescent="0.2">
      <c r="A3" s="326"/>
      <c r="B3" s="327" t="s">
        <v>34</v>
      </c>
      <c r="C3" s="328" t="s">
        <v>268</v>
      </c>
      <c r="D3" s="329">
        <v>35</v>
      </c>
      <c r="E3" s="330">
        <v>40</v>
      </c>
      <c r="F3" s="330">
        <v>45</v>
      </c>
      <c r="G3" s="330">
        <v>50</v>
      </c>
      <c r="H3" s="330">
        <v>55</v>
      </c>
      <c r="I3" s="330">
        <v>60</v>
      </c>
      <c r="J3" s="330" t="s">
        <v>292</v>
      </c>
      <c r="K3" s="331" t="s">
        <v>293</v>
      </c>
      <c r="L3" s="332" t="s">
        <v>294</v>
      </c>
      <c r="M3" s="333" t="s">
        <v>295</v>
      </c>
      <c r="N3" s="374"/>
      <c r="O3" s="374"/>
      <c r="P3" s="374"/>
      <c r="Q3" s="374"/>
      <c r="U3" s="5" t="s">
        <v>34</v>
      </c>
      <c r="V3" s="5" t="s">
        <v>268</v>
      </c>
      <c r="W3" s="277">
        <v>35</v>
      </c>
      <c r="X3" s="278">
        <v>40</v>
      </c>
      <c r="Y3" s="278">
        <v>45</v>
      </c>
      <c r="Z3" s="278">
        <v>50</v>
      </c>
      <c r="AA3" s="278">
        <v>55</v>
      </c>
      <c r="AB3" s="278">
        <v>60</v>
      </c>
      <c r="AC3" s="278" t="s">
        <v>292</v>
      </c>
      <c r="AD3" s="279" t="s">
        <v>296</v>
      </c>
      <c r="AE3" s="6" t="s">
        <v>297</v>
      </c>
      <c r="AF3" s="35" t="s">
        <v>298</v>
      </c>
      <c r="AG3" s="334" t="s">
        <v>299</v>
      </c>
      <c r="AH3" s="334" t="s">
        <v>300</v>
      </c>
      <c r="AI3" s="334" t="s">
        <v>301</v>
      </c>
      <c r="AJ3" s="334" t="s">
        <v>302</v>
      </c>
      <c r="AK3" s="443"/>
      <c r="AL3" s="429"/>
      <c r="AM3" s="429"/>
      <c r="AN3" s="431"/>
    </row>
    <row r="4" spans="1:41" ht="12.75" x14ac:dyDescent="0.2">
      <c r="A4" s="2"/>
      <c r="B4" s="30" t="s">
        <v>77</v>
      </c>
      <c r="C4" s="2">
        <v>11000</v>
      </c>
      <c r="D4" s="280">
        <f t="shared" ref="D4:J4" si="0">$C4*(1+D$29)</f>
        <v>50050</v>
      </c>
      <c r="E4" s="281">
        <f t="shared" si="0"/>
        <v>60610</v>
      </c>
      <c r="F4" s="12">
        <f t="shared" si="0"/>
        <v>68860</v>
      </c>
      <c r="G4" s="12">
        <f t="shared" si="0"/>
        <v>90310.000000000015</v>
      </c>
      <c r="H4" s="12">
        <f t="shared" si="0"/>
        <v>91850</v>
      </c>
      <c r="I4" s="12">
        <f t="shared" si="0"/>
        <v>92400</v>
      </c>
      <c r="J4" s="12">
        <f t="shared" si="0"/>
        <v>104500</v>
      </c>
      <c r="K4" s="282" t="s">
        <v>27</v>
      </c>
      <c r="L4" s="335">
        <f>'Mantis Benefit by Tier'!D6+'Mantis Benefit by Tier'!L6/3+'Mantis Benefit by Tier'!P6+'Mantis Benefit by Tier'!S6/2</f>
        <v>14000</v>
      </c>
      <c r="M4" s="260">
        <f>'Mantis Benefit by Tier'!E6+'Mantis Benefit by Tier'!M6/3+'Mantis Benefit by Tier'!Q6+'Mantis Benefit by Tier'!S6/2</f>
        <v>58000</v>
      </c>
      <c r="N4" s="2"/>
      <c r="O4" s="336"/>
      <c r="P4" s="78"/>
      <c r="Q4" s="78"/>
      <c r="R4" s="78"/>
      <c r="S4" s="78"/>
      <c r="T4" s="78"/>
      <c r="U4" s="2" t="s">
        <v>77</v>
      </c>
      <c r="V4" s="2">
        <v>11000</v>
      </c>
      <c r="W4" s="337">
        <f t="shared" ref="W4:AC4" si="1">$C4*(1+W$29)*2</f>
        <v>97900</v>
      </c>
      <c r="X4" s="337">
        <f t="shared" si="1"/>
        <v>119020</v>
      </c>
      <c r="Y4" s="337">
        <f t="shared" si="1"/>
        <v>135520</v>
      </c>
      <c r="Z4" s="337">
        <f t="shared" si="1"/>
        <v>178420</v>
      </c>
      <c r="AA4" s="337">
        <f t="shared" si="1"/>
        <v>181500</v>
      </c>
      <c r="AB4" s="337">
        <f t="shared" si="1"/>
        <v>182600.00000000003</v>
      </c>
      <c r="AC4" s="337">
        <f t="shared" si="1"/>
        <v>206800</v>
      </c>
      <c r="AD4" s="282">
        <f>W4</f>
        <v>97900</v>
      </c>
      <c r="AE4" s="76">
        <v>14000</v>
      </c>
      <c r="AF4" s="79">
        <v>58000</v>
      </c>
      <c r="AG4" s="78">
        <v>70000</v>
      </c>
      <c r="AH4" s="78">
        <v>110000</v>
      </c>
      <c r="AI4" s="78">
        <v>160000</v>
      </c>
      <c r="AJ4" s="78">
        <v>400000</v>
      </c>
      <c r="AK4" s="30">
        <v>35</v>
      </c>
      <c r="AL4" s="78">
        <f t="shared" ref="AL4:AL15" si="2">AF4/50</f>
        <v>1160</v>
      </c>
      <c r="AM4" s="78">
        <f t="shared" ref="AM4:AM15" si="3">AL4*25</f>
        <v>29000</v>
      </c>
      <c r="AN4" s="79">
        <f>AM4/(1+$D$29/2)</f>
        <v>10450.450450450451</v>
      </c>
      <c r="AO4" s="78"/>
    </row>
    <row r="5" spans="1:41" ht="12.75" x14ac:dyDescent="0.2">
      <c r="A5" s="2"/>
      <c r="B5" s="30" t="s">
        <v>4</v>
      </c>
      <c r="C5" s="2">
        <v>11900</v>
      </c>
      <c r="D5" s="281">
        <f t="shared" ref="D5:J5" si="4">$C5*(1+D$29)</f>
        <v>54145</v>
      </c>
      <c r="E5" s="280">
        <f t="shared" si="4"/>
        <v>65569</v>
      </c>
      <c r="F5" s="12">
        <f t="shared" si="4"/>
        <v>74494</v>
      </c>
      <c r="G5" s="12">
        <f t="shared" si="4"/>
        <v>97699.000000000015</v>
      </c>
      <c r="H5" s="12">
        <f t="shared" si="4"/>
        <v>99365</v>
      </c>
      <c r="I5" s="12">
        <f t="shared" si="4"/>
        <v>99960</v>
      </c>
      <c r="J5" s="12">
        <f t="shared" si="4"/>
        <v>113050</v>
      </c>
      <c r="K5" s="282">
        <f t="shared" ref="K5:K6" si="5">E5</f>
        <v>65569</v>
      </c>
      <c r="L5" s="335">
        <f>'Mantis Benefit by Tier'!D7+'Mantis Benefit by Tier'!L7/3+'Mantis Benefit by Tier'!P7+'Mantis Benefit by Tier'!S7/2</f>
        <v>16833.333333333336</v>
      </c>
      <c r="M5" s="260">
        <f>'Mantis Benefit by Tier'!E7+'Mantis Benefit by Tier'!M7/3+'Mantis Benefit by Tier'!Q7+'Mantis Benefit by Tier'!S7/2</f>
        <v>70166.666666666657</v>
      </c>
      <c r="N5" s="2"/>
      <c r="O5" s="336"/>
      <c r="P5" s="78"/>
      <c r="Q5" s="78"/>
      <c r="R5" s="78"/>
      <c r="S5" s="78"/>
      <c r="T5" s="78"/>
      <c r="U5" s="2" t="s">
        <v>4</v>
      </c>
      <c r="V5" s="2">
        <v>11900</v>
      </c>
      <c r="W5" s="337">
        <f t="shared" ref="W5:AC5" si="6">$C5*(1+W$29)*2</f>
        <v>105910</v>
      </c>
      <c r="X5" s="337">
        <f t="shared" si="6"/>
        <v>128758</v>
      </c>
      <c r="Y5" s="337">
        <f t="shared" si="6"/>
        <v>146608</v>
      </c>
      <c r="Z5" s="337">
        <f t="shared" si="6"/>
        <v>193018</v>
      </c>
      <c r="AA5" s="337">
        <f t="shared" si="6"/>
        <v>196350</v>
      </c>
      <c r="AB5" s="337">
        <f t="shared" si="6"/>
        <v>197540.00000000003</v>
      </c>
      <c r="AC5" s="337">
        <f t="shared" si="6"/>
        <v>223720</v>
      </c>
      <c r="AD5" s="282">
        <f t="shared" ref="AD5:AD6" si="7">X5</f>
        <v>128758</v>
      </c>
      <c r="AE5" s="76">
        <v>16833.333333333336</v>
      </c>
      <c r="AF5" s="79">
        <v>70166.666666666657</v>
      </c>
      <c r="AG5" s="78">
        <v>70000</v>
      </c>
      <c r="AH5" s="78">
        <v>110000</v>
      </c>
      <c r="AI5" s="78">
        <v>160000</v>
      </c>
      <c r="AJ5" s="78">
        <v>400000</v>
      </c>
      <c r="AK5" s="30">
        <v>36</v>
      </c>
      <c r="AL5" s="78">
        <f t="shared" si="2"/>
        <v>1403.333333333333</v>
      </c>
      <c r="AM5" s="78">
        <f t="shared" si="3"/>
        <v>35083.333333333328</v>
      </c>
      <c r="AN5" s="79">
        <f t="shared" ref="AN5:AN6" si="8">AM5/(1+$E$29/2)</f>
        <v>10778.289810547874</v>
      </c>
      <c r="AO5" s="78"/>
    </row>
    <row r="6" spans="1:41" ht="12.75" x14ac:dyDescent="0.2">
      <c r="A6" s="2"/>
      <c r="B6" s="6" t="s">
        <v>78</v>
      </c>
      <c r="C6" s="5">
        <v>12800</v>
      </c>
      <c r="D6" s="283">
        <f t="shared" ref="D6:J6" si="9">$C6*(1+D$29)</f>
        <v>58240</v>
      </c>
      <c r="E6" s="284">
        <f t="shared" si="9"/>
        <v>70528</v>
      </c>
      <c r="F6" s="283">
        <f t="shared" si="9"/>
        <v>80128</v>
      </c>
      <c r="G6" s="60">
        <f t="shared" si="9"/>
        <v>105088.00000000001</v>
      </c>
      <c r="H6" s="60">
        <f t="shared" si="9"/>
        <v>106880</v>
      </c>
      <c r="I6" s="60">
        <f t="shared" si="9"/>
        <v>107520</v>
      </c>
      <c r="J6" s="60">
        <f t="shared" si="9"/>
        <v>121600</v>
      </c>
      <c r="K6" s="282">
        <f t="shared" si="5"/>
        <v>70528</v>
      </c>
      <c r="L6" s="338">
        <f>'Mantis Benefit by Tier'!D8+'Mantis Benefit by Tier'!L8/3+'Mantis Benefit by Tier'!P8+'Mantis Benefit by Tier'!S8/2</f>
        <v>26666.666666666664</v>
      </c>
      <c r="M6" s="272">
        <f>'Mantis Benefit by Tier'!E8+'Mantis Benefit by Tier'!M8/3+'Mantis Benefit by Tier'!Q8+'Mantis Benefit by Tier'!S8/2</f>
        <v>111333.33333333333</v>
      </c>
      <c r="N6" s="2"/>
      <c r="O6" s="336"/>
      <c r="P6" s="78"/>
      <c r="Q6" s="78"/>
      <c r="R6" s="78"/>
      <c r="S6" s="78"/>
      <c r="T6" s="78"/>
      <c r="U6" s="5" t="s">
        <v>78</v>
      </c>
      <c r="V6" s="5">
        <v>12800</v>
      </c>
      <c r="W6" s="337">
        <f t="shared" ref="W6:AC6" si="10">$C6*(1+W$29)*2</f>
        <v>113920</v>
      </c>
      <c r="X6" s="337">
        <f t="shared" si="10"/>
        <v>138496</v>
      </c>
      <c r="Y6" s="337">
        <f t="shared" si="10"/>
        <v>157696</v>
      </c>
      <c r="Z6" s="337">
        <f t="shared" si="10"/>
        <v>207616</v>
      </c>
      <c r="AA6" s="337">
        <f t="shared" si="10"/>
        <v>211200</v>
      </c>
      <c r="AB6" s="337">
        <f t="shared" si="10"/>
        <v>212480.00000000003</v>
      </c>
      <c r="AC6" s="337">
        <f t="shared" si="10"/>
        <v>240640</v>
      </c>
      <c r="AD6" s="282">
        <f t="shared" si="7"/>
        <v>138496</v>
      </c>
      <c r="AE6" s="286">
        <v>26666.666666666664</v>
      </c>
      <c r="AF6" s="104">
        <v>111333.33333333333</v>
      </c>
      <c r="AG6" s="78">
        <v>70000</v>
      </c>
      <c r="AH6" s="78">
        <v>110000</v>
      </c>
      <c r="AI6" s="78">
        <v>160000</v>
      </c>
      <c r="AJ6" s="78">
        <v>400000</v>
      </c>
      <c r="AK6" s="30">
        <v>37</v>
      </c>
      <c r="AL6" s="78">
        <f t="shared" si="2"/>
        <v>2226.6666666666665</v>
      </c>
      <c r="AM6" s="78">
        <f t="shared" si="3"/>
        <v>55666.666666666664</v>
      </c>
      <c r="AN6" s="79">
        <f t="shared" si="8"/>
        <v>17101.89452124936</v>
      </c>
      <c r="AO6" s="78"/>
    </row>
    <row r="7" spans="1:41" ht="12.75" x14ac:dyDescent="0.2">
      <c r="A7" s="2"/>
      <c r="B7" s="30" t="s">
        <v>79</v>
      </c>
      <c r="C7" s="2">
        <v>13700</v>
      </c>
      <c r="D7" s="12">
        <f t="shared" ref="D7:J7" si="11">$C7*(1+D$29)</f>
        <v>62335</v>
      </c>
      <c r="E7" s="281">
        <f t="shared" si="11"/>
        <v>75487</v>
      </c>
      <c r="F7" s="280">
        <f t="shared" si="11"/>
        <v>85762</v>
      </c>
      <c r="G7" s="281">
        <f t="shared" si="11"/>
        <v>112477.00000000001</v>
      </c>
      <c r="H7" s="12">
        <f t="shared" si="11"/>
        <v>114395</v>
      </c>
      <c r="I7" s="12">
        <f t="shared" si="11"/>
        <v>115080</v>
      </c>
      <c r="J7" s="12">
        <f t="shared" si="11"/>
        <v>130150</v>
      </c>
      <c r="K7" s="282">
        <f t="shared" ref="K7:K8" si="12">F7</f>
        <v>85762</v>
      </c>
      <c r="L7" s="335">
        <f>'Mantis Benefit by Tier'!D9+'Mantis Benefit by Tier'!L9/3+'Mantis Benefit by Tier'!P9+'Mantis Benefit by Tier'!S9/2</f>
        <v>36500</v>
      </c>
      <c r="M7" s="260">
        <f>'Mantis Benefit by Tier'!E9+'Mantis Benefit by Tier'!M9/3+'Mantis Benefit by Tier'!Q9+'Mantis Benefit by Tier'!S9/2</f>
        <v>152500</v>
      </c>
      <c r="N7" s="2"/>
      <c r="O7" s="336"/>
      <c r="P7" s="78"/>
      <c r="Q7" s="78"/>
      <c r="R7" s="78"/>
      <c r="S7" s="78"/>
      <c r="T7" s="78"/>
      <c r="U7" s="2" t="s">
        <v>79</v>
      </c>
      <c r="V7" s="2">
        <v>13700</v>
      </c>
      <c r="W7" s="337">
        <f t="shared" ref="W7:AC7" si="13">$C7*(1+W$29)*2</f>
        <v>121930</v>
      </c>
      <c r="X7" s="337">
        <f t="shared" si="13"/>
        <v>148234</v>
      </c>
      <c r="Y7" s="337">
        <f t="shared" si="13"/>
        <v>168784</v>
      </c>
      <c r="Z7" s="337">
        <f t="shared" si="13"/>
        <v>222213.99999999997</v>
      </c>
      <c r="AA7" s="337">
        <f t="shared" si="13"/>
        <v>226050</v>
      </c>
      <c r="AB7" s="337">
        <f t="shared" si="13"/>
        <v>227420.00000000003</v>
      </c>
      <c r="AC7" s="337">
        <f t="shared" si="13"/>
        <v>257560</v>
      </c>
      <c r="AD7" s="282">
        <f t="shared" ref="AD7:AD8" si="14">Y7</f>
        <v>168784</v>
      </c>
      <c r="AE7" s="76">
        <v>36500</v>
      </c>
      <c r="AF7" s="79">
        <v>152500</v>
      </c>
      <c r="AG7" s="78">
        <v>70000</v>
      </c>
      <c r="AH7" s="78">
        <v>110000</v>
      </c>
      <c r="AI7" s="78">
        <v>160000</v>
      </c>
      <c r="AJ7" s="78">
        <v>400000</v>
      </c>
      <c r="AK7" s="30">
        <v>38</v>
      </c>
      <c r="AL7" s="78">
        <f t="shared" si="2"/>
        <v>3050</v>
      </c>
      <c r="AM7" s="78">
        <f t="shared" si="3"/>
        <v>76250</v>
      </c>
      <c r="AN7" s="79">
        <f t="shared" ref="AN7:AN14" si="15">AM7/(1+$D$29/2)</f>
        <v>27477.477477477478</v>
      </c>
      <c r="AO7" s="78"/>
    </row>
    <row r="8" spans="1:41" ht="12.75" x14ac:dyDescent="0.2">
      <c r="A8" s="2"/>
      <c r="B8" s="30" t="s">
        <v>80</v>
      </c>
      <c r="C8" s="2">
        <v>15200</v>
      </c>
      <c r="D8" s="12">
        <f t="shared" ref="D8:J8" si="16">$C8*(1+D$29)</f>
        <v>69160</v>
      </c>
      <c r="E8" s="281">
        <f t="shared" si="16"/>
        <v>83752</v>
      </c>
      <c r="F8" s="280">
        <f t="shared" si="16"/>
        <v>95152</v>
      </c>
      <c r="G8" s="281">
        <f t="shared" si="16"/>
        <v>124792.00000000001</v>
      </c>
      <c r="H8" s="12">
        <f t="shared" si="16"/>
        <v>126920</v>
      </c>
      <c r="I8" s="12">
        <f t="shared" si="16"/>
        <v>127680</v>
      </c>
      <c r="J8" s="12">
        <f t="shared" si="16"/>
        <v>144400</v>
      </c>
      <c r="K8" s="282">
        <f t="shared" si="12"/>
        <v>95152</v>
      </c>
      <c r="L8" s="335">
        <f>'Mantis Benefit by Tier'!D10+'Mantis Benefit by Tier'!L10/3+'Mantis Benefit by Tier'!P10+'Mantis Benefit by Tier'!S10/2</f>
        <v>51500</v>
      </c>
      <c r="M8" s="260">
        <f>'Mantis Benefit by Tier'!E10+'Mantis Benefit by Tier'!M10/3+'Mantis Benefit by Tier'!Q10+'Mantis Benefit by Tier'!S10/2</f>
        <v>215500</v>
      </c>
      <c r="N8" s="2"/>
      <c r="O8" s="336"/>
      <c r="P8" s="78"/>
      <c r="Q8" s="78"/>
      <c r="R8" s="78"/>
      <c r="S8" s="78"/>
      <c r="T8" s="78"/>
      <c r="U8" s="2" t="s">
        <v>80</v>
      </c>
      <c r="V8" s="2">
        <v>15200</v>
      </c>
      <c r="W8" s="337">
        <f t="shared" ref="W8:AC8" si="17">$C8*(1+W$29)*2</f>
        <v>135280</v>
      </c>
      <c r="X8" s="337">
        <f t="shared" si="17"/>
        <v>164464</v>
      </c>
      <c r="Y8" s="337">
        <f t="shared" si="17"/>
        <v>187264</v>
      </c>
      <c r="Z8" s="337">
        <f t="shared" si="17"/>
        <v>246543.99999999997</v>
      </c>
      <c r="AA8" s="337">
        <f t="shared" si="17"/>
        <v>250800</v>
      </c>
      <c r="AB8" s="337">
        <f t="shared" si="17"/>
        <v>252320.00000000003</v>
      </c>
      <c r="AC8" s="337">
        <f t="shared" si="17"/>
        <v>285760</v>
      </c>
      <c r="AD8" s="282">
        <f t="shared" si="14"/>
        <v>187264</v>
      </c>
      <c r="AE8" s="76">
        <v>51500</v>
      </c>
      <c r="AF8" s="79">
        <v>215500</v>
      </c>
      <c r="AG8" s="78">
        <v>70000</v>
      </c>
      <c r="AH8" s="78">
        <v>110000</v>
      </c>
      <c r="AI8" s="78">
        <v>160000</v>
      </c>
      <c r="AJ8" s="78">
        <v>400000</v>
      </c>
      <c r="AK8" s="30">
        <v>39</v>
      </c>
      <c r="AL8" s="78">
        <f t="shared" si="2"/>
        <v>4310</v>
      </c>
      <c r="AM8" s="78">
        <f t="shared" si="3"/>
        <v>107750</v>
      </c>
      <c r="AN8" s="79">
        <f t="shared" si="15"/>
        <v>38828.828828828831</v>
      </c>
      <c r="AO8" s="78"/>
    </row>
    <row r="9" spans="1:41" ht="12.75" x14ac:dyDescent="0.2">
      <c r="A9" s="2"/>
      <c r="B9" s="6" t="s">
        <v>81</v>
      </c>
      <c r="C9" s="5">
        <v>18500</v>
      </c>
      <c r="D9" s="60">
        <f t="shared" ref="D9:J9" si="18">$C9*(1+D$29)</f>
        <v>84175</v>
      </c>
      <c r="E9" s="60">
        <f t="shared" si="18"/>
        <v>101935</v>
      </c>
      <c r="F9" s="283">
        <f t="shared" si="18"/>
        <v>115810</v>
      </c>
      <c r="G9" s="284">
        <f t="shared" si="18"/>
        <v>151885.00000000003</v>
      </c>
      <c r="H9" s="283">
        <f t="shared" si="18"/>
        <v>154475</v>
      </c>
      <c r="I9" s="60">
        <f t="shared" si="18"/>
        <v>155400</v>
      </c>
      <c r="J9" s="60">
        <f t="shared" si="18"/>
        <v>175750</v>
      </c>
      <c r="K9" s="282">
        <f t="shared" ref="K9:K11" si="19">G9</f>
        <v>151885.00000000003</v>
      </c>
      <c r="L9" s="335">
        <f>'Mantis Benefit by Tier'!D11+'Mantis Benefit by Tier'!L11/3+'Mantis Benefit by Tier'!P11+'Mantis Benefit by Tier'!S11/2</f>
        <v>66500</v>
      </c>
      <c r="M9" s="260">
        <f>'Mantis Benefit by Tier'!E11+'Mantis Benefit by Tier'!M11/3+'Mantis Benefit by Tier'!Q11+'Mantis Benefit by Tier'!S11/2</f>
        <v>278500</v>
      </c>
      <c r="N9" s="2"/>
      <c r="O9" s="336"/>
      <c r="P9" s="78"/>
      <c r="Q9" s="78"/>
      <c r="R9" s="78"/>
      <c r="S9" s="78"/>
      <c r="T9" s="78"/>
      <c r="U9" s="5" t="s">
        <v>81</v>
      </c>
      <c r="V9" s="5">
        <v>18500</v>
      </c>
      <c r="W9" s="337">
        <f t="shared" ref="W9:AC9" si="20">$C9*(1+W$29)*2</f>
        <v>164650</v>
      </c>
      <c r="X9" s="337">
        <f t="shared" si="20"/>
        <v>200170</v>
      </c>
      <c r="Y9" s="337">
        <f t="shared" si="20"/>
        <v>227920</v>
      </c>
      <c r="Z9" s="337">
        <f t="shared" si="20"/>
        <v>300070</v>
      </c>
      <c r="AA9" s="337">
        <f t="shared" si="20"/>
        <v>305250</v>
      </c>
      <c r="AB9" s="337">
        <f t="shared" si="20"/>
        <v>307100</v>
      </c>
      <c r="AC9" s="337">
        <f t="shared" si="20"/>
        <v>347800</v>
      </c>
      <c r="AD9" s="282">
        <f t="shared" ref="AD9:AD11" si="21">Z9</f>
        <v>300070</v>
      </c>
      <c r="AE9" s="76">
        <v>66500</v>
      </c>
      <c r="AF9" s="79">
        <v>278500</v>
      </c>
      <c r="AG9" s="78">
        <v>70000</v>
      </c>
      <c r="AH9" s="78">
        <v>110000</v>
      </c>
      <c r="AI9" s="78">
        <v>160000</v>
      </c>
      <c r="AJ9" s="78">
        <v>400000</v>
      </c>
      <c r="AK9" s="30">
        <v>40</v>
      </c>
      <c r="AL9" s="78">
        <f t="shared" si="2"/>
        <v>5570</v>
      </c>
      <c r="AM9" s="78">
        <f t="shared" si="3"/>
        <v>139250</v>
      </c>
      <c r="AN9" s="79">
        <f t="shared" si="15"/>
        <v>50180.180180180185</v>
      </c>
      <c r="AO9" s="78"/>
    </row>
    <row r="10" spans="1:41" ht="12.75" x14ac:dyDescent="0.2">
      <c r="A10" s="2"/>
      <c r="B10" s="30" t="s">
        <v>82</v>
      </c>
      <c r="C10" s="2">
        <v>24300</v>
      </c>
      <c r="D10" s="12">
        <f t="shared" ref="D10:J10" si="22">$C10*(1+D$29)</f>
        <v>110565</v>
      </c>
      <c r="E10" s="12">
        <f t="shared" si="22"/>
        <v>133893</v>
      </c>
      <c r="F10" s="281">
        <f t="shared" si="22"/>
        <v>152118</v>
      </c>
      <c r="G10" s="280">
        <f t="shared" si="22"/>
        <v>199503.00000000003</v>
      </c>
      <c r="H10" s="281">
        <f t="shared" si="22"/>
        <v>202905</v>
      </c>
      <c r="I10" s="12">
        <f t="shared" si="22"/>
        <v>204120</v>
      </c>
      <c r="J10" s="12">
        <f t="shared" si="22"/>
        <v>230850</v>
      </c>
      <c r="K10" s="282">
        <f t="shared" si="19"/>
        <v>199503.00000000003</v>
      </c>
      <c r="L10" s="335">
        <f>'Mantis Benefit by Tier'!D12+'Mantis Benefit by Tier'!L12/3+'Mantis Benefit by Tier'!P12+'Mantis Benefit by Tier'!S12/2</f>
        <v>98333.333333333343</v>
      </c>
      <c r="M10" s="260">
        <f>'Mantis Benefit by Tier'!E12+'Mantis Benefit by Tier'!M12/3+'Mantis Benefit by Tier'!Q12+'Mantis Benefit by Tier'!S12/2</f>
        <v>411666.66666666669</v>
      </c>
      <c r="N10" s="2"/>
      <c r="O10" s="336"/>
      <c r="P10" s="78"/>
      <c r="Q10" s="78"/>
      <c r="R10" s="78"/>
      <c r="S10" s="78"/>
      <c r="T10" s="78"/>
      <c r="U10" s="2" t="s">
        <v>82</v>
      </c>
      <c r="V10" s="2">
        <v>24300</v>
      </c>
      <c r="W10" s="337">
        <f t="shared" ref="W10:AC10" si="23">$C10*(1+W$29)*2</f>
        <v>216270</v>
      </c>
      <c r="X10" s="337">
        <f t="shared" si="23"/>
        <v>262926</v>
      </c>
      <c r="Y10" s="337">
        <f t="shared" si="23"/>
        <v>299376</v>
      </c>
      <c r="Z10" s="337">
        <f t="shared" si="23"/>
        <v>394146</v>
      </c>
      <c r="AA10" s="337">
        <f t="shared" si="23"/>
        <v>400950</v>
      </c>
      <c r="AB10" s="337">
        <f t="shared" si="23"/>
        <v>403380.00000000006</v>
      </c>
      <c r="AC10" s="337">
        <f t="shared" si="23"/>
        <v>456840</v>
      </c>
      <c r="AD10" s="282">
        <f t="shared" si="21"/>
        <v>394146</v>
      </c>
      <c r="AE10" s="76">
        <v>98333.333333333343</v>
      </c>
      <c r="AF10" s="79">
        <v>411666.66666666669</v>
      </c>
      <c r="AG10" s="78">
        <v>70000</v>
      </c>
      <c r="AH10" s="78">
        <v>110000</v>
      </c>
      <c r="AI10" s="78">
        <v>160000</v>
      </c>
      <c r="AJ10" s="78">
        <v>400000</v>
      </c>
      <c r="AK10" s="30">
        <v>41</v>
      </c>
      <c r="AL10" s="78">
        <f t="shared" si="2"/>
        <v>8233.3333333333339</v>
      </c>
      <c r="AM10" s="78">
        <f t="shared" si="3"/>
        <v>205833.33333333334</v>
      </c>
      <c r="AN10" s="79">
        <f t="shared" si="15"/>
        <v>74174.174174174186</v>
      </c>
      <c r="AO10" s="78"/>
    </row>
    <row r="11" spans="1:41" ht="12.75" x14ac:dyDescent="0.2">
      <c r="A11" s="2"/>
      <c r="B11" s="30" t="s">
        <v>83</v>
      </c>
      <c r="C11" s="2">
        <v>29100</v>
      </c>
      <c r="D11" s="12">
        <f t="shared" ref="D11:J11" si="24">$C11*(1+D$29)</f>
        <v>132405</v>
      </c>
      <c r="E11" s="12">
        <f t="shared" si="24"/>
        <v>160341</v>
      </c>
      <c r="F11" s="281">
        <f t="shared" si="24"/>
        <v>182166</v>
      </c>
      <c r="G11" s="280">
        <f t="shared" si="24"/>
        <v>238911.00000000003</v>
      </c>
      <c r="H11" s="281">
        <f t="shared" si="24"/>
        <v>242985</v>
      </c>
      <c r="I11" s="12">
        <f t="shared" si="24"/>
        <v>244440</v>
      </c>
      <c r="J11" s="12">
        <f t="shared" si="24"/>
        <v>276450</v>
      </c>
      <c r="K11" s="282">
        <f t="shared" si="19"/>
        <v>238911.00000000003</v>
      </c>
      <c r="L11" s="335">
        <f>'Mantis Benefit by Tier'!D13+'Mantis Benefit by Tier'!L13/3+'Mantis Benefit by Tier'!P13+'Mantis Benefit by Tier'!S13/2</f>
        <v>124666.66666666667</v>
      </c>
      <c r="M11" s="260">
        <f>'Mantis Benefit by Tier'!E13+'Mantis Benefit by Tier'!M13/3+'Mantis Benefit by Tier'!Q13+'Mantis Benefit by Tier'!S13/2</f>
        <v>523333.33333333331</v>
      </c>
      <c r="N11" s="2"/>
      <c r="O11" s="336"/>
      <c r="P11" s="78"/>
      <c r="Q11" s="78"/>
      <c r="R11" s="78"/>
      <c r="S11" s="78"/>
      <c r="T11" s="78"/>
      <c r="U11" s="2" t="s">
        <v>83</v>
      </c>
      <c r="V11" s="2">
        <v>29100</v>
      </c>
      <c r="W11" s="337">
        <f t="shared" ref="W11:AC11" si="25">$C11*(1+W$29)*2</f>
        <v>258990</v>
      </c>
      <c r="X11" s="337">
        <f t="shared" si="25"/>
        <v>314862</v>
      </c>
      <c r="Y11" s="337">
        <f t="shared" si="25"/>
        <v>358512</v>
      </c>
      <c r="Z11" s="337">
        <f t="shared" si="25"/>
        <v>472001.99999999994</v>
      </c>
      <c r="AA11" s="337">
        <f t="shared" si="25"/>
        <v>480150</v>
      </c>
      <c r="AB11" s="337">
        <f t="shared" si="25"/>
        <v>483060.00000000006</v>
      </c>
      <c r="AC11" s="337">
        <f t="shared" si="25"/>
        <v>547080</v>
      </c>
      <c r="AD11" s="282">
        <f t="shared" si="21"/>
        <v>472001.99999999994</v>
      </c>
      <c r="AE11" s="76">
        <v>124666.66666666667</v>
      </c>
      <c r="AF11" s="79">
        <v>523333.33333333331</v>
      </c>
      <c r="AG11" s="78">
        <v>70000</v>
      </c>
      <c r="AH11" s="78">
        <v>110000</v>
      </c>
      <c r="AI11" s="78">
        <v>160000</v>
      </c>
      <c r="AJ11" s="78">
        <v>400000</v>
      </c>
      <c r="AK11" s="30">
        <v>42</v>
      </c>
      <c r="AL11" s="78">
        <f t="shared" si="2"/>
        <v>10466.666666666666</v>
      </c>
      <c r="AM11" s="78">
        <f t="shared" si="3"/>
        <v>261666.66666666666</v>
      </c>
      <c r="AN11" s="79">
        <f t="shared" si="15"/>
        <v>94294.29429429429</v>
      </c>
      <c r="AO11" s="78"/>
    </row>
    <row r="12" spans="1:41" ht="12.75" x14ac:dyDescent="0.2">
      <c r="A12" s="2"/>
      <c r="B12" s="6" t="s">
        <v>84</v>
      </c>
      <c r="C12" s="5">
        <v>38400</v>
      </c>
      <c r="D12" s="60">
        <f t="shared" ref="D12:J12" si="26">$C12*(1+D$29)</f>
        <v>174720</v>
      </c>
      <c r="E12" s="60">
        <f t="shared" si="26"/>
        <v>211584</v>
      </c>
      <c r="F12" s="60">
        <f t="shared" si="26"/>
        <v>240384</v>
      </c>
      <c r="G12" s="283">
        <f t="shared" si="26"/>
        <v>315264.00000000006</v>
      </c>
      <c r="H12" s="284">
        <f t="shared" si="26"/>
        <v>320640</v>
      </c>
      <c r="I12" s="283">
        <f t="shared" si="26"/>
        <v>322560</v>
      </c>
      <c r="J12" s="60">
        <f t="shared" si="26"/>
        <v>364800</v>
      </c>
      <c r="K12" s="282">
        <f t="shared" ref="K12:K14" si="27">H12</f>
        <v>320640</v>
      </c>
      <c r="L12" s="339">
        <f>'Mantis Benefit by Tier'!D14+'Mantis Benefit by Tier'!L14/3+'Mantis Benefit by Tier'!P14+'Mantis Benefit by Tier'!S14/2</f>
        <v>177333.33333333331</v>
      </c>
      <c r="M12" s="340">
        <f>'Mantis Benefit by Tier'!E14+'Mantis Benefit by Tier'!M14/3+'Mantis Benefit by Tier'!Q14+'Mantis Benefit by Tier'!S14/2</f>
        <v>746666.66666666674</v>
      </c>
      <c r="N12" s="2"/>
      <c r="O12" s="336"/>
      <c r="P12" s="78"/>
      <c r="Q12" s="78"/>
      <c r="R12" s="78"/>
      <c r="S12" s="78"/>
      <c r="T12" s="78"/>
      <c r="U12" s="5" t="s">
        <v>84</v>
      </c>
      <c r="V12" s="5">
        <v>38400</v>
      </c>
      <c r="W12" s="337">
        <f t="shared" ref="W12:AC12" si="28">$C12*(1+W$29)*2</f>
        <v>341760</v>
      </c>
      <c r="X12" s="337">
        <f t="shared" si="28"/>
        <v>415488</v>
      </c>
      <c r="Y12" s="337">
        <f t="shared" si="28"/>
        <v>473088</v>
      </c>
      <c r="Z12" s="337">
        <f t="shared" si="28"/>
        <v>622848</v>
      </c>
      <c r="AA12" s="337">
        <f t="shared" si="28"/>
        <v>633600</v>
      </c>
      <c r="AB12" s="337">
        <f t="shared" si="28"/>
        <v>637440</v>
      </c>
      <c r="AC12" s="337">
        <f t="shared" si="28"/>
        <v>721920</v>
      </c>
      <c r="AD12" s="282">
        <f t="shared" ref="AD12:AD14" si="29">AA12</f>
        <v>633600</v>
      </c>
      <c r="AE12" s="289">
        <v>0</v>
      </c>
      <c r="AF12" s="290">
        <v>0</v>
      </c>
      <c r="AG12" s="78">
        <v>70000</v>
      </c>
      <c r="AH12" s="78">
        <v>110000</v>
      </c>
      <c r="AI12" s="78">
        <v>160000</v>
      </c>
      <c r="AJ12" s="78">
        <v>400000</v>
      </c>
      <c r="AK12" s="30">
        <v>44</v>
      </c>
      <c r="AL12" s="78">
        <f t="shared" si="2"/>
        <v>0</v>
      </c>
      <c r="AM12" s="78">
        <f t="shared" si="3"/>
        <v>0</v>
      </c>
      <c r="AN12" s="79">
        <f t="shared" si="15"/>
        <v>0</v>
      </c>
      <c r="AO12" s="78"/>
    </row>
    <row r="13" spans="1:41" ht="12.75" x14ac:dyDescent="0.2">
      <c r="A13" s="2"/>
      <c r="B13" s="30" t="s">
        <v>85</v>
      </c>
      <c r="C13" s="2">
        <v>45700</v>
      </c>
      <c r="D13" s="12">
        <f t="shared" ref="D13:J13" si="30">$C13*(1+D$29)</f>
        <v>207935</v>
      </c>
      <c r="E13" s="12">
        <f t="shared" si="30"/>
        <v>251807</v>
      </c>
      <c r="F13" s="12">
        <f t="shared" si="30"/>
        <v>286082</v>
      </c>
      <c r="G13" s="281">
        <f t="shared" si="30"/>
        <v>375197.00000000006</v>
      </c>
      <c r="H13" s="280">
        <f t="shared" si="30"/>
        <v>381595</v>
      </c>
      <c r="I13" s="281">
        <f t="shared" si="30"/>
        <v>383880</v>
      </c>
      <c r="J13" s="12">
        <f t="shared" si="30"/>
        <v>434150</v>
      </c>
      <c r="K13" s="282">
        <f t="shared" si="27"/>
        <v>381595</v>
      </c>
      <c r="L13" s="341">
        <f>'Mantis Benefit by Tier'!D15+'Mantis Benefit by Tier'!L15/3+'Mantis Benefit by Tier'!P15+'Mantis Benefit by Tier'!S15/2</f>
        <v>232000</v>
      </c>
      <c r="M13" s="342">
        <f>'Mantis Benefit by Tier'!E15+'Mantis Benefit by Tier'!M15/3+'Mantis Benefit by Tier'!Q15+'Mantis Benefit by Tier'!S15/2</f>
        <v>980000</v>
      </c>
      <c r="N13" s="2"/>
      <c r="O13" s="336"/>
      <c r="P13" s="78"/>
      <c r="Q13" s="78"/>
      <c r="R13" s="78"/>
      <c r="S13" s="78"/>
      <c r="T13" s="78"/>
      <c r="U13" s="2" t="s">
        <v>85</v>
      </c>
      <c r="V13" s="2">
        <v>45700</v>
      </c>
      <c r="W13" s="337">
        <f t="shared" ref="W13:AC13" si="31">$C13*(1+W$29)*2</f>
        <v>406730</v>
      </c>
      <c r="X13" s="337">
        <f t="shared" si="31"/>
        <v>494474</v>
      </c>
      <c r="Y13" s="337">
        <f t="shared" si="31"/>
        <v>563024</v>
      </c>
      <c r="Z13" s="337">
        <f t="shared" si="31"/>
        <v>741254</v>
      </c>
      <c r="AA13" s="337">
        <f t="shared" si="31"/>
        <v>754050</v>
      </c>
      <c r="AB13" s="337">
        <f t="shared" si="31"/>
        <v>758620.00000000012</v>
      </c>
      <c r="AC13" s="337">
        <f t="shared" si="31"/>
        <v>859160</v>
      </c>
      <c r="AD13" s="282">
        <f t="shared" si="29"/>
        <v>754050</v>
      </c>
      <c r="AE13" s="343">
        <v>0</v>
      </c>
      <c r="AF13" s="344">
        <v>0</v>
      </c>
      <c r="AG13" s="78">
        <v>70000</v>
      </c>
      <c r="AH13" s="78">
        <v>110000</v>
      </c>
      <c r="AI13" s="78">
        <v>160000</v>
      </c>
      <c r="AJ13" s="78">
        <v>400000</v>
      </c>
      <c r="AK13" s="30">
        <v>46</v>
      </c>
      <c r="AL13" s="78">
        <f t="shared" si="2"/>
        <v>0</v>
      </c>
      <c r="AM13" s="78">
        <f t="shared" si="3"/>
        <v>0</v>
      </c>
      <c r="AN13" s="79">
        <f t="shared" si="15"/>
        <v>0</v>
      </c>
      <c r="AO13" s="78"/>
    </row>
    <row r="14" spans="1:41" ht="12.75" x14ac:dyDescent="0.2">
      <c r="A14" s="2"/>
      <c r="B14" s="30" t="s">
        <v>86</v>
      </c>
      <c r="C14" s="2">
        <v>65000</v>
      </c>
      <c r="D14" s="12">
        <f t="shared" ref="D14:J14" si="32">$C14*(1+D$29)</f>
        <v>295750</v>
      </c>
      <c r="E14" s="12">
        <f t="shared" si="32"/>
        <v>358150</v>
      </c>
      <c r="F14" s="12">
        <f t="shared" si="32"/>
        <v>406900</v>
      </c>
      <c r="G14" s="281">
        <f t="shared" si="32"/>
        <v>533650</v>
      </c>
      <c r="H14" s="280">
        <f t="shared" si="32"/>
        <v>542750</v>
      </c>
      <c r="I14" s="281">
        <f t="shared" si="32"/>
        <v>546000</v>
      </c>
      <c r="J14" s="12">
        <f t="shared" si="32"/>
        <v>617500</v>
      </c>
      <c r="K14" s="282">
        <f t="shared" si="27"/>
        <v>542750</v>
      </c>
      <c r="L14" s="339">
        <f>'Mantis Benefit by Tier'!D16+'Mantis Benefit by Tier'!L16/3+'Mantis Benefit by Tier'!P16+'Mantis Benefit by Tier'!S16/2</f>
        <v>348333.33333333337</v>
      </c>
      <c r="M14" s="340">
        <f>'Mantis Benefit by Tier'!E16+'Mantis Benefit by Tier'!M16/3+'Mantis Benefit by Tier'!Q16+'Mantis Benefit by Tier'!S16/2</f>
        <v>1481666.6666666665</v>
      </c>
      <c r="N14" s="2"/>
      <c r="O14" s="336"/>
      <c r="P14" s="78"/>
      <c r="Q14" s="78"/>
      <c r="R14" s="78"/>
      <c r="S14" s="78"/>
      <c r="T14" s="78"/>
      <c r="U14" s="2" t="s">
        <v>86</v>
      </c>
      <c r="V14" s="2">
        <v>65000</v>
      </c>
      <c r="W14" s="337">
        <f t="shared" ref="W14:AC14" si="33">$C14*(1+W$29)*2</f>
        <v>578500</v>
      </c>
      <c r="X14" s="337">
        <f t="shared" si="33"/>
        <v>703300</v>
      </c>
      <c r="Y14" s="337">
        <f t="shared" si="33"/>
        <v>800800</v>
      </c>
      <c r="Z14" s="337">
        <f t="shared" si="33"/>
        <v>1054300</v>
      </c>
      <c r="AA14" s="337">
        <f t="shared" si="33"/>
        <v>1072500</v>
      </c>
      <c r="AB14" s="337">
        <f t="shared" si="33"/>
        <v>1079000</v>
      </c>
      <c r="AC14" s="337">
        <f t="shared" si="33"/>
        <v>1222000</v>
      </c>
      <c r="AD14" s="282">
        <f t="shared" si="29"/>
        <v>1072500</v>
      </c>
      <c r="AE14" s="289">
        <v>0</v>
      </c>
      <c r="AF14" s="290">
        <v>0</v>
      </c>
      <c r="AG14" s="78">
        <v>70000</v>
      </c>
      <c r="AH14" s="78">
        <v>110000</v>
      </c>
      <c r="AI14" s="78">
        <v>160000</v>
      </c>
      <c r="AJ14" s="78">
        <v>400000</v>
      </c>
      <c r="AK14" s="30">
        <v>48</v>
      </c>
      <c r="AL14" s="78">
        <f t="shared" si="2"/>
        <v>0</v>
      </c>
      <c r="AM14" s="78">
        <f t="shared" si="3"/>
        <v>0</v>
      </c>
      <c r="AN14" s="79">
        <f t="shared" si="15"/>
        <v>0</v>
      </c>
      <c r="AO14" s="78"/>
    </row>
    <row r="15" spans="1:41" ht="12.75" x14ac:dyDescent="0.2">
      <c r="A15" s="2"/>
      <c r="B15" s="6" t="s">
        <v>87</v>
      </c>
      <c r="C15" s="5">
        <v>91300</v>
      </c>
      <c r="D15" s="60">
        <f t="shared" ref="D15:J15" si="34">$C15*(1+D$29)</f>
        <v>415415</v>
      </c>
      <c r="E15" s="60">
        <f t="shared" si="34"/>
        <v>503063</v>
      </c>
      <c r="F15" s="60">
        <f t="shared" si="34"/>
        <v>571538</v>
      </c>
      <c r="G15" s="283">
        <f t="shared" si="34"/>
        <v>749573.00000000012</v>
      </c>
      <c r="H15" s="283">
        <f t="shared" si="34"/>
        <v>762355</v>
      </c>
      <c r="I15" s="284">
        <f t="shared" si="34"/>
        <v>766920</v>
      </c>
      <c r="J15" s="60">
        <f t="shared" si="34"/>
        <v>867350</v>
      </c>
      <c r="K15" s="285">
        <f>I15</f>
        <v>766920</v>
      </c>
      <c r="L15" s="345">
        <f>'Mantis Benefit by Tier'!D17*0+'Mantis Benefit by Tier'!L17/3+'Mantis Benefit by Tier'!P17+'Mantis Benefit by Tier'!S17/2</f>
        <v>421666.66666666669</v>
      </c>
      <c r="M15" s="346">
        <f>'Mantis Benefit by Tier'!E17*0+'Mantis Benefit by Tier'!M17/3+'Mantis Benefit by Tier'!Q17+'Mantis Benefit by Tier'!S17/2</f>
        <v>1648333.3333333333</v>
      </c>
      <c r="N15" s="2"/>
      <c r="O15" s="336"/>
      <c r="P15" s="78"/>
      <c r="Q15" s="78"/>
      <c r="R15" s="78"/>
      <c r="S15" s="78"/>
      <c r="T15" s="78"/>
      <c r="U15" s="2" t="s">
        <v>87</v>
      </c>
      <c r="V15" s="5">
        <v>91300</v>
      </c>
      <c r="W15" s="337">
        <f t="shared" ref="W15:AC15" si="35">$C15*(1+W$29)*2</f>
        <v>812570</v>
      </c>
      <c r="X15" s="337">
        <f t="shared" si="35"/>
        <v>987866</v>
      </c>
      <c r="Y15" s="337">
        <f t="shared" si="35"/>
        <v>1124816</v>
      </c>
      <c r="Z15" s="337">
        <f t="shared" si="35"/>
        <v>1480886</v>
      </c>
      <c r="AA15" s="337">
        <f t="shared" si="35"/>
        <v>1506450</v>
      </c>
      <c r="AB15" s="337">
        <f t="shared" si="35"/>
        <v>1515580.0000000002</v>
      </c>
      <c r="AC15" s="337">
        <f t="shared" si="35"/>
        <v>1716440</v>
      </c>
      <c r="AD15" s="282">
        <f>AB15</f>
        <v>1515580.0000000002</v>
      </c>
      <c r="AE15" s="287">
        <v>421666.66666666669</v>
      </c>
      <c r="AF15" s="288">
        <v>1648333.3333333333</v>
      </c>
      <c r="AG15" s="78">
        <v>70000</v>
      </c>
      <c r="AH15" s="78">
        <v>110000</v>
      </c>
      <c r="AI15" s="78">
        <v>160000</v>
      </c>
      <c r="AJ15" s="78">
        <v>400000</v>
      </c>
      <c r="AK15" s="6">
        <v>49</v>
      </c>
      <c r="AL15" s="103">
        <f t="shared" si="2"/>
        <v>32966.666666666664</v>
      </c>
      <c r="AM15" s="103">
        <f t="shared" si="3"/>
        <v>824166.66666666663</v>
      </c>
      <c r="AN15" s="104">
        <f>AM15/(1+$I$29/2)</f>
        <v>175354.609929078</v>
      </c>
      <c r="AO15" s="78"/>
    </row>
    <row r="16" spans="1:41" ht="12.75" x14ac:dyDescent="0.2">
      <c r="A16" s="78"/>
      <c r="B16" s="78"/>
      <c r="C16" s="78"/>
      <c r="D16" s="78"/>
      <c r="E16" s="78"/>
      <c r="F16" s="78"/>
      <c r="G16" s="78"/>
      <c r="H16" s="78"/>
      <c r="I16" s="114"/>
      <c r="K16" s="161" t="s">
        <v>303</v>
      </c>
      <c r="L16" s="345">
        <f>'Mantis Benefit by Tier'!D17*0+'Mantis Benefit by Tier'!L17/3*0+'Mantis Benefit by Tier'!P17+'Mantis Benefit by Tier'!S17/2</f>
        <v>345000</v>
      </c>
      <c r="M16" s="346">
        <f>'Mantis Benefit by Tier'!E17*0+'Mantis Benefit by Tier'!M17/3*0+'Mantis Benefit by Tier'!Q17+'Mantis Benefit by Tier'!S17/2</f>
        <v>1265000</v>
      </c>
      <c r="N16" s="2"/>
      <c r="O16" s="78"/>
      <c r="P16" s="78"/>
      <c r="Q16" s="78"/>
      <c r="R16" s="78"/>
      <c r="U16" s="78"/>
      <c r="V16" s="78"/>
      <c r="W16" s="78"/>
      <c r="X16" s="78"/>
      <c r="Y16" s="78"/>
      <c r="Z16" s="78"/>
      <c r="AA16" s="78"/>
      <c r="AB16" s="114"/>
      <c r="AC16" s="114"/>
      <c r="AG16" s="2"/>
      <c r="AH16" s="2"/>
      <c r="AI16" s="2"/>
      <c r="AJ16" s="2"/>
      <c r="AK16" s="2"/>
      <c r="AL16" s="78"/>
      <c r="AM16" s="78"/>
      <c r="AN16" s="78"/>
      <c r="AO16" s="78"/>
    </row>
    <row r="17" spans="1:41" ht="12.75" x14ac:dyDescent="0.2">
      <c r="A17" s="78"/>
      <c r="B17" s="78"/>
      <c r="C17" s="78"/>
      <c r="D17" s="78"/>
      <c r="E17" s="78"/>
      <c r="F17" s="78"/>
      <c r="M17" s="78"/>
      <c r="N17" s="114" t="s">
        <v>258</v>
      </c>
      <c r="O17" s="114"/>
      <c r="U17" s="78"/>
      <c r="V17" s="78"/>
      <c r="W17" s="78"/>
      <c r="X17" s="78"/>
      <c r="Y17" s="78"/>
      <c r="Z17" s="78"/>
      <c r="AA17" s="78"/>
      <c r="AB17" s="114" t="s">
        <v>258</v>
      </c>
      <c r="AC17" s="114"/>
      <c r="AG17" s="2"/>
      <c r="AH17" s="2"/>
      <c r="AI17" s="2"/>
      <c r="AJ17" s="2"/>
      <c r="AK17" s="2" t="s">
        <v>272</v>
      </c>
      <c r="AL17" s="78"/>
      <c r="AM17" s="78"/>
      <c r="AN17" s="78"/>
      <c r="AO17" s="78"/>
    </row>
    <row r="18" spans="1:41" ht="12.75" x14ac:dyDescent="0.2">
      <c r="A18" s="78"/>
      <c r="B18" s="78"/>
      <c r="C18" s="440" t="s">
        <v>273</v>
      </c>
      <c r="D18" s="374"/>
      <c r="E18" s="374"/>
      <c r="F18" s="374"/>
      <c r="G18" s="374"/>
      <c r="H18" s="374"/>
      <c r="I18" s="374"/>
      <c r="J18" s="82"/>
      <c r="U18" s="93"/>
      <c r="V18" s="432" t="s">
        <v>273</v>
      </c>
      <c r="W18" s="389"/>
      <c r="X18" s="389"/>
      <c r="Y18" s="389"/>
      <c r="Z18" s="389"/>
      <c r="AA18" s="389"/>
      <c r="AB18" s="390"/>
      <c r="AC18" s="82"/>
    </row>
    <row r="19" spans="1:41" ht="12.75" x14ac:dyDescent="0.2">
      <c r="A19" s="78"/>
      <c r="B19" s="452" t="s">
        <v>52</v>
      </c>
      <c r="C19" s="387"/>
      <c r="D19" s="347">
        <v>35</v>
      </c>
      <c r="E19" s="348">
        <v>40</v>
      </c>
      <c r="F19" s="348">
        <v>45</v>
      </c>
      <c r="G19" s="348">
        <v>50</v>
      </c>
      <c r="H19" s="348">
        <v>55</v>
      </c>
      <c r="I19" s="348">
        <v>60</v>
      </c>
      <c r="J19" s="349" t="s">
        <v>292</v>
      </c>
      <c r="K19" s="453" t="s">
        <v>304</v>
      </c>
      <c r="L19" s="387"/>
      <c r="M19" s="387"/>
      <c r="N19" s="387"/>
      <c r="O19" s="387"/>
      <c r="P19" s="387"/>
      <c r="Q19" s="387"/>
      <c r="R19" s="406"/>
      <c r="U19" s="433" t="s">
        <v>52</v>
      </c>
      <c r="V19" s="429"/>
      <c r="W19" s="6">
        <v>35</v>
      </c>
      <c r="X19" s="103">
        <v>40</v>
      </c>
      <c r="Y19" s="103">
        <v>45</v>
      </c>
      <c r="Z19" s="103">
        <v>50</v>
      </c>
      <c r="AA19" s="103">
        <v>55</v>
      </c>
      <c r="AB19" s="104">
        <v>60</v>
      </c>
      <c r="AC19" s="79" t="s">
        <v>292</v>
      </c>
      <c r="AD19" s="434" t="s">
        <v>274</v>
      </c>
      <c r="AE19" s="389"/>
      <c r="AF19" s="389"/>
      <c r="AG19" s="389"/>
      <c r="AH19" s="389"/>
      <c r="AI19" s="389"/>
      <c r="AJ19" s="389"/>
      <c r="AK19" s="389"/>
      <c r="AL19" s="389"/>
      <c r="AM19" s="389"/>
      <c r="AN19" s="390"/>
    </row>
    <row r="20" spans="1:41" ht="12.75" x14ac:dyDescent="0.2">
      <c r="B20" s="30"/>
      <c r="C20" s="78">
        <v>7</v>
      </c>
      <c r="D20" s="292">
        <v>0.04</v>
      </c>
      <c r="E20" s="292">
        <v>0.06</v>
      </c>
      <c r="F20" s="292">
        <v>0.06</v>
      </c>
      <c r="G20" s="292">
        <v>0.06</v>
      </c>
      <c r="H20" s="292">
        <v>0.1</v>
      </c>
      <c r="I20" s="292">
        <v>0.1</v>
      </c>
      <c r="J20" s="293">
        <v>0.1</v>
      </c>
      <c r="K20" s="6" t="s">
        <v>33</v>
      </c>
      <c r="L20" s="6">
        <v>35</v>
      </c>
      <c r="M20" s="103">
        <v>40</v>
      </c>
      <c r="N20" s="103">
        <v>45</v>
      </c>
      <c r="O20" s="103">
        <v>50</v>
      </c>
      <c r="P20" s="103">
        <v>55</v>
      </c>
      <c r="Q20" s="103">
        <v>60</v>
      </c>
      <c r="R20" s="35" t="s">
        <v>292</v>
      </c>
      <c r="U20" s="30"/>
      <c r="V20" s="78">
        <v>7</v>
      </c>
      <c r="W20" s="291">
        <v>0.04</v>
      </c>
      <c r="X20" s="292">
        <v>0.06</v>
      </c>
      <c r="Y20" s="292">
        <v>0.06</v>
      </c>
      <c r="Z20" s="292">
        <v>0.06</v>
      </c>
      <c r="AA20" s="292">
        <v>0.1</v>
      </c>
      <c r="AB20" s="293">
        <v>0.1</v>
      </c>
      <c r="AC20" s="293">
        <v>0.1</v>
      </c>
      <c r="AD20" s="6" t="s">
        <v>33</v>
      </c>
      <c r="AE20" s="5">
        <v>35</v>
      </c>
      <c r="AF20" s="103">
        <v>40</v>
      </c>
      <c r="AG20" s="103"/>
      <c r="AH20" s="103"/>
      <c r="AI20" s="103"/>
      <c r="AJ20" s="103"/>
      <c r="AK20" s="103">
        <v>45</v>
      </c>
      <c r="AL20" s="103">
        <v>50</v>
      </c>
      <c r="AM20" s="103">
        <v>55</v>
      </c>
      <c r="AN20" s="104">
        <v>60</v>
      </c>
      <c r="AO20" s="2" t="s">
        <v>292</v>
      </c>
    </row>
    <row r="21" spans="1:41" ht="12.75" x14ac:dyDescent="0.2">
      <c r="B21" s="30"/>
      <c r="C21" s="2">
        <v>11</v>
      </c>
      <c r="D21" s="292">
        <v>0.06</v>
      </c>
      <c r="E21" s="292">
        <v>0.1</v>
      </c>
      <c r="F21" s="292">
        <v>0.1</v>
      </c>
      <c r="G21" s="292">
        <v>0.1</v>
      </c>
      <c r="H21" s="292">
        <v>0.1</v>
      </c>
      <c r="I21" s="292">
        <v>0.1</v>
      </c>
      <c r="J21" s="293">
        <v>0.1</v>
      </c>
      <c r="K21" s="76" t="s">
        <v>275</v>
      </c>
      <c r="L21" s="350">
        <v>0.35</v>
      </c>
      <c r="M21" s="294">
        <v>0.35</v>
      </c>
      <c r="N21" s="294">
        <v>0.35</v>
      </c>
      <c r="O21" s="294">
        <v>0.35</v>
      </c>
      <c r="P21" s="294">
        <v>0.35</v>
      </c>
      <c r="Q21" s="294">
        <v>0.35</v>
      </c>
      <c r="R21" s="295">
        <v>0.35</v>
      </c>
      <c r="U21" s="30"/>
      <c r="V21" s="2">
        <v>11</v>
      </c>
      <c r="W21" s="291">
        <v>0.06</v>
      </c>
      <c r="X21" s="292">
        <v>0.1</v>
      </c>
      <c r="Y21" s="292">
        <v>0.1</v>
      </c>
      <c r="Z21" s="292">
        <v>0.1</v>
      </c>
      <c r="AA21" s="292">
        <v>0.1</v>
      </c>
      <c r="AB21" s="293">
        <v>0.1</v>
      </c>
      <c r="AC21" s="293">
        <v>0.1</v>
      </c>
      <c r="AD21" s="76" t="s">
        <v>275</v>
      </c>
      <c r="AE21" s="294">
        <v>0.35</v>
      </c>
      <c r="AF21" s="294">
        <v>0.35</v>
      </c>
      <c r="AG21" s="294"/>
      <c r="AH21" s="294"/>
      <c r="AI21" s="294"/>
      <c r="AJ21" s="294"/>
      <c r="AK21" s="294">
        <v>0.35</v>
      </c>
      <c r="AL21" s="294">
        <v>0.35</v>
      </c>
      <c r="AM21" s="294">
        <v>0.35</v>
      </c>
      <c r="AN21" s="295">
        <v>0.35</v>
      </c>
      <c r="AO21" s="295">
        <v>0.35</v>
      </c>
    </row>
    <row r="22" spans="1:41" ht="12.75" x14ac:dyDescent="0.2">
      <c r="A22" s="78"/>
      <c r="B22" s="76"/>
      <c r="C22" s="78">
        <v>14</v>
      </c>
      <c r="D22" s="292">
        <v>0.1</v>
      </c>
      <c r="E22" s="292">
        <v>0.15</v>
      </c>
      <c r="F22" s="292">
        <v>0.15</v>
      </c>
      <c r="G22" s="292">
        <v>0.15</v>
      </c>
      <c r="H22" s="292">
        <v>0.2</v>
      </c>
      <c r="I22" s="292">
        <v>0.2</v>
      </c>
      <c r="J22" s="293">
        <v>0.2</v>
      </c>
      <c r="K22" s="30" t="s">
        <v>42</v>
      </c>
      <c r="L22" s="351" t="s">
        <v>78</v>
      </c>
      <c r="M22" s="296" t="s">
        <v>80</v>
      </c>
      <c r="N22" s="296" t="s">
        <v>80</v>
      </c>
      <c r="O22" s="296" t="s">
        <v>80</v>
      </c>
      <c r="P22" s="296" t="s">
        <v>80</v>
      </c>
      <c r="Q22" s="296" t="s">
        <v>80</v>
      </c>
      <c r="R22" s="297" t="s">
        <v>80</v>
      </c>
      <c r="U22" s="76"/>
      <c r="V22" s="78">
        <v>14</v>
      </c>
      <c r="W22" s="291">
        <v>0.1</v>
      </c>
      <c r="X22" s="292">
        <v>0.15</v>
      </c>
      <c r="Y22" s="292">
        <v>0.15</v>
      </c>
      <c r="Z22" s="292">
        <v>0.15</v>
      </c>
      <c r="AA22" s="292">
        <v>0.2</v>
      </c>
      <c r="AB22" s="293">
        <v>0.2</v>
      </c>
      <c r="AC22" s="293">
        <v>0.2</v>
      </c>
      <c r="AD22" s="30" t="s">
        <v>42</v>
      </c>
      <c r="AE22" s="296" t="s">
        <v>78</v>
      </c>
      <c r="AF22" s="296" t="s">
        <v>80</v>
      </c>
      <c r="AG22" s="296"/>
      <c r="AH22" s="296"/>
      <c r="AI22" s="296"/>
      <c r="AJ22" s="296"/>
      <c r="AK22" s="296" t="s">
        <v>80</v>
      </c>
      <c r="AL22" s="296" t="s">
        <v>80</v>
      </c>
      <c r="AM22" s="296" t="s">
        <v>80</v>
      </c>
      <c r="AN22" s="297" t="s">
        <v>80</v>
      </c>
      <c r="AO22" s="297" t="s">
        <v>80</v>
      </c>
    </row>
    <row r="23" spans="1:41" ht="12.75" x14ac:dyDescent="0.2">
      <c r="A23" s="78"/>
      <c r="B23" s="76"/>
      <c r="C23" s="78">
        <v>29</v>
      </c>
      <c r="D23" s="299">
        <v>0.15</v>
      </c>
      <c r="E23" s="299">
        <v>0.2</v>
      </c>
      <c r="F23" s="299">
        <v>0.2</v>
      </c>
      <c r="G23" s="299">
        <v>0.2</v>
      </c>
      <c r="H23" s="299">
        <v>0.25</v>
      </c>
      <c r="I23" s="299">
        <v>0.25</v>
      </c>
      <c r="J23" s="293">
        <v>0.25</v>
      </c>
      <c r="K23" s="30"/>
      <c r="L23" s="305">
        <v>0.3</v>
      </c>
      <c r="M23" s="294">
        <v>0.4</v>
      </c>
      <c r="N23" s="294">
        <v>0.4</v>
      </c>
      <c r="O23" s="294">
        <v>0.4</v>
      </c>
      <c r="P23" s="294">
        <v>0.4</v>
      </c>
      <c r="Q23" s="294">
        <v>0.4</v>
      </c>
      <c r="R23" s="294">
        <v>0.4</v>
      </c>
      <c r="U23" s="76"/>
      <c r="V23" s="78">
        <v>29</v>
      </c>
      <c r="W23" s="298">
        <v>0.15</v>
      </c>
      <c r="X23" s="299">
        <v>0.2</v>
      </c>
      <c r="Y23" s="299">
        <v>0.2</v>
      </c>
      <c r="Z23" s="299">
        <v>0.2</v>
      </c>
      <c r="AA23" s="299">
        <v>0.25</v>
      </c>
      <c r="AB23" s="352">
        <v>0.25</v>
      </c>
      <c r="AC23" s="293">
        <v>0.25</v>
      </c>
      <c r="AD23" s="30"/>
      <c r="AE23" s="300">
        <v>0.2</v>
      </c>
      <c r="AF23" s="294">
        <v>0.3</v>
      </c>
      <c r="AG23" s="294"/>
      <c r="AH23" s="294"/>
      <c r="AI23" s="294"/>
      <c r="AJ23" s="294"/>
      <c r="AK23" s="294">
        <v>0.3</v>
      </c>
      <c r="AL23" s="294">
        <v>0.3</v>
      </c>
      <c r="AM23" s="294">
        <v>0.3</v>
      </c>
      <c r="AN23" s="295">
        <v>0.3</v>
      </c>
      <c r="AO23" s="295">
        <v>0.3</v>
      </c>
    </row>
    <row r="24" spans="1:41" ht="12.75" x14ac:dyDescent="0.2">
      <c r="A24" s="78"/>
      <c r="B24" s="286"/>
      <c r="C24" s="103">
        <v>33</v>
      </c>
      <c r="D24" s="353">
        <v>0.2</v>
      </c>
      <c r="E24" s="353">
        <v>0.3</v>
      </c>
      <c r="F24" s="353">
        <v>0.3</v>
      </c>
      <c r="G24" s="353">
        <v>0.3</v>
      </c>
      <c r="H24" s="353">
        <v>0.4</v>
      </c>
      <c r="I24" s="353">
        <v>0.4</v>
      </c>
      <c r="J24" s="354">
        <v>0.4</v>
      </c>
      <c r="K24" s="76" t="s">
        <v>276</v>
      </c>
      <c r="L24" s="351" t="s">
        <v>77</v>
      </c>
      <c r="M24" s="296" t="s">
        <v>77</v>
      </c>
      <c r="N24" s="296" t="s">
        <v>77</v>
      </c>
      <c r="O24" s="296" t="s">
        <v>77</v>
      </c>
      <c r="P24" s="296" t="s">
        <v>77</v>
      </c>
      <c r="Q24" s="296" t="s">
        <v>77</v>
      </c>
      <c r="R24" s="297" t="s">
        <v>80</v>
      </c>
      <c r="U24" s="76"/>
      <c r="V24" s="78">
        <v>33</v>
      </c>
      <c r="W24" s="298">
        <v>0.2</v>
      </c>
      <c r="X24" s="299">
        <v>0.3</v>
      </c>
      <c r="Y24" s="299">
        <v>0.3</v>
      </c>
      <c r="Z24" s="299">
        <v>0.3</v>
      </c>
      <c r="AA24" s="299">
        <v>0.4</v>
      </c>
      <c r="AB24" s="352">
        <v>0.4</v>
      </c>
      <c r="AC24" s="293">
        <v>0.4</v>
      </c>
      <c r="AD24" s="76" t="s">
        <v>276</v>
      </c>
      <c r="AE24" s="296" t="s">
        <v>77</v>
      </c>
      <c r="AF24" s="296" t="s">
        <v>77</v>
      </c>
      <c r="AG24" s="296"/>
      <c r="AH24" s="296"/>
      <c r="AI24" s="296"/>
      <c r="AJ24" s="296"/>
      <c r="AK24" s="296" t="s">
        <v>77</v>
      </c>
      <c r="AL24" s="296" t="s">
        <v>77</v>
      </c>
      <c r="AM24" s="296" t="s">
        <v>77</v>
      </c>
      <c r="AN24" s="296" t="s">
        <v>77</v>
      </c>
      <c r="AO24" s="297" t="s">
        <v>80</v>
      </c>
    </row>
    <row r="25" spans="1:41" ht="12.75" x14ac:dyDescent="0.2">
      <c r="A25" s="78"/>
      <c r="B25" s="454" t="s">
        <v>277</v>
      </c>
      <c r="C25" s="374"/>
      <c r="D25" s="292">
        <f t="shared" ref="D25:I25" si="36">SUM(D20:D22)</f>
        <v>0.2</v>
      </c>
      <c r="E25" s="292">
        <f t="shared" si="36"/>
        <v>0.31</v>
      </c>
      <c r="F25" s="292">
        <f t="shared" si="36"/>
        <v>0.31</v>
      </c>
      <c r="G25" s="292">
        <f t="shared" si="36"/>
        <v>0.31</v>
      </c>
      <c r="H25" s="292">
        <f t="shared" si="36"/>
        <v>0.4</v>
      </c>
      <c r="I25" s="292">
        <f t="shared" si="36"/>
        <v>0.4</v>
      </c>
      <c r="J25" s="292">
        <f>SUM(J20:J24)</f>
        <v>1.05</v>
      </c>
      <c r="K25" s="76"/>
      <c r="L25" s="305">
        <v>0.4</v>
      </c>
      <c r="M25" s="300">
        <v>0.4</v>
      </c>
      <c r="N25" s="300">
        <v>0.4</v>
      </c>
      <c r="O25" s="300">
        <v>0.4</v>
      </c>
      <c r="P25" s="300">
        <v>0.4</v>
      </c>
      <c r="Q25" s="300">
        <v>0.4</v>
      </c>
      <c r="R25" s="295">
        <v>0.6</v>
      </c>
      <c r="U25" s="435" t="s">
        <v>277</v>
      </c>
      <c r="V25" s="389"/>
      <c r="W25" s="301">
        <f t="shared" ref="W25:AB25" si="37">SUM(W20:W22)</f>
        <v>0.2</v>
      </c>
      <c r="X25" s="302">
        <f t="shared" si="37"/>
        <v>0.31</v>
      </c>
      <c r="Y25" s="302">
        <f t="shared" si="37"/>
        <v>0.31</v>
      </c>
      <c r="Z25" s="302">
        <f t="shared" si="37"/>
        <v>0.31</v>
      </c>
      <c r="AA25" s="302">
        <f t="shared" si="37"/>
        <v>0.4</v>
      </c>
      <c r="AB25" s="302">
        <f t="shared" si="37"/>
        <v>0.4</v>
      </c>
      <c r="AC25" s="303">
        <f>SUM(AC20:AC24)</f>
        <v>1.05</v>
      </c>
      <c r="AD25" s="76"/>
      <c r="AE25" s="300">
        <v>0.4</v>
      </c>
      <c r="AF25" s="300">
        <v>0.4</v>
      </c>
      <c r="AG25" s="300"/>
      <c r="AH25" s="300"/>
      <c r="AI25" s="300"/>
      <c r="AJ25" s="300"/>
      <c r="AK25" s="300">
        <v>0.4</v>
      </c>
      <c r="AL25" s="300">
        <v>0.4</v>
      </c>
      <c r="AM25" s="300">
        <v>0.4</v>
      </c>
      <c r="AN25" s="300">
        <v>0.4</v>
      </c>
      <c r="AO25" s="295">
        <v>0.6</v>
      </c>
    </row>
    <row r="26" spans="1:41" ht="12.75" x14ac:dyDescent="0.2">
      <c r="A26" s="78"/>
      <c r="B26" s="454" t="s">
        <v>278</v>
      </c>
      <c r="C26" s="374"/>
      <c r="D26" s="145">
        <v>0.35</v>
      </c>
      <c r="E26" s="145">
        <v>0.4</v>
      </c>
      <c r="F26" s="145">
        <v>0.45</v>
      </c>
      <c r="G26" s="145">
        <v>0.5</v>
      </c>
      <c r="H26" s="145">
        <v>0.55000000000000004</v>
      </c>
      <c r="I26" s="145">
        <v>0.6</v>
      </c>
      <c r="J26" s="145">
        <v>0.6</v>
      </c>
      <c r="K26" s="76" t="s">
        <v>279</v>
      </c>
      <c r="L26" s="351" t="s">
        <v>77</v>
      </c>
      <c r="M26" s="296" t="s">
        <v>77</v>
      </c>
      <c r="N26" s="296" t="s">
        <v>77</v>
      </c>
      <c r="O26" s="296" t="s">
        <v>77</v>
      </c>
      <c r="P26" s="296" t="s">
        <v>77</v>
      </c>
      <c r="Q26" s="296" t="s">
        <v>77</v>
      </c>
      <c r="R26" s="297" t="s">
        <v>80</v>
      </c>
      <c r="U26" s="436" t="s">
        <v>278</v>
      </c>
      <c r="V26" s="374"/>
      <c r="W26" s="256">
        <v>0.35</v>
      </c>
      <c r="X26" s="145">
        <v>0.4</v>
      </c>
      <c r="Y26" s="145">
        <v>0.45</v>
      </c>
      <c r="Z26" s="145">
        <v>0.5</v>
      </c>
      <c r="AA26" s="145">
        <v>0.55000000000000004</v>
      </c>
      <c r="AB26" s="304">
        <v>0.6</v>
      </c>
      <c r="AC26" s="304">
        <v>0.6</v>
      </c>
      <c r="AD26" s="76" t="s">
        <v>279</v>
      </c>
      <c r="AE26" s="296" t="s">
        <v>77</v>
      </c>
      <c r="AF26" s="296" t="s">
        <v>77</v>
      </c>
      <c r="AG26" s="296"/>
      <c r="AH26" s="296"/>
      <c r="AI26" s="296"/>
      <c r="AJ26" s="296"/>
      <c r="AK26" s="296" t="s">
        <v>77</v>
      </c>
      <c r="AL26" s="296" t="s">
        <v>77</v>
      </c>
      <c r="AM26" s="296" t="s">
        <v>77</v>
      </c>
      <c r="AN26" s="297" t="s">
        <v>77</v>
      </c>
      <c r="AO26" s="297" t="s">
        <v>80</v>
      </c>
    </row>
    <row r="27" spans="1:41" ht="12.75" x14ac:dyDescent="0.2">
      <c r="A27" s="2"/>
      <c r="B27" s="2" t="s">
        <v>305</v>
      </c>
      <c r="D27" s="300">
        <f t="shared" ref="D27:J27" si="38">L28</f>
        <v>1.2999999999999998</v>
      </c>
      <c r="E27" s="300">
        <f t="shared" si="38"/>
        <v>1.4</v>
      </c>
      <c r="F27" s="300">
        <f t="shared" si="38"/>
        <v>1.4</v>
      </c>
      <c r="G27" s="300">
        <f t="shared" si="38"/>
        <v>1.4</v>
      </c>
      <c r="H27" s="300">
        <f t="shared" si="38"/>
        <v>1.4</v>
      </c>
      <c r="I27" s="300">
        <f t="shared" si="38"/>
        <v>1.4</v>
      </c>
      <c r="J27" s="300">
        <f t="shared" si="38"/>
        <v>1.85</v>
      </c>
      <c r="K27" s="30"/>
      <c r="L27" s="305">
        <v>0.25</v>
      </c>
      <c r="M27" s="300">
        <v>0.25</v>
      </c>
      <c r="N27" s="300">
        <v>0.25</v>
      </c>
      <c r="O27" s="300">
        <v>0.25</v>
      </c>
      <c r="P27" s="300">
        <v>0.25</v>
      </c>
      <c r="Q27" s="300">
        <v>0.25</v>
      </c>
      <c r="R27" s="295">
        <v>0.5</v>
      </c>
      <c r="U27" s="30" t="s">
        <v>280</v>
      </c>
      <c r="W27" s="305">
        <f t="shared" ref="W27:X27" si="39">AE28</f>
        <v>1.2000000000000002</v>
      </c>
      <c r="X27" s="300">
        <f t="shared" si="39"/>
        <v>1.2999999999999998</v>
      </c>
      <c r="Y27" s="300">
        <f t="shared" ref="Y27:AC27" si="40">AK28</f>
        <v>1.2999999999999998</v>
      </c>
      <c r="Z27" s="300">
        <f t="shared" si="40"/>
        <v>1.2999999999999998</v>
      </c>
      <c r="AA27" s="300">
        <f t="shared" si="40"/>
        <v>1.2999999999999998</v>
      </c>
      <c r="AB27" s="306">
        <f t="shared" si="40"/>
        <v>1.2999999999999998</v>
      </c>
      <c r="AC27" s="306">
        <f t="shared" si="40"/>
        <v>1.75</v>
      </c>
      <c r="AD27" s="30"/>
      <c r="AE27" s="300">
        <v>0.25</v>
      </c>
      <c r="AF27" s="300">
        <v>0.25</v>
      </c>
      <c r="AG27" s="300"/>
      <c r="AH27" s="300"/>
      <c r="AI27" s="300"/>
      <c r="AJ27" s="300"/>
      <c r="AK27" s="300">
        <v>0.25</v>
      </c>
      <c r="AL27" s="300">
        <v>0.25</v>
      </c>
      <c r="AM27" s="300">
        <v>0.25</v>
      </c>
      <c r="AN27" s="300">
        <v>0.25</v>
      </c>
      <c r="AO27" s="295">
        <v>0.5</v>
      </c>
    </row>
    <row r="28" spans="1:41" ht="12.75" x14ac:dyDescent="0.2">
      <c r="A28" s="78"/>
      <c r="B28" s="450" t="s">
        <v>240</v>
      </c>
      <c r="C28" s="429"/>
      <c r="D28" s="308">
        <v>1.7</v>
      </c>
      <c r="E28" s="308">
        <v>2.4</v>
      </c>
      <c r="F28" s="308">
        <v>3.1</v>
      </c>
      <c r="G28" s="308">
        <v>5</v>
      </c>
      <c r="H28" s="308">
        <v>5</v>
      </c>
      <c r="I28" s="308">
        <v>5</v>
      </c>
      <c r="J28" s="308">
        <v>5</v>
      </c>
      <c r="K28" s="310" t="s">
        <v>137</v>
      </c>
      <c r="L28" s="355">
        <f t="shared" ref="L28:R28" si="41">SUM(L21:L27)</f>
        <v>1.2999999999999998</v>
      </c>
      <c r="M28" s="311">
        <f t="shared" si="41"/>
        <v>1.4</v>
      </c>
      <c r="N28" s="311">
        <f t="shared" si="41"/>
        <v>1.4</v>
      </c>
      <c r="O28" s="311">
        <f t="shared" si="41"/>
        <v>1.4</v>
      </c>
      <c r="P28" s="311">
        <f t="shared" si="41"/>
        <v>1.4</v>
      </c>
      <c r="Q28" s="356">
        <f t="shared" si="41"/>
        <v>1.4</v>
      </c>
      <c r="R28" s="312">
        <f t="shared" si="41"/>
        <v>1.85</v>
      </c>
      <c r="U28" s="433" t="s">
        <v>240</v>
      </c>
      <c r="V28" s="429"/>
      <c r="W28" s="307">
        <v>1.7</v>
      </c>
      <c r="X28" s="308">
        <v>2.4</v>
      </c>
      <c r="Y28" s="308">
        <v>3.1</v>
      </c>
      <c r="Z28" s="308">
        <v>5</v>
      </c>
      <c r="AA28" s="308">
        <v>5</v>
      </c>
      <c r="AB28" s="309">
        <v>5</v>
      </c>
      <c r="AC28" s="309">
        <v>5</v>
      </c>
      <c r="AD28" s="310" t="s">
        <v>137</v>
      </c>
      <c r="AE28" s="311">
        <f t="shared" ref="AE28:AF28" si="42">SUM(AE21:AE27)</f>
        <v>1.2000000000000002</v>
      </c>
      <c r="AF28" s="311">
        <f t="shared" si="42"/>
        <v>1.2999999999999998</v>
      </c>
      <c r="AG28" s="357"/>
      <c r="AH28" s="357"/>
      <c r="AI28" s="357"/>
      <c r="AJ28" s="357"/>
      <c r="AK28" s="311">
        <f t="shared" ref="AK28:AO28" si="43">SUM(AK21:AK27)</f>
        <v>1.2999999999999998</v>
      </c>
      <c r="AL28" s="311">
        <f t="shared" si="43"/>
        <v>1.2999999999999998</v>
      </c>
      <c r="AM28" s="311">
        <f t="shared" si="43"/>
        <v>1.2999999999999998</v>
      </c>
      <c r="AN28" s="312">
        <f t="shared" si="43"/>
        <v>1.2999999999999998</v>
      </c>
      <c r="AO28" s="312">
        <f t="shared" si="43"/>
        <v>1.75</v>
      </c>
    </row>
    <row r="29" spans="1:41" ht="12.75" x14ac:dyDescent="0.2">
      <c r="A29" s="2"/>
      <c r="B29" s="451" t="s">
        <v>137</v>
      </c>
      <c r="C29" s="387"/>
      <c r="D29" s="358">
        <f t="shared" ref="D29:J29" si="44">SUM(D25:D28)</f>
        <v>3.55</v>
      </c>
      <c r="E29" s="358">
        <f t="shared" si="44"/>
        <v>4.51</v>
      </c>
      <c r="F29" s="358">
        <f t="shared" si="44"/>
        <v>5.26</v>
      </c>
      <c r="G29" s="358">
        <f t="shared" si="44"/>
        <v>7.21</v>
      </c>
      <c r="H29" s="358">
        <f t="shared" si="44"/>
        <v>7.35</v>
      </c>
      <c r="I29" s="358">
        <f t="shared" si="44"/>
        <v>7.4</v>
      </c>
      <c r="J29" s="359">
        <f t="shared" si="44"/>
        <v>8.5</v>
      </c>
      <c r="U29" s="437" t="s">
        <v>137</v>
      </c>
      <c r="V29" s="429"/>
      <c r="W29" s="313">
        <f t="shared" ref="W29:AC29" si="45">SUM(W25:W28)</f>
        <v>3.45</v>
      </c>
      <c r="X29" s="314">
        <f t="shared" si="45"/>
        <v>4.41</v>
      </c>
      <c r="Y29" s="314">
        <f t="shared" si="45"/>
        <v>5.16</v>
      </c>
      <c r="Z29" s="314">
        <f t="shared" si="45"/>
        <v>7.1099999999999994</v>
      </c>
      <c r="AA29" s="314">
        <f t="shared" si="45"/>
        <v>7.25</v>
      </c>
      <c r="AB29" s="315">
        <f t="shared" si="45"/>
        <v>7.3</v>
      </c>
      <c r="AC29" s="315">
        <f t="shared" si="45"/>
        <v>8.4</v>
      </c>
    </row>
    <row r="36" spans="1:2" ht="12.75" x14ac:dyDescent="0.2">
      <c r="A36" s="78"/>
      <c r="B36" s="78"/>
    </row>
    <row r="37" spans="1:2" ht="12.75" x14ac:dyDescent="0.2">
      <c r="A37" s="78"/>
      <c r="B37" s="78"/>
    </row>
    <row r="38" spans="1:2" ht="12.75" x14ac:dyDescent="0.2">
      <c r="A38" s="78"/>
      <c r="B38" s="78"/>
    </row>
    <row r="39" spans="1:2" ht="12.75" x14ac:dyDescent="0.2">
      <c r="A39" s="78"/>
      <c r="B39" s="78"/>
    </row>
    <row r="56" spans="22:23" ht="12.75" x14ac:dyDescent="0.2">
      <c r="V56" s="2" t="s">
        <v>306</v>
      </c>
      <c r="W56" s="303">
        <v>1.05</v>
      </c>
    </row>
    <row r="57" spans="22:23" ht="12.75" x14ac:dyDescent="0.2">
      <c r="V57" s="2" t="s">
        <v>307</v>
      </c>
      <c r="W57" s="304">
        <v>0.6</v>
      </c>
    </row>
    <row r="58" spans="22:23" ht="12.75" x14ac:dyDescent="0.2">
      <c r="V58" s="2" t="s">
        <v>308</v>
      </c>
      <c r="W58" s="306">
        <v>1.75</v>
      </c>
    </row>
    <row r="59" spans="22:23" ht="12.75" x14ac:dyDescent="0.2">
      <c r="V59" s="2" t="s">
        <v>309</v>
      </c>
      <c r="W59" s="309">
        <v>5</v>
      </c>
    </row>
    <row r="60" spans="22:23" ht="12.75" x14ac:dyDescent="0.2">
      <c r="V60" s="2" t="s">
        <v>137</v>
      </c>
      <c r="W60" s="315">
        <v>8.4</v>
      </c>
    </row>
  </sheetData>
  <mergeCells count="31">
    <mergeCell ref="C18:I18"/>
    <mergeCell ref="B19:C19"/>
    <mergeCell ref="K19:R19"/>
    <mergeCell ref="B25:C25"/>
    <mergeCell ref="B26:C26"/>
    <mergeCell ref="U25:V25"/>
    <mergeCell ref="U26:V26"/>
    <mergeCell ref="U28:V28"/>
    <mergeCell ref="U29:V29"/>
    <mergeCell ref="B28:C28"/>
    <mergeCell ref="B29:C29"/>
    <mergeCell ref="B1:M1"/>
    <mergeCell ref="N1:Q1"/>
    <mergeCell ref="U1:AF1"/>
    <mergeCell ref="AK1:AN1"/>
    <mergeCell ref="B2:K2"/>
    <mergeCell ref="N2:N3"/>
    <mergeCell ref="Q2:Q3"/>
    <mergeCell ref="O2:O3"/>
    <mergeCell ref="P2:P3"/>
    <mergeCell ref="U19:V19"/>
    <mergeCell ref="AD19:AN19"/>
    <mergeCell ref="AK2:AK3"/>
    <mergeCell ref="AL2:AL3"/>
    <mergeCell ref="AM2:AM3"/>
    <mergeCell ref="AN2:AN3"/>
    <mergeCell ref="L2:M2"/>
    <mergeCell ref="U2:V2"/>
    <mergeCell ref="W2:AD2"/>
    <mergeCell ref="AE2:AF2"/>
    <mergeCell ref="V18:AB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38"/>
  <sheetViews>
    <sheetView workbookViewId="0"/>
  </sheetViews>
  <sheetFormatPr defaultColWidth="12.5703125" defaultRowHeight="15.75" customHeight="1" x14ac:dyDescent="0.2"/>
  <cols>
    <col min="1" max="1" width="5.42578125" customWidth="1"/>
    <col min="2" max="2" width="10" customWidth="1"/>
    <col min="3" max="8" width="10.28515625" customWidth="1"/>
    <col min="9" max="9" width="12" customWidth="1"/>
    <col min="10" max="11" width="10.42578125" customWidth="1"/>
    <col min="12" max="12" width="8.42578125" customWidth="1"/>
    <col min="13" max="13" width="14.85546875" customWidth="1"/>
  </cols>
  <sheetData>
    <row r="1" spans="1:19" ht="30.75" customHeight="1" x14ac:dyDescent="0.35">
      <c r="A1" s="438" t="s">
        <v>260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439" t="s">
        <v>261</v>
      </c>
      <c r="M1" s="374"/>
      <c r="N1" s="374"/>
      <c r="O1" s="392"/>
    </row>
    <row r="2" spans="1:19" ht="25.5" customHeight="1" x14ac:dyDescent="0.2">
      <c r="A2" s="374"/>
      <c r="B2" s="374"/>
      <c r="C2" s="440" t="s">
        <v>262</v>
      </c>
      <c r="D2" s="374"/>
      <c r="E2" s="374"/>
      <c r="F2" s="374"/>
      <c r="G2" s="374"/>
      <c r="H2" s="374"/>
      <c r="I2" s="374"/>
      <c r="J2" s="441" t="s">
        <v>263</v>
      </c>
      <c r="K2" s="390"/>
      <c r="L2" s="442" t="s">
        <v>264</v>
      </c>
      <c r="M2" s="428" t="s">
        <v>265</v>
      </c>
      <c r="N2" s="428" t="s">
        <v>266</v>
      </c>
      <c r="O2" s="430" t="s">
        <v>267</v>
      </c>
    </row>
    <row r="3" spans="1:19" ht="12.75" x14ac:dyDescent="0.2">
      <c r="A3" s="5" t="s">
        <v>34</v>
      </c>
      <c r="B3" s="5" t="s">
        <v>268</v>
      </c>
      <c r="C3" s="277">
        <v>35</v>
      </c>
      <c r="D3" s="278">
        <v>40</v>
      </c>
      <c r="E3" s="278">
        <v>45</v>
      </c>
      <c r="F3" s="278">
        <v>50</v>
      </c>
      <c r="G3" s="278">
        <v>55</v>
      </c>
      <c r="H3" s="278">
        <v>60</v>
      </c>
      <c r="I3" s="279" t="s">
        <v>269</v>
      </c>
      <c r="J3" s="6" t="s">
        <v>270</v>
      </c>
      <c r="K3" s="35" t="s">
        <v>271</v>
      </c>
      <c r="L3" s="443"/>
      <c r="M3" s="429"/>
      <c r="N3" s="429"/>
      <c r="O3" s="431"/>
    </row>
    <row r="4" spans="1:19" ht="12.75" x14ac:dyDescent="0.2">
      <c r="A4" s="2" t="s">
        <v>77</v>
      </c>
      <c r="B4" s="2">
        <v>3000</v>
      </c>
      <c r="C4" s="280">
        <f t="shared" ref="C4:H4" si="0">$B4*(1+C$28)</f>
        <v>13500</v>
      </c>
      <c r="D4" s="281">
        <f t="shared" si="0"/>
        <v>16230</v>
      </c>
      <c r="E4" s="12">
        <f t="shared" si="0"/>
        <v>18780</v>
      </c>
      <c r="F4" s="12">
        <f t="shared" si="0"/>
        <v>24930</v>
      </c>
      <c r="G4" s="12">
        <f t="shared" si="0"/>
        <v>26400.000000000004</v>
      </c>
      <c r="H4" s="12">
        <f t="shared" si="0"/>
        <v>28200</v>
      </c>
      <c r="I4" s="282">
        <f>C4*2</f>
        <v>27000</v>
      </c>
      <c r="J4" s="76">
        <f>'Mantis Benefit by Tier'!D6+'Mantis Benefit by Tier'!L6/3+'Mantis Benefit by Tier'!P6+'Mantis Benefit by Tier'!S6/2</f>
        <v>14000</v>
      </c>
      <c r="K4" s="79">
        <f>'Mantis Benefit by Tier'!E6+'Mantis Benefit by Tier'!M6/3+'Mantis Benefit by Tier'!Q6+'Mantis Benefit by Tier'!S6/2</f>
        <v>58000</v>
      </c>
      <c r="L4" s="30">
        <v>35</v>
      </c>
      <c r="M4" s="78">
        <f t="shared" ref="M4:M15" si="1">K4/50</f>
        <v>1160</v>
      </c>
      <c r="N4" s="78">
        <f t="shared" ref="N4:N15" si="2">M4*25</f>
        <v>29000</v>
      </c>
      <c r="O4" s="79">
        <f>N4/(1+$C$28/2)</f>
        <v>10545.454545454546</v>
      </c>
      <c r="P4" s="78"/>
      <c r="Q4" s="78"/>
      <c r="R4" s="78"/>
      <c r="S4" s="78"/>
    </row>
    <row r="5" spans="1:19" ht="12.75" x14ac:dyDescent="0.2">
      <c r="A5" s="2" t="s">
        <v>4</v>
      </c>
      <c r="B5" s="2">
        <v>3500</v>
      </c>
      <c r="C5" s="281">
        <f t="shared" ref="C5:H5" si="3">$B5*(1+C$28)</f>
        <v>15750</v>
      </c>
      <c r="D5" s="280">
        <f t="shared" si="3"/>
        <v>18935</v>
      </c>
      <c r="E5" s="12">
        <f t="shared" si="3"/>
        <v>21910</v>
      </c>
      <c r="F5" s="12">
        <f t="shared" si="3"/>
        <v>29085</v>
      </c>
      <c r="G5" s="12">
        <f t="shared" si="3"/>
        <v>30800.000000000004</v>
      </c>
      <c r="H5" s="12">
        <f t="shared" si="3"/>
        <v>32900</v>
      </c>
      <c r="I5" s="282">
        <f t="shared" ref="I5:I6" si="4">D5*2</f>
        <v>37870</v>
      </c>
      <c r="J5" s="76">
        <f>'Mantis Benefit by Tier'!D7+'Mantis Benefit by Tier'!L7/3+'Mantis Benefit by Tier'!P7+'Mantis Benefit by Tier'!S7/2</f>
        <v>16833.333333333336</v>
      </c>
      <c r="K5" s="79">
        <f>'Mantis Benefit by Tier'!E7+'Mantis Benefit by Tier'!M7/3+'Mantis Benefit by Tier'!Q7+'Mantis Benefit by Tier'!S7/2</f>
        <v>70166.666666666657</v>
      </c>
      <c r="L5" s="30">
        <v>36</v>
      </c>
      <c r="M5" s="78">
        <f t="shared" si="1"/>
        <v>1403.333333333333</v>
      </c>
      <c r="N5" s="78">
        <f t="shared" si="2"/>
        <v>35083.333333333328</v>
      </c>
      <c r="O5" s="79">
        <f t="shared" ref="O5:O6" si="5">N5/(1+$D$28/2)</f>
        <v>10946.437857514298</v>
      </c>
      <c r="P5" s="78"/>
      <c r="Q5" s="78"/>
      <c r="R5" s="78"/>
      <c r="S5" s="78"/>
    </row>
    <row r="6" spans="1:19" ht="12.75" x14ac:dyDescent="0.2">
      <c r="A6" s="5" t="s">
        <v>78</v>
      </c>
      <c r="B6" s="5">
        <v>4400</v>
      </c>
      <c r="C6" s="283">
        <f t="shared" ref="C6:H6" si="6">$B6*(1+C$28)</f>
        <v>19800</v>
      </c>
      <c r="D6" s="284">
        <f t="shared" si="6"/>
        <v>23804</v>
      </c>
      <c r="E6" s="283">
        <f t="shared" si="6"/>
        <v>27544</v>
      </c>
      <c r="F6" s="60">
        <f t="shared" si="6"/>
        <v>36564</v>
      </c>
      <c r="G6" s="60">
        <f t="shared" si="6"/>
        <v>38720</v>
      </c>
      <c r="H6" s="60">
        <f t="shared" si="6"/>
        <v>41360</v>
      </c>
      <c r="I6" s="285">
        <f t="shared" si="4"/>
        <v>47608</v>
      </c>
      <c r="J6" s="286">
        <f>'Mantis Benefit by Tier'!D8+'Mantis Benefit by Tier'!L8/3+'Mantis Benefit by Tier'!P8+'Mantis Benefit by Tier'!S8/2</f>
        <v>26666.666666666664</v>
      </c>
      <c r="K6" s="104">
        <f>'Mantis Benefit by Tier'!E8+'Mantis Benefit by Tier'!M8/3+'Mantis Benefit by Tier'!Q8+'Mantis Benefit by Tier'!S8/2</f>
        <v>111333.33333333333</v>
      </c>
      <c r="L6" s="30">
        <v>37</v>
      </c>
      <c r="M6" s="78">
        <f t="shared" si="1"/>
        <v>2226.6666666666665</v>
      </c>
      <c r="N6" s="78">
        <f t="shared" si="2"/>
        <v>55666.666666666664</v>
      </c>
      <c r="O6" s="79">
        <f t="shared" si="5"/>
        <v>17368.694747789912</v>
      </c>
      <c r="P6" s="78"/>
      <c r="Q6" s="78"/>
      <c r="R6" s="78"/>
      <c r="S6" s="78"/>
    </row>
    <row r="7" spans="1:19" ht="12.75" x14ac:dyDescent="0.2">
      <c r="A7" s="2" t="s">
        <v>79</v>
      </c>
      <c r="B7" s="2">
        <v>5000</v>
      </c>
      <c r="C7" s="12">
        <f t="shared" ref="C7:H7" si="7">$B7*(1+C$28)</f>
        <v>22500</v>
      </c>
      <c r="D7" s="281">
        <f t="shared" si="7"/>
        <v>27050</v>
      </c>
      <c r="E7" s="280">
        <f t="shared" si="7"/>
        <v>31300</v>
      </c>
      <c r="F7" s="281">
        <f t="shared" si="7"/>
        <v>41550</v>
      </c>
      <c r="G7" s="12">
        <f t="shared" si="7"/>
        <v>44000</v>
      </c>
      <c r="H7" s="12">
        <f t="shared" si="7"/>
        <v>47000</v>
      </c>
      <c r="I7" s="282">
        <f t="shared" ref="I7:I8" si="8">E7*2</f>
        <v>62600</v>
      </c>
      <c r="J7" s="76">
        <f>'Mantis Benefit by Tier'!D9+'Mantis Benefit by Tier'!L9/3+'Mantis Benefit by Tier'!P9+'Mantis Benefit by Tier'!S9/2</f>
        <v>36500</v>
      </c>
      <c r="K7" s="79">
        <f>'Mantis Benefit by Tier'!E9+'Mantis Benefit by Tier'!M9/3+'Mantis Benefit by Tier'!Q9+'Mantis Benefit by Tier'!S9/2</f>
        <v>152500</v>
      </c>
      <c r="L7" s="30">
        <v>38</v>
      </c>
      <c r="M7" s="78">
        <f t="shared" si="1"/>
        <v>3050</v>
      </c>
      <c r="N7" s="78">
        <f t="shared" si="2"/>
        <v>76250</v>
      </c>
      <c r="O7" s="79">
        <f t="shared" ref="O7:O14" si="9">N7/(1+$C$28/2)</f>
        <v>27727.272727272728</v>
      </c>
      <c r="P7" s="78"/>
      <c r="Q7" s="78"/>
      <c r="R7" s="78"/>
      <c r="S7" s="78"/>
    </row>
    <row r="8" spans="1:19" ht="12.75" x14ac:dyDescent="0.2">
      <c r="A8" s="2" t="s">
        <v>80</v>
      </c>
      <c r="B8" s="2">
        <v>6750</v>
      </c>
      <c r="C8" s="12">
        <f t="shared" ref="C8:H8" si="10">$B8*(1+C$28)</f>
        <v>30375</v>
      </c>
      <c r="D8" s="281">
        <f t="shared" si="10"/>
        <v>36517.5</v>
      </c>
      <c r="E8" s="280">
        <f t="shared" si="10"/>
        <v>42255</v>
      </c>
      <c r="F8" s="281">
        <f t="shared" si="10"/>
        <v>56092.5</v>
      </c>
      <c r="G8" s="12">
        <f t="shared" si="10"/>
        <v>59400.000000000007</v>
      </c>
      <c r="H8" s="12">
        <f t="shared" si="10"/>
        <v>63450</v>
      </c>
      <c r="I8" s="282">
        <f t="shared" si="8"/>
        <v>84510</v>
      </c>
      <c r="J8" s="76">
        <f>'Mantis Benefit by Tier'!D10+'Mantis Benefit by Tier'!L10/3+'Mantis Benefit by Tier'!P10+'Mantis Benefit by Tier'!S10/2</f>
        <v>51500</v>
      </c>
      <c r="K8" s="79">
        <f>'Mantis Benefit by Tier'!E10+'Mantis Benefit by Tier'!M10/3+'Mantis Benefit by Tier'!Q10+'Mantis Benefit by Tier'!S10/2</f>
        <v>215500</v>
      </c>
      <c r="L8" s="30">
        <v>39</v>
      </c>
      <c r="M8" s="78">
        <f t="shared" si="1"/>
        <v>4310</v>
      </c>
      <c r="N8" s="78">
        <f t="shared" si="2"/>
        <v>107750</v>
      </c>
      <c r="O8" s="79">
        <f t="shared" si="9"/>
        <v>39181.818181818184</v>
      </c>
      <c r="P8" s="78"/>
      <c r="Q8" s="78"/>
      <c r="R8" s="78"/>
      <c r="S8" s="78"/>
    </row>
    <row r="9" spans="1:19" ht="12.75" x14ac:dyDescent="0.2">
      <c r="A9" s="5" t="s">
        <v>81</v>
      </c>
      <c r="B9" s="5">
        <v>8350</v>
      </c>
      <c r="C9" s="60">
        <f t="shared" ref="C9:H9" si="11">$B9*(1+C$28)</f>
        <v>37575</v>
      </c>
      <c r="D9" s="60">
        <f t="shared" si="11"/>
        <v>45173.5</v>
      </c>
      <c r="E9" s="283">
        <f t="shared" si="11"/>
        <v>52271</v>
      </c>
      <c r="F9" s="284">
        <f t="shared" si="11"/>
        <v>69388.5</v>
      </c>
      <c r="G9" s="283">
        <f t="shared" si="11"/>
        <v>73480</v>
      </c>
      <c r="H9" s="60">
        <f t="shared" si="11"/>
        <v>78490</v>
      </c>
      <c r="I9" s="285">
        <f t="shared" ref="I9:I11" si="12">F9*2</f>
        <v>138777</v>
      </c>
      <c r="J9" s="76">
        <f>'Mantis Benefit by Tier'!D11+'Mantis Benefit by Tier'!L11/3+'Mantis Benefit by Tier'!P11+'Mantis Benefit by Tier'!S11/2</f>
        <v>66500</v>
      </c>
      <c r="K9" s="79">
        <f>'Mantis Benefit by Tier'!E11+'Mantis Benefit by Tier'!M11/3+'Mantis Benefit by Tier'!Q11+'Mantis Benefit by Tier'!S11/2</f>
        <v>278500</v>
      </c>
      <c r="L9" s="30">
        <v>40</v>
      </c>
      <c r="M9" s="78">
        <f t="shared" si="1"/>
        <v>5570</v>
      </c>
      <c r="N9" s="78">
        <f t="shared" si="2"/>
        <v>139250</v>
      </c>
      <c r="O9" s="79">
        <f t="shared" si="9"/>
        <v>50636.36363636364</v>
      </c>
      <c r="P9" s="78"/>
      <c r="Q9" s="78"/>
      <c r="R9" s="78"/>
      <c r="S9" s="78"/>
    </row>
    <row r="10" spans="1:19" ht="12.75" x14ac:dyDescent="0.2">
      <c r="A10" s="2" t="s">
        <v>82</v>
      </c>
      <c r="B10" s="2">
        <v>10800</v>
      </c>
      <c r="C10" s="12">
        <f t="shared" ref="C10:H10" si="13">$B10*(1+C$28)</f>
        <v>48600</v>
      </c>
      <c r="D10" s="12">
        <f t="shared" si="13"/>
        <v>58428</v>
      </c>
      <c r="E10" s="281">
        <f t="shared" si="13"/>
        <v>67608</v>
      </c>
      <c r="F10" s="280">
        <f t="shared" si="13"/>
        <v>89748</v>
      </c>
      <c r="G10" s="281">
        <f t="shared" si="13"/>
        <v>95040.000000000015</v>
      </c>
      <c r="H10" s="12">
        <f t="shared" si="13"/>
        <v>101520</v>
      </c>
      <c r="I10" s="282">
        <f t="shared" si="12"/>
        <v>179496</v>
      </c>
      <c r="J10" s="76">
        <f>'Mantis Benefit by Tier'!D12+'Mantis Benefit by Tier'!L12/3+'Mantis Benefit by Tier'!P12+'Mantis Benefit by Tier'!S12/2</f>
        <v>98333.333333333343</v>
      </c>
      <c r="K10" s="79">
        <f>'Mantis Benefit by Tier'!E12+'Mantis Benefit by Tier'!M12/3+'Mantis Benefit by Tier'!Q12+'Mantis Benefit by Tier'!S12/2</f>
        <v>411666.66666666669</v>
      </c>
      <c r="L10" s="30">
        <v>41</v>
      </c>
      <c r="M10" s="78">
        <f t="shared" si="1"/>
        <v>8233.3333333333339</v>
      </c>
      <c r="N10" s="78">
        <f t="shared" si="2"/>
        <v>205833.33333333334</v>
      </c>
      <c r="O10" s="79">
        <f t="shared" si="9"/>
        <v>74848.484848484848</v>
      </c>
      <c r="P10" s="78"/>
      <c r="Q10" s="78"/>
      <c r="R10" s="78"/>
      <c r="S10" s="78"/>
    </row>
    <row r="11" spans="1:19" ht="12.75" x14ac:dyDescent="0.2">
      <c r="A11" s="2" t="s">
        <v>83</v>
      </c>
      <c r="B11" s="2">
        <v>13200</v>
      </c>
      <c r="C11" s="12">
        <f t="shared" ref="C11:H11" si="14">$B11*(1+C$28)</f>
        <v>59400</v>
      </c>
      <c r="D11" s="12">
        <f t="shared" si="14"/>
        <v>71412</v>
      </c>
      <c r="E11" s="281">
        <f t="shared" si="14"/>
        <v>82632</v>
      </c>
      <c r="F11" s="280">
        <f t="shared" si="14"/>
        <v>109692</v>
      </c>
      <c r="G11" s="281">
        <f t="shared" si="14"/>
        <v>116160.00000000001</v>
      </c>
      <c r="H11" s="12">
        <f t="shared" si="14"/>
        <v>124080</v>
      </c>
      <c r="I11" s="282">
        <f t="shared" si="12"/>
        <v>219384</v>
      </c>
      <c r="J11" s="76">
        <f>'Mantis Benefit by Tier'!D13+'Mantis Benefit by Tier'!L13/3+'Mantis Benefit by Tier'!P13+'Mantis Benefit by Tier'!S13/2</f>
        <v>124666.66666666667</v>
      </c>
      <c r="K11" s="79">
        <f>'Mantis Benefit by Tier'!E13+'Mantis Benefit by Tier'!M13/3+'Mantis Benefit by Tier'!Q13+'Mantis Benefit by Tier'!S13/2</f>
        <v>523333.33333333331</v>
      </c>
      <c r="L11" s="30">
        <v>42</v>
      </c>
      <c r="M11" s="78">
        <f t="shared" si="1"/>
        <v>10466.666666666666</v>
      </c>
      <c r="N11" s="78">
        <f t="shared" si="2"/>
        <v>261666.66666666666</v>
      </c>
      <c r="O11" s="79">
        <f t="shared" si="9"/>
        <v>95151.515151515152</v>
      </c>
      <c r="P11" s="78"/>
      <c r="Q11" s="78"/>
      <c r="R11" s="78"/>
      <c r="S11" s="78"/>
    </row>
    <row r="12" spans="1:19" ht="12.75" x14ac:dyDescent="0.2">
      <c r="A12" s="5" t="s">
        <v>84</v>
      </c>
      <c r="B12" s="5">
        <v>17600</v>
      </c>
      <c r="C12" s="60">
        <f t="shared" ref="C12:H12" si="15">$B12*(1+C$28)</f>
        <v>79200</v>
      </c>
      <c r="D12" s="60">
        <f t="shared" si="15"/>
        <v>95216</v>
      </c>
      <c r="E12" s="60">
        <f t="shared" si="15"/>
        <v>110176</v>
      </c>
      <c r="F12" s="283">
        <f t="shared" si="15"/>
        <v>146256</v>
      </c>
      <c r="G12" s="284">
        <f t="shared" si="15"/>
        <v>154880</v>
      </c>
      <c r="H12" s="283">
        <f t="shared" si="15"/>
        <v>165440</v>
      </c>
      <c r="I12" s="285">
        <f t="shared" ref="I12:I14" si="16">G12*2</f>
        <v>309760</v>
      </c>
      <c r="J12" s="287">
        <v>0</v>
      </c>
      <c r="K12" s="288">
        <v>0</v>
      </c>
      <c r="L12" s="30">
        <v>44</v>
      </c>
      <c r="M12" s="78">
        <f t="shared" si="1"/>
        <v>0</v>
      </c>
      <c r="N12" s="78">
        <f t="shared" si="2"/>
        <v>0</v>
      </c>
      <c r="O12" s="79">
        <f t="shared" si="9"/>
        <v>0</v>
      </c>
      <c r="P12" s="78"/>
      <c r="Q12" s="78"/>
      <c r="R12" s="78"/>
      <c r="S12" s="78"/>
    </row>
    <row r="13" spans="1:19" ht="12.75" x14ac:dyDescent="0.2">
      <c r="A13" s="2" t="s">
        <v>85</v>
      </c>
      <c r="B13" s="2">
        <v>22200</v>
      </c>
      <c r="C13" s="12">
        <f t="shared" ref="C13:H13" si="17">$B13*(1+C$28)</f>
        <v>99900</v>
      </c>
      <c r="D13" s="12">
        <f t="shared" si="17"/>
        <v>120102</v>
      </c>
      <c r="E13" s="12">
        <f t="shared" si="17"/>
        <v>138972</v>
      </c>
      <c r="F13" s="281">
        <f t="shared" si="17"/>
        <v>184482</v>
      </c>
      <c r="G13" s="280">
        <f t="shared" si="17"/>
        <v>195360.00000000003</v>
      </c>
      <c r="H13" s="281">
        <f t="shared" si="17"/>
        <v>208680</v>
      </c>
      <c r="I13" s="282">
        <f t="shared" si="16"/>
        <v>390720.00000000006</v>
      </c>
      <c r="J13" s="289">
        <v>0</v>
      </c>
      <c r="K13" s="290">
        <v>0</v>
      </c>
      <c r="L13" s="30">
        <v>46</v>
      </c>
      <c r="M13" s="78">
        <f t="shared" si="1"/>
        <v>0</v>
      </c>
      <c r="N13" s="78">
        <f t="shared" si="2"/>
        <v>0</v>
      </c>
      <c r="O13" s="79">
        <f t="shared" si="9"/>
        <v>0</v>
      </c>
      <c r="P13" s="78"/>
      <c r="Q13" s="78"/>
      <c r="R13" s="78"/>
      <c r="S13" s="78"/>
    </row>
    <row r="14" spans="1:19" ht="12.75" x14ac:dyDescent="0.2">
      <c r="A14" s="2" t="s">
        <v>86</v>
      </c>
      <c r="B14" s="2">
        <v>27500</v>
      </c>
      <c r="C14" s="12">
        <f t="shared" ref="C14:H14" si="18">$B14*(1+C$28)</f>
        <v>123750</v>
      </c>
      <c r="D14" s="12">
        <f t="shared" si="18"/>
        <v>148775</v>
      </c>
      <c r="E14" s="12">
        <f t="shared" si="18"/>
        <v>172150</v>
      </c>
      <c r="F14" s="281">
        <f t="shared" si="18"/>
        <v>228525</v>
      </c>
      <c r="G14" s="280">
        <f t="shared" si="18"/>
        <v>242000.00000000003</v>
      </c>
      <c r="H14" s="281">
        <f t="shared" si="18"/>
        <v>258500</v>
      </c>
      <c r="I14" s="282">
        <f t="shared" si="16"/>
        <v>484000.00000000006</v>
      </c>
      <c r="J14" s="289">
        <v>0</v>
      </c>
      <c r="K14" s="290">
        <v>0</v>
      </c>
      <c r="L14" s="30">
        <v>48</v>
      </c>
      <c r="M14" s="78">
        <f t="shared" si="1"/>
        <v>0</v>
      </c>
      <c r="N14" s="78">
        <f t="shared" si="2"/>
        <v>0</v>
      </c>
      <c r="O14" s="79">
        <f t="shared" si="9"/>
        <v>0</v>
      </c>
      <c r="P14" s="78"/>
      <c r="Q14" s="78"/>
      <c r="R14" s="78"/>
      <c r="S14" s="78"/>
    </row>
    <row r="15" spans="1:19" ht="12.75" x14ac:dyDescent="0.2">
      <c r="A15" s="2" t="s">
        <v>87</v>
      </c>
      <c r="B15" s="2">
        <v>34550</v>
      </c>
      <c r="C15" s="12">
        <f t="shared" ref="C15:H15" si="19">$B15*(1+C$28)</f>
        <v>155475</v>
      </c>
      <c r="D15" s="12">
        <f t="shared" si="19"/>
        <v>186915.5</v>
      </c>
      <c r="E15" s="12">
        <f t="shared" si="19"/>
        <v>216283</v>
      </c>
      <c r="F15" s="281">
        <f t="shared" si="19"/>
        <v>287110.5</v>
      </c>
      <c r="G15" s="281">
        <f t="shared" si="19"/>
        <v>304040</v>
      </c>
      <c r="H15" s="280">
        <f t="shared" si="19"/>
        <v>324770</v>
      </c>
      <c r="I15" s="282">
        <f>H15*2</f>
        <v>649540</v>
      </c>
      <c r="J15" s="287">
        <v>548333.33333333337</v>
      </c>
      <c r="K15" s="288">
        <v>2223333.3333333335</v>
      </c>
      <c r="L15" s="6">
        <v>49</v>
      </c>
      <c r="M15" s="103">
        <f t="shared" si="1"/>
        <v>44466.666666666672</v>
      </c>
      <c r="N15" s="103">
        <f t="shared" si="2"/>
        <v>1111666.6666666667</v>
      </c>
      <c r="O15" s="104">
        <f>N15/(1+$H$28/2)</f>
        <v>213782.05128205128</v>
      </c>
      <c r="P15" s="78"/>
      <c r="Q15" s="78"/>
      <c r="R15" s="78"/>
      <c r="S15" s="78"/>
    </row>
    <row r="16" spans="1:19" ht="12.75" x14ac:dyDescent="0.2">
      <c r="A16" s="78"/>
      <c r="B16" s="78"/>
      <c r="C16" s="78"/>
      <c r="D16" s="78"/>
      <c r="E16" s="78"/>
      <c r="F16" s="78"/>
      <c r="G16" s="78"/>
      <c r="H16" s="114" t="s">
        <v>258</v>
      </c>
      <c r="L16" s="2" t="s">
        <v>272</v>
      </c>
      <c r="M16" s="78"/>
      <c r="N16" s="78"/>
      <c r="O16" s="78"/>
      <c r="P16" s="78"/>
    </row>
    <row r="17" spans="1:15" ht="12.75" x14ac:dyDescent="0.2">
      <c r="A17" s="93"/>
      <c r="B17" s="432" t="s">
        <v>273</v>
      </c>
      <c r="C17" s="389"/>
      <c r="D17" s="389"/>
      <c r="E17" s="389"/>
      <c r="F17" s="389"/>
      <c r="G17" s="389"/>
      <c r="H17" s="390"/>
    </row>
    <row r="18" spans="1:15" ht="12.75" x14ac:dyDescent="0.2">
      <c r="A18" s="433" t="s">
        <v>52</v>
      </c>
      <c r="B18" s="429"/>
      <c r="C18" s="6">
        <v>35</v>
      </c>
      <c r="D18" s="103">
        <v>40</v>
      </c>
      <c r="E18" s="103">
        <v>45</v>
      </c>
      <c r="F18" s="103">
        <v>50</v>
      </c>
      <c r="G18" s="103">
        <v>55</v>
      </c>
      <c r="H18" s="104">
        <v>60</v>
      </c>
      <c r="I18" s="434" t="s">
        <v>274</v>
      </c>
      <c r="J18" s="389"/>
      <c r="K18" s="389"/>
      <c r="L18" s="389"/>
      <c r="M18" s="389"/>
      <c r="N18" s="389"/>
      <c r="O18" s="390"/>
    </row>
    <row r="19" spans="1:15" ht="12.75" x14ac:dyDescent="0.2">
      <c r="A19" s="30"/>
      <c r="B19" s="78">
        <v>7</v>
      </c>
      <c r="C19" s="291">
        <v>0.04</v>
      </c>
      <c r="D19" s="292">
        <v>0.06</v>
      </c>
      <c r="E19" s="292">
        <v>0.06</v>
      </c>
      <c r="F19" s="292">
        <v>0.06</v>
      </c>
      <c r="G19" s="292">
        <v>0.1</v>
      </c>
      <c r="H19" s="293">
        <v>0.1</v>
      </c>
      <c r="I19" s="6" t="s">
        <v>33</v>
      </c>
      <c r="J19" s="5">
        <v>35</v>
      </c>
      <c r="K19" s="103">
        <v>40</v>
      </c>
      <c r="L19" s="103">
        <v>45</v>
      </c>
      <c r="M19" s="103">
        <v>50</v>
      </c>
      <c r="N19" s="103">
        <v>55</v>
      </c>
      <c r="O19" s="104">
        <v>60</v>
      </c>
    </row>
    <row r="20" spans="1:15" ht="12.75" x14ac:dyDescent="0.2">
      <c r="A20" s="30"/>
      <c r="B20" s="2">
        <v>11</v>
      </c>
      <c r="C20" s="291">
        <v>0.06</v>
      </c>
      <c r="D20" s="292">
        <v>0.1</v>
      </c>
      <c r="E20" s="292">
        <v>0.1</v>
      </c>
      <c r="F20" s="292">
        <v>0.1</v>
      </c>
      <c r="G20" s="292">
        <v>0.1</v>
      </c>
      <c r="H20" s="293">
        <v>0.1</v>
      </c>
      <c r="I20" s="76" t="s">
        <v>275</v>
      </c>
      <c r="J20" s="294">
        <v>0.35</v>
      </c>
      <c r="K20" s="294">
        <v>0.35</v>
      </c>
      <c r="L20" s="294">
        <v>0.35</v>
      </c>
      <c r="M20" s="294">
        <v>0.35</v>
      </c>
      <c r="N20" s="294">
        <v>0.35</v>
      </c>
      <c r="O20" s="295">
        <v>0.35</v>
      </c>
    </row>
    <row r="21" spans="1:15" ht="12.75" x14ac:dyDescent="0.2">
      <c r="A21" s="76"/>
      <c r="B21" s="78">
        <v>14</v>
      </c>
      <c r="C21" s="291">
        <v>0.1</v>
      </c>
      <c r="D21" s="292">
        <v>0.15</v>
      </c>
      <c r="E21" s="292">
        <v>0.15</v>
      </c>
      <c r="F21" s="292">
        <v>0.15</v>
      </c>
      <c r="G21" s="292">
        <v>0.2</v>
      </c>
      <c r="H21" s="293">
        <v>0.2</v>
      </c>
      <c r="I21" s="30" t="s">
        <v>42</v>
      </c>
      <c r="J21" s="296" t="s">
        <v>79</v>
      </c>
      <c r="K21" s="296" t="s">
        <v>80</v>
      </c>
      <c r="L21" s="296" t="s">
        <v>80</v>
      </c>
      <c r="M21" s="296" t="s">
        <v>80</v>
      </c>
      <c r="N21" s="296" t="s">
        <v>80</v>
      </c>
      <c r="O21" s="297" t="s">
        <v>80</v>
      </c>
    </row>
    <row r="22" spans="1:15" ht="12.75" x14ac:dyDescent="0.2">
      <c r="A22" s="76"/>
      <c r="B22" s="78">
        <v>29</v>
      </c>
      <c r="C22" s="298">
        <v>0.15</v>
      </c>
      <c r="D22" s="299">
        <v>0.2</v>
      </c>
      <c r="E22" s="299">
        <v>0.2</v>
      </c>
      <c r="F22" s="299">
        <v>0.2</v>
      </c>
      <c r="G22" s="292">
        <v>0.25</v>
      </c>
      <c r="H22" s="293">
        <v>0.25</v>
      </c>
      <c r="I22" s="30"/>
      <c r="J22" s="300">
        <v>0.25</v>
      </c>
      <c r="K22" s="294">
        <v>0.3</v>
      </c>
      <c r="L22" s="294">
        <v>0.3</v>
      </c>
      <c r="M22" s="294">
        <v>0.3</v>
      </c>
      <c r="N22" s="294">
        <v>0.3</v>
      </c>
      <c r="O22" s="295">
        <v>0.3</v>
      </c>
    </row>
    <row r="23" spans="1:15" ht="12.75" x14ac:dyDescent="0.2">
      <c r="A23" s="76"/>
      <c r="B23" s="78">
        <v>33</v>
      </c>
      <c r="C23" s="298">
        <v>0.2</v>
      </c>
      <c r="D23" s="299">
        <v>0.3</v>
      </c>
      <c r="E23" s="299">
        <v>0.3</v>
      </c>
      <c r="F23" s="299">
        <v>0.3</v>
      </c>
      <c r="G23" s="299">
        <v>0.4</v>
      </c>
      <c r="H23" s="293">
        <v>0.4</v>
      </c>
      <c r="I23" s="76" t="s">
        <v>276</v>
      </c>
      <c r="J23" s="296" t="s">
        <v>77</v>
      </c>
      <c r="K23" s="296" t="s">
        <v>77</v>
      </c>
      <c r="L23" s="296" t="s">
        <v>4</v>
      </c>
      <c r="M23" s="296" t="s">
        <v>78</v>
      </c>
      <c r="N23" s="296" t="s">
        <v>79</v>
      </c>
      <c r="O23" s="297" t="s">
        <v>80</v>
      </c>
    </row>
    <row r="24" spans="1:15" ht="12.75" x14ac:dyDescent="0.2">
      <c r="A24" s="435" t="s">
        <v>277</v>
      </c>
      <c r="B24" s="389"/>
      <c r="C24" s="301">
        <f t="shared" ref="C24:F24" si="20">SUM(C19:C21)</f>
        <v>0.2</v>
      </c>
      <c r="D24" s="302">
        <f t="shared" si="20"/>
        <v>0.31</v>
      </c>
      <c r="E24" s="302">
        <f t="shared" si="20"/>
        <v>0.31</v>
      </c>
      <c r="F24" s="302">
        <f t="shared" si="20"/>
        <v>0.31</v>
      </c>
      <c r="G24" s="302">
        <f>SUM(G19:G22)</f>
        <v>0.65</v>
      </c>
      <c r="H24" s="303">
        <f>SUM(H19:H23)</f>
        <v>1.05</v>
      </c>
      <c r="I24" s="76"/>
      <c r="J24" s="300">
        <v>0.4</v>
      </c>
      <c r="K24" s="300">
        <v>0.4</v>
      </c>
      <c r="L24" s="300">
        <v>0.45</v>
      </c>
      <c r="M24" s="300">
        <v>0.5</v>
      </c>
      <c r="N24" s="300">
        <v>0.55000000000000004</v>
      </c>
      <c r="O24" s="295">
        <v>0.6</v>
      </c>
    </row>
    <row r="25" spans="1:15" ht="12.75" x14ac:dyDescent="0.2">
      <c r="A25" s="436" t="s">
        <v>278</v>
      </c>
      <c r="B25" s="374"/>
      <c r="C25" s="256">
        <v>0.35</v>
      </c>
      <c r="D25" s="145">
        <v>0.4</v>
      </c>
      <c r="E25" s="145">
        <v>0.45</v>
      </c>
      <c r="F25" s="145">
        <v>0.5</v>
      </c>
      <c r="G25" s="145">
        <v>0.55000000000000004</v>
      </c>
      <c r="H25" s="304">
        <v>0.6</v>
      </c>
      <c r="I25" s="76" t="s">
        <v>279</v>
      </c>
      <c r="J25" s="296" t="s">
        <v>77</v>
      </c>
      <c r="K25" s="296" t="s">
        <v>77</v>
      </c>
      <c r="L25" s="296" t="s">
        <v>4</v>
      </c>
      <c r="M25" s="296" t="s">
        <v>78</v>
      </c>
      <c r="N25" s="296" t="s">
        <v>79</v>
      </c>
      <c r="O25" s="297" t="s">
        <v>80</v>
      </c>
    </row>
    <row r="26" spans="1:15" ht="12.75" x14ac:dyDescent="0.2">
      <c r="A26" s="30" t="s">
        <v>280</v>
      </c>
      <c r="C26" s="305">
        <f t="shared" ref="C26:H26" si="21">J27</f>
        <v>1.25</v>
      </c>
      <c r="D26" s="300">
        <f t="shared" si="21"/>
        <v>1.2999999999999998</v>
      </c>
      <c r="E26" s="300">
        <f t="shared" si="21"/>
        <v>1.4</v>
      </c>
      <c r="F26" s="300">
        <f t="shared" si="21"/>
        <v>1.5</v>
      </c>
      <c r="G26" s="300">
        <f t="shared" si="21"/>
        <v>1.6</v>
      </c>
      <c r="H26" s="306">
        <f t="shared" si="21"/>
        <v>1.75</v>
      </c>
      <c r="I26" s="30"/>
      <c r="J26" s="300">
        <v>0.25</v>
      </c>
      <c r="K26" s="300">
        <v>0.25</v>
      </c>
      <c r="L26" s="300">
        <v>0.3</v>
      </c>
      <c r="M26" s="300">
        <v>0.35</v>
      </c>
      <c r="N26" s="300">
        <v>0.4</v>
      </c>
      <c r="O26" s="295">
        <v>0.5</v>
      </c>
    </row>
    <row r="27" spans="1:15" ht="12.75" x14ac:dyDescent="0.2">
      <c r="A27" s="433" t="s">
        <v>240</v>
      </c>
      <c r="B27" s="429"/>
      <c r="C27" s="307">
        <v>1.7</v>
      </c>
      <c r="D27" s="308">
        <v>2.4</v>
      </c>
      <c r="E27" s="308">
        <v>3.1</v>
      </c>
      <c r="F27" s="308">
        <v>5</v>
      </c>
      <c r="G27" s="308">
        <v>5</v>
      </c>
      <c r="H27" s="309">
        <v>5</v>
      </c>
      <c r="I27" s="310" t="s">
        <v>137</v>
      </c>
      <c r="J27" s="311">
        <f t="shared" ref="J27:O27" si="22">SUM(J20:J26)</f>
        <v>1.25</v>
      </c>
      <c r="K27" s="311">
        <f t="shared" si="22"/>
        <v>1.2999999999999998</v>
      </c>
      <c r="L27" s="311">
        <f t="shared" si="22"/>
        <v>1.4</v>
      </c>
      <c r="M27" s="311">
        <f t="shared" si="22"/>
        <v>1.5</v>
      </c>
      <c r="N27" s="311">
        <f t="shared" si="22"/>
        <v>1.6</v>
      </c>
      <c r="O27" s="312">
        <f t="shared" si="22"/>
        <v>1.75</v>
      </c>
    </row>
    <row r="28" spans="1:15" ht="12.75" x14ac:dyDescent="0.2">
      <c r="A28" s="437" t="s">
        <v>137</v>
      </c>
      <c r="B28" s="429"/>
      <c r="C28" s="313">
        <f t="shared" ref="C28:H28" si="23">SUM(C24:C27)</f>
        <v>3.5</v>
      </c>
      <c r="D28" s="314">
        <f t="shared" si="23"/>
        <v>4.41</v>
      </c>
      <c r="E28" s="314">
        <f t="shared" si="23"/>
        <v>5.26</v>
      </c>
      <c r="F28" s="314">
        <f t="shared" si="23"/>
        <v>7.3100000000000005</v>
      </c>
      <c r="G28" s="314">
        <f t="shared" si="23"/>
        <v>7.8000000000000007</v>
      </c>
      <c r="H28" s="315">
        <f t="shared" si="23"/>
        <v>8.4</v>
      </c>
    </row>
    <row r="29" spans="1:15" ht="12.75" x14ac:dyDescent="0.2">
      <c r="B29" s="2">
        <f>B6*(1+SUM(C24:C26))</f>
        <v>12320</v>
      </c>
    </row>
    <row r="35" spans="1:1" ht="12.75" x14ac:dyDescent="0.2">
      <c r="A35" s="78"/>
    </row>
    <row r="36" spans="1:1" ht="12.75" x14ac:dyDescent="0.2">
      <c r="A36" s="78"/>
    </row>
    <row r="37" spans="1:1" ht="12.75" x14ac:dyDescent="0.2">
      <c r="A37" s="78"/>
    </row>
    <row r="38" spans="1:1" ht="12.75" x14ac:dyDescent="0.2">
      <c r="A38" s="78"/>
    </row>
  </sheetData>
  <mergeCells count="16">
    <mergeCell ref="L1:O1"/>
    <mergeCell ref="A2:B2"/>
    <mergeCell ref="C2:I2"/>
    <mergeCell ref="J2:K2"/>
    <mergeCell ref="L2:L3"/>
    <mergeCell ref="M2:M3"/>
    <mergeCell ref="A24:B24"/>
    <mergeCell ref="A25:B25"/>
    <mergeCell ref="A27:B27"/>
    <mergeCell ref="A28:B28"/>
    <mergeCell ref="A1:K1"/>
    <mergeCell ref="N2:N3"/>
    <mergeCell ref="O2:O3"/>
    <mergeCell ref="B17:H17"/>
    <mergeCell ref="A18:B18"/>
    <mergeCell ref="I18:O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M61"/>
  <sheetViews>
    <sheetView workbookViewId="0"/>
  </sheetViews>
  <sheetFormatPr defaultColWidth="12.5703125" defaultRowHeight="15.75" customHeight="1" x14ac:dyDescent="0.2"/>
  <cols>
    <col min="1" max="1" width="5.42578125" customWidth="1"/>
    <col min="2" max="2" width="10" customWidth="1"/>
    <col min="3" max="9" width="9" customWidth="1"/>
    <col min="10" max="10" width="12.28515625" customWidth="1"/>
    <col min="11" max="11" width="10.42578125" customWidth="1"/>
    <col min="12" max="12" width="11" customWidth="1"/>
    <col min="13" max="13" width="8.42578125" customWidth="1"/>
    <col min="14" max="14" width="14.85546875" customWidth="1"/>
    <col min="19" max="19" width="7.42578125" customWidth="1"/>
    <col min="20" max="20" width="11.140625" customWidth="1"/>
  </cols>
  <sheetData>
    <row r="1" spans="1:39" ht="30.75" customHeight="1" x14ac:dyDescent="0.35">
      <c r="A1" s="447" t="s">
        <v>287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448"/>
      <c r="N1" s="374"/>
      <c r="O1" s="374"/>
      <c r="P1" s="374"/>
      <c r="S1" s="447" t="s">
        <v>288</v>
      </c>
      <c r="T1" s="374"/>
      <c r="U1" s="374"/>
      <c r="V1" s="374"/>
      <c r="W1" s="374"/>
      <c r="X1" s="374"/>
      <c r="Y1" s="374"/>
      <c r="Z1" s="374"/>
      <c r="AA1" s="374"/>
      <c r="AB1" s="374"/>
      <c r="AC1" s="374"/>
      <c r="AD1" s="374"/>
      <c r="AE1" s="324"/>
      <c r="AF1" s="324"/>
      <c r="AG1" s="324"/>
      <c r="AH1" s="324"/>
      <c r="AI1" s="439" t="s">
        <v>261</v>
      </c>
      <c r="AJ1" s="374"/>
      <c r="AK1" s="374"/>
      <c r="AL1" s="392"/>
    </row>
    <row r="2" spans="1:39" ht="25.5" customHeight="1" x14ac:dyDescent="0.2">
      <c r="A2" s="440" t="s">
        <v>291</v>
      </c>
      <c r="B2" s="374"/>
      <c r="C2" s="374"/>
      <c r="D2" s="374"/>
      <c r="E2" s="374"/>
      <c r="F2" s="374"/>
      <c r="G2" s="374"/>
      <c r="H2" s="374"/>
      <c r="I2" s="374"/>
      <c r="J2" s="374"/>
      <c r="K2" s="446" t="s">
        <v>263</v>
      </c>
      <c r="L2" s="390"/>
      <c r="M2" s="449"/>
      <c r="N2" s="449"/>
      <c r="O2" s="449"/>
      <c r="P2" s="449"/>
      <c r="S2" s="374"/>
      <c r="T2" s="374"/>
      <c r="U2" s="440" t="s">
        <v>291</v>
      </c>
      <c r="V2" s="374"/>
      <c r="W2" s="374"/>
      <c r="X2" s="374"/>
      <c r="Y2" s="374"/>
      <c r="Z2" s="374"/>
      <c r="AA2" s="374"/>
      <c r="AB2" s="374"/>
      <c r="AC2" s="441" t="s">
        <v>263</v>
      </c>
      <c r="AD2" s="390"/>
      <c r="AE2" s="276"/>
      <c r="AF2" s="276"/>
      <c r="AG2" s="276"/>
      <c r="AH2" s="276"/>
      <c r="AI2" s="442" t="s">
        <v>264</v>
      </c>
      <c r="AJ2" s="428" t="s">
        <v>265</v>
      </c>
      <c r="AK2" s="428" t="s">
        <v>266</v>
      </c>
      <c r="AL2" s="430" t="s">
        <v>267</v>
      </c>
    </row>
    <row r="3" spans="1:39" ht="12.75" x14ac:dyDescent="0.2">
      <c r="A3" s="5" t="s">
        <v>34</v>
      </c>
      <c r="B3" s="5" t="s">
        <v>268</v>
      </c>
      <c r="C3" s="277">
        <v>35</v>
      </c>
      <c r="D3" s="278">
        <v>40</v>
      </c>
      <c r="E3" s="278">
        <v>45</v>
      </c>
      <c r="F3" s="278">
        <v>50</v>
      </c>
      <c r="G3" s="278">
        <v>55</v>
      </c>
      <c r="H3" s="278">
        <v>60</v>
      </c>
      <c r="I3" s="278" t="s">
        <v>292</v>
      </c>
      <c r="J3" s="279" t="s">
        <v>310</v>
      </c>
      <c r="K3" s="360" t="s">
        <v>311</v>
      </c>
      <c r="L3" s="361" t="s">
        <v>298</v>
      </c>
      <c r="M3" s="374"/>
      <c r="N3" s="374"/>
      <c r="O3" s="374"/>
      <c r="P3" s="374"/>
      <c r="S3" s="5" t="s">
        <v>34</v>
      </c>
      <c r="T3" s="5" t="s">
        <v>268</v>
      </c>
      <c r="U3" s="277">
        <v>35</v>
      </c>
      <c r="V3" s="278">
        <v>40</v>
      </c>
      <c r="W3" s="278">
        <v>45</v>
      </c>
      <c r="X3" s="278">
        <v>50</v>
      </c>
      <c r="Y3" s="278">
        <v>55</v>
      </c>
      <c r="Z3" s="278">
        <v>60</v>
      </c>
      <c r="AA3" s="278" t="s">
        <v>292</v>
      </c>
      <c r="AB3" s="279" t="s">
        <v>296</v>
      </c>
      <c r="AC3" s="6" t="s">
        <v>297</v>
      </c>
      <c r="AD3" s="35" t="s">
        <v>298</v>
      </c>
      <c r="AE3" s="334" t="s">
        <v>299</v>
      </c>
      <c r="AF3" s="334" t="s">
        <v>300</v>
      </c>
      <c r="AG3" s="334" t="s">
        <v>301</v>
      </c>
      <c r="AH3" s="334" t="s">
        <v>302</v>
      </c>
      <c r="AI3" s="443"/>
      <c r="AJ3" s="429"/>
      <c r="AK3" s="429"/>
      <c r="AL3" s="431"/>
    </row>
    <row r="4" spans="1:39" ht="12.75" x14ac:dyDescent="0.2">
      <c r="A4" s="2" t="s">
        <v>77</v>
      </c>
      <c r="B4" s="2">
        <v>3000</v>
      </c>
      <c r="C4" s="280">
        <f t="shared" ref="C4:I4" si="0">$B4*(1+C$29)</f>
        <v>13350</v>
      </c>
      <c r="D4" s="281">
        <f t="shared" si="0"/>
        <v>16230</v>
      </c>
      <c r="E4" s="12">
        <f t="shared" si="0"/>
        <v>18480</v>
      </c>
      <c r="F4" s="12">
        <f t="shared" si="0"/>
        <v>24330</v>
      </c>
      <c r="G4" s="12">
        <f t="shared" si="0"/>
        <v>24750</v>
      </c>
      <c r="H4" s="12">
        <f t="shared" si="0"/>
        <v>24900.000000000004</v>
      </c>
      <c r="I4" s="12">
        <f t="shared" si="0"/>
        <v>28200</v>
      </c>
      <c r="J4" s="282">
        <f>C4</f>
        <v>13350</v>
      </c>
      <c r="K4" s="335">
        <f>'Mantis Benefit by Tier'!D6+'Mantis Benefit by Tier'!L6/3+'Mantis Benefit by Tier'!P6+'Mantis Benefit by Tier'!S6/2</f>
        <v>14000</v>
      </c>
      <c r="L4" s="260">
        <f>'Mantis Benefit by Tier'!E6+'Mantis Benefit by Tier'!M6/3+'Mantis Benefit by Tier'!Q6+'Mantis Benefit by Tier'!S6/2</f>
        <v>58000</v>
      </c>
      <c r="M4" s="2"/>
      <c r="N4" s="78"/>
      <c r="O4" s="78"/>
      <c r="P4" s="78"/>
      <c r="Q4" s="78"/>
      <c r="R4" s="78"/>
      <c r="S4" s="2" t="s">
        <v>77</v>
      </c>
      <c r="T4" s="2">
        <v>3000</v>
      </c>
      <c r="U4" s="337">
        <f t="shared" ref="U4:AA4" si="1">$B4*(1+U$29)*2</f>
        <v>26700</v>
      </c>
      <c r="V4" s="337">
        <f t="shared" si="1"/>
        <v>32460</v>
      </c>
      <c r="W4" s="337">
        <f t="shared" si="1"/>
        <v>36960</v>
      </c>
      <c r="X4" s="337">
        <f t="shared" si="1"/>
        <v>48660</v>
      </c>
      <c r="Y4" s="337">
        <f t="shared" si="1"/>
        <v>49500</v>
      </c>
      <c r="Z4" s="337">
        <f t="shared" si="1"/>
        <v>49800.000000000007</v>
      </c>
      <c r="AA4" s="337">
        <f t="shared" si="1"/>
        <v>56400</v>
      </c>
      <c r="AB4" s="282">
        <f>U4</f>
        <v>26700</v>
      </c>
      <c r="AC4" s="76">
        <v>14000</v>
      </c>
      <c r="AD4" s="79">
        <v>58000</v>
      </c>
      <c r="AE4" s="78">
        <v>70000</v>
      </c>
      <c r="AF4" s="78">
        <v>110000</v>
      </c>
      <c r="AG4" s="78">
        <v>160000</v>
      </c>
      <c r="AH4" s="78">
        <v>400000</v>
      </c>
      <c r="AI4" s="30">
        <v>35</v>
      </c>
      <c r="AJ4" s="78">
        <f t="shared" ref="AJ4:AJ15" si="2">AD4/50</f>
        <v>1160</v>
      </c>
      <c r="AK4" s="78">
        <f t="shared" ref="AK4:AK15" si="3">AJ4*25</f>
        <v>29000</v>
      </c>
      <c r="AL4" s="79">
        <f>AK4/(1+$C$29/2)</f>
        <v>10642.201834862384</v>
      </c>
      <c r="AM4" s="78"/>
    </row>
    <row r="5" spans="1:39" ht="12.75" x14ac:dyDescent="0.2">
      <c r="A5" s="2" t="s">
        <v>4</v>
      </c>
      <c r="B5" s="2">
        <v>3500</v>
      </c>
      <c r="C5" s="281">
        <f t="shared" ref="C5:I5" si="4">$B5*(1+C$29)</f>
        <v>15575</v>
      </c>
      <c r="D5" s="280">
        <f t="shared" si="4"/>
        <v>18935</v>
      </c>
      <c r="E5" s="12">
        <f t="shared" si="4"/>
        <v>21560</v>
      </c>
      <c r="F5" s="12">
        <f t="shared" si="4"/>
        <v>28384.999999999996</v>
      </c>
      <c r="G5" s="12">
        <f t="shared" si="4"/>
        <v>28875</v>
      </c>
      <c r="H5" s="12">
        <f t="shared" si="4"/>
        <v>29050.000000000004</v>
      </c>
      <c r="I5" s="12">
        <f t="shared" si="4"/>
        <v>32900</v>
      </c>
      <c r="J5" s="282">
        <f t="shared" ref="J5:J6" si="5">D5</f>
        <v>18935</v>
      </c>
      <c r="K5" s="335">
        <f>'Mantis Benefit by Tier'!D7+'Mantis Benefit by Tier'!L7/3+'Mantis Benefit by Tier'!P7+'Mantis Benefit by Tier'!S7/2</f>
        <v>16833.333333333336</v>
      </c>
      <c r="L5" s="260">
        <f>'Mantis Benefit by Tier'!E7+'Mantis Benefit by Tier'!M7/3+'Mantis Benefit by Tier'!Q7+'Mantis Benefit by Tier'!S7/2</f>
        <v>70166.666666666657</v>
      </c>
      <c r="M5" s="2"/>
      <c r="N5" s="78"/>
      <c r="O5" s="78"/>
      <c r="P5" s="78"/>
      <c r="Q5" s="78"/>
      <c r="R5" s="78"/>
      <c r="S5" s="2" t="s">
        <v>4</v>
      </c>
      <c r="T5" s="2">
        <v>3500</v>
      </c>
      <c r="U5" s="337">
        <f t="shared" ref="U5:AA5" si="6">$B5*(1+U$29)*2</f>
        <v>31150</v>
      </c>
      <c r="V5" s="337">
        <f t="shared" si="6"/>
        <v>37870</v>
      </c>
      <c r="W5" s="337">
        <f t="shared" si="6"/>
        <v>43120</v>
      </c>
      <c r="X5" s="337">
        <f t="shared" si="6"/>
        <v>56769.999999999993</v>
      </c>
      <c r="Y5" s="337">
        <f t="shared" si="6"/>
        <v>57750</v>
      </c>
      <c r="Z5" s="337">
        <f t="shared" si="6"/>
        <v>58100.000000000007</v>
      </c>
      <c r="AA5" s="337">
        <f t="shared" si="6"/>
        <v>65800</v>
      </c>
      <c r="AB5" s="282">
        <f t="shared" ref="AB5:AB6" si="7">V5</f>
        <v>37870</v>
      </c>
      <c r="AC5" s="76">
        <v>16833.333333333336</v>
      </c>
      <c r="AD5" s="79">
        <v>70166.666666666657</v>
      </c>
      <c r="AE5" s="78">
        <v>70000</v>
      </c>
      <c r="AF5" s="78">
        <v>110000</v>
      </c>
      <c r="AG5" s="78">
        <v>160000</v>
      </c>
      <c r="AH5" s="78">
        <v>400000</v>
      </c>
      <c r="AI5" s="30">
        <v>36</v>
      </c>
      <c r="AJ5" s="78">
        <f t="shared" si="2"/>
        <v>1403.333333333333</v>
      </c>
      <c r="AK5" s="78">
        <f t="shared" si="3"/>
        <v>35083.333333333328</v>
      </c>
      <c r="AL5" s="79">
        <f t="shared" ref="AL5:AL6" si="8">AK5/(1+$D$29/2)</f>
        <v>10946.437857514298</v>
      </c>
      <c r="AM5" s="78"/>
    </row>
    <row r="6" spans="1:39" ht="12.75" x14ac:dyDescent="0.2">
      <c r="A6" s="5" t="s">
        <v>78</v>
      </c>
      <c r="B6" s="5">
        <v>4400</v>
      </c>
      <c r="C6" s="283">
        <f t="shared" ref="C6:I6" si="9">$B6*(1+C$29)</f>
        <v>19580</v>
      </c>
      <c r="D6" s="284">
        <f t="shared" si="9"/>
        <v>23804</v>
      </c>
      <c r="E6" s="283">
        <f t="shared" si="9"/>
        <v>27104</v>
      </c>
      <c r="F6" s="60">
        <f t="shared" si="9"/>
        <v>35684</v>
      </c>
      <c r="G6" s="60">
        <f t="shared" si="9"/>
        <v>36300</v>
      </c>
      <c r="H6" s="60">
        <f t="shared" si="9"/>
        <v>36520</v>
      </c>
      <c r="I6" s="60">
        <f t="shared" si="9"/>
        <v>41360</v>
      </c>
      <c r="J6" s="282">
        <f t="shared" si="5"/>
        <v>23804</v>
      </c>
      <c r="K6" s="338">
        <f>'Mantis Benefit by Tier'!D8+'Mantis Benefit by Tier'!L8/3+'Mantis Benefit by Tier'!P8+'Mantis Benefit by Tier'!S8/2</f>
        <v>26666.666666666664</v>
      </c>
      <c r="L6" s="272">
        <f>'Mantis Benefit by Tier'!E8+'Mantis Benefit by Tier'!M8/3+'Mantis Benefit by Tier'!Q8+'Mantis Benefit by Tier'!S8/2</f>
        <v>111333.33333333333</v>
      </c>
      <c r="M6" s="2"/>
      <c r="N6" s="78"/>
      <c r="O6" s="78"/>
      <c r="P6" s="78"/>
      <c r="Q6" s="78"/>
      <c r="R6" s="78"/>
      <c r="S6" s="5" t="s">
        <v>78</v>
      </c>
      <c r="T6" s="5">
        <v>4400</v>
      </c>
      <c r="U6" s="337">
        <f t="shared" ref="U6:AA6" si="10">$B6*(1+U$29)*2</f>
        <v>39160</v>
      </c>
      <c r="V6" s="337">
        <f t="shared" si="10"/>
        <v>47608</v>
      </c>
      <c r="W6" s="337">
        <f t="shared" si="10"/>
        <v>54208</v>
      </c>
      <c r="X6" s="337">
        <f t="shared" si="10"/>
        <v>71368</v>
      </c>
      <c r="Y6" s="337">
        <f t="shared" si="10"/>
        <v>72600</v>
      </c>
      <c r="Z6" s="337">
        <f t="shared" si="10"/>
        <v>73040</v>
      </c>
      <c r="AA6" s="337">
        <f t="shared" si="10"/>
        <v>82720</v>
      </c>
      <c r="AB6" s="282">
        <f t="shared" si="7"/>
        <v>47608</v>
      </c>
      <c r="AC6" s="286">
        <v>26666.666666666664</v>
      </c>
      <c r="AD6" s="104">
        <v>111333.33333333333</v>
      </c>
      <c r="AE6" s="78">
        <v>70000</v>
      </c>
      <c r="AF6" s="78">
        <v>110000</v>
      </c>
      <c r="AG6" s="78">
        <v>160000</v>
      </c>
      <c r="AH6" s="78">
        <v>400000</v>
      </c>
      <c r="AI6" s="30">
        <v>37</v>
      </c>
      <c r="AJ6" s="78">
        <f t="shared" si="2"/>
        <v>2226.6666666666665</v>
      </c>
      <c r="AK6" s="78">
        <f t="shared" si="3"/>
        <v>55666.666666666664</v>
      </c>
      <c r="AL6" s="79">
        <f t="shared" si="8"/>
        <v>17368.694747789912</v>
      </c>
      <c r="AM6" s="78"/>
    </row>
    <row r="7" spans="1:39" ht="12.75" x14ac:dyDescent="0.2">
      <c r="A7" s="2" t="s">
        <v>79</v>
      </c>
      <c r="B7" s="2">
        <v>5000</v>
      </c>
      <c r="C7" s="12">
        <f t="shared" ref="C7:I7" si="11">$B7*(1+C$29)</f>
        <v>22250</v>
      </c>
      <c r="D7" s="281">
        <f t="shared" si="11"/>
        <v>27050</v>
      </c>
      <c r="E7" s="280">
        <f t="shared" si="11"/>
        <v>30800</v>
      </c>
      <c r="F7" s="281">
        <f t="shared" si="11"/>
        <v>40550</v>
      </c>
      <c r="G7" s="12">
        <f t="shared" si="11"/>
        <v>41250</v>
      </c>
      <c r="H7" s="12">
        <f t="shared" si="11"/>
        <v>41500</v>
      </c>
      <c r="I7" s="12">
        <f t="shared" si="11"/>
        <v>47000</v>
      </c>
      <c r="J7" s="282">
        <f t="shared" ref="J7:J8" si="12">E7</f>
        <v>30800</v>
      </c>
      <c r="K7" s="335">
        <f>'Mantis Benefit by Tier'!D9+'Mantis Benefit by Tier'!L9/3+'Mantis Benefit by Tier'!P9+'Mantis Benefit by Tier'!S9/2</f>
        <v>36500</v>
      </c>
      <c r="L7" s="260">
        <f>'Mantis Benefit by Tier'!E9+'Mantis Benefit by Tier'!M9/3+'Mantis Benefit by Tier'!Q9+'Mantis Benefit by Tier'!S9/2</f>
        <v>152500</v>
      </c>
      <c r="M7" s="2"/>
      <c r="N7" s="78"/>
      <c r="O7" s="78"/>
      <c r="P7" s="78"/>
      <c r="Q7" s="78"/>
      <c r="R7" s="78"/>
      <c r="S7" s="2" t="s">
        <v>79</v>
      </c>
      <c r="T7" s="2">
        <v>5000</v>
      </c>
      <c r="U7" s="337">
        <f t="shared" ref="U7:AA7" si="13">$B7*(1+U$29)*2</f>
        <v>44500</v>
      </c>
      <c r="V7" s="337">
        <f t="shared" si="13"/>
        <v>54100</v>
      </c>
      <c r="W7" s="337">
        <f t="shared" si="13"/>
        <v>61600</v>
      </c>
      <c r="X7" s="337">
        <f t="shared" si="13"/>
        <v>81100</v>
      </c>
      <c r="Y7" s="337">
        <f t="shared" si="13"/>
        <v>82500</v>
      </c>
      <c r="Z7" s="337">
        <f t="shared" si="13"/>
        <v>83000</v>
      </c>
      <c r="AA7" s="337">
        <f t="shared" si="13"/>
        <v>94000</v>
      </c>
      <c r="AB7" s="282">
        <f t="shared" ref="AB7:AB8" si="14">W7</f>
        <v>61600</v>
      </c>
      <c r="AC7" s="76">
        <v>36500</v>
      </c>
      <c r="AD7" s="79">
        <v>152500</v>
      </c>
      <c r="AE7" s="78">
        <v>70000</v>
      </c>
      <c r="AF7" s="78">
        <v>110000</v>
      </c>
      <c r="AG7" s="78">
        <v>160000</v>
      </c>
      <c r="AH7" s="78">
        <v>400000</v>
      </c>
      <c r="AI7" s="30">
        <v>38</v>
      </c>
      <c r="AJ7" s="78">
        <f t="shared" si="2"/>
        <v>3050</v>
      </c>
      <c r="AK7" s="78">
        <f t="shared" si="3"/>
        <v>76250</v>
      </c>
      <c r="AL7" s="79">
        <f t="shared" ref="AL7:AL14" si="15">AK7/(1+$C$29/2)</f>
        <v>27981.651376146787</v>
      </c>
      <c r="AM7" s="78"/>
    </row>
    <row r="8" spans="1:39" ht="12.75" x14ac:dyDescent="0.2">
      <c r="A8" s="2" t="s">
        <v>80</v>
      </c>
      <c r="B8" s="2">
        <v>6750</v>
      </c>
      <c r="C8" s="12">
        <f t="shared" ref="C8:I8" si="16">$B8*(1+C$29)</f>
        <v>30037.5</v>
      </c>
      <c r="D8" s="281">
        <f t="shared" si="16"/>
        <v>36517.5</v>
      </c>
      <c r="E8" s="280">
        <f t="shared" si="16"/>
        <v>41580</v>
      </c>
      <c r="F8" s="281">
        <f t="shared" si="16"/>
        <v>54742.499999999993</v>
      </c>
      <c r="G8" s="12">
        <f t="shared" si="16"/>
        <v>55687.5</v>
      </c>
      <c r="H8" s="12">
        <f t="shared" si="16"/>
        <v>56025.000000000007</v>
      </c>
      <c r="I8" s="12">
        <f t="shared" si="16"/>
        <v>63450</v>
      </c>
      <c r="J8" s="282">
        <f t="shared" si="12"/>
        <v>41580</v>
      </c>
      <c r="K8" s="335">
        <f>'Mantis Benefit by Tier'!D10+'Mantis Benefit by Tier'!L10/3+'Mantis Benefit by Tier'!P10+'Mantis Benefit by Tier'!S10/2</f>
        <v>51500</v>
      </c>
      <c r="L8" s="260">
        <f>'Mantis Benefit by Tier'!E10+'Mantis Benefit by Tier'!M10/3+'Mantis Benefit by Tier'!Q10+'Mantis Benefit by Tier'!S10/2</f>
        <v>215500</v>
      </c>
      <c r="M8" s="2"/>
      <c r="N8" s="78"/>
      <c r="O8" s="78"/>
      <c r="P8" s="78"/>
      <c r="Q8" s="78"/>
      <c r="R8" s="78"/>
      <c r="S8" s="2" t="s">
        <v>80</v>
      </c>
      <c r="T8" s="2">
        <v>6750</v>
      </c>
      <c r="U8" s="337">
        <f t="shared" ref="U8:AA8" si="17">$B8*(1+U$29)*2</f>
        <v>60075</v>
      </c>
      <c r="V8" s="337">
        <f t="shared" si="17"/>
        <v>73035</v>
      </c>
      <c r="W8" s="337">
        <f t="shared" si="17"/>
        <v>83160</v>
      </c>
      <c r="X8" s="337">
        <f t="shared" si="17"/>
        <v>109484.99999999999</v>
      </c>
      <c r="Y8" s="337">
        <f t="shared" si="17"/>
        <v>111375</v>
      </c>
      <c r="Z8" s="337">
        <f t="shared" si="17"/>
        <v>112050.00000000001</v>
      </c>
      <c r="AA8" s="337">
        <f t="shared" si="17"/>
        <v>126900</v>
      </c>
      <c r="AB8" s="282">
        <f t="shared" si="14"/>
        <v>83160</v>
      </c>
      <c r="AC8" s="76">
        <v>51500</v>
      </c>
      <c r="AD8" s="79">
        <v>215500</v>
      </c>
      <c r="AE8" s="78">
        <v>70000</v>
      </c>
      <c r="AF8" s="78">
        <v>110000</v>
      </c>
      <c r="AG8" s="78">
        <v>160000</v>
      </c>
      <c r="AH8" s="78">
        <v>400000</v>
      </c>
      <c r="AI8" s="30">
        <v>39</v>
      </c>
      <c r="AJ8" s="78">
        <f t="shared" si="2"/>
        <v>4310</v>
      </c>
      <c r="AK8" s="78">
        <f t="shared" si="3"/>
        <v>107750</v>
      </c>
      <c r="AL8" s="79">
        <f t="shared" si="15"/>
        <v>39541.284403669721</v>
      </c>
      <c r="AM8" s="78"/>
    </row>
    <row r="9" spans="1:39" ht="12.75" x14ac:dyDescent="0.2">
      <c r="A9" s="5" t="s">
        <v>81</v>
      </c>
      <c r="B9" s="5">
        <v>8350</v>
      </c>
      <c r="C9" s="60">
        <f t="shared" ref="C9:I9" si="18">$B9*(1+C$29)</f>
        <v>37157.5</v>
      </c>
      <c r="D9" s="60">
        <f t="shared" si="18"/>
        <v>45173.5</v>
      </c>
      <c r="E9" s="283">
        <f t="shared" si="18"/>
        <v>51436</v>
      </c>
      <c r="F9" s="284">
        <f t="shared" si="18"/>
        <v>67718.5</v>
      </c>
      <c r="G9" s="283">
        <f t="shared" si="18"/>
        <v>68887.5</v>
      </c>
      <c r="H9" s="60">
        <f t="shared" si="18"/>
        <v>69305</v>
      </c>
      <c r="I9" s="60">
        <f t="shared" si="18"/>
        <v>78490</v>
      </c>
      <c r="J9" s="282">
        <f t="shared" ref="J9:J11" si="19">F9</f>
        <v>67718.5</v>
      </c>
      <c r="K9" s="335">
        <f>'Mantis Benefit by Tier'!D11+'Mantis Benefit by Tier'!L11/3+'Mantis Benefit by Tier'!P11+'Mantis Benefit by Tier'!S11/2</f>
        <v>66500</v>
      </c>
      <c r="L9" s="260">
        <f>'Mantis Benefit by Tier'!E11+'Mantis Benefit by Tier'!M11/3+'Mantis Benefit by Tier'!Q11+'Mantis Benefit by Tier'!S11/2</f>
        <v>278500</v>
      </c>
      <c r="M9" s="2"/>
      <c r="N9" s="78"/>
      <c r="O9" s="78"/>
      <c r="P9" s="78"/>
      <c r="Q9" s="78"/>
      <c r="R9" s="78"/>
      <c r="S9" s="5" t="s">
        <v>81</v>
      </c>
      <c r="T9" s="5">
        <v>8350</v>
      </c>
      <c r="U9" s="337">
        <f t="shared" ref="U9:AA9" si="20">$B9*(1+U$29)*2</f>
        <v>74315</v>
      </c>
      <c r="V9" s="337">
        <f t="shared" si="20"/>
        <v>90347</v>
      </c>
      <c r="W9" s="337">
        <f t="shared" si="20"/>
        <v>102872</v>
      </c>
      <c r="X9" s="337">
        <f t="shared" si="20"/>
        <v>135437</v>
      </c>
      <c r="Y9" s="337">
        <f t="shared" si="20"/>
        <v>137775</v>
      </c>
      <c r="Z9" s="337">
        <f t="shared" si="20"/>
        <v>138610</v>
      </c>
      <c r="AA9" s="337">
        <f t="shared" si="20"/>
        <v>156980</v>
      </c>
      <c r="AB9" s="282">
        <f t="shared" ref="AB9:AB11" si="21">X9</f>
        <v>135437</v>
      </c>
      <c r="AC9" s="76">
        <v>66500</v>
      </c>
      <c r="AD9" s="79">
        <v>278500</v>
      </c>
      <c r="AE9" s="78">
        <v>70000</v>
      </c>
      <c r="AF9" s="78">
        <v>110000</v>
      </c>
      <c r="AG9" s="78">
        <v>160000</v>
      </c>
      <c r="AH9" s="78">
        <v>400000</v>
      </c>
      <c r="AI9" s="30">
        <v>40</v>
      </c>
      <c r="AJ9" s="78">
        <f t="shared" si="2"/>
        <v>5570</v>
      </c>
      <c r="AK9" s="78">
        <f t="shared" si="3"/>
        <v>139250</v>
      </c>
      <c r="AL9" s="79">
        <f t="shared" si="15"/>
        <v>51100.917431192662</v>
      </c>
      <c r="AM9" s="78"/>
    </row>
    <row r="10" spans="1:39" ht="12.75" x14ac:dyDescent="0.2">
      <c r="A10" s="2" t="s">
        <v>82</v>
      </c>
      <c r="B10" s="2">
        <v>10800</v>
      </c>
      <c r="C10" s="12">
        <f t="shared" ref="C10:I10" si="22">$B10*(1+C$29)</f>
        <v>48060</v>
      </c>
      <c r="D10" s="12">
        <f t="shared" si="22"/>
        <v>58428</v>
      </c>
      <c r="E10" s="281">
        <f t="shared" si="22"/>
        <v>66528</v>
      </c>
      <c r="F10" s="280">
        <f t="shared" si="22"/>
        <v>87588</v>
      </c>
      <c r="G10" s="281">
        <f t="shared" si="22"/>
        <v>89100</v>
      </c>
      <c r="H10" s="12">
        <f t="shared" si="22"/>
        <v>89640.000000000015</v>
      </c>
      <c r="I10" s="12">
        <f t="shared" si="22"/>
        <v>101520</v>
      </c>
      <c r="J10" s="282">
        <f t="shared" si="19"/>
        <v>87588</v>
      </c>
      <c r="K10" s="335">
        <f>'Mantis Benefit by Tier'!D12+'Mantis Benefit by Tier'!L12/3+'Mantis Benefit by Tier'!P12+'Mantis Benefit by Tier'!S12/2</f>
        <v>98333.333333333343</v>
      </c>
      <c r="L10" s="260">
        <f>'Mantis Benefit by Tier'!E12+'Mantis Benefit by Tier'!M12/3+'Mantis Benefit by Tier'!Q12+'Mantis Benefit by Tier'!S12/2</f>
        <v>411666.66666666669</v>
      </c>
      <c r="M10" s="2"/>
      <c r="N10" s="78"/>
      <c r="O10" s="78"/>
      <c r="P10" s="78"/>
      <c r="Q10" s="78"/>
      <c r="R10" s="78"/>
      <c r="S10" s="2" t="s">
        <v>82</v>
      </c>
      <c r="T10" s="2">
        <v>10800</v>
      </c>
      <c r="U10" s="337">
        <f t="shared" ref="U10:AA10" si="23">$B10*(1+U$29)*2</f>
        <v>96120</v>
      </c>
      <c r="V10" s="337">
        <f t="shared" si="23"/>
        <v>116856</v>
      </c>
      <c r="W10" s="337">
        <f t="shared" si="23"/>
        <v>133056</v>
      </c>
      <c r="X10" s="337">
        <f t="shared" si="23"/>
        <v>175176</v>
      </c>
      <c r="Y10" s="337">
        <f t="shared" si="23"/>
        <v>178200</v>
      </c>
      <c r="Z10" s="337">
        <f t="shared" si="23"/>
        <v>179280.00000000003</v>
      </c>
      <c r="AA10" s="337">
        <f t="shared" si="23"/>
        <v>203040</v>
      </c>
      <c r="AB10" s="282">
        <f t="shared" si="21"/>
        <v>175176</v>
      </c>
      <c r="AC10" s="76">
        <v>98333.333333333343</v>
      </c>
      <c r="AD10" s="79">
        <v>411666.66666666669</v>
      </c>
      <c r="AE10" s="78">
        <v>70000</v>
      </c>
      <c r="AF10" s="78">
        <v>110000</v>
      </c>
      <c r="AG10" s="78">
        <v>160000</v>
      </c>
      <c r="AH10" s="78">
        <v>400000</v>
      </c>
      <c r="AI10" s="30">
        <v>41</v>
      </c>
      <c r="AJ10" s="78">
        <f t="shared" si="2"/>
        <v>8233.3333333333339</v>
      </c>
      <c r="AK10" s="78">
        <f t="shared" si="3"/>
        <v>205833.33333333334</v>
      </c>
      <c r="AL10" s="79">
        <f t="shared" si="15"/>
        <v>75535.168195718652</v>
      </c>
      <c r="AM10" s="78"/>
    </row>
    <row r="11" spans="1:39" ht="12.75" x14ac:dyDescent="0.2">
      <c r="A11" s="2" t="s">
        <v>83</v>
      </c>
      <c r="B11" s="2">
        <v>13200</v>
      </c>
      <c r="C11" s="12">
        <f t="shared" ref="C11:I11" si="24">$B11*(1+C$29)</f>
        <v>58740</v>
      </c>
      <c r="D11" s="12">
        <f t="shared" si="24"/>
        <v>71412</v>
      </c>
      <c r="E11" s="281">
        <f t="shared" si="24"/>
        <v>81312</v>
      </c>
      <c r="F11" s="280">
        <f t="shared" si="24"/>
        <v>107051.99999999999</v>
      </c>
      <c r="G11" s="281">
        <f t="shared" si="24"/>
        <v>108900</v>
      </c>
      <c r="H11" s="12">
        <f t="shared" si="24"/>
        <v>109560.00000000001</v>
      </c>
      <c r="I11" s="12">
        <f t="shared" si="24"/>
        <v>124080</v>
      </c>
      <c r="J11" s="282">
        <f t="shared" si="19"/>
        <v>107051.99999999999</v>
      </c>
      <c r="K11" s="335">
        <f>'Mantis Benefit by Tier'!D13+'Mantis Benefit by Tier'!L13/3+'Mantis Benefit by Tier'!P13+'Mantis Benefit by Tier'!S13/2</f>
        <v>124666.66666666667</v>
      </c>
      <c r="L11" s="260">
        <f>'Mantis Benefit by Tier'!E13+'Mantis Benefit by Tier'!M13/3+'Mantis Benefit by Tier'!Q13+'Mantis Benefit by Tier'!S13/2</f>
        <v>523333.33333333331</v>
      </c>
      <c r="M11" s="2"/>
      <c r="N11" s="78"/>
      <c r="O11" s="78"/>
      <c r="P11" s="78"/>
      <c r="Q11" s="78"/>
      <c r="R11" s="78"/>
      <c r="S11" s="2" t="s">
        <v>83</v>
      </c>
      <c r="T11" s="2">
        <v>13200</v>
      </c>
      <c r="U11" s="337">
        <f t="shared" ref="U11:AA11" si="25">$B11*(1+U$29)*2</f>
        <v>117480</v>
      </c>
      <c r="V11" s="337">
        <f t="shared" si="25"/>
        <v>142824</v>
      </c>
      <c r="W11" s="337">
        <f t="shared" si="25"/>
        <v>162624</v>
      </c>
      <c r="X11" s="337">
        <f t="shared" si="25"/>
        <v>214103.99999999997</v>
      </c>
      <c r="Y11" s="337">
        <f t="shared" si="25"/>
        <v>217800</v>
      </c>
      <c r="Z11" s="337">
        <f t="shared" si="25"/>
        <v>219120.00000000003</v>
      </c>
      <c r="AA11" s="337">
        <f t="shared" si="25"/>
        <v>248160</v>
      </c>
      <c r="AB11" s="282">
        <f t="shared" si="21"/>
        <v>214103.99999999997</v>
      </c>
      <c r="AC11" s="76">
        <v>124666.66666666667</v>
      </c>
      <c r="AD11" s="79">
        <v>523333.33333333331</v>
      </c>
      <c r="AE11" s="78">
        <v>70000</v>
      </c>
      <c r="AF11" s="78">
        <v>110000</v>
      </c>
      <c r="AG11" s="78">
        <v>160000</v>
      </c>
      <c r="AH11" s="78">
        <v>400000</v>
      </c>
      <c r="AI11" s="30">
        <v>42</v>
      </c>
      <c r="AJ11" s="78">
        <f t="shared" si="2"/>
        <v>10466.666666666666</v>
      </c>
      <c r="AK11" s="78">
        <f t="shared" si="3"/>
        <v>261666.66666666666</v>
      </c>
      <c r="AL11" s="79">
        <f t="shared" si="15"/>
        <v>96024.464831804275</v>
      </c>
      <c r="AM11" s="78"/>
    </row>
    <row r="12" spans="1:39" ht="12.75" x14ac:dyDescent="0.2">
      <c r="A12" s="5" t="s">
        <v>84</v>
      </c>
      <c r="B12" s="5">
        <v>17600</v>
      </c>
      <c r="C12" s="60">
        <f t="shared" ref="C12:I12" si="26">$B12*(1+C$29)</f>
        <v>78320</v>
      </c>
      <c r="D12" s="60">
        <f t="shared" si="26"/>
        <v>95216</v>
      </c>
      <c r="E12" s="60">
        <f t="shared" si="26"/>
        <v>108416</v>
      </c>
      <c r="F12" s="283">
        <f t="shared" si="26"/>
        <v>142736</v>
      </c>
      <c r="G12" s="284">
        <f t="shared" si="26"/>
        <v>145200</v>
      </c>
      <c r="H12" s="283">
        <f t="shared" si="26"/>
        <v>146080</v>
      </c>
      <c r="I12" s="60">
        <f t="shared" si="26"/>
        <v>165440</v>
      </c>
      <c r="J12" s="282">
        <f t="shared" ref="J12:J14" si="27">G12</f>
        <v>145200</v>
      </c>
      <c r="K12" s="339">
        <f>'Mantis Benefit by Tier'!D14+'Mantis Benefit by Tier'!L14/3+'Mantis Benefit by Tier'!P14+'Mantis Benefit by Tier'!S14/2</f>
        <v>177333.33333333331</v>
      </c>
      <c r="L12" s="340">
        <f>'Mantis Benefit by Tier'!E14+'Mantis Benefit by Tier'!M14/3+'Mantis Benefit by Tier'!Q14+'Mantis Benefit by Tier'!S14/2</f>
        <v>746666.66666666674</v>
      </c>
      <c r="M12" s="2"/>
      <c r="N12" s="78"/>
      <c r="O12" s="78"/>
      <c r="P12" s="78"/>
      <c r="Q12" s="78"/>
      <c r="R12" s="78"/>
      <c r="S12" s="5" t="s">
        <v>84</v>
      </c>
      <c r="T12" s="5">
        <v>17600</v>
      </c>
      <c r="U12" s="337">
        <f t="shared" ref="U12:AA12" si="28">$B12*(1+U$29)*2</f>
        <v>156640</v>
      </c>
      <c r="V12" s="337">
        <f t="shared" si="28"/>
        <v>190432</v>
      </c>
      <c r="W12" s="337">
        <f t="shared" si="28"/>
        <v>216832</v>
      </c>
      <c r="X12" s="337">
        <f t="shared" si="28"/>
        <v>285472</v>
      </c>
      <c r="Y12" s="337">
        <f t="shared" si="28"/>
        <v>290400</v>
      </c>
      <c r="Z12" s="337">
        <f t="shared" si="28"/>
        <v>292160</v>
      </c>
      <c r="AA12" s="337">
        <f t="shared" si="28"/>
        <v>330880</v>
      </c>
      <c r="AB12" s="282">
        <f t="shared" ref="AB12:AB14" si="29">Y12</f>
        <v>290400</v>
      </c>
      <c r="AC12" s="289">
        <v>0</v>
      </c>
      <c r="AD12" s="290">
        <v>0</v>
      </c>
      <c r="AE12" s="78">
        <v>70000</v>
      </c>
      <c r="AF12" s="78">
        <v>110000</v>
      </c>
      <c r="AG12" s="78">
        <v>160000</v>
      </c>
      <c r="AH12" s="78">
        <v>400000</v>
      </c>
      <c r="AI12" s="30">
        <v>44</v>
      </c>
      <c r="AJ12" s="78">
        <f t="shared" si="2"/>
        <v>0</v>
      </c>
      <c r="AK12" s="78">
        <f t="shared" si="3"/>
        <v>0</v>
      </c>
      <c r="AL12" s="79">
        <f t="shared" si="15"/>
        <v>0</v>
      </c>
      <c r="AM12" s="78"/>
    </row>
    <row r="13" spans="1:39" ht="12.75" x14ac:dyDescent="0.2">
      <c r="A13" s="2" t="s">
        <v>85</v>
      </c>
      <c r="B13" s="2">
        <v>22200</v>
      </c>
      <c r="C13" s="12">
        <f t="shared" ref="C13:I13" si="30">$B13*(1+C$29)</f>
        <v>98790</v>
      </c>
      <c r="D13" s="12">
        <f t="shared" si="30"/>
        <v>120102</v>
      </c>
      <c r="E13" s="12">
        <f t="shared" si="30"/>
        <v>136752</v>
      </c>
      <c r="F13" s="281">
        <f t="shared" si="30"/>
        <v>180042</v>
      </c>
      <c r="G13" s="280">
        <f t="shared" si="30"/>
        <v>183150</v>
      </c>
      <c r="H13" s="281">
        <f t="shared" si="30"/>
        <v>184260.00000000003</v>
      </c>
      <c r="I13" s="12">
        <f t="shared" si="30"/>
        <v>208680</v>
      </c>
      <c r="J13" s="282">
        <f t="shared" si="27"/>
        <v>183150</v>
      </c>
      <c r="K13" s="341">
        <f>'Mantis Benefit by Tier'!D15+'Mantis Benefit by Tier'!L15/3+'Mantis Benefit by Tier'!P15+'Mantis Benefit by Tier'!S15/2</f>
        <v>232000</v>
      </c>
      <c r="L13" s="342">
        <f>'Mantis Benefit by Tier'!E15+'Mantis Benefit by Tier'!M15/3+'Mantis Benefit by Tier'!Q15+'Mantis Benefit by Tier'!S15/2</f>
        <v>980000</v>
      </c>
      <c r="M13" s="2"/>
      <c r="N13" s="78"/>
      <c r="O13" s="78"/>
      <c r="P13" s="78"/>
      <c r="Q13" s="78"/>
      <c r="R13" s="78"/>
      <c r="S13" s="2" t="s">
        <v>85</v>
      </c>
      <c r="T13" s="2">
        <v>22200</v>
      </c>
      <c r="U13" s="337">
        <f t="shared" ref="U13:AA13" si="31">$B13*(1+U$29)*2</f>
        <v>197580</v>
      </c>
      <c r="V13" s="337">
        <f t="shared" si="31"/>
        <v>240204</v>
      </c>
      <c r="W13" s="337">
        <f t="shared" si="31"/>
        <v>273504</v>
      </c>
      <c r="X13" s="337">
        <f t="shared" si="31"/>
        <v>360084</v>
      </c>
      <c r="Y13" s="337">
        <f t="shared" si="31"/>
        <v>366300</v>
      </c>
      <c r="Z13" s="337">
        <f t="shared" si="31"/>
        <v>368520.00000000006</v>
      </c>
      <c r="AA13" s="337">
        <f t="shared" si="31"/>
        <v>417360</v>
      </c>
      <c r="AB13" s="282">
        <f t="shared" si="29"/>
        <v>366300</v>
      </c>
      <c r="AC13" s="343">
        <v>0</v>
      </c>
      <c r="AD13" s="344">
        <v>0</v>
      </c>
      <c r="AE13" s="78">
        <v>70000</v>
      </c>
      <c r="AF13" s="78">
        <v>110000</v>
      </c>
      <c r="AG13" s="78">
        <v>160000</v>
      </c>
      <c r="AH13" s="78">
        <v>400000</v>
      </c>
      <c r="AI13" s="30">
        <v>46</v>
      </c>
      <c r="AJ13" s="78">
        <f t="shared" si="2"/>
        <v>0</v>
      </c>
      <c r="AK13" s="78">
        <f t="shared" si="3"/>
        <v>0</v>
      </c>
      <c r="AL13" s="79">
        <f t="shared" si="15"/>
        <v>0</v>
      </c>
      <c r="AM13" s="78"/>
    </row>
    <row r="14" spans="1:39" ht="12.75" x14ac:dyDescent="0.2">
      <c r="A14" s="2" t="s">
        <v>86</v>
      </c>
      <c r="B14" s="2">
        <v>27500</v>
      </c>
      <c r="C14" s="12">
        <f t="shared" ref="C14:I14" si="32">$B14*(1+C$29)</f>
        <v>122375</v>
      </c>
      <c r="D14" s="12">
        <f t="shared" si="32"/>
        <v>148775</v>
      </c>
      <c r="E14" s="12">
        <f t="shared" si="32"/>
        <v>169400</v>
      </c>
      <c r="F14" s="281">
        <f t="shared" si="32"/>
        <v>223024.99999999997</v>
      </c>
      <c r="G14" s="280">
        <f t="shared" si="32"/>
        <v>226875</v>
      </c>
      <c r="H14" s="281">
        <f t="shared" si="32"/>
        <v>228250.00000000003</v>
      </c>
      <c r="I14" s="12">
        <f t="shared" si="32"/>
        <v>258500</v>
      </c>
      <c r="J14" s="282">
        <f t="shared" si="27"/>
        <v>226875</v>
      </c>
      <c r="K14" s="339">
        <f>'Mantis Benefit by Tier'!D16+'Mantis Benefit by Tier'!L16/3+'Mantis Benefit by Tier'!P16+'Mantis Benefit by Tier'!S16/2</f>
        <v>348333.33333333337</v>
      </c>
      <c r="L14" s="340">
        <f>'Mantis Benefit by Tier'!E16+'Mantis Benefit by Tier'!M16/3+'Mantis Benefit by Tier'!Q16+'Mantis Benefit by Tier'!S16/2</f>
        <v>1481666.6666666665</v>
      </c>
      <c r="M14" s="2"/>
      <c r="N14" s="78"/>
      <c r="O14" s="78"/>
      <c r="P14" s="78"/>
      <c r="Q14" s="78"/>
      <c r="R14" s="78"/>
      <c r="S14" s="2" t="s">
        <v>86</v>
      </c>
      <c r="T14" s="2">
        <v>27500</v>
      </c>
      <c r="U14" s="337">
        <f t="shared" ref="U14:AA14" si="33">$B14*(1+U$29)*2</f>
        <v>244750</v>
      </c>
      <c r="V14" s="337">
        <f t="shared" si="33"/>
        <v>297550</v>
      </c>
      <c r="W14" s="337">
        <f t="shared" si="33"/>
        <v>338800</v>
      </c>
      <c r="X14" s="337">
        <f t="shared" si="33"/>
        <v>446049.99999999994</v>
      </c>
      <c r="Y14" s="337">
        <f t="shared" si="33"/>
        <v>453750</v>
      </c>
      <c r="Z14" s="337">
        <f t="shared" si="33"/>
        <v>456500.00000000006</v>
      </c>
      <c r="AA14" s="337">
        <f t="shared" si="33"/>
        <v>517000</v>
      </c>
      <c r="AB14" s="282">
        <f t="shared" si="29"/>
        <v>453750</v>
      </c>
      <c r="AC14" s="289">
        <v>0</v>
      </c>
      <c r="AD14" s="290">
        <v>0</v>
      </c>
      <c r="AE14" s="78">
        <v>70000</v>
      </c>
      <c r="AF14" s="78">
        <v>110000</v>
      </c>
      <c r="AG14" s="78">
        <v>160000</v>
      </c>
      <c r="AH14" s="78">
        <v>400000</v>
      </c>
      <c r="AI14" s="30">
        <v>48</v>
      </c>
      <c r="AJ14" s="78">
        <f t="shared" si="2"/>
        <v>0</v>
      </c>
      <c r="AK14" s="78">
        <f t="shared" si="3"/>
        <v>0</v>
      </c>
      <c r="AL14" s="79">
        <f t="shared" si="15"/>
        <v>0</v>
      </c>
      <c r="AM14" s="78"/>
    </row>
    <row r="15" spans="1:39" ht="12.75" x14ac:dyDescent="0.2">
      <c r="A15" s="2" t="s">
        <v>87</v>
      </c>
      <c r="B15" s="2">
        <v>34550</v>
      </c>
      <c r="C15" s="12">
        <f t="shared" ref="C15:I15" si="34">$B15*(1+C$29)</f>
        <v>153747.5</v>
      </c>
      <c r="D15" s="12">
        <f t="shared" si="34"/>
        <v>186915.5</v>
      </c>
      <c r="E15" s="12">
        <f t="shared" si="34"/>
        <v>212828</v>
      </c>
      <c r="F15" s="281">
        <f t="shared" si="34"/>
        <v>280200.5</v>
      </c>
      <c r="G15" s="281">
        <f t="shared" si="34"/>
        <v>285037.5</v>
      </c>
      <c r="H15" s="280">
        <f t="shared" si="34"/>
        <v>286765</v>
      </c>
      <c r="I15" s="12">
        <f t="shared" si="34"/>
        <v>324770</v>
      </c>
      <c r="J15" s="282">
        <f>H15</f>
        <v>286765</v>
      </c>
      <c r="K15" s="345">
        <f>'Mantis Benefit by Tier'!D17+'Mantis Benefit by Tier'!L17/3+'Mantis Benefit by Tier'!P17+'Mantis Benefit by Tier'!S17/2</f>
        <v>621666.66666666674</v>
      </c>
      <c r="L15" s="346">
        <f>'Mantis Benefit by Tier'!E17+'Mantis Benefit by Tier'!M17/3+'Mantis Benefit by Tier'!Q17+'Mantis Benefit by Tier'!S17/2</f>
        <v>2648333.333333333</v>
      </c>
      <c r="M15" s="2"/>
      <c r="N15" s="78"/>
      <c r="O15" s="78"/>
      <c r="P15" s="78"/>
      <c r="Q15" s="78"/>
      <c r="R15" s="78"/>
      <c r="S15" s="2" t="s">
        <v>87</v>
      </c>
      <c r="T15" s="2">
        <v>34550</v>
      </c>
      <c r="U15" s="337">
        <f t="shared" ref="U15:AA15" si="35">$B15*(1+U$29)*2</f>
        <v>307495</v>
      </c>
      <c r="V15" s="337">
        <f t="shared" si="35"/>
        <v>373831</v>
      </c>
      <c r="W15" s="337">
        <f t="shared" si="35"/>
        <v>425656</v>
      </c>
      <c r="X15" s="337">
        <f t="shared" si="35"/>
        <v>560401</v>
      </c>
      <c r="Y15" s="337">
        <f t="shared" si="35"/>
        <v>570075</v>
      </c>
      <c r="Z15" s="337">
        <f t="shared" si="35"/>
        <v>573530</v>
      </c>
      <c r="AA15" s="337">
        <f t="shared" si="35"/>
        <v>649540</v>
      </c>
      <c r="AB15" s="282">
        <f>Z15</f>
        <v>573530</v>
      </c>
      <c r="AC15" s="287">
        <v>421666.66666666669</v>
      </c>
      <c r="AD15" s="288">
        <v>1648333.3333333333</v>
      </c>
      <c r="AE15" s="78">
        <v>70000</v>
      </c>
      <c r="AF15" s="78">
        <v>110000</v>
      </c>
      <c r="AG15" s="78">
        <v>160000</v>
      </c>
      <c r="AH15" s="78">
        <v>400000</v>
      </c>
      <c r="AI15" s="6">
        <v>49</v>
      </c>
      <c r="AJ15" s="103">
        <f t="shared" si="2"/>
        <v>32966.666666666664</v>
      </c>
      <c r="AK15" s="103">
        <f t="shared" si="3"/>
        <v>824166.66666666663</v>
      </c>
      <c r="AL15" s="104">
        <f>AK15/(1+$H$29/2)</f>
        <v>177240.14336917561</v>
      </c>
      <c r="AM15" s="78"/>
    </row>
    <row r="16" spans="1:39" ht="12.75" x14ac:dyDescent="0.2">
      <c r="A16" s="78"/>
      <c r="B16" s="78"/>
      <c r="C16" s="78"/>
      <c r="D16" s="78"/>
      <c r="E16" s="78"/>
      <c r="F16" s="78"/>
      <c r="G16" s="78"/>
      <c r="H16" s="114"/>
      <c r="I16" s="114"/>
      <c r="M16" s="2"/>
      <c r="N16" s="78"/>
      <c r="O16" s="78"/>
      <c r="P16" s="78"/>
      <c r="Q16" s="78"/>
      <c r="S16" s="78"/>
      <c r="T16" s="78"/>
      <c r="U16" s="78"/>
      <c r="V16" s="78"/>
      <c r="W16" s="78"/>
      <c r="X16" s="78"/>
      <c r="Y16" s="78"/>
      <c r="Z16" s="114"/>
      <c r="AA16" s="114"/>
      <c r="AE16" s="2"/>
      <c r="AF16" s="2"/>
      <c r="AG16" s="2"/>
      <c r="AH16" s="2"/>
      <c r="AI16" s="2"/>
      <c r="AJ16" s="78"/>
      <c r="AK16" s="78"/>
      <c r="AL16" s="78"/>
      <c r="AM16" s="78"/>
    </row>
    <row r="17" spans="1:39" ht="12.75" x14ac:dyDescent="0.2">
      <c r="A17" s="78"/>
      <c r="B17" s="78"/>
      <c r="C17" s="78"/>
      <c r="D17" s="78"/>
      <c r="E17" s="78"/>
      <c r="F17" s="78"/>
      <c r="G17" s="78"/>
      <c r="H17" s="114" t="s">
        <v>258</v>
      </c>
      <c r="I17" s="114"/>
      <c r="M17" s="2" t="s">
        <v>272</v>
      </c>
      <c r="N17" s="78"/>
      <c r="O17" s="78"/>
      <c r="P17" s="78"/>
      <c r="Q17" s="78"/>
      <c r="S17" s="78"/>
      <c r="T17" s="78"/>
      <c r="U17" s="78"/>
      <c r="V17" s="78"/>
      <c r="W17" s="78"/>
      <c r="X17" s="78"/>
      <c r="Y17" s="78"/>
      <c r="Z17" s="114" t="s">
        <v>258</v>
      </c>
      <c r="AA17" s="114"/>
      <c r="AE17" s="2"/>
      <c r="AF17" s="2"/>
      <c r="AG17" s="2"/>
      <c r="AH17" s="2"/>
      <c r="AI17" s="2" t="s">
        <v>272</v>
      </c>
      <c r="AJ17" s="78"/>
      <c r="AK17" s="78"/>
      <c r="AL17" s="78"/>
      <c r="AM17" s="78"/>
    </row>
    <row r="18" spans="1:39" ht="12.75" x14ac:dyDescent="0.2">
      <c r="A18" s="78"/>
      <c r="B18" s="440" t="s">
        <v>273</v>
      </c>
      <c r="C18" s="374"/>
      <c r="D18" s="374"/>
      <c r="E18" s="374"/>
      <c r="F18" s="374"/>
      <c r="G18" s="374"/>
      <c r="H18" s="374"/>
      <c r="I18" s="82"/>
      <c r="S18" s="93"/>
      <c r="T18" s="432" t="s">
        <v>273</v>
      </c>
      <c r="U18" s="389"/>
      <c r="V18" s="389"/>
      <c r="W18" s="389"/>
      <c r="X18" s="389"/>
      <c r="Y18" s="389"/>
      <c r="Z18" s="390"/>
      <c r="AA18" s="82"/>
    </row>
    <row r="19" spans="1:39" ht="12.75" x14ac:dyDescent="0.2">
      <c r="A19" s="450" t="s">
        <v>52</v>
      </c>
      <c r="B19" s="429"/>
      <c r="C19" s="5">
        <v>35</v>
      </c>
      <c r="D19" s="103">
        <v>40</v>
      </c>
      <c r="E19" s="103">
        <v>45</v>
      </c>
      <c r="F19" s="103">
        <v>50</v>
      </c>
      <c r="G19" s="103">
        <v>55</v>
      </c>
      <c r="H19" s="103">
        <v>60</v>
      </c>
      <c r="I19" s="103" t="s">
        <v>292</v>
      </c>
      <c r="J19" s="432" t="s">
        <v>274</v>
      </c>
      <c r="K19" s="389"/>
      <c r="L19" s="389"/>
      <c r="M19" s="389"/>
      <c r="N19" s="389"/>
      <c r="O19" s="389"/>
      <c r="P19" s="389"/>
      <c r="Q19" s="390"/>
      <c r="S19" s="433" t="s">
        <v>52</v>
      </c>
      <c r="T19" s="429"/>
      <c r="U19" s="6">
        <v>35</v>
      </c>
      <c r="V19" s="103">
        <v>40</v>
      </c>
      <c r="W19" s="103">
        <v>45</v>
      </c>
      <c r="X19" s="103">
        <v>50</v>
      </c>
      <c r="Y19" s="103">
        <v>55</v>
      </c>
      <c r="Z19" s="104">
        <v>60</v>
      </c>
      <c r="AA19" s="79" t="s">
        <v>292</v>
      </c>
      <c r="AB19" s="434" t="s">
        <v>274</v>
      </c>
      <c r="AC19" s="389"/>
      <c r="AD19" s="389"/>
      <c r="AE19" s="389"/>
      <c r="AF19" s="389"/>
      <c r="AG19" s="389"/>
      <c r="AH19" s="389"/>
      <c r="AI19" s="389"/>
      <c r="AJ19" s="389"/>
      <c r="AK19" s="389"/>
      <c r="AL19" s="390"/>
    </row>
    <row r="20" spans="1:39" ht="12.75" x14ac:dyDescent="0.2">
      <c r="B20" s="78">
        <v>7</v>
      </c>
      <c r="C20" s="292">
        <v>0.04</v>
      </c>
      <c r="D20" s="292">
        <v>0.06</v>
      </c>
      <c r="E20" s="292">
        <v>0.06</v>
      </c>
      <c r="F20" s="292">
        <v>0.06</v>
      </c>
      <c r="G20" s="292">
        <v>0.1</v>
      </c>
      <c r="H20" s="292">
        <v>0.1</v>
      </c>
      <c r="I20" s="292">
        <v>0.1</v>
      </c>
      <c r="J20" s="5" t="s">
        <v>33</v>
      </c>
      <c r="K20" s="6">
        <v>35</v>
      </c>
      <c r="L20" s="103">
        <v>40</v>
      </c>
      <c r="M20" s="103">
        <v>45</v>
      </c>
      <c r="N20" s="103">
        <v>50</v>
      </c>
      <c r="O20" s="103">
        <v>55</v>
      </c>
      <c r="P20" s="103">
        <v>60</v>
      </c>
      <c r="Q20" s="35" t="s">
        <v>292</v>
      </c>
      <c r="S20" s="30"/>
      <c r="T20" s="78">
        <v>7</v>
      </c>
      <c r="U20" s="291">
        <v>0.04</v>
      </c>
      <c r="V20" s="292">
        <v>0.06</v>
      </c>
      <c r="W20" s="292">
        <v>0.06</v>
      </c>
      <c r="X20" s="292">
        <v>0.06</v>
      </c>
      <c r="Y20" s="292">
        <v>0.1</v>
      </c>
      <c r="Z20" s="293">
        <v>0.1</v>
      </c>
      <c r="AA20" s="293">
        <v>0.1</v>
      </c>
      <c r="AB20" s="6" t="s">
        <v>33</v>
      </c>
      <c r="AC20" s="5">
        <v>35</v>
      </c>
      <c r="AD20" s="103">
        <v>40</v>
      </c>
      <c r="AE20" s="103"/>
      <c r="AF20" s="103"/>
      <c r="AG20" s="103"/>
      <c r="AH20" s="103"/>
      <c r="AI20" s="103">
        <v>45</v>
      </c>
      <c r="AJ20" s="103">
        <v>50</v>
      </c>
      <c r="AK20" s="103">
        <v>55</v>
      </c>
      <c r="AL20" s="104">
        <v>60</v>
      </c>
      <c r="AM20" s="2" t="s">
        <v>292</v>
      </c>
    </row>
    <row r="21" spans="1:39" ht="12.75" x14ac:dyDescent="0.2">
      <c r="B21" s="2">
        <v>11</v>
      </c>
      <c r="C21" s="292">
        <v>0.06</v>
      </c>
      <c r="D21" s="292">
        <v>0.1</v>
      </c>
      <c r="E21" s="292">
        <v>0.1</v>
      </c>
      <c r="F21" s="292">
        <v>0.1</v>
      </c>
      <c r="G21" s="292">
        <v>0.1</v>
      </c>
      <c r="H21" s="292">
        <v>0.1</v>
      </c>
      <c r="I21" s="292">
        <v>0.1</v>
      </c>
      <c r="J21" s="78" t="s">
        <v>275</v>
      </c>
      <c r="K21" s="350">
        <v>0.35</v>
      </c>
      <c r="L21" s="294">
        <v>0.35</v>
      </c>
      <c r="M21" s="294">
        <v>0.35</v>
      </c>
      <c r="N21" s="294">
        <v>0.35</v>
      </c>
      <c r="O21" s="294">
        <v>0.35</v>
      </c>
      <c r="P21" s="294">
        <v>0.35</v>
      </c>
      <c r="Q21" s="295">
        <v>0.35</v>
      </c>
      <c r="S21" s="30"/>
      <c r="T21" s="2">
        <v>11</v>
      </c>
      <c r="U21" s="291">
        <v>0.06</v>
      </c>
      <c r="V21" s="292">
        <v>0.1</v>
      </c>
      <c r="W21" s="292">
        <v>0.1</v>
      </c>
      <c r="X21" s="292">
        <v>0.1</v>
      </c>
      <c r="Y21" s="292">
        <v>0.1</v>
      </c>
      <c r="Z21" s="293">
        <v>0.1</v>
      </c>
      <c r="AA21" s="293">
        <v>0.1</v>
      </c>
      <c r="AB21" s="76" t="s">
        <v>275</v>
      </c>
      <c r="AC21" s="294">
        <v>0.35</v>
      </c>
      <c r="AD21" s="294">
        <v>0.35</v>
      </c>
      <c r="AE21" s="294"/>
      <c r="AF21" s="294"/>
      <c r="AG21" s="294"/>
      <c r="AH21" s="294"/>
      <c r="AI21" s="294">
        <v>0.35</v>
      </c>
      <c r="AJ21" s="294">
        <v>0.35</v>
      </c>
      <c r="AK21" s="294">
        <v>0.35</v>
      </c>
      <c r="AL21" s="295">
        <v>0.35</v>
      </c>
      <c r="AM21" s="295">
        <v>0.35</v>
      </c>
    </row>
    <row r="22" spans="1:39" ht="12.75" x14ac:dyDescent="0.2">
      <c r="A22" s="78"/>
      <c r="B22" s="78">
        <v>14</v>
      </c>
      <c r="C22" s="292">
        <v>0.1</v>
      </c>
      <c r="D22" s="292">
        <v>0.15</v>
      </c>
      <c r="E22" s="292">
        <v>0.15</v>
      </c>
      <c r="F22" s="292">
        <v>0.15</v>
      </c>
      <c r="G22" s="292">
        <v>0.2</v>
      </c>
      <c r="H22" s="292">
        <v>0.2</v>
      </c>
      <c r="I22" s="292">
        <v>0.2</v>
      </c>
      <c r="J22" s="2" t="s">
        <v>42</v>
      </c>
      <c r="K22" s="351" t="s">
        <v>78</v>
      </c>
      <c r="L22" s="296" t="s">
        <v>80</v>
      </c>
      <c r="M22" s="296" t="s">
        <v>80</v>
      </c>
      <c r="N22" s="296" t="s">
        <v>80</v>
      </c>
      <c r="O22" s="296" t="s">
        <v>80</v>
      </c>
      <c r="P22" s="296" t="s">
        <v>80</v>
      </c>
      <c r="Q22" s="297" t="s">
        <v>80</v>
      </c>
      <c r="S22" s="76"/>
      <c r="T22" s="78">
        <v>14</v>
      </c>
      <c r="U22" s="291">
        <v>0.1</v>
      </c>
      <c r="V22" s="292">
        <v>0.15</v>
      </c>
      <c r="W22" s="292">
        <v>0.15</v>
      </c>
      <c r="X22" s="292">
        <v>0.15</v>
      </c>
      <c r="Y22" s="292">
        <v>0.2</v>
      </c>
      <c r="Z22" s="293">
        <v>0.2</v>
      </c>
      <c r="AA22" s="293">
        <v>0.2</v>
      </c>
      <c r="AB22" s="30" t="s">
        <v>42</v>
      </c>
      <c r="AC22" s="296" t="s">
        <v>78</v>
      </c>
      <c r="AD22" s="296" t="s">
        <v>80</v>
      </c>
      <c r="AE22" s="296"/>
      <c r="AF22" s="296"/>
      <c r="AG22" s="296"/>
      <c r="AH22" s="296"/>
      <c r="AI22" s="296" t="s">
        <v>80</v>
      </c>
      <c r="AJ22" s="296" t="s">
        <v>80</v>
      </c>
      <c r="AK22" s="296" t="s">
        <v>80</v>
      </c>
      <c r="AL22" s="297" t="s">
        <v>80</v>
      </c>
      <c r="AM22" s="297" t="s">
        <v>80</v>
      </c>
    </row>
    <row r="23" spans="1:39" ht="12.75" x14ac:dyDescent="0.2">
      <c r="A23" s="78"/>
      <c r="B23" s="78">
        <v>29</v>
      </c>
      <c r="C23" s="299">
        <v>0.15</v>
      </c>
      <c r="D23" s="299">
        <v>0.2</v>
      </c>
      <c r="E23" s="299">
        <v>0.2</v>
      </c>
      <c r="F23" s="299">
        <v>0.2</v>
      </c>
      <c r="G23" s="299">
        <v>0.25</v>
      </c>
      <c r="H23" s="299">
        <v>0.25</v>
      </c>
      <c r="I23" s="292">
        <v>0.25</v>
      </c>
      <c r="K23" s="305">
        <v>0.2</v>
      </c>
      <c r="L23" s="294">
        <v>0.3</v>
      </c>
      <c r="M23" s="294">
        <v>0.3</v>
      </c>
      <c r="N23" s="294">
        <v>0.3</v>
      </c>
      <c r="O23" s="294">
        <v>0.3</v>
      </c>
      <c r="P23" s="294">
        <v>0.3</v>
      </c>
      <c r="Q23" s="295">
        <v>0.3</v>
      </c>
      <c r="S23" s="76"/>
      <c r="T23" s="78">
        <v>29</v>
      </c>
      <c r="U23" s="298">
        <v>0.15</v>
      </c>
      <c r="V23" s="299">
        <v>0.2</v>
      </c>
      <c r="W23" s="299">
        <v>0.2</v>
      </c>
      <c r="X23" s="299">
        <v>0.2</v>
      </c>
      <c r="Y23" s="299">
        <v>0.25</v>
      </c>
      <c r="Z23" s="352">
        <v>0.25</v>
      </c>
      <c r="AA23" s="293">
        <v>0.25</v>
      </c>
      <c r="AB23" s="30"/>
      <c r="AC23" s="300">
        <v>0.2</v>
      </c>
      <c r="AD23" s="294">
        <v>0.3</v>
      </c>
      <c r="AE23" s="294"/>
      <c r="AF23" s="294"/>
      <c r="AG23" s="294"/>
      <c r="AH23" s="294"/>
      <c r="AI23" s="294">
        <v>0.3</v>
      </c>
      <c r="AJ23" s="294">
        <v>0.3</v>
      </c>
      <c r="AK23" s="294">
        <v>0.3</v>
      </c>
      <c r="AL23" s="295">
        <v>0.3</v>
      </c>
      <c r="AM23" s="295">
        <v>0.3</v>
      </c>
    </row>
    <row r="24" spans="1:39" ht="12.75" x14ac:dyDescent="0.2">
      <c r="A24" s="103"/>
      <c r="B24" s="103">
        <v>33</v>
      </c>
      <c r="C24" s="353">
        <v>0.2</v>
      </c>
      <c r="D24" s="353">
        <v>0.3</v>
      </c>
      <c r="E24" s="353">
        <v>0.3</v>
      </c>
      <c r="F24" s="353">
        <v>0.3</v>
      </c>
      <c r="G24" s="353">
        <v>0.4</v>
      </c>
      <c r="H24" s="353">
        <v>0.4</v>
      </c>
      <c r="I24" s="362">
        <v>0.4</v>
      </c>
      <c r="J24" s="78" t="s">
        <v>276</v>
      </c>
      <c r="K24" s="351" t="s">
        <v>77</v>
      </c>
      <c r="L24" s="296" t="s">
        <v>77</v>
      </c>
      <c r="M24" s="296" t="s">
        <v>77</v>
      </c>
      <c r="N24" s="296" t="s">
        <v>77</v>
      </c>
      <c r="O24" s="296" t="s">
        <v>77</v>
      </c>
      <c r="P24" s="296" t="s">
        <v>77</v>
      </c>
      <c r="Q24" s="297" t="s">
        <v>80</v>
      </c>
      <c r="S24" s="76"/>
      <c r="T24" s="78">
        <v>33</v>
      </c>
      <c r="U24" s="298">
        <v>0.2</v>
      </c>
      <c r="V24" s="299">
        <v>0.3</v>
      </c>
      <c r="W24" s="299">
        <v>0.3</v>
      </c>
      <c r="X24" s="299">
        <v>0.3</v>
      </c>
      <c r="Y24" s="299">
        <v>0.4</v>
      </c>
      <c r="Z24" s="352">
        <v>0.4</v>
      </c>
      <c r="AA24" s="293">
        <v>0.4</v>
      </c>
      <c r="AB24" s="76" t="s">
        <v>276</v>
      </c>
      <c r="AC24" s="296" t="s">
        <v>77</v>
      </c>
      <c r="AD24" s="296" t="s">
        <v>77</v>
      </c>
      <c r="AE24" s="296"/>
      <c r="AF24" s="296"/>
      <c r="AG24" s="296"/>
      <c r="AH24" s="296"/>
      <c r="AI24" s="296" t="s">
        <v>77</v>
      </c>
      <c r="AJ24" s="296" t="s">
        <v>77</v>
      </c>
      <c r="AK24" s="296" t="s">
        <v>77</v>
      </c>
      <c r="AL24" s="296" t="s">
        <v>77</v>
      </c>
      <c r="AM24" s="297" t="s">
        <v>80</v>
      </c>
    </row>
    <row r="25" spans="1:39" ht="12.75" x14ac:dyDescent="0.2">
      <c r="A25" s="454" t="s">
        <v>277</v>
      </c>
      <c r="B25" s="374"/>
      <c r="C25" s="292">
        <f t="shared" ref="C25:H25" si="36">SUM(C20:C22)</f>
        <v>0.2</v>
      </c>
      <c r="D25" s="292">
        <f t="shared" si="36"/>
        <v>0.31</v>
      </c>
      <c r="E25" s="292">
        <f t="shared" si="36"/>
        <v>0.31</v>
      </c>
      <c r="F25" s="292">
        <f t="shared" si="36"/>
        <v>0.31</v>
      </c>
      <c r="G25" s="292">
        <f t="shared" si="36"/>
        <v>0.4</v>
      </c>
      <c r="H25" s="292">
        <f t="shared" si="36"/>
        <v>0.4</v>
      </c>
      <c r="I25" s="292">
        <f>SUM(I20:I24)</f>
        <v>1.05</v>
      </c>
      <c r="J25" s="78"/>
      <c r="K25" s="305">
        <v>0.4</v>
      </c>
      <c r="L25" s="300">
        <v>0.4</v>
      </c>
      <c r="M25" s="300">
        <v>0.4</v>
      </c>
      <c r="N25" s="300">
        <v>0.4</v>
      </c>
      <c r="O25" s="300">
        <v>0.4</v>
      </c>
      <c r="P25" s="300">
        <v>0.4</v>
      </c>
      <c r="Q25" s="295">
        <v>0.6</v>
      </c>
      <c r="S25" s="435" t="s">
        <v>277</v>
      </c>
      <c r="T25" s="389"/>
      <c r="U25" s="301">
        <f t="shared" ref="U25:Z25" si="37">SUM(U20:U22)</f>
        <v>0.2</v>
      </c>
      <c r="V25" s="302">
        <f t="shared" si="37"/>
        <v>0.31</v>
      </c>
      <c r="W25" s="302">
        <f t="shared" si="37"/>
        <v>0.31</v>
      </c>
      <c r="X25" s="302">
        <f t="shared" si="37"/>
        <v>0.31</v>
      </c>
      <c r="Y25" s="302">
        <f t="shared" si="37"/>
        <v>0.4</v>
      </c>
      <c r="Z25" s="302">
        <f t="shared" si="37"/>
        <v>0.4</v>
      </c>
      <c r="AA25" s="303">
        <f>SUM(AA20:AA24)</f>
        <v>1.05</v>
      </c>
      <c r="AB25" s="76"/>
      <c r="AC25" s="300">
        <v>0.4</v>
      </c>
      <c r="AD25" s="300">
        <v>0.4</v>
      </c>
      <c r="AE25" s="300"/>
      <c r="AF25" s="300"/>
      <c r="AG25" s="300"/>
      <c r="AH25" s="300"/>
      <c r="AI25" s="300">
        <v>0.4</v>
      </c>
      <c r="AJ25" s="300">
        <v>0.4</v>
      </c>
      <c r="AK25" s="300">
        <v>0.4</v>
      </c>
      <c r="AL25" s="300">
        <v>0.4</v>
      </c>
      <c r="AM25" s="295">
        <v>0.6</v>
      </c>
    </row>
    <row r="26" spans="1:39" ht="12.75" x14ac:dyDescent="0.2">
      <c r="A26" s="454" t="s">
        <v>278</v>
      </c>
      <c r="B26" s="374"/>
      <c r="C26" s="145">
        <v>0.35</v>
      </c>
      <c r="D26" s="145">
        <v>0.4</v>
      </c>
      <c r="E26" s="145">
        <v>0.45</v>
      </c>
      <c r="F26" s="145">
        <v>0.5</v>
      </c>
      <c r="G26" s="145">
        <v>0.55000000000000004</v>
      </c>
      <c r="H26" s="145">
        <v>0.6</v>
      </c>
      <c r="I26" s="145">
        <v>0.6</v>
      </c>
      <c r="J26" s="78" t="s">
        <v>279</v>
      </c>
      <c r="K26" s="351" t="s">
        <v>77</v>
      </c>
      <c r="L26" s="296" t="s">
        <v>77</v>
      </c>
      <c r="M26" s="296" t="s">
        <v>77</v>
      </c>
      <c r="N26" s="296" t="s">
        <v>77</v>
      </c>
      <c r="O26" s="296" t="s">
        <v>77</v>
      </c>
      <c r="P26" s="296" t="s">
        <v>77</v>
      </c>
      <c r="Q26" s="297" t="s">
        <v>80</v>
      </c>
      <c r="S26" s="436" t="s">
        <v>278</v>
      </c>
      <c r="T26" s="374"/>
      <c r="U26" s="256">
        <v>0.35</v>
      </c>
      <c r="V26" s="145">
        <v>0.4</v>
      </c>
      <c r="W26" s="145">
        <v>0.45</v>
      </c>
      <c r="X26" s="145">
        <v>0.5</v>
      </c>
      <c r="Y26" s="145">
        <v>0.55000000000000004</v>
      </c>
      <c r="Z26" s="304">
        <v>0.6</v>
      </c>
      <c r="AA26" s="304">
        <v>0.6</v>
      </c>
      <c r="AB26" s="76" t="s">
        <v>279</v>
      </c>
      <c r="AC26" s="296" t="s">
        <v>77</v>
      </c>
      <c r="AD26" s="296" t="s">
        <v>77</v>
      </c>
      <c r="AE26" s="296"/>
      <c r="AF26" s="296"/>
      <c r="AG26" s="296"/>
      <c r="AH26" s="296"/>
      <c r="AI26" s="296" t="s">
        <v>77</v>
      </c>
      <c r="AJ26" s="296" t="s">
        <v>77</v>
      </c>
      <c r="AK26" s="296" t="s">
        <v>77</v>
      </c>
      <c r="AL26" s="297" t="s">
        <v>77</v>
      </c>
      <c r="AM26" s="297" t="s">
        <v>80</v>
      </c>
    </row>
    <row r="27" spans="1:39" ht="12.75" x14ac:dyDescent="0.2">
      <c r="A27" s="2" t="s">
        <v>280</v>
      </c>
      <c r="C27" s="300">
        <f t="shared" ref="C27:I27" si="38">K28</f>
        <v>1.2000000000000002</v>
      </c>
      <c r="D27" s="300">
        <f t="shared" si="38"/>
        <v>1.2999999999999998</v>
      </c>
      <c r="E27" s="300">
        <f t="shared" si="38"/>
        <v>1.2999999999999998</v>
      </c>
      <c r="F27" s="300">
        <f t="shared" si="38"/>
        <v>1.2999999999999998</v>
      </c>
      <c r="G27" s="300">
        <f t="shared" si="38"/>
        <v>1.2999999999999998</v>
      </c>
      <c r="H27" s="300">
        <f t="shared" si="38"/>
        <v>1.2999999999999998</v>
      </c>
      <c r="I27" s="300">
        <f t="shared" si="38"/>
        <v>1.75</v>
      </c>
      <c r="K27" s="305">
        <v>0.25</v>
      </c>
      <c r="L27" s="300">
        <v>0.25</v>
      </c>
      <c r="M27" s="300">
        <v>0.25</v>
      </c>
      <c r="N27" s="300">
        <v>0.25</v>
      </c>
      <c r="O27" s="300">
        <v>0.25</v>
      </c>
      <c r="P27" s="300">
        <v>0.25</v>
      </c>
      <c r="Q27" s="295">
        <v>0.5</v>
      </c>
      <c r="S27" s="30" t="s">
        <v>280</v>
      </c>
      <c r="U27" s="305">
        <f t="shared" ref="U27:V27" si="39">AC28</f>
        <v>1.2000000000000002</v>
      </c>
      <c r="V27" s="300">
        <f t="shared" si="39"/>
        <v>1.2999999999999998</v>
      </c>
      <c r="W27" s="300">
        <f t="shared" ref="W27:AA27" si="40">AI28</f>
        <v>1.2999999999999998</v>
      </c>
      <c r="X27" s="300">
        <f t="shared" si="40"/>
        <v>1.2999999999999998</v>
      </c>
      <c r="Y27" s="300">
        <f t="shared" si="40"/>
        <v>1.2999999999999998</v>
      </c>
      <c r="Z27" s="306">
        <f t="shared" si="40"/>
        <v>1.2999999999999998</v>
      </c>
      <c r="AA27" s="306">
        <f t="shared" si="40"/>
        <v>1.75</v>
      </c>
      <c r="AB27" s="30"/>
      <c r="AC27" s="300">
        <v>0.25</v>
      </c>
      <c r="AD27" s="300">
        <v>0.25</v>
      </c>
      <c r="AE27" s="300"/>
      <c r="AF27" s="300"/>
      <c r="AG27" s="300"/>
      <c r="AH27" s="300"/>
      <c r="AI27" s="300">
        <v>0.25</v>
      </c>
      <c r="AJ27" s="300">
        <v>0.25</v>
      </c>
      <c r="AK27" s="300">
        <v>0.25</v>
      </c>
      <c r="AL27" s="300">
        <v>0.25</v>
      </c>
      <c r="AM27" s="295">
        <v>0.5</v>
      </c>
    </row>
    <row r="28" spans="1:39" ht="12.75" x14ac:dyDescent="0.2">
      <c r="A28" s="450" t="s">
        <v>240</v>
      </c>
      <c r="B28" s="429"/>
      <c r="C28" s="308">
        <v>1.7</v>
      </c>
      <c r="D28" s="308">
        <v>2.4</v>
      </c>
      <c r="E28" s="308">
        <v>3.1</v>
      </c>
      <c r="F28" s="308">
        <v>5</v>
      </c>
      <c r="G28" s="308">
        <v>5</v>
      </c>
      <c r="H28" s="308">
        <v>5</v>
      </c>
      <c r="I28" s="308">
        <v>5</v>
      </c>
      <c r="J28" s="347" t="s">
        <v>137</v>
      </c>
      <c r="K28" s="355">
        <f t="shared" ref="K28:Q28" si="41">SUM(K21:K27)</f>
        <v>1.2000000000000002</v>
      </c>
      <c r="L28" s="311">
        <f t="shared" si="41"/>
        <v>1.2999999999999998</v>
      </c>
      <c r="M28" s="311">
        <f t="shared" si="41"/>
        <v>1.2999999999999998</v>
      </c>
      <c r="N28" s="311">
        <f t="shared" si="41"/>
        <v>1.2999999999999998</v>
      </c>
      <c r="O28" s="311">
        <f t="shared" si="41"/>
        <v>1.2999999999999998</v>
      </c>
      <c r="P28" s="356">
        <f t="shared" si="41"/>
        <v>1.2999999999999998</v>
      </c>
      <c r="Q28" s="312">
        <f t="shared" si="41"/>
        <v>1.75</v>
      </c>
      <c r="S28" s="433" t="s">
        <v>240</v>
      </c>
      <c r="T28" s="429"/>
      <c r="U28" s="307">
        <v>1.7</v>
      </c>
      <c r="V28" s="308">
        <v>2.4</v>
      </c>
      <c r="W28" s="308">
        <v>3.1</v>
      </c>
      <c r="X28" s="308">
        <v>5</v>
      </c>
      <c r="Y28" s="308">
        <v>5</v>
      </c>
      <c r="Z28" s="309">
        <v>5</v>
      </c>
      <c r="AA28" s="309">
        <v>5</v>
      </c>
      <c r="AB28" s="310" t="s">
        <v>137</v>
      </c>
      <c r="AC28" s="311">
        <f t="shared" ref="AC28:AD28" si="42">SUM(AC21:AC27)</f>
        <v>1.2000000000000002</v>
      </c>
      <c r="AD28" s="311">
        <f t="shared" si="42"/>
        <v>1.2999999999999998</v>
      </c>
      <c r="AE28" s="357"/>
      <c r="AF28" s="357"/>
      <c r="AG28" s="357"/>
      <c r="AH28" s="357"/>
      <c r="AI28" s="311">
        <f t="shared" ref="AI28:AM28" si="43">SUM(AI21:AI27)</f>
        <v>1.2999999999999998</v>
      </c>
      <c r="AJ28" s="311">
        <f t="shared" si="43"/>
        <v>1.2999999999999998</v>
      </c>
      <c r="AK28" s="311">
        <f t="shared" si="43"/>
        <v>1.2999999999999998</v>
      </c>
      <c r="AL28" s="312">
        <f t="shared" si="43"/>
        <v>1.2999999999999998</v>
      </c>
      <c r="AM28" s="312">
        <f t="shared" si="43"/>
        <v>1.75</v>
      </c>
    </row>
    <row r="29" spans="1:39" ht="12.75" x14ac:dyDescent="0.2">
      <c r="A29" s="378" t="s">
        <v>137</v>
      </c>
      <c r="B29" s="374"/>
      <c r="C29" s="363">
        <f t="shared" ref="C29:I29" si="44">SUM(C25:C28)</f>
        <v>3.45</v>
      </c>
      <c r="D29" s="363">
        <f t="shared" si="44"/>
        <v>4.41</v>
      </c>
      <c r="E29" s="363">
        <f t="shared" si="44"/>
        <v>5.16</v>
      </c>
      <c r="F29" s="363">
        <f t="shared" si="44"/>
        <v>7.1099999999999994</v>
      </c>
      <c r="G29" s="363">
        <f t="shared" si="44"/>
        <v>7.25</v>
      </c>
      <c r="H29" s="363">
        <f t="shared" si="44"/>
        <v>7.3</v>
      </c>
      <c r="I29" s="363">
        <f t="shared" si="44"/>
        <v>8.4</v>
      </c>
      <c r="S29" s="437" t="s">
        <v>137</v>
      </c>
      <c r="T29" s="429"/>
      <c r="U29" s="313">
        <f t="shared" ref="U29:AA29" si="45">SUM(U25:U28)</f>
        <v>3.45</v>
      </c>
      <c r="V29" s="314">
        <f t="shared" si="45"/>
        <v>4.41</v>
      </c>
      <c r="W29" s="314">
        <f t="shared" si="45"/>
        <v>5.16</v>
      </c>
      <c r="X29" s="314">
        <f t="shared" si="45"/>
        <v>7.1099999999999994</v>
      </c>
      <c r="Y29" s="314">
        <f t="shared" si="45"/>
        <v>7.25</v>
      </c>
      <c r="Z29" s="315">
        <f t="shared" si="45"/>
        <v>7.3</v>
      </c>
      <c r="AA29" s="315">
        <f t="shared" si="45"/>
        <v>8.4</v>
      </c>
    </row>
    <row r="36" spans="1:1" ht="12.75" x14ac:dyDescent="0.2">
      <c r="A36" s="78"/>
    </row>
    <row r="37" spans="1:1" ht="12.75" x14ac:dyDescent="0.2">
      <c r="A37" s="78"/>
    </row>
    <row r="38" spans="1:1" ht="12.75" x14ac:dyDescent="0.2">
      <c r="A38" s="78"/>
    </row>
    <row r="39" spans="1:1" ht="12.75" x14ac:dyDescent="0.2">
      <c r="A39" s="78"/>
    </row>
    <row r="57" spans="19:20" ht="12.75" x14ac:dyDescent="0.2">
      <c r="S57" s="2" t="s">
        <v>306</v>
      </c>
      <c r="T57" s="303">
        <v>1.05</v>
      </c>
    </row>
    <row r="58" spans="19:20" ht="12.75" x14ac:dyDescent="0.2">
      <c r="S58" s="2" t="s">
        <v>307</v>
      </c>
      <c r="T58" s="304">
        <v>0.6</v>
      </c>
    </row>
    <row r="59" spans="19:20" ht="12.75" x14ac:dyDescent="0.2">
      <c r="S59" s="2" t="s">
        <v>308</v>
      </c>
      <c r="T59" s="306">
        <v>1.75</v>
      </c>
    </row>
    <row r="60" spans="19:20" ht="12.75" x14ac:dyDescent="0.2">
      <c r="S60" s="2" t="s">
        <v>309</v>
      </c>
      <c r="T60" s="309">
        <v>5</v>
      </c>
    </row>
    <row r="61" spans="19:20" ht="12.75" x14ac:dyDescent="0.2">
      <c r="S61" s="2" t="s">
        <v>137</v>
      </c>
      <c r="T61" s="315">
        <v>8.4</v>
      </c>
    </row>
  </sheetData>
  <mergeCells count="31">
    <mergeCell ref="B18:H18"/>
    <mergeCell ref="A19:B19"/>
    <mergeCell ref="J19:Q19"/>
    <mergeCell ref="A25:B25"/>
    <mergeCell ref="A26:B26"/>
    <mergeCell ref="S25:T25"/>
    <mergeCell ref="S26:T26"/>
    <mergeCell ref="S28:T28"/>
    <mergeCell ref="S29:T29"/>
    <mergeCell ref="A28:B28"/>
    <mergeCell ref="A29:B29"/>
    <mergeCell ref="A1:L1"/>
    <mergeCell ref="M1:P1"/>
    <mergeCell ref="S1:AD1"/>
    <mergeCell ref="AI1:AL1"/>
    <mergeCell ref="A2:J2"/>
    <mergeCell ref="K2:L2"/>
    <mergeCell ref="M2:M3"/>
    <mergeCell ref="N2:N3"/>
    <mergeCell ref="O2:O3"/>
    <mergeCell ref="S19:T19"/>
    <mergeCell ref="AB19:AL19"/>
    <mergeCell ref="AI2:AI3"/>
    <mergeCell ref="AJ2:AJ3"/>
    <mergeCell ref="AK2:AK3"/>
    <mergeCell ref="AL2:AL3"/>
    <mergeCell ref="P2:P3"/>
    <mergeCell ref="S2:T2"/>
    <mergeCell ref="U2:AB2"/>
    <mergeCell ref="AC2:AD2"/>
    <mergeCell ref="T18:Z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Grind Calculator</vt:lpstr>
      <vt:lpstr>Mantis Benefit by Tier</vt:lpstr>
      <vt:lpstr>All Mantis Researches</vt:lpstr>
      <vt:lpstr>Copy of Mantis Benefit by Tier</vt:lpstr>
      <vt:lpstr>Mantis Cargo</vt:lpstr>
      <vt:lpstr>Actian Hostile Loot</vt:lpstr>
      <vt:lpstr>Old Mantis Cargo Charts</vt:lpstr>
      <vt:lpstr>(PRE-BOOST) Mantis Cargo</vt:lpstr>
      <vt:lpstr>(PRE-BOOST) Simple Mantis Cargo</vt:lpstr>
      <vt:lpstr>Sheet10</vt:lpstr>
      <vt:lpstr>(PRE-BOOST) Mantis Benefit by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Pham</dc:creator>
  <cp:lastModifiedBy>Trung Pham</cp:lastModifiedBy>
  <dcterms:created xsi:type="dcterms:W3CDTF">2023-08-31T10:40:10Z</dcterms:created>
  <dcterms:modified xsi:type="dcterms:W3CDTF">2023-08-31T10:40:11Z</dcterms:modified>
</cp:coreProperties>
</file>