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rojects\stfc\"/>
    </mc:Choice>
  </mc:AlternateContent>
  <xr:revisionPtr revIDLastSave="0" documentId="13_ncr:1_{7F1E18D8-992D-44FD-A519-0B256835F12A}" xr6:coauthVersionLast="47" xr6:coauthVersionMax="47" xr10:uidLastSave="{00000000-0000-0000-0000-000000000000}"/>
  <bookViews>
    <workbookView xWindow="-8777" yWindow="9154" windowWidth="33120" windowHeight="18120" xr2:uid="{24078E2C-0817-45A4-978A-49D41094DD04}"/>
  </bookViews>
  <sheets>
    <sheet name="Temporal Artifacts" sheetId="1" r:id="rId1"/>
    <sheet name="Material Conversions" sheetId="4" r:id="rId2"/>
    <sheet name="Token Conversions" sheetId="5" r:id="rId3"/>
    <sheet name="Base Defense" sheetId="2" r:id="rId4"/>
    <sheet name="Crewing Idea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C5" i="5" s="1"/>
  <c r="C6" i="5" s="1"/>
  <c r="C4" i="4"/>
  <c r="B4" i="4"/>
  <c r="C19" i="4"/>
  <c r="B24" i="4"/>
  <c r="B23" i="4"/>
  <c r="B22" i="4"/>
  <c r="B19" i="4"/>
  <c r="C31" i="4"/>
  <c r="M31" i="4" s="1"/>
  <c r="C46" i="4"/>
  <c r="L46" i="4" s="1"/>
  <c r="C69" i="4"/>
  <c r="C68" i="4"/>
  <c r="C67" i="4"/>
  <c r="C65" i="4"/>
  <c r="C64" i="4"/>
  <c r="C63" i="4"/>
  <c r="C62" i="4"/>
  <c r="C61" i="4"/>
  <c r="C60" i="4"/>
  <c r="C59" i="4"/>
  <c r="C58" i="4"/>
  <c r="C66" i="4"/>
  <c r="B39" i="4"/>
  <c r="B31" i="4"/>
  <c r="B46" i="4"/>
  <c r="B47" i="4"/>
  <c r="B48" i="4"/>
  <c r="B69" i="4"/>
  <c r="B68" i="4"/>
  <c r="B67" i="4"/>
  <c r="B66" i="4"/>
  <c r="B65" i="4"/>
  <c r="B64" i="4"/>
  <c r="B63" i="4"/>
  <c r="B62" i="4"/>
  <c r="B61" i="4"/>
  <c r="B60" i="4"/>
  <c r="B59" i="4"/>
  <c r="B58" i="4"/>
  <c r="B76" i="4"/>
  <c r="B78" i="4"/>
  <c r="B77" i="4"/>
  <c r="B75" i="4"/>
  <c r="B74" i="4"/>
  <c r="B73" i="4"/>
  <c r="B79" i="4"/>
  <c r="B80" i="4"/>
  <c r="B81" i="4"/>
  <c r="C81" i="4"/>
  <c r="M81" i="4" s="1"/>
  <c r="C80" i="4"/>
  <c r="K80" i="4" s="1"/>
  <c r="C79" i="4"/>
  <c r="M79" i="4" s="1"/>
  <c r="C78" i="4"/>
  <c r="H78" i="4" s="1"/>
  <c r="C77" i="4"/>
  <c r="C76" i="4"/>
  <c r="C75" i="4"/>
  <c r="I75" i="4" s="1"/>
  <c r="C74" i="4"/>
  <c r="K74" i="4" s="1"/>
  <c r="C73" i="4"/>
  <c r="J75" i="4"/>
  <c r="J74" i="4"/>
  <c r="G75" i="4"/>
  <c r="F74" i="4"/>
  <c r="M54" i="4"/>
  <c r="L54" i="4"/>
  <c r="G49" i="4"/>
  <c r="H50" i="4"/>
  <c r="T3" i="4"/>
  <c r="T5" i="4"/>
  <c r="C54" i="4"/>
  <c r="J54" i="4" s="1"/>
  <c r="C53" i="4"/>
  <c r="I53" i="4" s="1"/>
  <c r="C52" i="4"/>
  <c r="J51" i="4" s="1"/>
  <c r="C51" i="4"/>
  <c r="L51" i="4" s="1"/>
  <c r="C50" i="4"/>
  <c r="F50" i="4" s="1"/>
  <c r="C49" i="4"/>
  <c r="K49" i="4" s="1"/>
  <c r="C48" i="4"/>
  <c r="K48" i="4" s="1"/>
  <c r="C47" i="4"/>
  <c r="M47" i="4" s="1"/>
  <c r="C42" i="4"/>
  <c r="O42" i="4" s="1"/>
  <c r="C41" i="4"/>
  <c r="C40" i="4"/>
  <c r="Q40" i="4" s="1"/>
  <c r="C39" i="4"/>
  <c r="O39" i="4" s="1"/>
  <c r="C38" i="4"/>
  <c r="C37" i="4"/>
  <c r="C36" i="4"/>
  <c r="G36" i="4" s="1"/>
  <c r="C35" i="4"/>
  <c r="N35" i="4" s="1"/>
  <c r="C34" i="4"/>
  <c r="C33" i="4"/>
  <c r="M34" i="4" s="1"/>
  <c r="C32" i="4"/>
  <c r="L32" i="4" s="1"/>
  <c r="B51" i="4"/>
  <c r="B50" i="4"/>
  <c r="B49" i="4"/>
  <c r="B52" i="4"/>
  <c r="B54" i="4"/>
  <c r="B53" i="4"/>
  <c r="B68" i="1"/>
  <c r="G46" i="4" l="1"/>
  <c r="J39" i="4"/>
  <c r="G35" i="4"/>
  <c r="H32" i="4"/>
  <c r="F32" i="4"/>
  <c r="L31" i="4"/>
  <c r="P31" i="4"/>
  <c r="N79" i="4"/>
  <c r="J78" i="4"/>
  <c r="G78" i="4"/>
  <c r="F75" i="4"/>
  <c r="K75" i="4"/>
  <c r="I74" i="4"/>
  <c r="H74" i="4"/>
  <c r="O31" i="4"/>
  <c r="G41" i="4"/>
  <c r="F78" i="4"/>
  <c r="L78" i="4"/>
  <c r="N80" i="4"/>
  <c r="I81" i="4"/>
  <c r="M78" i="4"/>
  <c r="J47" i="4"/>
  <c r="O36" i="4"/>
  <c r="L47" i="4"/>
  <c r="M51" i="4"/>
  <c r="K50" i="4"/>
  <c r="F36" i="4"/>
  <c r="J40" i="4"/>
  <c r="F51" i="4"/>
  <c r="L36" i="4"/>
  <c r="L40" i="4"/>
  <c r="N36" i="4"/>
  <c r="N40" i="4"/>
  <c r="K47" i="4"/>
  <c r="M36" i="4"/>
  <c r="K40" i="4"/>
  <c r="P36" i="4"/>
  <c r="N51" i="4"/>
  <c r="I32" i="4"/>
  <c r="G33" i="4"/>
  <c r="F33" i="4"/>
  <c r="K34" i="4"/>
  <c r="L33" i="4"/>
  <c r="J34" i="4"/>
  <c r="I33" i="4"/>
  <c r="L34" i="4"/>
  <c r="M33" i="4"/>
  <c r="J33" i="4"/>
  <c r="P33" i="4"/>
  <c r="Q33" i="4"/>
  <c r="O41" i="4"/>
  <c r="L41" i="4"/>
  <c r="Q41" i="4"/>
  <c r="N41" i="4"/>
  <c r="M41" i="4"/>
  <c r="J41" i="4"/>
  <c r="K41" i="4"/>
  <c r="F53" i="4"/>
  <c r="N75" i="4"/>
  <c r="L74" i="4"/>
  <c r="M74" i="4"/>
  <c r="F79" i="4"/>
  <c r="M75" i="4"/>
  <c r="N74" i="4"/>
  <c r="F76" i="4"/>
  <c r="J76" i="4"/>
  <c r="M76" i="4"/>
  <c r="K76" i="4"/>
  <c r="G76" i="4"/>
  <c r="N76" i="4"/>
  <c r="H76" i="4"/>
  <c r="L76" i="4"/>
  <c r="F80" i="4"/>
  <c r="L80" i="4"/>
  <c r="J80" i="4"/>
  <c r="G80" i="4"/>
  <c r="I80" i="4"/>
  <c r="P37" i="4"/>
  <c r="K37" i="4"/>
  <c r="H37" i="4"/>
  <c r="Q37" i="4"/>
  <c r="N37" i="4"/>
  <c r="J37" i="4"/>
  <c r="I37" i="4"/>
  <c r="F37" i="4"/>
  <c r="O37" i="4"/>
  <c r="M37" i="4"/>
  <c r="N48" i="4"/>
  <c r="L48" i="4"/>
  <c r="I48" i="4"/>
  <c r="F52" i="4"/>
  <c r="N52" i="4"/>
  <c r="M52" i="4"/>
  <c r="I52" i="4"/>
  <c r="K52" i="4"/>
  <c r="G37" i="4"/>
  <c r="L75" i="4"/>
  <c r="H80" i="4"/>
  <c r="O34" i="4"/>
  <c r="P34" i="4"/>
  <c r="N34" i="4"/>
  <c r="G34" i="4"/>
  <c r="H34" i="4"/>
  <c r="F34" i="4"/>
  <c r="O38" i="4"/>
  <c r="N38" i="4"/>
  <c r="L38" i="4"/>
  <c r="H38" i="4"/>
  <c r="P38" i="4"/>
  <c r="K38" i="4"/>
  <c r="I38" i="4"/>
  <c r="Q38" i="4"/>
  <c r="J38" i="4"/>
  <c r="G38" i="4"/>
  <c r="N42" i="4"/>
  <c r="K42" i="4"/>
  <c r="J42" i="4"/>
  <c r="G42" i="4"/>
  <c r="L42" i="4"/>
  <c r="H42" i="4"/>
  <c r="M42" i="4"/>
  <c r="L49" i="4"/>
  <c r="M49" i="4"/>
  <c r="J49" i="4"/>
  <c r="F49" i="4"/>
  <c r="N49" i="4"/>
  <c r="H49" i="4"/>
  <c r="L53" i="4"/>
  <c r="N53" i="4"/>
  <c r="K53" i="4"/>
  <c r="J48" i="4"/>
  <c r="J52" i="4"/>
  <c r="F38" i="4"/>
  <c r="J53" i="4"/>
  <c r="H41" i="4"/>
  <c r="K33" i="4"/>
  <c r="P42" i="4"/>
  <c r="M48" i="4"/>
  <c r="K73" i="4"/>
  <c r="J73" i="4"/>
  <c r="N73" i="4"/>
  <c r="G77" i="4"/>
  <c r="L77" i="4"/>
  <c r="F77" i="4"/>
  <c r="M77" i="4"/>
  <c r="J81" i="4"/>
  <c r="G81" i="4"/>
  <c r="F81" i="4"/>
  <c r="L81" i="4"/>
  <c r="K81" i="4"/>
  <c r="H81" i="4"/>
  <c r="N77" i="4"/>
  <c r="N31" i="4"/>
  <c r="G31" i="4"/>
  <c r="H31" i="4"/>
  <c r="K31" i="4"/>
  <c r="H35" i="4"/>
  <c r="F35" i="4"/>
  <c r="O35" i="4"/>
  <c r="L35" i="4"/>
  <c r="I35" i="4"/>
  <c r="P39" i="4"/>
  <c r="F39" i="4"/>
  <c r="Q39" i="4"/>
  <c r="K39" i="4"/>
  <c r="N46" i="4"/>
  <c r="K46" i="4"/>
  <c r="M50" i="4"/>
  <c r="L50" i="4"/>
  <c r="N50" i="4"/>
  <c r="H51" i="4"/>
  <c r="G50" i="4"/>
  <c r="I46" i="4"/>
  <c r="I47" i="4"/>
  <c r="I51" i="4"/>
  <c r="J31" i="4"/>
  <c r="K35" i="4"/>
  <c r="M39" i="4"/>
  <c r="Q35" i="4"/>
  <c r="I54" i="4"/>
  <c r="M46" i="4"/>
  <c r="L73" i="4"/>
  <c r="K77" i="4"/>
  <c r="Q32" i="4"/>
  <c r="M32" i="4"/>
  <c r="Q36" i="4"/>
  <c r="J36" i="4"/>
  <c r="H36" i="4"/>
  <c r="I36" i="4"/>
  <c r="M40" i="4"/>
  <c r="G40" i="4"/>
  <c r="H40" i="4"/>
  <c r="G51" i="4"/>
  <c r="J46" i="4"/>
  <c r="I50" i="4"/>
  <c r="G39" i="4"/>
  <c r="J32" i="4"/>
  <c r="K32" i="4"/>
  <c r="M35" i="4"/>
  <c r="L39" i="4"/>
  <c r="P35" i="4"/>
  <c r="P40" i="4"/>
  <c r="K54" i="4"/>
  <c r="N47" i="4"/>
  <c r="I31" i="4"/>
  <c r="G73" i="4"/>
  <c r="I77" i="4"/>
  <c r="H79" i="4"/>
  <c r="I78" i="4"/>
  <c r="K79" i="4"/>
  <c r="G79" i="4"/>
  <c r="I79" i="4"/>
  <c r="J79" i="4"/>
  <c r="N78" i="4"/>
  <c r="H77" i="4"/>
  <c r="H73" i="4"/>
  <c r="M73" i="4"/>
  <c r="I73" i="4"/>
  <c r="I39" i="4"/>
  <c r="F40" i="4"/>
  <c r="F41" i="4"/>
  <c r="F42" i="4"/>
  <c r="N32" i="4"/>
  <c r="P32" i="4"/>
  <c r="O33" i="4"/>
  <c r="H39" i="4"/>
  <c r="I40" i="4"/>
  <c r="I41" i="4"/>
  <c r="I42" i="4"/>
  <c r="Q31" i="4"/>
  <c r="N33" i="4"/>
  <c r="O32" i="4"/>
  <c r="Q34" i="4"/>
  <c r="G53" i="4"/>
  <c r="H52" i="4"/>
  <c r="H54" i="4"/>
  <c r="G52" i="4"/>
  <c r="G54" i="4"/>
  <c r="F54" i="4"/>
  <c r="H53" i="4"/>
  <c r="B42" i="4"/>
  <c r="B41" i="4"/>
  <c r="B40" i="4"/>
  <c r="B38" i="4"/>
  <c r="B37" i="4"/>
  <c r="B36" i="4"/>
  <c r="B35" i="4"/>
  <c r="B34" i="4"/>
  <c r="B33" i="4"/>
  <c r="B32" i="4"/>
  <c r="W4" i="4"/>
  <c r="W2" i="4"/>
  <c r="V2" i="4"/>
  <c r="V4" i="4"/>
  <c r="U4" i="4"/>
  <c r="O4" i="4"/>
  <c r="B5" i="4"/>
  <c r="B6" i="4"/>
  <c r="B7" i="4"/>
  <c r="B8" i="4"/>
  <c r="B9" i="4"/>
  <c r="B10" i="4"/>
  <c r="B11" i="4"/>
  <c r="B12" i="4"/>
  <c r="B13" i="4"/>
  <c r="B14" i="4"/>
  <c r="B15" i="4"/>
  <c r="B21" i="4"/>
  <c r="B20" i="4"/>
  <c r="C23" i="4"/>
  <c r="K23" i="4" s="1"/>
  <c r="C24" i="4"/>
  <c r="J24" i="4" s="1"/>
  <c r="C22" i="4"/>
  <c r="K22" i="4" s="1"/>
  <c r="C20" i="4"/>
  <c r="C21" i="4"/>
  <c r="C13" i="4"/>
  <c r="F13" i="4" s="1"/>
  <c r="C14" i="4"/>
  <c r="I14" i="4" s="1"/>
  <c r="C15" i="4"/>
  <c r="G15" i="4" s="1"/>
  <c r="C12" i="4"/>
  <c r="G12" i="4" s="1"/>
  <c r="C9" i="4"/>
  <c r="C10" i="4"/>
  <c r="C11" i="4"/>
  <c r="C8" i="4"/>
  <c r="C5" i="4"/>
  <c r="P5" i="4" s="1"/>
  <c r="C6" i="4"/>
  <c r="O6" i="4" s="1"/>
  <c r="C7" i="4"/>
  <c r="W5" i="4"/>
  <c r="D63" i="1"/>
  <c r="D60" i="1"/>
  <c r="D64" i="1"/>
  <c r="D62" i="1"/>
  <c r="D58" i="1"/>
  <c r="D57" i="1"/>
  <c r="F27" i="1"/>
  <c r="F26" i="1"/>
  <c r="F25" i="1"/>
  <c r="F24" i="1"/>
  <c r="F23" i="1"/>
  <c r="F22" i="1"/>
  <c r="F21" i="1"/>
  <c r="F20" i="1"/>
  <c r="F19" i="1"/>
  <c r="F18" i="1"/>
  <c r="D59" i="1"/>
  <c r="F7" i="1"/>
  <c r="F8" i="1"/>
  <c r="F9" i="1"/>
  <c r="F10" i="1"/>
  <c r="F11" i="1"/>
  <c r="F12" i="1"/>
  <c r="F13" i="1"/>
  <c r="F14" i="1"/>
  <c r="F15" i="1"/>
  <c r="F16" i="1"/>
  <c r="F17" i="1"/>
  <c r="F3" i="1"/>
  <c r="F5" i="1"/>
  <c r="D61" i="1"/>
  <c r="D35" i="1"/>
  <c r="C34" i="1"/>
  <c r="C35" i="1"/>
  <c r="C36" i="1"/>
  <c r="C37" i="1"/>
  <c r="C38" i="1"/>
  <c r="C39" i="1"/>
  <c r="C40" i="1"/>
  <c r="B34" i="1"/>
  <c r="B35" i="1"/>
  <c r="B36" i="1"/>
  <c r="B37" i="1"/>
  <c r="B38" i="1"/>
  <c r="B39" i="1"/>
  <c r="B40" i="1"/>
  <c r="D33" i="1"/>
  <c r="B33" i="1"/>
  <c r="C33" i="1"/>
  <c r="D34" i="1"/>
  <c r="D36" i="1"/>
  <c r="D37" i="1"/>
  <c r="D38" i="1"/>
  <c r="D39" i="1"/>
  <c r="D40" i="1"/>
  <c r="D50" i="1"/>
  <c r="D51" i="1"/>
  <c r="D52" i="1"/>
  <c r="D53" i="1"/>
  <c r="D54" i="1"/>
  <c r="D55" i="1"/>
  <c r="D56" i="1"/>
  <c r="D48" i="1"/>
  <c r="D49" i="1"/>
  <c r="D47" i="1"/>
  <c r="B69" i="1" l="1"/>
  <c r="B70" i="1" s="1"/>
  <c r="Q5" i="4"/>
  <c r="Q6" i="4"/>
  <c r="H14" i="4"/>
  <c r="N5" i="4"/>
  <c r="G13" i="4"/>
  <c r="I13" i="4"/>
  <c r="O8" i="4"/>
  <c r="F8" i="4"/>
  <c r="P8" i="4"/>
  <c r="N8" i="4"/>
  <c r="L8" i="4"/>
  <c r="G8" i="4"/>
  <c r="M8" i="4"/>
  <c r="H8" i="4"/>
  <c r="Q8" i="4"/>
  <c r="K8" i="4"/>
  <c r="I8" i="4"/>
  <c r="K7" i="4"/>
  <c r="J7" i="4"/>
  <c r="L7" i="4"/>
  <c r="P7" i="4"/>
  <c r="M7" i="4"/>
  <c r="N15" i="4"/>
  <c r="P15" i="4"/>
  <c r="K15" i="4"/>
  <c r="J15" i="4"/>
  <c r="L15" i="4"/>
  <c r="M15" i="4"/>
  <c r="O15" i="4"/>
  <c r="F21" i="4"/>
  <c r="I21" i="4"/>
  <c r="Q59" i="4"/>
  <c r="L59" i="4"/>
  <c r="F59" i="4"/>
  <c r="M59" i="4"/>
  <c r="N59" i="4"/>
  <c r="K59" i="4"/>
  <c r="I59" i="4"/>
  <c r="P59" i="4"/>
  <c r="O59" i="4"/>
  <c r="J59" i="4"/>
  <c r="H59" i="4"/>
  <c r="L67" i="4"/>
  <c r="J67" i="4"/>
  <c r="H67" i="4"/>
  <c r="F67" i="4"/>
  <c r="N67" i="4"/>
  <c r="M67" i="4"/>
  <c r="I67" i="4"/>
  <c r="G67" i="4"/>
  <c r="Q67" i="4"/>
  <c r="K67" i="4"/>
  <c r="P67" i="4"/>
  <c r="L6" i="4"/>
  <c r="M6" i="4"/>
  <c r="J6" i="4"/>
  <c r="N6" i="4"/>
  <c r="K6" i="4"/>
  <c r="N10" i="4"/>
  <c r="K10" i="4"/>
  <c r="F10" i="4"/>
  <c r="O10" i="4"/>
  <c r="J10" i="4"/>
  <c r="G10" i="4"/>
  <c r="P10" i="4"/>
  <c r="H10" i="4"/>
  <c r="Q10" i="4"/>
  <c r="M10" i="4"/>
  <c r="I10" i="4"/>
  <c r="L14" i="4"/>
  <c r="Q14" i="4"/>
  <c r="M14" i="4"/>
  <c r="J14" i="4"/>
  <c r="N14" i="4"/>
  <c r="K14" i="4"/>
  <c r="O14" i="4"/>
  <c r="J20" i="4"/>
  <c r="H20" i="4"/>
  <c r="F20" i="4"/>
  <c r="I15" i="4"/>
  <c r="Q4" i="4"/>
  <c r="O7" i="4"/>
  <c r="G14" i="4"/>
  <c r="Q7" i="4"/>
  <c r="Q12" i="4"/>
  <c r="F12" i="4"/>
  <c r="O12" i="4"/>
  <c r="K12" i="4"/>
  <c r="I12" i="4"/>
  <c r="J12" i="4"/>
  <c r="P12" i="4"/>
  <c r="M12" i="4"/>
  <c r="L12" i="4"/>
  <c r="J19" i="4"/>
  <c r="G19" i="4"/>
  <c r="H19" i="4"/>
  <c r="K4" i="4"/>
  <c r="M4" i="4"/>
  <c r="J4" i="4"/>
  <c r="L4" i="4"/>
  <c r="P4" i="4"/>
  <c r="Q11" i="4"/>
  <c r="K11" i="4"/>
  <c r="F11" i="4"/>
  <c r="L11" i="4"/>
  <c r="G11" i="4"/>
  <c r="P11" i="4"/>
  <c r="I11" i="4"/>
  <c r="J11" i="4"/>
  <c r="N11" i="4"/>
  <c r="H11" i="4"/>
  <c r="O11" i="4"/>
  <c r="O61" i="4"/>
  <c r="J61" i="4"/>
  <c r="P61" i="4"/>
  <c r="N61" i="4"/>
  <c r="K61" i="4"/>
  <c r="H61" i="4"/>
  <c r="L61" i="4"/>
  <c r="G61" i="4"/>
  <c r="F61" i="4"/>
  <c r="M61" i="4"/>
  <c r="Q61" i="4"/>
  <c r="M63" i="4"/>
  <c r="G63" i="4"/>
  <c r="F63" i="4"/>
  <c r="O63" i="4"/>
  <c r="J63" i="4"/>
  <c r="H63" i="4"/>
  <c r="Q63" i="4"/>
  <c r="L63" i="4"/>
  <c r="P63" i="4"/>
  <c r="N63" i="4"/>
  <c r="I63" i="4"/>
  <c r="P65" i="4"/>
  <c r="I65" i="4"/>
  <c r="Q65" i="4"/>
  <c r="J65" i="4"/>
  <c r="N65" i="4"/>
  <c r="L65" i="4"/>
  <c r="H65" i="4"/>
  <c r="G65" i="4"/>
  <c r="O65" i="4"/>
  <c r="K65" i="4"/>
  <c r="F65" i="4"/>
  <c r="K69" i="4"/>
  <c r="G69" i="4"/>
  <c r="P69" i="4"/>
  <c r="N69" i="4"/>
  <c r="M69" i="4"/>
  <c r="I69" i="4"/>
  <c r="H69" i="4"/>
  <c r="F69" i="4"/>
  <c r="J69" i="4"/>
  <c r="L69" i="4"/>
  <c r="O69" i="4"/>
  <c r="F15" i="4"/>
  <c r="N7" i="4"/>
  <c r="H12" i="4"/>
  <c r="M5" i="4"/>
  <c r="J5" i="4"/>
  <c r="L5" i="4"/>
  <c r="K5" i="4"/>
  <c r="O9" i="4"/>
  <c r="J9" i="4"/>
  <c r="F9" i="4"/>
  <c r="P9" i="4"/>
  <c r="G9" i="4"/>
  <c r="N9" i="4"/>
  <c r="L9" i="4"/>
  <c r="I9" i="4"/>
  <c r="M9" i="4"/>
  <c r="Q9" i="4"/>
  <c r="H9" i="4"/>
  <c r="Q13" i="4"/>
  <c r="M13" i="4"/>
  <c r="P13" i="4"/>
  <c r="L13" i="4"/>
  <c r="K13" i="4"/>
  <c r="N13" i="4"/>
  <c r="J13" i="4"/>
  <c r="O58" i="4"/>
  <c r="M58" i="4"/>
  <c r="G58" i="4"/>
  <c r="H58" i="4"/>
  <c r="P58" i="4"/>
  <c r="I58" i="4"/>
  <c r="J58" i="4"/>
  <c r="Q58" i="4"/>
  <c r="K58" i="4"/>
  <c r="N58" i="4"/>
  <c r="L58" i="4"/>
  <c r="P60" i="4"/>
  <c r="K60" i="4"/>
  <c r="G60" i="4"/>
  <c r="Q60" i="4"/>
  <c r="L60" i="4"/>
  <c r="J60" i="4"/>
  <c r="I60" i="4"/>
  <c r="O60" i="4"/>
  <c r="N60" i="4"/>
  <c r="M60" i="4"/>
  <c r="F60" i="4"/>
  <c r="O62" i="4"/>
  <c r="H62" i="4"/>
  <c r="P62" i="4"/>
  <c r="N62" i="4"/>
  <c r="I62" i="4"/>
  <c r="F62" i="4"/>
  <c r="L62" i="4"/>
  <c r="M62" i="4"/>
  <c r="Q62" i="4"/>
  <c r="G62" i="4"/>
  <c r="K62" i="4"/>
  <c r="Q64" i="4"/>
  <c r="N64" i="4"/>
  <c r="K64" i="4"/>
  <c r="M64" i="4"/>
  <c r="G64" i="4"/>
  <c r="P64" i="4"/>
  <c r="I64" i="4"/>
  <c r="F64" i="4"/>
  <c r="J64" i="4"/>
  <c r="O64" i="4"/>
  <c r="H64" i="4"/>
  <c r="O66" i="4"/>
  <c r="J66" i="4"/>
  <c r="F66" i="4"/>
  <c r="P66" i="4"/>
  <c r="K66" i="4"/>
  <c r="G66" i="4"/>
  <c r="I66" i="4"/>
  <c r="N66" i="4"/>
  <c r="L66" i="4"/>
  <c r="M66" i="4"/>
  <c r="Q66" i="4"/>
  <c r="H66" i="4"/>
  <c r="O68" i="4"/>
  <c r="N68" i="4"/>
  <c r="K68" i="4"/>
  <c r="G68" i="4"/>
  <c r="Q68" i="4"/>
  <c r="L68" i="4"/>
  <c r="H68" i="4"/>
  <c r="J68" i="4"/>
  <c r="M68" i="4"/>
  <c r="F68" i="4"/>
  <c r="I68" i="4"/>
  <c r="O5" i="4"/>
  <c r="N4" i="4"/>
  <c r="F14" i="4"/>
  <c r="P6" i="4"/>
  <c r="H15" i="4"/>
  <c r="H13" i="4"/>
  <c r="F48" i="4"/>
  <c r="G48" i="4"/>
  <c r="H47" i="4"/>
  <c r="F47" i="4"/>
  <c r="H46" i="4"/>
  <c r="I19" i="4"/>
  <c r="G21" i="4"/>
  <c r="F23" i="4"/>
  <c r="H24" i="4"/>
  <c r="K21" i="4"/>
  <c r="I20" i="4"/>
  <c r="H23" i="4"/>
  <c r="K20" i="4"/>
  <c r="J22" i="4"/>
  <c r="H22" i="4"/>
  <c r="G24" i="4"/>
  <c r="I24" i="4"/>
  <c r="G22" i="4"/>
  <c r="G23" i="4"/>
  <c r="K19" i="4"/>
  <c r="J21" i="4"/>
  <c r="I23" i="4"/>
  <c r="F22" i="4"/>
  <c r="F24" i="4"/>
  <c r="F2" i="1"/>
  <c r="F6" i="1"/>
  <c r="F4" i="1"/>
  <c r="B71" i="1" l="1"/>
</calcChain>
</file>

<file path=xl/sharedStrings.xml><?xml version="1.0" encoding="utf-8"?>
<sst xmlns="http://schemas.openxmlformats.org/spreadsheetml/2006/main" count="752" uniqueCount="329">
  <si>
    <t>Book of the Kosst Amojan</t>
  </si>
  <si>
    <t>Guardian of Forever</t>
  </si>
  <si>
    <t>Boreth Time Crystal</t>
  </si>
  <si>
    <t>Iconian Gateway</t>
  </si>
  <si>
    <t>Krulmuth-B Portal</t>
  </si>
  <si>
    <t>Level 3</t>
  </si>
  <si>
    <t>Level 4</t>
  </si>
  <si>
    <t>Level 5</t>
  </si>
  <si>
    <t>Level 6</t>
  </si>
  <si>
    <t>Level 7</t>
  </si>
  <si>
    <t>Level 8</t>
  </si>
  <si>
    <t>Artifact Name</t>
  </si>
  <si>
    <t>Disruptor Cost</t>
  </si>
  <si>
    <t>Orb of Prophecy</t>
  </si>
  <si>
    <t>Orb of Time</t>
  </si>
  <si>
    <t>Orb of the Emissary</t>
  </si>
  <si>
    <t>The Great Eye of Ara</t>
  </si>
  <si>
    <t>Jaheelah</t>
  </si>
  <si>
    <t>Nero's Trident</t>
  </si>
  <si>
    <t>Chroniton Sample</t>
  </si>
  <si>
    <t>La'an's 21st Century Watch</t>
  </si>
  <si>
    <t>Temporal Observatory</t>
  </si>
  <si>
    <t>Stone of Memory</t>
  </si>
  <si>
    <t>Kir'Shara</t>
  </si>
  <si>
    <t>Disruptors per Shard</t>
  </si>
  <si>
    <t>Convertible Artifacts</t>
  </si>
  <si>
    <t>Disruptors Obtainable</t>
  </si>
  <si>
    <t>Level 9</t>
  </si>
  <si>
    <t>Level 10</t>
  </si>
  <si>
    <t>Level 11</t>
  </si>
  <si>
    <t>Level 12</t>
  </si>
  <si>
    <t>Epic</t>
  </si>
  <si>
    <t>Rare</t>
  </si>
  <si>
    <t>Uncommon</t>
  </si>
  <si>
    <t>Current Artifact Level</t>
  </si>
  <si>
    <t>Level 1</t>
  </si>
  <si>
    <t>Level 2</t>
  </si>
  <si>
    <t>Base Artifact Shard Cost</t>
  </si>
  <si>
    <t>N/A</t>
  </si>
  <si>
    <t>Type</t>
  </si>
  <si>
    <t>Temporal</t>
  </si>
  <si>
    <t>Artifact Cost with Efficiencies</t>
  </si>
  <si>
    <t>Temporal Remnant Cost</t>
  </si>
  <si>
    <t>Rarity</t>
  </si>
  <si>
    <t>Disruptor Cost Per Artifact Shard</t>
  </si>
  <si>
    <t>Shard On Hand</t>
  </si>
  <si>
    <t>Principles:</t>
  </si>
  <si>
    <t>Hull Breach across several ships</t>
  </si>
  <si>
    <t>Burning across several ships</t>
  </si>
  <si>
    <t>Maximize output on biggest ships</t>
  </si>
  <si>
    <t>Morale on biggest ships where possible</t>
  </si>
  <si>
    <t>Borg Cube</t>
  </si>
  <si>
    <t>Captain</t>
  </si>
  <si>
    <t>Officer</t>
  </si>
  <si>
    <t>BD 1</t>
  </si>
  <si>
    <t>BD 2</t>
  </si>
  <si>
    <t>BD 3</t>
  </si>
  <si>
    <t>BD 4</t>
  </si>
  <si>
    <t>BD 5</t>
  </si>
  <si>
    <t>BD 6</t>
  </si>
  <si>
    <t>BD 7</t>
  </si>
  <si>
    <t>C Freeman</t>
  </si>
  <si>
    <t>Damage</t>
  </si>
  <si>
    <t>Mitigation</t>
  </si>
  <si>
    <t>Stats</t>
  </si>
  <si>
    <t>Morale</t>
  </si>
  <si>
    <t>State</t>
  </si>
  <si>
    <t>HG Worf</t>
  </si>
  <si>
    <t>Negh'Var</t>
  </si>
  <si>
    <t>Enterprise-D</t>
  </si>
  <si>
    <t>Rotarran</t>
  </si>
  <si>
    <t>Akira</t>
  </si>
  <si>
    <t>Minerva</t>
  </si>
  <si>
    <t>Revenant</t>
  </si>
  <si>
    <t>Battleship</t>
  </si>
  <si>
    <t>Explorer</t>
  </si>
  <si>
    <t>Interceptor</t>
  </si>
  <si>
    <t>Ship</t>
  </si>
  <si>
    <t>Power</t>
  </si>
  <si>
    <t>FT</t>
  </si>
  <si>
    <t>CT</t>
  </si>
  <si>
    <t>Q Cannon</t>
  </si>
  <si>
    <t>Metreon Cascade</t>
  </si>
  <si>
    <t>Tothian Mines</t>
  </si>
  <si>
    <t>S31 Torpedo Pods</t>
  </si>
  <si>
    <t>Control Probe</t>
  </si>
  <si>
    <t>Electromagnetic Lute</t>
  </si>
  <si>
    <t>Thought Maker</t>
  </si>
  <si>
    <t>Interphasic Mirror</t>
  </si>
  <si>
    <t>-</t>
  </si>
  <si>
    <t>Borg Nanoplating</t>
  </si>
  <si>
    <t>Multiphasic Chamber</t>
  </si>
  <si>
    <t>Khan</t>
  </si>
  <si>
    <t>Crit %</t>
  </si>
  <si>
    <t>Tendi</t>
  </si>
  <si>
    <t>Hull + Stats</t>
  </si>
  <si>
    <t>Mariner</t>
  </si>
  <si>
    <t>Damage + Stats</t>
  </si>
  <si>
    <t>Georgiou</t>
  </si>
  <si>
    <t>Burning</t>
  </si>
  <si>
    <t>Place</t>
  </si>
  <si>
    <t>Below Deck</t>
  </si>
  <si>
    <t>Additive</t>
  </si>
  <si>
    <t>JLP</t>
  </si>
  <si>
    <t>Captain/Officer</t>
  </si>
  <si>
    <t>Stat Boost + Crit Damage</t>
  </si>
  <si>
    <t>Pike</t>
  </si>
  <si>
    <t>Stat Boost</t>
  </si>
  <si>
    <t>Gorkon</t>
  </si>
  <si>
    <t>Hull Breach</t>
  </si>
  <si>
    <t>Nero</t>
  </si>
  <si>
    <t>Lorca</t>
  </si>
  <si>
    <t>PIC Hugh</t>
  </si>
  <si>
    <t>Hull Regen</t>
  </si>
  <si>
    <t>Dezoc</t>
  </si>
  <si>
    <t>Assimilate</t>
  </si>
  <si>
    <t>Borg Queen</t>
  </si>
  <si>
    <t>Navi</t>
  </si>
  <si>
    <t>Rima</t>
  </si>
  <si>
    <t>One of Eleven</t>
  </si>
  <si>
    <t>Shield mitigation</t>
  </si>
  <si>
    <t>Sela</t>
  </si>
  <si>
    <t>Enemy crit % decrease</t>
  </si>
  <si>
    <t>SNW Pelia</t>
  </si>
  <si>
    <t>Isolytic Defense</t>
  </si>
  <si>
    <t>Charvanek</t>
  </si>
  <si>
    <t>Marcus</t>
  </si>
  <si>
    <t>TOS Spock</t>
  </si>
  <si>
    <t>notes</t>
  </si>
  <si>
    <t>with assimilate</t>
  </si>
  <si>
    <t>with hull breach</t>
  </si>
  <si>
    <t>Mitigation bypass</t>
  </si>
  <si>
    <t>Crit Damage</t>
  </si>
  <si>
    <t>Mirror Picard</t>
  </si>
  <si>
    <t>Quasi</t>
  </si>
  <si>
    <t>Mirror Data</t>
  </si>
  <si>
    <t>Infiltrator Tuvok</t>
  </si>
  <si>
    <t>Icheb</t>
  </si>
  <si>
    <t>Gul Dukat</t>
  </si>
  <si>
    <t>Hull Breach?</t>
  </si>
  <si>
    <t>Burning?</t>
  </si>
  <si>
    <t>Morale?</t>
  </si>
  <si>
    <t>Yes</t>
  </si>
  <si>
    <t>Assimilate?</t>
  </si>
  <si>
    <t>Damar</t>
  </si>
  <si>
    <t>Role</t>
  </si>
  <si>
    <t>Base Mitigation</t>
  </si>
  <si>
    <t>TOS Kirk</t>
  </si>
  <si>
    <t>TOS Uhura</t>
  </si>
  <si>
    <t>Andy Billups</t>
  </si>
  <si>
    <t>Starfleet Q</t>
  </si>
  <si>
    <t>French Marshal Q</t>
  </si>
  <si>
    <t>Mariachi Q</t>
  </si>
  <si>
    <t>Quv'Sompek</t>
  </si>
  <si>
    <t>ST SNW L'a'an</t>
  </si>
  <si>
    <t>Shaxs</t>
  </si>
  <si>
    <t>ST SNW Una</t>
  </si>
  <si>
    <t>Employ all three strike teams</t>
  </si>
  <si>
    <t>Weyoun</t>
  </si>
  <si>
    <t>Pon</t>
  </si>
  <si>
    <t>Jack Ransom</t>
  </si>
  <si>
    <t>Tantalus Field</t>
  </si>
  <si>
    <t>Gossa</t>
  </si>
  <si>
    <t>Soran</t>
  </si>
  <si>
    <t>Romi</t>
  </si>
  <si>
    <t>Miss Q</t>
  </si>
  <si>
    <t>5 of 11</t>
  </si>
  <si>
    <t>S31 Georgiou</t>
  </si>
  <si>
    <t>DeMarco</t>
  </si>
  <si>
    <t>Seven of Nine</t>
  </si>
  <si>
    <t>Odo</t>
  </si>
  <si>
    <t>Doctor T'ana</t>
  </si>
  <si>
    <t>Kira Nirys</t>
  </si>
  <si>
    <t>Sam Rutherford</t>
  </si>
  <si>
    <t>Badgey</t>
  </si>
  <si>
    <t>Dane</t>
  </si>
  <si>
    <t>Boimler</t>
  </si>
  <si>
    <t>Toli</t>
  </si>
  <si>
    <t>Naga Delvos</t>
  </si>
  <si>
    <t>Miles O'Brien</t>
  </si>
  <si>
    <t>DAMAGE</t>
  </si>
  <si>
    <t>BD</t>
  </si>
  <si>
    <t>Beverly</t>
  </si>
  <si>
    <t>e-Data</t>
  </si>
  <si>
    <t>Hugh</t>
  </si>
  <si>
    <t>Torres</t>
  </si>
  <si>
    <t>Neelix</t>
  </si>
  <si>
    <t>Kim</t>
  </si>
  <si>
    <t>Chapel</t>
  </si>
  <si>
    <t>L66 Hostiles Killed</t>
  </si>
  <si>
    <t>Theory</t>
  </si>
  <si>
    <t>Annorax</t>
  </si>
  <si>
    <t>M'Benga</t>
  </si>
  <si>
    <t>Outcome</t>
  </si>
  <si>
    <t>Isolytic damage is most effective</t>
  </si>
  <si>
    <t>It isn't</t>
  </si>
  <si>
    <t>Stacking Apex Barrier is most effective</t>
  </si>
  <si>
    <t>4x over isolytic cascade</t>
  </si>
  <si>
    <t>SHP increase</t>
  </si>
  <si>
    <t>Shield Regeneration</t>
  </si>
  <si>
    <t>Seska</t>
  </si>
  <si>
    <t>Apex Shred</t>
  </si>
  <si>
    <t>Ideas</t>
  </si>
  <si>
    <t>Max Apex</t>
  </si>
  <si>
    <t>Max Isolytic</t>
  </si>
  <si>
    <t>Max hull/shield regen</t>
  </si>
  <si>
    <t>Disruptors to MAX</t>
  </si>
  <si>
    <t>Max Critical Hit Damage</t>
  </si>
  <si>
    <t>Doctor</t>
  </si>
  <si>
    <t>Weapon Delay</t>
  </si>
  <si>
    <t>Chang</t>
  </si>
  <si>
    <t>Spock</t>
  </si>
  <si>
    <t>Five/11</t>
  </si>
  <si>
    <t>eData</t>
  </si>
  <si>
    <t>Krenim Time Weapon</t>
  </si>
  <si>
    <t>Janeway's Pocket Watch</t>
  </si>
  <si>
    <t>Geordi Visor</t>
  </si>
  <si>
    <t>Saltah'na Clock</t>
  </si>
  <si>
    <t>Zokonian Storage Capsule</t>
  </si>
  <si>
    <t>Sarek's Vulcan Necklace</t>
  </si>
  <si>
    <t>Emperor Georgiou's Sword</t>
  </si>
  <si>
    <t>Classic Phaser</t>
  </si>
  <si>
    <t>Glavin</t>
  </si>
  <si>
    <t>Classic Tricorder</t>
  </si>
  <si>
    <t>Shard Count</t>
  </si>
  <si>
    <t>U E</t>
  </si>
  <si>
    <t>R E</t>
  </si>
  <si>
    <t>REC</t>
  </si>
  <si>
    <t>C I</t>
  </si>
  <si>
    <t>C B</t>
  </si>
  <si>
    <t>C E</t>
  </si>
  <si>
    <t>C S</t>
  </si>
  <si>
    <t>U I</t>
  </si>
  <si>
    <t>U B</t>
  </si>
  <si>
    <t>U S</t>
  </si>
  <si>
    <t>R I</t>
  </si>
  <si>
    <t>R B</t>
  </si>
  <si>
    <t>R S</t>
  </si>
  <si>
    <t>Parts</t>
  </si>
  <si>
    <t>Materials</t>
  </si>
  <si>
    <t>GIVE</t>
  </si>
  <si>
    <t>x</t>
  </si>
  <si>
    <t>Common Interceptor</t>
  </si>
  <si>
    <t>Common Battleship</t>
  </si>
  <si>
    <t>Rare Give</t>
  </si>
  <si>
    <t>Common Explorer</t>
  </si>
  <si>
    <t>Rare Receive</t>
  </si>
  <si>
    <t>Common Survey</t>
  </si>
  <si>
    <t>Uncommon Interceptor</t>
  </si>
  <si>
    <t>Uncommon Battleship</t>
  </si>
  <si>
    <t>Uncommon Explorer</t>
  </si>
  <si>
    <t>Uncommon Survey</t>
  </si>
  <si>
    <t>Rare Interceptor</t>
  </si>
  <si>
    <t>Rare Battleship</t>
  </si>
  <si>
    <t>Rare Explorer</t>
  </si>
  <si>
    <t>Rare Survey</t>
  </si>
  <si>
    <t>Uncommon Crystal</t>
  </si>
  <si>
    <t>Uncommon Gas</t>
  </si>
  <si>
    <t>Uncommon Ore</t>
  </si>
  <si>
    <t>Rare Crystal</t>
  </si>
  <si>
    <t>Rare Gas</t>
  </si>
  <si>
    <t>Rare Ore</t>
  </si>
  <si>
    <t>Tokens</t>
  </si>
  <si>
    <t>Own</t>
  </si>
  <si>
    <t>U Giv/Rec</t>
  </si>
  <si>
    <t>R Giv/Rec</t>
  </si>
  <si>
    <t>G6 SHIP PARTS CONVERSION</t>
  </si>
  <si>
    <t>G6 MATERIALS BONUS CONVERSION</t>
  </si>
  <si>
    <t>G6 CONVERSION CHART</t>
  </si>
  <si>
    <t>G5 CONVERSION CHART</t>
  </si>
  <si>
    <t>G4 CONVERSION CHART</t>
  </si>
  <si>
    <t>OWN</t>
  </si>
  <si>
    <t>MAX</t>
  </si>
  <si>
    <t>Conv #X</t>
  </si>
  <si>
    <t>Max G6 C</t>
  </si>
  <si>
    <t>Max G6 U</t>
  </si>
  <si>
    <t>Max G6 R</t>
  </si>
  <si>
    <t>Max G5 C</t>
  </si>
  <si>
    <t>Max G5 U</t>
  </si>
  <si>
    <t>Max G5 R</t>
  </si>
  <si>
    <t>Max G4 C</t>
  </si>
  <si>
    <t>Max G4 U</t>
  </si>
  <si>
    <t>Max G4 R</t>
  </si>
  <si>
    <t>E Giv/Rec</t>
  </si>
  <si>
    <t>Max G5 E</t>
  </si>
  <si>
    <t>Max G4 E</t>
  </si>
  <si>
    <t>Parts Multiple Conversion</t>
  </si>
  <si>
    <t>Parts Single Conversion</t>
  </si>
  <si>
    <t>???</t>
  </si>
  <si>
    <t>G5 SHIP PARTS CONVERSION</t>
  </si>
  <si>
    <t>G5 MATERIALS BONUS CONVERSION</t>
  </si>
  <si>
    <t>G4 SHIP PARTS CONVERSION</t>
  </si>
  <si>
    <t>G4 MATERIALS BONUS CONVERSION</t>
  </si>
  <si>
    <t>E Cry</t>
  </si>
  <si>
    <t>E Gas</t>
  </si>
  <si>
    <t>E Ore</t>
  </si>
  <si>
    <t>U Cry</t>
  </si>
  <si>
    <t>U Gas</t>
  </si>
  <si>
    <t>U Ore</t>
  </si>
  <si>
    <t>R Cry</t>
  </si>
  <si>
    <t>R Gas</t>
  </si>
  <si>
    <t>R Ore</t>
  </si>
  <si>
    <t>Epic Crystal</t>
  </si>
  <si>
    <t>Epic Gas</t>
  </si>
  <si>
    <t>Epic Ore</t>
  </si>
  <si>
    <t>C Int</t>
  </si>
  <si>
    <t>C Bat</t>
  </si>
  <si>
    <t>C Exp</t>
  </si>
  <si>
    <t>C Sur</t>
  </si>
  <si>
    <t>U Int</t>
  </si>
  <si>
    <t>U Bat</t>
  </si>
  <si>
    <t>U Exp</t>
  </si>
  <si>
    <t>U Sur</t>
  </si>
  <si>
    <t>R Int</t>
  </si>
  <si>
    <t>R Bat</t>
  </si>
  <si>
    <t>R Exp</t>
  </si>
  <si>
    <t>R Sur</t>
  </si>
  <si>
    <t>Common Give/Rec</t>
  </si>
  <si>
    <t>Uncommon Give/Rec</t>
  </si>
  <si>
    <t>Owned</t>
  </si>
  <si>
    <t>Common</t>
  </si>
  <si>
    <t>Max</t>
  </si>
  <si>
    <t>AUGMENT</t>
  </si>
  <si>
    <t>Disruptors</t>
  </si>
  <si>
    <t>Owned Expendable</t>
  </si>
  <si>
    <t>Conversion Obtainable</t>
  </si>
  <si>
    <t>Conversion Expendable</t>
  </si>
  <si>
    <t>Materials Multiple Conv</t>
  </si>
  <si>
    <t>Materials Single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</si>
</sst>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/>
    <xf numFmtId="0" fontId="1" fillId="0" borderId="4" xfId="0" applyFont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8552-A2DF-4127-A129-099C1D5ED7D3}">
  <dimension ref="A1:K71"/>
  <sheetViews>
    <sheetView tabSelected="1" topLeftCell="A28" workbookViewId="0">
      <selection activeCell="B60" sqref="B60"/>
    </sheetView>
  </sheetViews>
  <sheetFormatPr defaultRowHeight="15" x14ac:dyDescent="0.25"/>
  <cols>
    <col min="1" max="1" width="27.140625" style="1" bestFit="1" customWidth="1"/>
    <col min="2" max="2" width="20" style="1" bestFit="1" customWidth="1"/>
    <col min="3" max="3" width="19.42578125" style="1" bestFit="1" customWidth="1"/>
    <col min="4" max="4" width="20.85546875" style="1" bestFit="1" customWidth="1"/>
    <col min="5" max="5" width="19.85546875" style="1" bestFit="1" customWidth="1"/>
    <col min="6" max="6" width="24.85546875" style="1" bestFit="1" customWidth="1"/>
    <col min="7" max="8" width="23.140625" style="1" bestFit="1" customWidth="1"/>
    <col min="9" max="9" width="14.42578125" style="1" bestFit="1" customWidth="1"/>
    <col min="10" max="11" width="5.140625" style="1" bestFit="1" customWidth="1"/>
    <col min="12" max="13" width="9.140625" style="1"/>
    <col min="14" max="14" width="12" style="1" bestFit="1" customWidth="1"/>
    <col min="15" max="16384" width="9.140625" style="1"/>
  </cols>
  <sheetData>
    <row r="1" spans="1:6" x14ac:dyDescent="0.25">
      <c r="A1" s="2" t="s">
        <v>11</v>
      </c>
      <c r="B1" s="2" t="s">
        <v>39</v>
      </c>
      <c r="C1" s="2" t="s">
        <v>43</v>
      </c>
      <c r="D1" s="2" t="s">
        <v>34</v>
      </c>
      <c r="E1" s="2" t="s">
        <v>45</v>
      </c>
      <c r="F1" s="2" t="s">
        <v>12</v>
      </c>
    </row>
    <row r="2" spans="1:6" x14ac:dyDescent="0.25">
      <c r="A2" s="1" t="s">
        <v>1</v>
      </c>
      <c r="B2" s="1" t="s">
        <v>40</v>
      </c>
      <c r="C2" s="1" t="s">
        <v>31</v>
      </c>
      <c r="D2" s="2">
        <v>12</v>
      </c>
      <c r="E2" s="1">
        <v>0</v>
      </c>
      <c r="F2" s="1">
        <f ca="1">IF(D2=12, 0,
    (IF(D2&lt;8,
        IF(C2="Uncommon", SUM(OFFSET($B$33,D2,0,8-D2,1))*100,
           IF(C2="Rare", SUM(OFFSET($C$33,D2,0,8-D2,1))*150,
              IF(C2="Epic", SUM(OFFSET($D$33,D2,0,8-D2,1))*200, 0))),
        0))
    +
    (IF(C2="Uncommon", CEILING(SUM(OFFSET($I$41,MAX(0,D2-8),0,4-MAX(0,D2-8),1))/90,1)*600,
       IF(C2="Rare", CEILING(SUM(OFFSET($J$41,MAX(0,D2-8),0,4-MAX(0,D2-8),1))/90,1)*600,
          IF(C2="Epic", CEILING(SUM(OFFSET($K$41,MAX(0,D2-8),0,4-MAX(0,D2-8),1))/90,1)*600, 0))))
)
-
(E2 * IF(C2="Uncommon", 100, IF(C2="Rare", 150, IF(C2="Epic", 200, 0))))</f>
        <v>0</v>
      </c>
    </row>
    <row r="3" spans="1:6" x14ac:dyDescent="0.25">
      <c r="A3" s="1" t="s">
        <v>2</v>
      </c>
      <c r="B3" s="1" t="s">
        <v>40</v>
      </c>
      <c r="C3" s="1" t="s">
        <v>31</v>
      </c>
      <c r="D3" s="2">
        <v>12</v>
      </c>
      <c r="E3" s="1">
        <v>0</v>
      </c>
      <c r="F3" s="1">
        <f ca="1">IF(D3=12, 0,
    (IF(D3&lt;8,
        IF(C3="Uncommon", SUM(OFFSET($B$33,D3,0,8-D3,1))*100,
           IF(C3="Rare", SUM(OFFSET($C$33,D3,0,8-D3,1))*150,
              IF(C3="Epic", SUM(OFFSET($D$33,D3,0,8-D3,1))*200, 0))),
        0))
    +
    (IF(C3="Uncommon", CEILING(SUM(OFFSET($I$41,MAX(0,D3-8),0,4-MAX(0,D3-8),1))/90,1)*600,
       IF(C3="Rare", CEILING(SUM(OFFSET($J$41,MAX(0,D3-8),0,4-MAX(0,D3-8),1))/90,1)*600,
          IF(C3="Epic", CEILING(SUM(OFFSET($K$41,MAX(0,D3-8),0,4-MAX(0,D3-8),1))/90,1)*600, 0))))
)
-
(E3 * IF(C3="Uncommon", 100, IF(C3="Rare", 150, IF(C3="Epic", 200, 0))))</f>
        <v>0</v>
      </c>
    </row>
    <row r="4" spans="1:6" x14ac:dyDescent="0.25">
      <c r="A4" s="1" t="s">
        <v>3</v>
      </c>
      <c r="B4" s="1" t="s">
        <v>40</v>
      </c>
      <c r="C4" s="1" t="s">
        <v>31</v>
      </c>
      <c r="D4" s="2">
        <v>12</v>
      </c>
      <c r="E4" s="1">
        <v>0</v>
      </c>
      <c r="F4" s="1">
        <f ca="1">IF(D4=12, 0,
    (IF(D4&lt;8,
        IF(C4="Uncommon", SUM(OFFSET($B$33,D4,0,8-D4,1))*100,
           IF(C4="Rare", SUM(OFFSET($C$33,D4,0,8-D4,1))*150,
              IF(C4="Epic", SUM(OFFSET($D$33,D4,0,8-D4,1))*200, 0))),
        0))
    +
    (IF(C4="Uncommon", CEILING(SUM(OFFSET($I$41,MAX(0,D4-8),0,4-MAX(0,D4-8),1))/90,1)*600,
       IF(C4="Rare", CEILING(SUM(OFFSET($J$41,MAX(0,D4-8),0,4-MAX(0,D4-8),1))/90,1)*600,
          IF(C4="Epic", CEILING(SUM(OFFSET($K$41,MAX(0,D4-8),0,4-MAX(0,D4-8),1))/90,1)*600, 0))))
)
-
(E4 * IF(C4="Uncommon", 100, IF(C4="Rare", 150, IF(C4="Epic", 200, 0))))</f>
        <v>0</v>
      </c>
    </row>
    <row r="5" spans="1:6" x14ac:dyDescent="0.25">
      <c r="A5" s="1" t="s">
        <v>0</v>
      </c>
      <c r="B5" s="1" t="s">
        <v>40</v>
      </c>
      <c r="C5" s="1" t="s">
        <v>31</v>
      </c>
      <c r="D5" s="2">
        <v>12</v>
      </c>
      <c r="E5" s="1">
        <v>0</v>
      </c>
      <c r="F5" s="1">
        <f ca="1">IF(D5=12, 0,
    (IF(D5&lt;8,
        IF(C5="Uncommon", SUM(OFFSET($B$33,D5,0,8-D5,1))*100,
           IF(C5="Rare", SUM(OFFSET($C$33,D5,0,8-D5,1))*150,
              IF(C5="Epic", SUM(OFFSET($D$33,D5,0,8-D5,1))*200, 0))),
        0))
    +
    (IF(C5="Uncommon", CEILING(SUM(OFFSET($I$41,MAX(0,D5-8),0,4-MAX(0,D5-8),1))/90,1)*600,
       IF(C5="Rare", CEILING(SUM(OFFSET($J$41,MAX(0,D5-8),0,4-MAX(0,D5-8),1))/90,1)*600,
          IF(C5="Epic", CEILING(SUM(OFFSET($K$41,MAX(0,D5-8),0,4-MAX(0,D5-8),1))/90,1)*600, 0))))
)
-
(E5 * IF(C5="Uncommon", 100, IF(C5="Rare", 150, IF(C5="Epic", 200, 0))))</f>
        <v>0</v>
      </c>
    </row>
    <row r="6" spans="1:6" x14ac:dyDescent="0.25">
      <c r="A6" s="1" t="s">
        <v>4</v>
      </c>
      <c r="B6" s="1" t="s">
        <v>40</v>
      </c>
      <c r="C6" s="1" t="s">
        <v>31</v>
      </c>
      <c r="D6" s="1">
        <v>12</v>
      </c>
      <c r="E6" s="1">
        <v>0</v>
      </c>
      <c r="F6" s="1">
        <f t="shared" ref="F6:F27" ca="1" si="0">IF(D6=12, 0,
    (IF(D6&lt;8,
        IF(C6="Uncommon", SUM(OFFSET($B$33,D6,0,8-D6,1))*100,
           IF(C6="Rare", SUM(OFFSET($C$33,D6,0,8-D6,1))*150,
              IF(C6="Epic", SUM(OFFSET($D$33,D6,0,8-D6,1))*200, 0))),
        0))
    +
    (IF(C6="Uncommon", CEILING(SUM(OFFSET($I$41,MAX(0,D6-8),0,4-MAX(0,D6-8),1))/90,1)*600,
       IF(C6="Rare", CEILING(SUM(OFFSET($J$41,MAX(0,D6-8),0,4-MAX(0,D6-8),1))/90,1)*600,
          IF(C6="Epic", CEILING(SUM(OFFSET($K$41,MAX(0,D6-8),0,4-MAX(0,D6-8),1))/90,1)*600, 0))))
)
-
(E6 * IF(C6="Uncommon", 100, IF(C6="Rare", 150, IF(C6="Epic", 200, 0))))</f>
        <v>0</v>
      </c>
    </row>
    <row r="7" spans="1:6" x14ac:dyDescent="0.25">
      <c r="A7" s="1" t="s">
        <v>23</v>
      </c>
      <c r="B7" s="1" t="s">
        <v>40</v>
      </c>
      <c r="C7" s="1" t="s">
        <v>31</v>
      </c>
      <c r="D7" s="1">
        <v>10</v>
      </c>
      <c r="E7" s="1">
        <v>0</v>
      </c>
      <c r="F7" s="1">
        <f t="shared" ca="1" si="0"/>
        <v>24600</v>
      </c>
    </row>
    <row r="8" spans="1:6" x14ac:dyDescent="0.25">
      <c r="A8" s="1" t="s">
        <v>17</v>
      </c>
      <c r="B8" s="1" t="s">
        <v>40</v>
      </c>
      <c r="C8" s="1" t="s">
        <v>32</v>
      </c>
      <c r="D8" s="2">
        <v>12</v>
      </c>
      <c r="E8" s="1">
        <v>0</v>
      </c>
      <c r="F8" s="1">
        <f t="shared" ca="1" si="0"/>
        <v>0</v>
      </c>
    </row>
    <row r="9" spans="1:6" x14ac:dyDescent="0.25">
      <c r="A9" s="1" t="s">
        <v>18</v>
      </c>
      <c r="B9" s="1" t="s">
        <v>40</v>
      </c>
      <c r="C9" s="1" t="s">
        <v>32</v>
      </c>
      <c r="D9" s="2">
        <v>12</v>
      </c>
      <c r="E9" s="1">
        <v>0</v>
      </c>
      <c r="F9" s="1">
        <f t="shared" ca="1" si="0"/>
        <v>0</v>
      </c>
    </row>
    <row r="10" spans="1:6" x14ac:dyDescent="0.25">
      <c r="A10" s="1" t="s">
        <v>19</v>
      </c>
      <c r="B10" s="1" t="s">
        <v>40</v>
      </c>
      <c r="C10" s="1" t="s">
        <v>32</v>
      </c>
      <c r="D10" s="1">
        <v>12</v>
      </c>
      <c r="E10" s="1">
        <v>0</v>
      </c>
      <c r="F10" s="1">
        <f t="shared" ca="1" si="0"/>
        <v>0</v>
      </c>
    </row>
    <row r="11" spans="1:6" x14ac:dyDescent="0.25">
      <c r="A11" s="1" t="s">
        <v>20</v>
      </c>
      <c r="B11" s="1" t="s">
        <v>40</v>
      </c>
      <c r="C11" s="1" t="s">
        <v>32</v>
      </c>
      <c r="D11" s="1">
        <v>12</v>
      </c>
      <c r="E11" s="1">
        <v>0</v>
      </c>
      <c r="F11" s="1">
        <f t="shared" ca="1" si="0"/>
        <v>0</v>
      </c>
    </row>
    <row r="12" spans="1:6" x14ac:dyDescent="0.25">
      <c r="A12" s="1" t="s">
        <v>21</v>
      </c>
      <c r="B12" s="1" t="s">
        <v>40</v>
      </c>
      <c r="C12" s="1" t="s">
        <v>32</v>
      </c>
      <c r="D12" s="1">
        <v>12</v>
      </c>
      <c r="E12" s="1">
        <v>0</v>
      </c>
      <c r="F12" s="1">
        <f t="shared" ca="1" si="0"/>
        <v>0</v>
      </c>
    </row>
    <row r="13" spans="1:6" x14ac:dyDescent="0.25">
      <c r="A13" s="1" t="s">
        <v>22</v>
      </c>
      <c r="B13" s="1" t="s">
        <v>40</v>
      </c>
      <c r="C13" s="1" t="s">
        <v>32</v>
      </c>
      <c r="D13" s="1">
        <v>12</v>
      </c>
      <c r="E13" s="1">
        <v>0</v>
      </c>
      <c r="F13" s="1">
        <f t="shared" ca="1" si="0"/>
        <v>0</v>
      </c>
    </row>
    <row r="14" spans="1:6" x14ac:dyDescent="0.25">
      <c r="A14" s="1" t="s">
        <v>13</v>
      </c>
      <c r="B14" s="1" t="s">
        <v>40</v>
      </c>
      <c r="C14" s="1" t="s">
        <v>33</v>
      </c>
      <c r="D14" s="2">
        <v>12</v>
      </c>
      <c r="E14" s="1">
        <v>0</v>
      </c>
      <c r="F14" s="1">
        <f t="shared" ca="1" si="0"/>
        <v>0</v>
      </c>
    </row>
    <row r="15" spans="1:6" x14ac:dyDescent="0.25">
      <c r="A15" s="1" t="s">
        <v>14</v>
      </c>
      <c r="B15" s="1" t="s">
        <v>40</v>
      </c>
      <c r="C15" s="1" t="s">
        <v>33</v>
      </c>
      <c r="D15" s="1">
        <v>12</v>
      </c>
      <c r="E15" s="1">
        <v>0</v>
      </c>
      <c r="F15" s="1">
        <f t="shared" ca="1" si="0"/>
        <v>0</v>
      </c>
    </row>
    <row r="16" spans="1:6" x14ac:dyDescent="0.25">
      <c r="A16" s="1" t="s">
        <v>15</v>
      </c>
      <c r="B16" s="1" t="s">
        <v>40</v>
      </c>
      <c r="C16" s="1" t="s">
        <v>33</v>
      </c>
      <c r="D16" s="2">
        <v>12</v>
      </c>
      <c r="E16" s="1">
        <v>0</v>
      </c>
      <c r="F16" s="1">
        <f t="shared" ca="1" si="0"/>
        <v>0</v>
      </c>
    </row>
    <row r="17" spans="1:11" x14ac:dyDescent="0.25">
      <c r="A17" s="1" t="s">
        <v>16</v>
      </c>
      <c r="B17" s="1" t="s">
        <v>40</v>
      </c>
      <c r="C17" s="1" t="s">
        <v>33</v>
      </c>
      <c r="D17" s="2">
        <v>12</v>
      </c>
      <c r="E17" s="1">
        <v>0</v>
      </c>
      <c r="F17" s="1">
        <f t="shared" ca="1" si="0"/>
        <v>0</v>
      </c>
    </row>
    <row r="18" spans="1:11" x14ac:dyDescent="0.25">
      <c r="A18" s="1" t="s">
        <v>214</v>
      </c>
      <c r="B18" s="1" t="s">
        <v>40</v>
      </c>
      <c r="C18" s="1" t="s">
        <v>31</v>
      </c>
      <c r="D18" s="1">
        <v>11</v>
      </c>
      <c r="E18" s="1">
        <v>0</v>
      </c>
      <c r="F18" s="1">
        <f t="shared" ca="1" si="0"/>
        <v>14400</v>
      </c>
    </row>
    <row r="19" spans="1:11" x14ac:dyDescent="0.25">
      <c r="A19" s="1" t="s">
        <v>215</v>
      </c>
      <c r="B19" s="1" t="s">
        <v>40</v>
      </c>
      <c r="C19" s="1" t="s">
        <v>31</v>
      </c>
      <c r="D19" s="1">
        <v>11</v>
      </c>
      <c r="E19" s="1">
        <v>0</v>
      </c>
      <c r="F19" s="1">
        <f t="shared" ca="1" si="0"/>
        <v>14400</v>
      </c>
    </row>
    <row r="20" spans="1:11" x14ac:dyDescent="0.25">
      <c r="A20" s="14" t="s">
        <v>216</v>
      </c>
      <c r="B20" s="14" t="s">
        <v>40</v>
      </c>
      <c r="C20" s="14" t="s">
        <v>33</v>
      </c>
      <c r="D20" s="14">
        <v>8</v>
      </c>
      <c r="E20" s="14">
        <v>0</v>
      </c>
      <c r="F20" s="14">
        <f t="shared" ca="1" si="0"/>
        <v>12600</v>
      </c>
    </row>
    <row r="21" spans="1:11" x14ac:dyDescent="0.25">
      <c r="A21" s="14" t="s">
        <v>217</v>
      </c>
      <c r="B21" s="14" t="s">
        <v>40</v>
      </c>
      <c r="C21" s="14" t="s">
        <v>33</v>
      </c>
      <c r="D21" s="14">
        <v>8</v>
      </c>
      <c r="E21" s="14">
        <v>0</v>
      </c>
      <c r="F21" s="14">
        <f t="shared" ca="1" si="0"/>
        <v>12600</v>
      </c>
    </row>
    <row r="22" spans="1:11" x14ac:dyDescent="0.25">
      <c r="A22" s="14" t="s">
        <v>218</v>
      </c>
      <c r="B22" s="14" t="s">
        <v>40</v>
      </c>
      <c r="C22" s="14" t="s">
        <v>33</v>
      </c>
      <c r="D22" s="14">
        <v>8</v>
      </c>
      <c r="E22" s="14">
        <v>0</v>
      </c>
      <c r="F22" s="14">
        <f t="shared" ca="1" si="0"/>
        <v>12600</v>
      </c>
    </row>
    <row r="23" spans="1:11" x14ac:dyDescent="0.25">
      <c r="A23" s="14" t="s">
        <v>219</v>
      </c>
      <c r="B23" s="14" t="s">
        <v>40</v>
      </c>
      <c r="C23" s="14" t="s">
        <v>32</v>
      </c>
      <c r="D23" s="14">
        <v>8</v>
      </c>
      <c r="E23" s="14">
        <v>0</v>
      </c>
      <c r="F23" s="14">
        <f t="shared" ca="1" si="0"/>
        <v>20400</v>
      </c>
    </row>
    <row r="24" spans="1:11" x14ac:dyDescent="0.25">
      <c r="A24" s="14" t="s">
        <v>220</v>
      </c>
      <c r="B24" s="14" t="s">
        <v>40</v>
      </c>
      <c r="C24" s="14" t="s">
        <v>32</v>
      </c>
      <c r="D24" s="14">
        <v>8</v>
      </c>
      <c r="E24" s="14">
        <v>0</v>
      </c>
      <c r="F24" s="14">
        <f t="shared" ca="1" si="0"/>
        <v>20400</v>
      </c>
    </row>
    <row r="25" spans="1:11" x14ac:dyDescent="0.25">
      <c r="A25" s="14" t="s">
        <v>221</v>
      </c>
      <c r="B25" s="14" t="s">
        <v>40</v>
      </c>
      <c r="C25" s="14" t="s">
        <v>32</v>
      </c>
      <c r="D25" s="14">
        <v>8</v>
      </c>
      <c r="E25" s="14">
        <v>0</v>
      </c>
      <c r="F25" s="14">
        <f t="shared" ca="1" si="0"/>
        <v>20400</v>
      </c>
    </row>
    <row r="26" spans="1:11" x14ac:dyDescent="0.25">
      <c r="A26" s="14" t="s">
        <v>222</v>
      </c>
      <c r="B26" s="14" t="s">
        <v>40</v>
      </c>
      <c r="C26" s="14" t="s">
        <v>31</v>
      </c>
      <c r="D26" s="14">
        <v>8</v>
      </c>
      <c r="E26" s="14">
        <v>0</v>
      </c>
      <c r="F26" s="14">
        <f t="shared" ca="1" si="0"/>
        <v>36600</v>
      </c>
    </row>
    <row r="27" spans="1:11" x14ac:dyDescent="0.25">
      <c r="A27" s="14" t="s">
        <v>223</v>
      </c>
      <c r="B27" s="14" t="s">
        <v>40</v>
      </c>
      <c r="C27" s="14" t="s">
        <v>31</v>
      </c>
      <c r="D27" s="14">
        <v>8</v>
      </c>
      <c r="E27" s="14">
        <v>0</v>
      </c>
      <c r="F27" s="14">
        <f t="shared" ca="1" si="0"/>
        <v>36600</v>
      </c>
    </row>
    <row r="31" spans="1:11" x14ac:dyDescent="0.25">
      <c r="A31" s="35" t="s">
        <v>41</v>
      </c>
      <c r="B31" s="35"/>
      <c r="C31" s="35"/>
      <c r="D31" s="35"/>
      <c r="E31" s="35" t="s">
        <v>37</v>
      </c>
      <c r="F31" s="35"/>
      <c r="G31" s="35"/>
      <c r="H31" s="35"/>
      <c r="I31" s="35" t="s">
        <v>42</v>
      </c>
      <c r="J31" s="35"/>
      <c r="K31" s="35"/>
    </row>
    <row r="32" spans="1:11" x14ac:dyDescent="0.25">
      <c r="A32" s="2"/>
      <c r="B32" s="2" t="s">
        <v>33</v>
      </c>
      <c r="C32" s="2" t="s">
        <v>32</v>
      </c>
      <c r="D32" s="2" t="s">
        <v>31</v>
      </c>
      <c r="E32" s="2"/>
      <c r="F32" s="2" t="s">
        <v>33</v>
      </c>
      <c r="G32" s="2" t="s">
        <v>32</v>
      </c>
      <c r="H32" s="2" t="s">
        <v>31</v>
      </c>
      <c r="I32" s="2" t="s">
        <v>33</v>
      </c>
      <c r="J32" s="2" t="s">
        <v>32</v>
      </c>
      <c r="K32" s="2" t="s">
        <v>31</v>
      </c>
    </row>
    <row r="33" spans="1:11" x14ac:dyDescent="0.25">
      <c r="A33" s="1" t="s">
        <v>35</v>
      </c>
      <c r="B33" s="1">
        <f t="shared" ref="B33:D40" si="1">ROUND((F33*0.698)-0.468,0)</f>
        <v>20</v>
      </c>
      <c r="C33" s="1">
        <f t="shared" si="1"/>
        <v>38</v>
      </c>
      <c r="D33" s="1">
        <f t="shared" si="1"/>
        <v>55</v>
      </c>
      <c r="E33" s="1" t="s">
        <v>35</v>
      </c>
      <c r="F33" s="1">
        <v>30</v>
      </c>
      <c r="G33" s="1">
        <v>55</v>
      </c>
      <c r="H33" s="1">
        <v>80</v>
      </c>
      <c r="I33" s="1" t="s">
        <v>38</v>
      </c>
      <c r="J33" s="1" t="s">
        <v>38</v>
      </c>
      <c r="K33" s="1" t="s">
        <v>38</v>
      </c>
    </row>
    <row r="34" spans="1:11" x14ac:dyDescent="0.25">
      <c r="A34" s="1" t="s">
        <v>36</v>
      </c>
      <c r="B34" s="1">
        <f t="shared" si="1"/>
        <v>23</v>
      </c>
      <c r="C34" s="1">
        <f t="shared" si="1"/>
        <v>24</v>
      </c>
      <c r="D34" s="1">
        <f t="shared" si="1"/>
        <v>27</v>
      </c>
      <c r="E34" s="1" t="s">
        <v>36</v>
      </c>
      <c r="F34" s="1">
        <v>34</v>
      </c>
      <c r="G34" s="1">
        <v>35</v>
      </c>
      <c r="H34" s="1">
        <v>40</v>
      </c>
      <c r="I34" s="1" t="s">
        <v>38</v>
      </c>
      <c r="J34" s="1" t="s">
        <v>38</v>
      </c>
      <c r="K34" s="1" t="s">
        <v>38</v>
      </c>
    </row>
    <row r="35" spans="1:11" x14ac:dyDescent="0.25">
      <c r="A35" s="1" t="s">
        <v>5</v>
      </c>
      <c r="B35" s="1">
        <f t="shared" si="1"/>
        <v>25</v>
      </c>
      <c r="C35" s="1">
        <f t="shared" si="1"/>
        <v>26</v>
      </c>
      <c r="D35" s="1">
        <f t="shared" si="1"/>
        <v>31</v>
      </c>
      <c r="E35" s="1" t="s">
        <v>5</v>
      </c>
      <c r="F35" s="1">
        <v>37</v>
      </c>
      <c r="G35" s="1">
        <v>38</v>
      </c>
      <c r="H35" s="1">
        <v>45</v>
      </c>
      <c r="I35" s="1" t="s">
        <v>38</v>
      </c>
      <c r="J35" s="1" t="s">
        <v>38</v>
      </c>
      <c r="K35" s="1" t="s">
        <v>38</v>
      </c>
    </row>
    <row r="36" spans="1:11" x14ac:dyDescent="0.25">
      <c r="A36" s="1" t="s">
        <v>6</v>
      </c>
      <c r="B36" s="1">
        <f t="shared" si="1"/>
        <v>27</v>
      </c>
      <c r="C36" s="1">
        <f t="shared" si="1"/>
        <v>28</v>
      </c>
      <c r="D36" s="1">
        <f t="shared" si="1"/>
        <v>38</v>
      </c>
      <c r="E36" s="1" t="s">
        <v>6</v>
      </c>
      <c r="F36" s="1">
        <v>40</v>
      </c>
      <c r="G36" s="1">
        <v>41</v>
      </c>
      <c r="H36" s="1">
        <v>55</v>
      </c>
      <c r="I36" s="1" t="s">
        <v>38</v>
      </c>
      <c r="J36" s="1" t="s">
        <v>38</v>
      </c>
      <c r="K36" s="1" t="s">
        <v>38</v>
      </c>
    </row>
    <row r="37" spans="1:11" x14ac:dyDescent="0.25">
      <c r="A37" s="1" t="s">
        <v>7</v>
      </c>
      <c r="B37" s="1">
        <f t="shared" si="1"/>
        <v>33</v>
      </c>
      <c r="C37" s="1">
        <f t="shared" si="1"/>
        <v>34</v>
      </c>
      <c r="D37" s="1">
        <f t="shared" si="1"/>
        <v>48</v>
      </c>
      <c r="E37" s="1" t="s">
        <v>7</v>
      </c>
      <c r="F37" s="1">
        <v>48</v>
      </c>
      <c r="G37" s="1">
        <v>50</v>
      </c>
      <c r="H37" s="1">
        <v>70</v>
      </c>
      <c r="I37" s="1" t="s">
        <v>38</v>
      </c>
      <c r="J37" s="1" t="s">
        <v>38</v>
      </c>
      <c r="K37" s="1" t="s">
        <v>38</v>
      </c>
    </row>
    <row r="38" spans="1:11" x14ac:dyDescent="0.25">
      <c r="A38" s="1" t="s">
        <v>8</v>
      </c>
      <c r="B38" s="1">
        <f t="shared" si="1"/>
        <v>36</v>
      </c>
      <c r="C38" s="1">
        <f t="shared" si="1"/>
        <v>38</v>
      </c>
      <c r="D38" s="1">
        <f t="shared" si="1"/>
        <v>52</v>
      </c>
      <c r="E38" s="1" t="s">
        <v>8</v>
      </c>
      <c r="F38" s="1">
        <v>52</v>
      </c>
      <c r="G38" s="1">
        <v>55</v>
      </c>
      <c r="H38" s="1">
        <v>75</v>
      </c>
      <c r="I38" s="1" t="s">
        <v>38</v>
      </c>
      <c r="J38" s="1" t="s">
        <v>38</v>
      </c>
      <c r="K38" s="1" t="s">
        <v>38</v>
      </c>
    </row>
    <row r="39" spans="1:11" x14ac:dyDescent="0.25">
      <c r="A39" s="1" t="s">
        <v>9</v>
      </c>
      <c r="B39" s="1">
        <f t="shared" si="1"/>
        <v>39</v>
      </c>
      <c r="C39" s="1">
        <f t="shared" si="1"/>
        <v>41</v>
      </c>
      <c r="D39" s="1">
        <f t="shared" si="1"/>
        <v>59</v>
      </c>
      <c r="E39" s="1" t="s">
        <v>9</v>
      </c>
      <c r="F39" s="1">
        <v>56</v>
      </c>
      <c r="G39" s="1">
        <v>60</v>
      </c>
      <c r="H39" s="1">
        <v>85</v>
      </c>
      <c r="I39" s="1" t="s">
        <v>38</v>
      </c>
      <c r="J39" s="1" t="s">
        <v>38</v>
      </c>
      <c r="K39" s="1" t="s">
        <v>38</v>
      </c>
    </row>
    <row r="40" spans="1:11" x14ac:dyDescent="0.25">
      <c r="A40" s="1" t="s">
        <v>10</v>
      </c>
      <c r="B40" s="1">
        <f t="shared" si="1"/>
        <v>41</v>
      </c>
      <c r="C40" s="1">
        <f t="shared" si="1"/>
        <v>45</v>
      </c>
      <c r="D40" s="1">
        <f t="shared" si="1"/>
        <v>69</v>
      </c>
      <c r="E40" s="1" t="s">
        <v>10</v>
      </c>
      <c r="F40" s="1">
        <v>60</v>
      </c>
      <c r="G40" s="1">
        <v>65</v>
      </c>
      <c r="H40" s="1">
        <v>100</v>
      </c>
      <c r="I40" s="1" t="s">
        <v>38</v>
      </c>
      <c r="J40" s="1" t="s">
        <v>38</v>
      </c>
      <c r="K40" s="1" t="s">
        <v>38</v>
      </c>
    </row>
    <row r="41" spans="1:11" x14ac:dyDescent="0.25">
      <c r="A41" s="1" t="s">
        <v>27</v>
      </c>
      <c r="B41" s="1" t="s">
        <v>38</v>
      </c>
      <c r="C41" s="1" t="s">
        <v>38</v>
      </c>
      <c r="D41" s="1" t="s">
        <v>38</v>
      </c>
      <c r="E41" s="1" t="s">
        <v>27</v>
      </c>
      <c r="F41" s="1" t="s">
        <v>38</v>
      </c>
      <c r="G41" s="1" t="s">
        <v>38</v>
      </c>
      <c r="H41" s="1" t="s">
        <v>38</v>
      </c>
      <c r="I41" s="1">
        <v>250</v>
      </c>
      <c r="J41" s="1">
        <v>400</v>
      </c>
      <c r="K41" s="1">
        <v>700</v>
      </c>
    </row>
    <row r="42" spans="1:11" x14ac:dyDescent="0.25">
      <c r="A42" s="1" t="s">
        <v>28</v>
      </c>
      <c r="B42" s="1" t="s">
        <v>38</v>
      </c>
      <c r="C42" s="1" t="s">
        <v>38</v>
      </c>
      <c r="D42" s="1" t="s">
        <v>38</v>
      </c>
      <c r="E42" s="1" t="s">
        <v>28</v>
      </c>
      <c r="F42" s="1" t="s">
        <v>38</v>
      </c>
      <c r="G42" s="1" t="s">
        <v>38</v>
      </c>
      <c r="H42" s="1" t="s">
        <v>38</v>
      </c>
      <c r="I42" s="1">
        <v>350</v>
      </c>
      <c r="J42" s="1">
        <v>600</v>
      </c>
      <c r="K42" s="1">
        <v>1075</v>
      </c>
    </row>
    <row r="43" spans="1:11" x14ac:dyDescent="0.25">
      <c r="A43" s="1" t="s">
        <v>29</v>
      </c>
      <c r="B43" s="1" t="s">
        <v>38</v>
      </c>
      <c r="C43" s="1" t="s">
        <v>38</v>
      </c>
      <c r="D43" s="1" t="s">
        <v>38</v>
      </c>
      <c r="E43" s="1" t="s">
        <v>29</v>
      </c>
      <c r="F43" s="1" t="s">
        <v>38</v>
      </c>
      <c r="G43" s="1" t="s">
        <v>38</v>
      </c>
      <c r="H43" s="1" t="s">
        <v>38</v>
      </c>
      <c r="I43" s="1">
        <v>525</v>
      </c>
      <c r="J43" s="1">
        <v>830</v>
      </c>
      <c r="K43" s="1">
        <v>1500</v>
      </c>
    </row>
    <row r="44" spans="1:11" x14ac:dyDescent="0.25">
      <c r="A44" s="1" t="s">
        <v>30</v>
      </c>
      <c r="B44" s="1" t="s">
        <v>38</v>
      </c>
      <c r="C44" s="1" t="s">
        <v>38</v>
      </c>
      <c r="D44" s="1" t="s">
        <v>38</v>
      </c>
      <c r="E44" s="1" t="s">
        <v>30</v>
      </c>
      <c r="F44" s="1" t="s">
        <v>38</v>
      </c>
      <c r="G44" s="1" t="s">
        <v>38</v>
      </c>
      <c r="H44" s="1" t="s">
        <v>38</v>
      </c>
      <c r="I44" s="1">
        <v>700</v>
      </c>
      <c r="J44" s="1">
        <v>1200</v>
      </c>
      <c r="K44" s="1">
        <v>2150</v>
      </c>
    </row>
    <row r="46" spans="1:11" x14ac:dyDescent="0.25">
      <c r="A46" s="2" t="s">
        <v>25</v>
      </c>
      <c r="B46" s="1" t="s">
        <v>224</v>
      </c>
      <c r="C46" s="1" t="s">
        <v>24</v>
      </c>
      <c r="D46" s="1" t="s">
        <v>26</v>
      </c>
      <c r="E46" s="35" t="s">
        <v>44</v>
      </c>
      <c r="F46" s="35"/>
      <c r="G46"/>
      <c r="H46"/>
    </row>
    <row r="47" spans="1:11" x14ac:dyDescent="0.25">
      <c r="A47" s="1" t="s">
        <v>13</v>
      </c>
      <c r="C47" s="1">
        <v>60</v>
      </c>
      <c r="D47" s="1">
        <f>B47*C47</f>
        <v>0</v>
      </c>
      <c r="E47" s="1" t="s">
        <v>33</v>
      </c>
      <c r="F47" s="1">
        <v>100</v>
      </c>
    </row>
    <row r="48" spans="1:11" x14ac:dyDescent="0.25">
      <c r="A48" s="1" t="s">
        <v>14</v>
      </c>
      <c r="B48" s="1">
        <v>9</v>
      </c>
      <c r="C48" s="1">
        <v>60</v>
      </c>
      <c r="D48" s="1">
        <f t="shared" ref="D48:D64" si="2">B48*C48</f>
        <v>540</v>
      </c>
      <c r="E48" s="1" t="s">
        <v>32</v>
      </c>
      <c r="F48" s="1">
        <v>150</v>
      </c>
    </row>
    <row r="49" spans="1:6" x14ac:dyDescent="0.25">
      <c r="A49" s="1" t="s">
        <v>15</v>
      </c>
      <c r="B49" s="1">
        <v>11</v>
      </c>
      <c r="C49" s="1">
        <v>60</v>
      </c>
      <c r="D49" s="1">
        <f t="shared" si="2"/>
        <v>660</v>
      </c>
      <c r="E49" s="1" t="s">
        <v>31</v>
      </c>
      <c r="F49" s="1">
        <v>200</v>
      </c>
    </row>
    <row r="50" spans="1:6" x14ac:dyDescent="0.25">
      <c r="A50" s="1" t="s">
        <v>16</v>
      </c>
      <c r="B50" s="1">
        <v>71</v>
      </c>
      <c r="C50" s="1">
        <v>60</v>
      </c>
      <c r="D50" s="1">
        <f t="shared" si="2"/>
        <v>4260</v>
      </c>
    </row>
    <row r="51" spans="1:6" x14ac:dyDescent="0.25">
      <c r="A51" s="1" t="s">
        <v>17</v>
      </c>
      <c r="B51" s="1">
        <v>0</v>
      </c>
      <c r="C51" s="1">
        <v>90</v>
      </c>
      <c r="D51" s="1">
        <f t="shared" si="2"/>
        <v>0</v>
      </c>
    </row>
    <row r="52" spans="1:6" x14ac:dyDescent="0.25">
      <c r="A52" s="1" t="s">
        <v>18</v>
      </c>
      <c r="B52" s="1">
        <v>8</v>
      </c>
      <c r="C52" s="1">
        <v>90</v>
      </c>
      <c r="D52" s="1">
        <f t="shared" si="2"/>
        <v>720</v>
      </c>
    </row>
    <row r="53" spans="1:6" x14ac:dyDescent="0.25">
      <c r="A53" s="1" t="s">
        <v>19</v>
      </c>
      <c r="B53" s="1">
        <v>16</v>
      </c>
      <c r="C53" s="1">
        <v>90</v>
      </c>
      <c r="D53" s="1">
        <f t="shared" si="2"/>
        <v>1440</v>
      </c>
    </row>
    <row r="54" spans="1:6" x14ac:dyDescent="0.25">
      <c r="A54" s="1" t="s">
        <v>20</v>
      </c>
      <c r="B54" s="1">
        <v>46</v>
      </c>
      <c r="C54" s="1">
        <v>90</v>
      </c>
      <c r="D54" s="1">
        <f t="shared" si="2"/>
        <v>4140</v>
      </c>
    </row>
    <row r="55" spans="1:6" x14ac:dyDescent="0.25">
      <c r="A55" s="1" t="s">
        <v>21</v>
      </c>
      <c r="B55" s="1">
        <v>6</v>
      </c>
      <c r="C55" s="1">
        <v>90</v>
      </c>
      <c r="D55" s="1">
        <f t="shared" si="2"/>
        <v>540</v>
      </c>
    </row>
    <row r="56" spans="1:6" x14ac:dyDescent="0.25">
      <c r="A56" s="1" t="s">
        <v>22</v>
      </c>
      <c r="B56" s="1">
        <v>8</v>
      </c>
      <c r="C56" s="1">
        <v>90</v>
      </c>
      <c r="D56" s="1">
        <f t="shared" si="2"/>
        <v>720</v>
      </c>
    </row>
    <row r="57" spans="1:6" x14ac:dyDescent="0.25">
      <c r="A57" s="1" t="s">
        <v>215</v>
      </c>
      <c r="B57" s="1">
        <v>0</v>
      </c>
      <c r="C57" s="1">
        <v>120</v>
      </c>
      <c r="D57" s="1">
        <f t="shared" ref="D57:D63" si="3">B57*C57</f>
        <v>0</v>
      </c>
    </row>
    <row r="58" spans="1:6" x14ac:dyDescent="0.25">
      <c r="A58" s="1" t="s">
        <v>214</v>
      </c>
      <c r="B58" s="1">
        <v>0</v>
      </c>
      <c r="C58" s="1">
        <v>120</v>
      </c>
      <c r="D58" s="1">
        <f t="shared" si="3"/>
        <v>0</v>
      </c>
    </row>
    <row r="59" spans="1:6" x14ac:dyDescent="0.25">
      <c r="A59" s="1" t="s">
        <v>0</v>
      </c>
      <c r="B59" s="1">
        <v>52</v>
      </c>
      <c r="C59" s="1">
        <v>120</v>
      </c>
      <c r="D59" s="1">
        <f t="shared" si="3"/>
        <v>6240</v>
      </c>
    </row>
    <row r="60" spans="1:6" x14ac:dyDescent="0.25">
      <c r="A60" s="1" t="s">
        <v>1</v>
      </c>
      <c r="B60" s="1">
        <v>0</v>
      </c>
      <c r="C60" s="1">
        <v>120</v>
      </c>
      <c r="D60" s="1">
        <f t="shared" si="3"/>
        <v>0</v>
      </c>
    </row>
    <row r="61" spans="1:6" x14ac:dyDescent="0.25">
      <c r="A61" s="1" t="s">
        <v>2</v>
      </c>
      <c r="B61" s="1">
        <v>2</v>
      </c>
      <c r="C61" s="1">
        <v>120</v>
      </c>
      <c r="D61" s="1">
        <f t="shared" si="3"/>
        <v>240</v>
      </c>
    </row>
    <row r="62" spans="1:6" x14ac:dyDescent="0.25">
      <c r="A62" s="1" t="s">
        <v>3</v>
      </c>
      <c r="B62" s="1">
        <v>73</v>
      </c>
      <c r="C62" s="1">
        <v>120</v>
      </c>
      <c r="D62" s="1">
        <f t="shared" si="3"/>
        <v>8760</v>
      </c>
    </row>
    <row r="63" spans="1:6" x14ac:dyDescent="0.25">
      <c r="A63" s="1" t="s">
        <v>4</v>
      </c>
      <c r="B63" s="1">
        <v>39</v>
      </c>
      <c r="C63" s="1">
        <v>120</v>
      </c>
      <c r="D63" s="1">
        <f t="shared" si="3"/>
        <v>4680</v>
      </c>
    </row>
    <row r="64" spans="1:6" x14ac:dyDescent="0.25">
      <c r="A64" s="1" t="s">
        <v>23</v>
      </c>
      <c r="B64" s="1">
        <v>0</v>
      </c>
      <c r="C64" s="1">
        <v>120</v>
      </c>
      <c r="D64" s="1">
        <f t="shared" si="2"/>
        <v>0</v>
      </c>
    </row>
    <row r="66" spans="1:2" x14ac:dyDescent="0.25">
      <c r="A66" s="2" t="s">
        <v>323</v>
      </c>
    </row>
    <row r="67" spans="1:2" x14ac:dyDescent="0.25">
      <c r="A67" s="1" t="s">
        <v>319</v>
      </c>
      <c r="B67" s="1">
        <v>1160</v>
      </c>
    </row>
    <row r="68" spans="1:2" x14ac:dyDescent="0.25">
      <c r="A68" s="1" t="s">
        <v>324</v>
      </c>
      <c r="B68" s="1">
        <f>B67-3600</f>
        <v>-2440</v>
      </c>
    </row>
    <row r="69" spans="1:2" x14ac:dyDescent="0.25">
      <c r="A69" s="1" t="s">
        <v>325</v>
      </c>
      <c r="B69" s="1">
        <f>SUM(D47:D64)</f>
        <v>32940</v>
      </c>
    </row>
    <row r="70" spans="1:2" x14ac:dyDescent="0.25">
      <c r="A70" s="1" t="s">
        <v>326</v>
      </c>
      <c r="B70" s="1">
        <f>B69-15000</f>
        <v>17940</v>
      </c>
    </row>
    <row r="71" spans="1:2" x14ac:dyDescent="0.25">
      <c r="A71" s="1" t="s">
        <v>206</v>
      </c>
      <c r="B71" s="1">
        <f ca="1">SUM(F2:F27)-(B67+B69)</f>
        <v>191500</v>
      </c>
    </row>
  </sheetData>
  <sortState xmlns:xlrd2="http://schemas.microsoft.com/office/spreadsheetml/2017/richdata2" ref="A2:E17">
    <sortCondition ref="C2:C17"/>
    <sortCondition ref="D2:D17"/>
  </sortState>
  <mergeCells count="4">
    <mergeCell ref="E46:F46"/>
    <mergeCell ref="I31:K31"/>
    <mergeCell ref="A31:D31"/>
    <mergeCell ref="E31:H3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F701-3F59-4721-B125-21466A081FC6}">
  <dimension ref="A1:AF81"/>
  <sheetViews>
    <sheetView topLeftCell="A51" workbookViewId="0">
      <selection activeCell="S23" sqref="S23"/>
    </sheetView>
  </sheetViews>
  <sheetFormatPr defaultColWidth="4.28515625" defaultRowHeight="15" x14ac:dyDescent="0.25"/>
  <cols>
    <col min="1" max="2" width="9.42578125" style="1" bestFit="1" customWidth="1"/>
    <col min="3" max="3" width="8.28515625" style="1" bestFit="1" customWidth="1"/>
    <col min="4" max="4" width="21.7109375" style="1" bestFit="1" customWidth="1"/>
    <col min="5" max="5" width="4.85546875" style="1" bestFit="1" customWidth="1"/>
    <col min="6" max="6" width="8.42578125" style="1" bestFit="1" customWidth="1"/>
    <col min="7" max="13" width="7.28515625" style="1" bestFit="1" customWidth="1"/>
    <col min="14" max="17" width="6.28515625" style="1" bestFit="1" customWidth="1"/>
    <col min="18" max="18" width="6.140625" style="1" bestFit="1" customWidth="1"/>
    <col min="19" max="19" width="23.85546875" style="1" bestFit="1" customWidth="1"/>
    <col min="20" max="20" width="5.140625" style="1" bestFit="1" customWidth="1"/>
    <col min="21" max="21" width="9.28515625" style="1" bestFit="1" customWidth="1"/>
    <col min="22" max="23" width="9.140625" style="1" bestFit="1" customWidth="1"/>
    <col min="24" max="24" width="9.28515625" style="1" bestFit="1" customWidth="1"/>
    <col min="25" max="26" width="9.140625" style="1" bestFit="1" customWidth="1"/>
    <col min="27" max="27" width="9" style="1" bestFit="1" customWidth="1"/>
    <col min="28" max="28" width="9.28515625" style="1" bestFit="1" customWidth="1"/>
    <col min="29" max="30" width="9.140625" style="1" bestFit="1" customWidth="1"/>
    <col min="31" max="31" width="9" style="1" bestFit="1" customWidth="1"/>
    <col min="32" max="32" width="9.140625" style="1" bestFit="1" customWidth="1"/>
    <col min="33" max="16384" width="4.28515625" style="1"/>
  </cols>
  <sheetData>
    <row r="1" spans="1:32" ht="15.75" thickBot="1" x14ac:dyDescent="0.3">
      <c r="A1" s="37" t="s">
        <v>266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S1" s="27" t="s">
        <v>262</v>
      </c>
      <c r="T1" s="17" t="s">
        <v>263</v>
      </c>
      <c r="U1" s="17" t="s">
        <v>274</v>
      </c>
      <c r="V1" s="17" t="s">
        <v>275</v>
      </c>
      <c r="W1" s="17" t="s">
        <v>276</v>
      </c>
      <c r="X1" s="17" t="s">
        <v>277</v>
      </c>
      <c r="Y1" s="17" t="s">
        <v>278</v>
      </c>
      <c r="Z1" s="17" t="s">
        <v>279</v>
      </c>
      <c r="AA1" s="17" t="s">
        <v>284</v>
      </c>
      <c r="AB1" s="17" t="s">
        <v>280</v>
      </c>
      <c r="AC1" s="17" t="s">
        <v>281</v>
      </c>
      <c r="AD1" s="17" t="s">
        <v>282</v>
      </c>
      <c r="AE1" s="28" t="s">
        <v>285</v>
      </c>
      <c r="AF1" s="2"/>
    </row>
    <row r="2" spans="1:32" x14ac:dyDescent="0.25">
      <c r="B2" s="16"/>
      <c r="C2" s="16"/>
      <c r="D2" s="16"/>
      <c r="E2" s="17" t="s">
        <v>227</v>
      </c>
      <c r="F2" s="16" t="s">
        <v>305</v>
      </c>
      <c r="G2" s="16" t="s">
        <v>306</v>
      </c>
      <c r="H2" s="16" t="s">
        <v>307</v>
      </c>
      <c r="I2" s="16" t="s">
        <v>308</v>
      </c>
      <c r="J2" s="16" t="s">
        <v>309</v>
      </c>
      <c r="K2" s="16" t="s">
        <v>310</v>
      </c>
      <c r="L2" s="16" t="s">
        <v>311</v>
      </c>
      <c r="M2" s="16" t="s">
        <v>312</v>
      </c>
      <c r="N2" s="16" t="s">
        <v>313</v>
      </c>
      <c r="O2" s="16" t="s">
        <v>314</v>
      </c>
      <c r="P2" s="16" t="s">
        <v>315</v>
      </c>
      <c r="Q2" s="18" t="s">
        <v>316</v>
      </c>
      <c r="S2" s="19" t="s">
        <v>328</v>
      </c>
      <c r="T2" s="34">
        <v>54</v>
      </c>
      <c r="U2" s="1" t="s">
        <v>241</v>
      </c>
      <c r="V2" s="1">
        <f>T2*V8</f>
        <v>40500</v>
      </c>
      <c r="W2" s="1">
        <f>T2*V9</f>
        <v>10800</v>
      </c>
      <c r="AE2" s="22"/>
    </row>
    <row r="3" spans="1:32" x14ac:dyDescent="0.25">
      <c r="A3" s="2" t="s">
        <v>271</v>
      </c>
      <c r="B3" s="2" t="s">
        <v>272</v>
      </c>
      <c r="C3" s="2" t="s">
        <v>273</v>
      </c>
      <c r="D3" s="2" t="s">
        <v>240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S3" s="19" t="s">
        <v>327</v>
      </c>
      <c r="T3" s="1">
        <f>ROUNDDOWN(T2/2,0)</f>
        <v>27</v>
      </c>
      <c r="AE3" s="22"/>
    </row>
    <row r="4" spans="1:32" x14ac:dyDescent="0.25">
      <c r="A4" s="32">
        <v>680000</v>
      </c>
      <c r="B4" s="1">
        <f>A4+($T$4*$T$8)</f>
        <v>931082</v>
      </c>
      <c r="C4" s="1">
        <f>ROUNDDOWN(A4/$T$8,0)</f>
        <v>471</v>
      </c>
      <c r="D4" s="1" t="s">
        <v>242</v>
      </c>
      <c r="E4" s="20"/>
      <c r="F4" s="20"/>
      <c r="G4" s="20"/>
      <c r="H4" s="20"/>
      <c r="I4" s="20"/>
      <c r="J4" s="1">
        <f>IF($C$4&gt;=$T$4,$T$4*$T$9,$C$4*$T$9)</f>
        <v>72036</v>
      </c>
      <c r="K4" s="1">
        <f>IF($C$4&gt;=$T$4,$T$4*$T$9,$C$4*$T$9)</f>
        <v>72036</v>
      </c>
      <c r="L4" s="1">
        <f>IF($C$4&gt;=$T$4,$T$4*$T$9,$C$4*$T$9)</f>
        <v>72036</v>
      </c>
      <c r="M4" s="1">
        <f>IF($C$4&gt;=$T$4,$T$4*$T$9,$C$4*$T$9)</f>
        <v>72036</v>
      </c>
      <c r="N4" s="1">
        <f>IF(ROUNDDOWN($C$4/2,0)&gt;=$T$5,$T$5*$T$11,ROUNDDOWN($C$4/2,0)*$T$11)</f>
        <v>2262</v>
      </c>
      <c r="O4" s="1">
        <f>IF(ROUNDDOWN($C$4/2,0)&gt;=$T$5,$T$5*$T$11,ROUNDDOWN($C$4/2,0)*$T$11)</f>
        <v>2262</v>
      </c>
      <c r="P4" s="1">
        <f>IF(ROUNDDOWN($C$4/2,0)&gt;=$T$5,$T$5*$T$11,ROUNDDOWN($C$4/2,0)*$T$11)</f>
        <v>2262</v>
      </c>
      <c r="Q4" s="1">
        <f>IF(ROUNDDOWN($C$4/2,0)&gt;=$T$5,$T$5*$T$11,ROUNDDOWN($C$4/2,0)*$T$11)</f>
        <v>2262</v>
      </c>
      <c r="S4" s="19" t="s">
        <v>287</v>
      </c>
      <c r="T4" s="34">
        <v>174</v>
      </c>
      <c r="U4" s="1">
        <f>T4*T8</f>
        <v>251082</v>
      </c>
      <c r="V4" s="1">
        <f>T4*T9</f>
        <v>72036</v>
      </c>
      <c r="W4" s="1">
        <f>T4*T11</f>
        <v>4524</v>
      </c>
      <c r="AE4" s="22"/>
    </row>
    <row r="5" spans="1:32" ht="15.75" thickBot="1" x14ac:dyDescent="0.3">
      <c r="A5" s="32">
        <v>347900</v>
      </c>
      <c r="B5" s="1">
        <f>A5+($T$4*$T$8)</f>
        <v>598982</v>
      </c>
      <c r="C5" s="1">
        <f>ROUNDDOWN(A5/$T$8,0)</f>
        <v>241</v>
      </c>
      <c r="D5" s="1" t="s">
        <v>243</v>
      </c>
      <c r="E5" s="20"/>
      <c r="F5" s="20"/>
      <c r="G5" s="20"/>
      <c r="H5" s="20"/>
      <c r="I5" s="20"/>
      <c r="J5" s="1">
        <f>IF($C$5&gt;=$T$4,$T$4*$T$9,$C$5*$T$9)</f>
        <v>72036</v>
      </c>
      <c r="K5" s="1">
        <f>IF($C$5&gt;=$T$4,$T$4*$T$9,$C$5*$T$9)</f>
        <v>72036</v>
      </c>
      <c r="L5" s="1">
        <f>IF($C$5&gt;=$T$4,$T$4*$T$9,$C$5*$T$9)</f>
        <v>72036</v>
      </c>
      <c r="M5" s="1">
        <f>IF($C$5&gt;=$T$4,$T$4*$T$9,$C$5*$T$9)</f>
        <v>72036</v>
      </c>
      <c r="N5" s="1">
        <f>IF(ROUNDDOWN($C$5/2,0)&gt;=$T$5,$T$5*$T$11,ROUNDDOWN($C$5/2,0)*$T$11)</f>
        <v>2262</v>
      </c>
      <c r="O5" s="1">
        <f>IF(ROUNDDOWN($C$5/2,0)&gt;=$T$5,$T$5*$T$11,ROUNDDOWN($C$5/2,0)*$T$11)</f>
        <v>2262</v>
      </c>
      <c r="P5" s="1">
        <f>IF(ROUNDDOWN($C$5/2,0)&gt;=$T$5,$T$5*$T$11,ROUNDDOWN($C$5/2,0)*$T$11)</f>
        <v>2262</v>
      </c>
      <c r="Q5" s="1">
        <f>IF(ROUNDDOWN($C$5/2,0)&gt;=$T$5,$T$5*$T$11,ROUNDDOWN($C$5/2,0)*$T$11)</f>
        <v>2262</v>
      </c>
      <c r="S5" s="23" t="s">
        <v>286</v>
      </c>
      <c r="T5" s="24">
        <f>ROUNDDOWN(T4/2,0)</f>
        <v>87</v>
      </c>
      <c r="U5" s="24" t="s">
        <v>241</v>
      </c>
      <c r="V5" s="24" t="s">
        <v>241</v>
      </c>
      <c r="W5" s="24">
        <f>T5*T11</f>
        <v>2262</v>
      </c>
      <c r="X5" s="24"/>
      <c r="Y5" s="24"/>
      <c r="Z5" s="24"/>
      <c r="AA5" s="24"/>
      <c r="AB5" s="24"/>
      <c r="AC5" s="24"/>
      <c r="AD5" s="24"/>
      <c r="AE5" s="29"/>
    </row>
    <row r="6" spans="1:32" ht="15.75" thickBot="1" x14ac:dyDescent="0.3">
      <c r="A6" s="32">
        <v>379200</v>
      </c>
      <c r="B6" s="1">
        <f>A6+($T$4*$T$8)</f>
        <v>630282</v>
      </c>
      <c r="C6" s="1">
        <f>ROUNDDOWN(A6/$T$8,0)</f>
        <v>262</v>
      </c>
      <c r="D6" s="1" t="s">
        <v>245</v>
      </c>
      <c r="E6" s="20"/>
      <c r="F6" s="20"/>
      <c r="G6" s="20"/>
      <c r="H6" s="20"/>
      <c r="I6" s="20"/>
      <c r="J6" s="1">
        <f>IF($C$6&gt;=$T$4,$T$4*$T$9,$C$6*$T$9)</f>
        <v>72036</v>
      </c>
      <c r="K6" s="1">
        <f>IF($C$6&gt;=$T$4,$T$4*$T$9,$C$6*$T$9)</f>
        <v>72036</v>
      </c>
      <c r="L6" s="1">
        <f>IF($C$6&gt;=$T$4,$T$4*$T$9,$C$6*$T$9)</f>
        <v>72036</v>
      </c>
      <c r="M6" s="1">
        <f>IF($C$6&gt;=$T$4,$T$4*$T$9,$C$6*$T$9)</f>
        <v>72036</v>
      </c>
      <c r="N6" s="1">
        <f>IF(ROUNDDOWN($C$6/2,0)&gt;=$T$5,$T$5*$T$11,ROUNDDOWN($C$6/2,0)*$T$11)</f>
        <v>2262</v>
      </c>
      <c r="O6" s="1">
        <f>IF(ROUNDDOWN($C$6/2,0)&gt;=$T$5,$T$5*$T$11,ROUNDDOWN($C$6/2,0)*$T$11)</f>
        <v>2262</v>
      </c>
      <c r="P6" s="1">
        <f>IF(ROUNDDOWN($C$6/2,0)&gt;=$T$5,$T$5*$T$11,ROUNDDOWN($C$6/2,0)*$T$11)</f>
        <v>2262</v>
      </c>
      <c r="Q6" s="1">
        <f>IF(ROUNDDOWN($C$6/2,0)&gt;=$T$5,$T$5*$T$11,ROUNDDOWN($C$6/2,0)*$T$11)</f>
        <v>2262</v>
      </c>
      <c r="S6" s="37" t="s">
        <v>268</v>
      </c>
      <c r="T6" s="37"/>
      <c r="U6" s="37"/>
      <c r="V6" s="37"/>
    </row>
    <row r="7" spans="1:32" x14ac:dyDescent="0.25">
      <c r="A7" s="32">
        <v>861400</v>
      </c>
      <c r="B7" s="1">
        <f>A7+($T$4*$T$8)</f>
        <v>1112482</v>
      </c>
      <c r="C7" s="1">
        <f>ROUNDDOWN(A7/$T$8,0)</f>
        <v>596</v>
      </c>
      <c r="D7" s="1" t="s">
        <v>247</v>
      </c>
      <c r="E7" s="20"/>
      <c r="F7" s="20"/>
      <c r="G7" s="20"/>
      <c r="H7" s="20"/>
      <c r="I7" s="20"/>
      <c r="J7" s="1">
        <f>IF($C$7&gt;=$T$4,$T$4*$T$9,$C$7*$T$9)</f>
        <v>72036</v>
      </c>
      <c r="K7" s="1">
        <f>IF($C$7&gt;=$T$4,$T$4*$T$9,$C$7*$T$9)</f>
        <v>72036</v>
      </c>
      <c r="L7" s="1">
        <f>IF($C$7&gt;=$T$4,$T$4*$T$9,$C$7*$T$9)</f>
        <v>72036</v>
      </c>
      <c r="M7" s="1">
        <f>IF($C$7&gt;=$T$4,$T$4*$T$9,$C$7*$T$9)</f>
        <v>72036</v>
      </c>
      <c r="N7" s="1">
        <f>IF(ROUNDDOWN($C$7/2,0)&gt;=$T$5,$T$5*$T$11,ROUNDDOWN($C$7/2,0)*$T$11)</f>
        <v>2262</v>
      </c>
      <c r="O7" s="1">
        <f>IF(ROUNDDOWN($C$7/2,0)&gt;=$T$5,$T$5*$T$11,ROUNDDOWN($C$7/2,0)*$T$11)</f>
        <v>2262</v>
      </c>
      <c r="P7" s="1">
        <f>IF(ROUNDDOWN($C$7/2,0)&gt;=$T$5,$T$5*$T$11,ROUNDDOWN($C$7/2,0)*$T$11)</f>
        <v>2262</v>
      </c>
      <c r="Q7" s="1">
        <f>IF(ROUNDDOWN($C$7/2,0)&gt;=$T$5,$T$5*$T$11,ROUNDDOWN($C$7/2,0)*$T$11)</f>
        <v>2262</v>
      </c>
      <c r="S7" s="27" t="s">
        <v>238</v>
      </c>
      <c r="T7" s="16"/>
      <c r="U7" s="17" t="s">
        <v>239</v>
      </c>
      <c r="V7" s="18"/>
    </row>
    <row r="8" spans="1:32" x14ac:dyDescent="0.25">
      <c r="A8" s="32">
        <v>305100</v>
      </c>
      <c r="B8" s="1">
        <f>A8+($T$4*$T$9)</f>
        <v>377136</v>
      </c>
      <c r="C8" s="1">
        <f>ROUNDDOWN(A8/$T$9, 0)</f>
        <v>736</v>
      </c>
      <c r="D8" s="1" t="s">
        <v>248</v>
      </c>
      <c r="E8" s="20"/>
      <c r="F8" s="1">
        <f>IF($C$8&gt;=$T$4,$T$4*$T$8,$C$8*$T$8)</f>
        <v>251082</v>
      </c>
      <c r="G8" s="1">
        <f>IF($C$8&gt;=$T$4,$T$4*$T$8,$C$8*$T$8)</f>
        <v>251082</v>
      </c>
      <c r="H8" s="1">
        <f>IF($C$8&gt;=$T$4,$T$4*$T$8,$C$8*$T$8)</f>
        <v>251082</v>
      </c>
      <c r="I8" s="1">
        <f>IF($C$8&gt;=$T$4,$T$4*$T$8,$C$8*$T$8)</f>
        <v>251082</v>
      </c>
      <c r="J8" s="20"/>
      <c r="K8" s="1">
        <f>IF($C$8&gt;=$T$4,$T$4*$T$9,$C$8*$T$9)</f>
        <v>72036</v>
      </c>
      <c r="L8" s="1">
        <f>IF($C$8&gt;=$T$4,$T$4*$T$9,$C$8*$T$9)</f>
        <v>72036</v>
      </c>
      <c r="M8" s="1">
        <f>IF($C$8&gt;=$T$4,$T$4*$T$9,$C$8*$T$9)</f>
        <v>72036</v>
      </c>
      <c r="N8" s="1">
        <f>IF($C$8&gt;=$T$4,$T$4*$T$11,$C$8*$T$11)</f>
        <v>4524</v>
      </c>
      <c r="O8" s="1">
        <f>IF($C$8&gt;=$T$4,$T$4*$T$11,$C$8*$T$11)</f>
        <v>4524</v>
      </c>
      <c r="P8" s="1">
        <f>IF($C$8&gt;=$T$4,$T$4*$T$11,$C$8*$T$11)</f>
        <v>4524</v>
      </c>
      <c r="Q8" s="1">
        <f>IF($C$8&gt;=$T$4,$T$4*$T$11,$C$8*$T$11)</f>
        <v>4524</v>
      </c>
      <c r="S8" s="19" t="s">
        <v>317</v>
      </c>
      <c r="T8" s="1">
        <v>1443</v>
      </c>
      <c r="U8" s="1" t="s">
        <v>264</v>
      </c>
      <c r="V8" s="22">
        <v>750</v>
      </c>
    </row>
    <row r="9" spans="1:32" x14ac:dyDescent="0.25">
      <c r="A9" s="32">
        <v>198400</v>
      </c>
      <c r="B9" s="1">
        <f>A9+($T$4*$T$9)</f>
        <v>270436</v>
      </c>
      <c r="C9" s="1">
        <f>ROUNDDOWN(A9/$T$9, 0)</f>
        <v>479</v>
      </c>
      <c r="D9" s="1" t="s">
        <v>249</v>
      </c>
      <c r="E9" s="20"/>
      <c r="F9" s="1">
        <f>IF($C$9&gt;=$T$4,$T$4*$T$8,$C$9*$T$8)</f>
        <v>251082</v>
      </c>
      <c r="G9" s="1">
        <f>IF($C$9&gt;=$T$4,$T$4*$T$8,$C$9*$T$8)</f>
        <v>251082</v>
      </c>
      <c r="H9" s="1">
        <f>IF($C$9&gt;=$T$4,$T$4*$T$8,$C$9*$T$8)</f>
        <v>251082</v>
      </c>
      <c r="I9" s="1">
        <f>IF($C$9&gt;=$T$4,$T$4*$T$8,$C$9*$T$8)</f>
        <v>251082</v>
      </c>
      <c r="J9" s="1">
        <f>IF($C$9&gt;=$T$4,$T$4*$T$9,$C$9*$T$9)</f>
        <v>72036</v>
      </c>
      <c r="K9" s="20"/>
      <c r="L9" s="1">
        <f>IF($C$9&gt;=$T$4,$T$4*$T$9,$C$9*$T$9)</f>
        <v>72036</v>
      </c>
      <c r="M9" s="1">
        <f>IF($C$9&gt;=$T$4,$T$4*$T$9,$C$9*$T$9)</f>
        <v>72036</v>
      </c>
      <c r="N9" s="1">
        <f>IF($C$9&gt;=$T$4,$T$4*$T$11,$C$9*$T$11)</f>
        <v>4524</v>
      </c>
      <c r="O9" s="1">
        <f>IF($C$9&gt;=$T$4,$T$4*$T$11,$C$9*$T$11)</f>
        <v>4524</v>
      </c>
      <c r="P9" s="1">
        <f>IF($C$9&gt;=$T$4,$T$4*$T$11,$C$9*$T$11)</f>
        <v>4524</v>
      </c>
      <c r="Q9" s="1">
        <f>IF($C$9&gt;=$T$4,$T$4*$T$11,$C$9*$T$11)</f>
        <v>4524</v>
      </c>
      <c r="S9" s="19" t="s">
        <v>318</v>
      </c>
      <c r="T9" s="1">
        <v>414</v>
      </c>
      <c r="U9" s="1" t="s">
        <v>265</v>
      </c>
      <c r="V9" s="22">
        <v>200</v>
      </c>
    </row>
    <row r="10" spans="1:32" x14ac:dyDescent="0.25">
      <c r="A10" s="32">
        <v>225600</v>
      </c>
      <c r="B10" s="1">
        <f>A10+($T$4*$T$9)</f>
        <v>297636</v>
      </c>
      <c r="C10" s="1">
        <f>ROUNDDOWN(A10/$T$9, 0)</f>
        <v>544</v>
      </c>
      <c r="D10" s="1" t="s">
        <v>250</v>
      </c>
      <c r="E10" s="20"/>
      <c r="F10" s="1">
        <f>IF($C$10&gt;=$T$4,$T$4*$T$8,$C$10*$T$8)</f>
        <v>251082</v>
      </c>
      <c r="G10" s="1">
        <f>IF($C$10&gt;=$T$4,$T$4*$T$8,$C$10*$T$8)</f>
        <v>251082</v>
      </c>
      <c r="H10" s="1">
        <f>IF($C$10&gt;=$T$4,$T$4*$T$8,$C$10*$T$8)</f>
        <v>251082</v>
      </c>
      <c r="I10" s="1">
        <f>IF($C$10&gt;=$T$4,$T$4*$T$8,$C$10*$T$8)</f>
        <v>251082</v>
      </c>
      <c r="J10" s="1">
        <f>IF($C$10&gt;=$T$4,$T$4*$T$9,$C$10*$T$9)</f>
        <v>72036</v>
      </c>
      <c r="K10" s="1">
        <f>IF($C$10&gt;=$T$4,$T$4*$T$9,$C$10*$T$9)</f>
        <v>72036</v>
      </c>
      <c r="L10" s="20"/>
      <c r="M10" s="1">
        <f>IF($C$10&gt;=$T$4,$T$4*$T$9,$C$10*$T$9)</f>
        <v>72036</v>
      </c>
      <c r="N10" s="1">
        <f>IF($C$10&gt;=$T$4,$T$4*$T$11,$C$10*$T$11)</f>
        <v>4524</v>
      </c>
      <c r="O10" s="1">
        <f>IF($C$10&gt;=$T$4,$T$4*$T$11,$C$10*$T$11)</f>
        <v>4524</v>
      </c>
      <c r="P10" s="1">
        <f>IF($C$10&gt;=$T$4,$T$4*$T$11,$C$10*$T$11)</f>
        <v>4524</v>
      </c>
      <c r="Q10" s="1">
        <f>IF($C$10&gt;=$T$4,$T$4*$T$11,$C$10*$T$11)</f>
        <v>4524</v>
      </c>
      <c r="S10" s="19" t="s">
        <v>244</v>
      </c>
      <c r="T10" s="1">
        <v>25</v>
      </c>
      <c r="U10" s="1" t="s">
        <v>283</v>
      </c>
      <c r="V10" s="22" t="s">
        <v>288</v>
      </c>
    </row>
    <row r="11" spans="1:32" ht="15.75" thickBot="1" x14ac:dyDescent="0.3">
      <c r="A11" s="32">
        <v>194900</v>
      </c>
      <c r="B11" s="1">
        <f>A11+($T$4*$T$9)</f>
        <v>266936</v>
      </c>
      <c r="C11" s="1">
        <f>ROUNDDOWN(A11/$T$9, 0)</f>
        <v>470</v>
      </c>
      <c r="D11" s="1" t="s">
        <v>251</v>
      </c>
      <c r="E11" s="20"/>
      <c r="F11" s="1">
        <f>IF($C$11&gt;=$T$4,$T$4*$T$8,$C$11*$T$8)</f>
        <v>251082</v>
      </c>
      <c r="G11" s="1">
        <f>IF($C$11&gt;=$T$4,$T$4*$T$8,$C$11*$T$8)</f>
        <v>251082</v>
      </c>
      <c r="H11" s="1">
        <f>IF($C$11&gt;=$T$4,$T$4*$T$8,$C$11*$T$8)</f>
        <v>251082</v>
      </c>
      <c r="I11" s="1">
        <f>IF($C$11&gt;=$T$4,$T$4*$T$8,$C$11*$T$8)</f>
        <v>251082</v>
      </c>
      <c r="J11" s="1">
        <f>IF($C$11&gt;=$T$4,$T$4*$T$9,$C$11*$T$9)</f>
        <v>72036</v>
      </c>
      <c r="K11" s="1">
        <f>IF($C$11&gt;=$T$4,$T$4*$T$9,$C$11*$T$9)</f>
        <v>72036</v>
      </c>
      <c r="L11" s="1">
        <f>IF($C$11&gt;=$T$4,$T$4*$T$9,$C$11*$T$9)</f>
        <v>72036</v>
      </c>
      <c r="M11" s="20"/>
      <c r="N11" s="1">
        <f>IF($C$11&gt;=$T$4,$T$4*$T$11,$C$11*$T$11)</f>
        <v>4524</v>
      </c>
      <c r="O11" s="1">
        <f>IF($C$11&gt;=$T$4,$T$4*$T$11,$C$11*$T$11)</f>
        <v>4524</v>
      </c>
      <c r="P11" s="1">
        <f>IF($C$11&gt;=$T$4,$T$4*$T$11,$C$11*$T$11)</f>
        <v>4524</v>
      </c>
      <c r="Q11" s="1">
        <f>IF($C$11&gt;=$T$4,$T$4*$T$11,$C$11*$T$11)</f>
        <v>4524</v>
      </c>
      <c r="S11" s="23" t="s">
        <v>246</v>
      </c>
      <c r="T11" s="24">
        <v>26</v>
      </c>
      <c r="U11" s="24"/>
      <c r="V11" s="29"/>
    </row>
    <row r="12" spans="1:32" x14ac:dyDescent="0.25">
      <c r="A12" s="32">
        <v>12500</v>
      </c>
      <c r="B12" s="1">
        <f>A12+($T$4*$T$11)</f>
        <v>17024</v>
      </c>
      <c r="C12" s="1">
        <f>ROUNDDOWN(A12/$T$10,0)</f>
        <v>500</v>
      </c>
      <c r="D12" s="1" t="s">
        <v>252</v>
      </c>
      <c r="E12" s="20"/>
      <c r="F12" s="1">
        <f>IF(ROUNDDOWN($C$12/2,0)&gt;=$T$5,$T$5*$T$8,ROUNDDOWN($C$12/2,0)*$T$8)</f>
        <v>125541</v>
      </c>
      <c r="G12" s="1">
        <f>IF(ROUNDDOWN($C$12/2,0)&gt;=$T$5,$T$5*$T$8,ROUNDDOWN($C$12/2,0)*$T$8)</f>
        <v>125541</v>
      </c>
      <c r="H12" s="1">
        <f>IF(ROUNDDOWN($C$12/2,0)&gt;=$T$5,$T$5*$T$8,ROUNDDOWN($C$12/2,0)*$T$8)</f>
        <v>125541</v>
      </c>
      <c r="I12" s="1">
        <f>IF(ROUNDDOWN($C$12/2,0)&gt;=$T$5,$T$5*$T$8,ROUNDDOWN($C$12/2,0)*$T$8)</f>
        <v>125541</v>
      </c>
      <c r="J12" s="1">
        <f>IF($C$12&gt;=$T$4,$T$4*$T$9,$C$12*$T$9)</f>
        <v>72036</v>
      </c>
      <c r="K12" s="1">
        <f>IF($C$12&gt;=$T$4,$T$4*$T$9,$C$12*$T$9)</f>
        <v>72036</v>
      </c>
      <c r="L12" s="1">
        <f>IF($C$12&gt;=$T$4,$T$4*$T$9,$C$12*$T$9)</f>
        <v>72036</v>
      </c>
      <c r="M12" s="1">
        <f>IF($C$12&gt;=$T$4,$T$4*$T$9,$C$12*$T$9)</f>
        <v>72036</v>
      </c>
      <c r="N12" s="20"/>
      <c r="O12" s="1">
        <f>IF($C$12&gt;=$T$4,$T$4*$T$11,$C$12*$T$11)</f>
        <v>4524</v>
      </c>
      <c r="P12" s="1">
        <f>IF($C$12&gt;=$T$4,$T$4*$T$11,$C$12*$T$11)</f>
        <v>4524</v>
      </c>
      <c r="Q12" s="1">
        <f>IF($C$12&gt;=$T$4,$T$4*$T$11,$C$12*$T$11)</f>
        <v>4524</v>
      </c>
    </row>
    <row r="13" spans="1:32" x14ac:dyDescent="0.25">
      <c r="A13" s="32">
        <v>8579</v>
      </c>
      <c r="B13" s="1">
        <f>A13+($T$4*$T$11)</f>
        <v>13103</v>
      </c>
      <c r="C13" s="1">
        <f>ROUNDDOWN(A13/$T$10,0)</f>
        <v>343</v>
      </c>
      <c r="D13" s="1" t="s">
        <v>253</v>
      </c>
      <c r="E13" s="20"/>
      <c r="F13" s="1">
        <f>IF(ROUNDDOWN($C$13/2,0)&gt;=$T$5,$T$5*$T$8,ROUNDDOWN($C$13/2,0)*$T$8)</f>
        <v>125541</v>
      </c>
      <c r="G13" s="1">
        <f>IF(ROUNDDOWN($C$13/2,0)&gt;=$T$5,$T$5*$T$8,ROUNDDOWN($C$13/2,0)*$T$8)</f>
        <v>125541</v>
      </c>
      <c r="H13" s="1">
        <f>IF(ROUNDDOWN($C$13/2,0)&gt;=$T$5,$T$5*$T$8,ROUNDDOWN($C$13/2,0)*$T$8)</f>
        <v>125541</v>
      </c>
      <c r="I13" s="1">
        <f>IF(ROUNDDOWN($C$13/2,0)&gt;=$T$5,$T$5*$T$8,ROUNDDOWN($C$13/2,0)*$T$8)</f>
        <v>125541</v>
      </c>
      <c r="J13" s="1">
        <f>IF($C$13&gt;=$T$4,$T$4*$T$9,$C$13*$T$9)</f>
        <v>72036</v>
      </c>
      <c r="K13" s="1">
        <f>IF($C$13&gt;=$T$4,$T$4*$T$9,$C$13*$T$9)</f>
        <v>72036</v>
      </c>
      <c r="L13" s="1">
        <f>IF($C$13&gt;=$T$4,$T$4*$T$9,$C$13*$T$9)</f>
        <v>72036</v>
      </c>
      <c r="M13" s="1">
        <f>IF($C$13&gt;=$T$4,$T$4*$T$9,$C$13*$T$9)</f>
        <v>72036</v>
      </c>
      <c r="N13" s="1">
        <f>IF($C$13&gt;=$T$4,$T$4*$T$11,$C$13*$T$11)</f>
        <v>4524</v>
      </c>
      <c r="O13" s="20"/>
      <c r="P13" s="1">
        <f>IF($C$13&gt;=$T$4,$T$4*$T$11,$C$13*$T$11)</f>
        <v>4524</v>
      </c>
      <c r="Q13" s="1">
        <f>IF($C$13&gt;=$T$4,$T$4*$T$11,$C$13*$T$11)</f>
        <v>4524</v>
      </c>
    </row>
    <row r="14" spans="1:32" x14ac:dyDescent="0.25">
      <c r="A14" s="32">
        <v>6334</v>
      </c>
      <c r="B14" s="1">
        <f>A14+($T$4*$T$11)</f>
        <v>10858</v>
      </c>
      <c r="C14" s="1">
        <f>ROUNDDOWN(A14/$T$10,0)</f>
        <v>253</v>
      </c>
      <c r="D14" s="1" t="s">
        <v>254</v>
      </c>
      <c r="E14" s="20"/>
      <c r="F14" s="1">
        <f>IF(ROUNDDOWN($C$14/2,0)&gt;=$T$5,$T$5*$T$8,ROUNDDOWN($C$14/2,0)*$T$8)</f>
        <v>125541</v>
      </c>
      <c r="G14" s="1">
        <f>IF(ROUNDDOWN($C$14/2,0)&gt;=$T$5,$T$5*$T$8,ROUNDDOWN($C$14/2,0)*$T$8)</f>
        <v>125541</v>
      </c>
      <c r="H14" s="1">
        <f>IF(ROUNDDOWN($C$14/2,0)&gt;=$T$5,$T$5*$T$8,ROUNDDOWN($C$14/2,0)*$T$8)</f>
        <v>125541</v>
      </c>
      <c r="I14" s="1">
        <f>IF(ROUNDDOWN($C$14/2,0)&gt;=$T$5,$T$5*$T$8,ROUNDDOWN($C$14/2,0)*$T$8)</f>
        <v>125541</v>
      </c>
      <c r="J14" s="1">
        <f>IF($C$14&gt;=$T$4,$T$4*$T$9,$C$14*$T$9)</f>
        <v>72036</v>
      </c>
      <c r="K14" s="1">
        <f>IF($C$14&gt;=$T$4,$T$4*$T$9,$C$14*$T$9)</f>
        <v>72036</v>
      </c>
      <c r="L14" s="1">
        <f>IF($C$14&gt;=$T$4,$T$4*$T$9,$C$14*$T$9)</f>
        <v>72036</v>
      </c>
      <c r="M14" s="1">
        <f>IF($C$14&gt;=$T$4,$T$4*$T$9,$C$14*$T$9)</f>
        <v>72036</v>
      </c>
      <c r="N14" s="1">
        <f>IF($C$14&gt;=$T$4,$T$4*$T$11,$C$14*$T$11)</f>
        <v>4524</v>
      </c>
      <c r="O14" s="1">
        <f>IF($C$14&gt;=$T$4,$T$4*$T$11,$C$14*$T$11)</f>
        <v>4524</v>
      </c>
      <c r="P14" s="20"/>
      <c r="Q14" s="1">
        <f>IF($C$14&gt;=$T$4,$T$4*$T$11,$C$14*$T$11)</f>
        <v>4524</v>
      </c>
    </row>
    <row r="15" spans="1:32" ht="15.75" thickBot="1" x14ac:dyDescent="0.3">
      <c r="A15" s="33">
        <v>8892</v>
      </c>
      <c r="B15" s="24">
        <f>A15+($T$4*$T$11)</f>
        <v>13416</v>
      </c>
      <c r="C15" s="24">
        <f>ROUNDDOWN(A15/$T$10,0)</f>
        <v>355</v>
      </c>
      <c r="D15" s="24" t="s">
        <v>255</v>
      </c>
      <c r="E15" s="25"/>
      <c r="F15" s="24">
        <f>IF(ROUNDDOWN($C$15/2,0)&gt;=$T$5,$T$5*$T$8,ROUNDDOWN($C$15/2,0)*$T$8)</f>
        <v>125541</v>
      </c>
      <c r="G15" s="24">
        <f>IF(ROUNDDOWN($C$15/2,0)&gt;=$T$5,$T$5*$T$8,ROUNDDOWN($C$15/2,0)*$T$8)</f>
        <v>125541</v>
      </c>
      <c r="H15" s="24">
        <f>IF(ROUNDDOWN($C$15/2,0)&gt;=$T$5,$T$5*$T$8,ROUNDDOWN($C$15/2,0)*$T$8)</f>
        <v>125541</v>
      </c>
      <c r="I15" s="24">
        <f>IF(ROUNDDOWN($C$15/2,0)&gt;=$T$5,$T$5*$T$8,ROUNDDOWN($C$15/2,0)*$T$8)</f>
        <v>125541</v>
      </c>
      <c r="J15" s="24">
        <f>IF($C$15&gt;=$T$4,$T$4*$T$9,$C$15*$T$9)</f>
        <v>72036</v>
      </c>
      <c r="K15" s="24">
        <f>IF($C$15&gt;=$T$4,$T$4*$T$9,$C$15*$T$9)</f>
        <v>72036</v>
      </c>
      <c r="L15" s="24">
        <f>IF($C$15&gt;=$T$4,$T$4*$T$9,$C$15*$T$9)</f>
        <v>72036</v>
      </c>
      <c r="M15" s="24">
        <f>IF($C$15&gt;=$T$4,$T$4*$T$9,$C$15*$T$9)</f>
        <v>72036</v>
      </c>
      <c r="N15" s="24">
        <f>IF($C$15&gt;=$T$4,$T$4*$T$11,$C$15*$T$11)</f>
        <v>4524</v>
      </c>
      <c r="O15" s="24">
        <f>IF($C$15&gt;=$T$4,$T$4*$T$11,$C$15*$T$11)</f>
        <v>4524</v>
      </c>
      <c r="P15" s="24">
        <f>IF($C$15&gt;=$T$4,$T$4*$T$11,$C$15*$T$11)</f>
        <v>4524</v>
      </c>
      <c r="Q15" s="26"/>
    </row>
    <row r="16" spans="1:32" ht="15.75" thickBot="1" x14ac:dyDescent="0.3">
      <c r="A16" s="36" t="s">
        <v>267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spans="1:22" x14ac:dyDescent="0.25">
      <c r="A17" s="15"/>
      <c r="B17" s="16"/>
      <c r="C17" s="16"/>
      <c r="D17" s="16"/>
      <c r="E17" s="17" t="s">
        <v>227</v>
      </c>
      <c r="F17" s="16" t="s">
        <v>296</v>
      </c>
      <c r="G17" s="16" t="s">
        <v>297</v>
      </c>
      <c r="H17" s="16" t="s">
        <v>298</v>
      </c>
      <c r="I17" s="16" t="s">
        <v>299</v>
      </c>
      <c r="J17" s="16" t="s">
        <v>300</v>
      </c>
      <c r="K17" s="16" t="s">
        <v>301</v>
      </c>
      <c r="L17" s="16" t="s">
        <v>293</v>
      </c>
      <c r="M17" s="16" t="s">
        <v>294</v>
      </c>
      <c r="N17" s="18" t="s">
        <v>295</v>
      </c>
    </row>
    <row r="18" spans="1:22" x14ac:dyDescent="0.25">
      <c r="A18" s="31" t="s">
        <v>271</v>
      </c>
      <c r="B18" s="2" t="s">
        <v>272</v>
      </c>
      <c r="C18" s="2" t="s">
        <v>273</v>
      </c>
      <c r="D18" s="2" t="s">
        <v>240</v>
      </c>
      <c r="E18" s="20"/>
      <c r="F18" s="20"/>
      <c r="G18" s="20"/>
      <c r="H18" s="20"/>
      <c r="I18" s="20"/>
      <c r="J18" s="20"/>
      <c r="K18" s="20"/>
      <c r="L18" s="20"/>
      <c r="M18" s="20"/>
      <c r="N18" s="21"/>
    </row>
    <row r="19" spans="1:22" x14ac:dyDescent="0.25">
      <c r="A19" s="32">
        <v>90000</v>
      </c>
      <c r="B19" s="1">
        <f>A19+($T$2*$V$8)</f>
        <v>130500</v>
      </c>
      <c r="C19" s="1">
        <f>ROUNDDOWN(A19/$V$8,0)</f>
        <v>120</v>
      </c>
      <c r="D19" s="1" t="s">
        <v>256</v>
      </c>
      <c r="E19" s="20"/>
      <c r="F19" s="20"/>
      <c r="G19" s="1">
        <f>IF($C$19&gt;=$T$2,$T$2*$V$8,$C$19*$V$8)</f>
        <v>40500</v>
      </c>
      <c r="H19" s="1">
        <f>IF($C$19&gt;=$T$2,$T$2*$V$8,$C$19*$V$8)</f>
        <v>40500</v>
      </c>
      <c r="I19" s="1">
        <f>IF($C$19&gt;=$T$2,$T$2*$V$9,$C$19*$V$9)</f>
        <v>10800</v>
      </c>
      <c r="J19" s="1">
        <f>IF($C$19&gt;=$T$2,$T$2*$V$9,$C$19*$V$9)</f>
        <v>10800</v>
      </c>
      <c r="K19" s="1">
        <f>IF($C$19&gt;=$T$2,$T$2*$V$9,$C$19*$V$9)</f>
        <v>10800</v>
      </c>
      <c r="N19" s="22"/>
    </row>
    <row r="20" spans="1:22" x14ac:dyDescent="0.25">
      <c r="A20" s="32">
        <v>21600</v>
      </c>
      <c r="B20" s="1">
        <f>A20+($T$2*$V$8)</f>
        <v>62100</v>
      </c>
      <c r="C20" s="1">
        <f>ROUNDDOWN(A20/$V$8,0)</f>
        <v>28</v>
      </c>
      <c r="D20" s="1" t="s">
        <v>257</v>
      </c>
      <c r="E20" s="20"/>
      <c r="F20" s="1">
        <f>IF($C$20&gt;=$T$2,$T$2*$V$8,$C$20*$V$8)</f>
        <v>21000</v>
      </c>
      <c r="G20" s="20"/>
      <c r="H20" s="1">
        <f>IF($C$20&gt;=$T$2,$T$2*$V$8,$C$20*$V$8)</f>
        <v>21000</v>
      </c>
      <c r="I20" s="1">
        <f>IF($C$20&gt;=$T$2,$T$2*$V$9,$C$20*$V$9)</f>
        <v>5600</v>
      </c>
      <c r="J20" s="1">
        <f>IF($C$20&gt;=$T$2,$T$2*$V$9,$C$20*$V$9)</f>
        <v>5600</v>
      </c>
      <c r="K20" s="1">
        <f>IF($C$20&gt;=$T$2,$T$2*$V$9,$C$20*$V$9)</f>
        <v>5600</v>
      </c>
      <c r="N20" s="22"/>
    </row>
    <row r="21" spans="1:22" x14ac:dyDescent="0.25">
      <c r="A21" s="32">
        <v>30000</v>
      </c>
      <c r="B21" s="1">
        <f>A21+($T$2*$V$8)</f>
        <v>70500</v>
      </c>
      <c r="C21" s="1">
        <f>ROUNDDOWN(A21/$V$8,0)</f>
        <v>40</v>
      </c>
      <c r="D21" s="1" t="s">
        <v>258</v>
      </c>
      <c r="E21" s="20"/>
      <c r="F21" s="1">
        <f>IF($C$21&gt;=$T$2,$T$2*$V$8,$C$21*$V$8)</f>
        <v>30000</v>
      </c>
      <c r="G21" s="1">
        <f>IF($C$21&gt;=$T$2,$T$2*$V$8,$C$21*$V$8)</f>
        <v>30000</v>
      </c>
      <c r="H21" s="20"/>
      <c r="I21" s="1">
        <f>IF($C$21&gt;=$T$2,$T$2*$V$9,$C$21*$V$9)</f>
        <v>8000</v>
      </c>
      <c r="J21" s="1">
        <f>IF($C$21&gt;=$T$2,$T$2*$V$9,$C$21*$V$9)</f>
        <v>8000</v>
      </c>
      <c r="K21" s="1">
        <f>IF($C$21&gt;=$T$2,$T$2*$V$9,$C$21*$V$9)</f>
        <v>8000</v>
      </c>
      <c r="N21" s="22"/>
    </row>
    <row r="22" spans="1:22" x14ac:dyDescent="0.25">
      <c r="A22" s="32">
        <v>33200</v>
      </c>
      <c r="B22" s="1">
        <f>A22+($T$2*$V$9)</f>
        <v>44000</v>
      </c>
      <c r="C22" s="1">
        <f>ROUNDDOWN(A22/$V$9,0)</f>
        <v>166</v>
      </c>
      <c r="D22" s="1" t="s">
        <v>259</v>
      </c>
      <c r="E22" s="20"/>
      <c r="F22" s="1">
        <f>IF($C$22&gt;=$T$2,$T$2*$V$8,$C$22*$V$8)</f>
        <v>40500</v>
      </c>
      <c r="G22" s="1">
        <f>IF($C$22&gt;=$T$2,$T$2*$V$8,$C$22*$V$8)</f>
        <v>40500</v>
      </c>
      <c r="H22" s="1">
        <f>IF($C$22&gt;=$T$2,$T$2*$V$8,$C$22*$V$8)</f>
        <v>40500</v>
      </c>
      <c r="I22" s="20"/>
      <c r="J22" s="1">
        <f>IF($C$22&gt;=$T$2,$T$2*$V$9,$C$22*$V$9)</f>
        <v>10800</v>
      </c>
      <c r="K22" s="1">
        <f>IF($C$22&gt;=$T$2,$T$2*$V$9,$C$22*$V$9)</f>
        <v>10800</v>
      </c>
      <c r="N22" s="22"/>
    </row>
    <row r="23" spans="1:22" x14ac:dyDescent="0.25">
      <c r="A23" s="32">
        <v>5555</v>
      </c>
      <c r="B23" s="1">
        <f>A23+($T$2*$V$9)</f>
        <v>16355</v>
      </c>
      <c r="C23" s="1">
        <f>ROUNDDOWN(A23/$V$9,0)</f>
        <v>27</v>
      </c>
      <c r="D23" s="1" t="s">
        <v>260</v>
      </c>
      <c r="E23" s="20"/>
      <c r="F23" s="1">
        <f>IF($C$23&gt;=$T$2,$T$2*$V$8,$C$23*$V$8)</f>
        <v>20250</v>
      </c>
      <c r="G23" s="1">
        <f>IF($C$23&gt;=$T$2,$T$2*$V$8,$C$23*$V$8)</f>
        <v>20250</v>
      </c>
      <c r="H23" s="1">
        <f>IF($C$23&gt;=$T$2,$T$2*$V$8,$C$23*$V$8)</f>
        <v>20250</v>
      </c>
      <c r="I23" s="1">
        <f>IF($C$23&gt;=$T$2,$T$2*$V$9,$C$23*$V$9)</f>
        <v>5400</v>
      </c>
      <c r="J23" s="20"/>
      <c r="K23" s="1">
        <f>IF($C$23&gt;=$T$2,$T$2*$V$9,$C$23*$V$9)</f>
        <v>5400</v>
      </c>
      <c r="N23" s="22"/>
      <c r="S23" s="30"/>
      <c r="T23" s="30"/>
      <c r="U23" s="30"/>
      <c r="V23" s="30"/>
    </row>
    <row r="24" spans="1:22" x14ac:dyDescent="0.25">
      <c r="A24" s="32">
        <v>6347</v>
      </c>
      <c r="B24" s="1">
        <f>A25+($T$2*$V$9)</f>
        <v>10800</v>
      </c>
      <c r="C24" s="1">
        <f>ROUNDDOWN(A24/$V$9,0)</f>
        <v>31</v>
      </c>
      <c r="D24" s="1" t="s">
        <v>261</v>
      </c>
      <c r="E24" s="20"/>
      <c r="F24" s="1">
        <f>IF($C$24&gt;=$T$2,$T$2*$V$8,$C$24*$V$8)</f>
        <v>23250</v>
      </c>
      <c r="G24" s="1">
        <f>IF($C$24&gt;=$T$2,$T$2*$V$8,$C$24*$V$8)</f>
        <v>23250</v>
      </c>
      <c r="H24" s="1">
        <f>IF($C$24&gt;=$T$2,$T$2*$V$8,$C$24*$V$8)</f>
        <v>23250</v>
      </c>
      <c r="I24" s="1">
        <f>IF($C$24&gt;=$T$2,$T$2*$V$9,$C$24*$V$9)</f>
        <v>6200</v>
      </c>
      <c r="J24" s="1">
        <f>IF($C$24&gt;=$T$2,$T$2*$V$9,$C$24*$V$9)</f>
        <v>6200</v>
      </c>
      <c r="K24" s="20"/>
      <c r="N24" s="22"/>
      <c r="S24" s="30"/>
      <c r="T24" s="30"/>
      <c r="U24" s="30"/>
      <c r="V24" s="30"/>
    </row>
    <row r="25" spans="1:22" x14ac:dyDescent="0.25">
      <c r="A25" s="32">
        <v>0</v>
      </c>
      <c r="D25" s="1" t="s">
        <v>302</v>
      </c>
      <c r="E25" s="20"/>
      <c r="L25" s="20"/>
      <c r="N25" s="22"/>
      <c r="S25" s="30"/>
      <c r="T25" s="30"/>
      <c r="U25" s="30"/>
      <c r="V25" s="30"/>
    </row>
    <row r="26" spans="1:22" x14ac:dyDescent="0.25">
      <c r="A26" s="32">
        <v>0</v>
      </c>
      <c r="D26" s="1" t="s">
        <v>303</v>
      </c>
      <c r="E26" s="20"/>
      <c r="M26" s="20"/>
      <c r="N26" s="22"/>
      <c r="S26" s="30"/>
      <c r="T26" s="30"/>
      <c r="U26" s="30"/>
      <c r="V26" s="30"/>
    </row>
    <row r="27" spans="1:22" ht="15.75" thickBot="1" x14ac:dyDescent="0.3">
      <c r="A27" s="33">
        <v>0</v>
      </c>
      <c r="B27" s="24"/>
      <c r="C27" s="24"/>
      <c r="D27" s="24" t="s">
        <v>304</v>
      </c>
      <c r="E27" s="25"/>
      <c r="F27" s="24"/>
      <c r="G27" s="24"/>
      <c r="H27" s="24"/>
      <c r="I27" s="24"/>
      <c r="J27" s="24"/>
      <c r="K27" s="24"/>
      <c r="L27" s="24"/>
      <c r="M27" s="24"/>
      <c r="N27" s="26"/>
      <c r="S27" s="2"/>
      <c r="U27" s="2"/>
    </row>
    <row r="28" spans="1:22" ht="15.75" thickBot="1" x14ac:dyDescent="0.3">
      <c r="A28" s="37" t="s">
        <v>289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22" ht="15.75" thickBot="1" x14ac:dyDescent="0.3">
      <c r="A29" s="15"/>
      <c r="B29" s="16"/>
      <c r="C29" s="16"/>
      <c r="D29" s="16"/>
      <c r="E29" s="17" t="s">
        <v>227</v>
      </c>
      <c r="F29" s="16" t="s">
        <v>228</v>
      </c>
      <c r="G29" s="16" t="s">
        <v>229</v>
      </c>
      <c r="H29" s="16" t="s">
        <v>230</v>
      </c>
      <c r="I29" s="16" t="s">
        <v>231</v>
      </c>
      <c r="J29" s="16" t="s">
        <v>232</v>
      </c>
      <c r="K29" s="16" t="s">
        <v>233</v>
      </c>
      <c r="L29" s="16" t="s">
        <v>225</v>
      </c>
      <c r="M29" s="16" t="s">
        <v>234</v>
      </c>
      <c r="N29" s="16" t="s">
        <v>235</v>
      </c>
      <c r="O29" s="16" t="s">
        <v>236</v>
      </c>
      <c r="P29" s="16" t="s">
        <v>226</v>
      </c>
      <c r="Q29" s="18" t="s">
        <v>237</v>
      </c>
      <c r="S29" s="38" t="s">
        <v>269</v>
      </c>
      <c r="T29" s="38"/>
      <c r="U29" s="38"/>
      <c r="V29" s="38"/>
    </row>
    <row r="30" spans="1:22" x14ac:dyDescent="0.25">
      <c r="A30" s="31" t="s">
        <v>271</v>
      </c>
      <c r="B30" s="2" t="s">
        <v>272</v>
      </c>
      <c r="C30" s="2" t="s">
        <v>273</v>
      </c>
      <c r="D30" s="2" t="s">
        <v>240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1"/>
      <c r="S30" s="27" t="s">
        <v>238</v>
      </c>
      <c r="T30" s="16"/>
      <c r="U30" s="17" t="s">
        <v>239</v>
      </c>
      <c r="V30" s="18"/>
    </row>
    <row r="31" spans="1:22" x14ac:dyDescent="0.25">
      <c r="A31" s="32">
        <v>14900000</v>
      </c>
      <c r="B31" s="1">
        <f>A31+($T$4*$T$31)</f>
        <v>15518048</v>
      </c>
      <c r="C31" s="1">
        <f>ROUNDDOWN(A31/$T$31,0)</f>
        <v>4194</v>
      </c>
      <c r="D31" s="1" t="s">
        <v>242</v>
      </c>
      <c r="E31" s="20"/>
      <c r="F31" s="20"/>
      <c r="G31" s="1">
        <f>IF($C$31&gt;=$T$4,$T$4*$T$31,$C$31*$T$31)</f>
        <v>618048</v>
      </c>
      <c r="H31" s="1">
        <f>IF($C$31&gt;=$T$4,$T$4*$T$31,$C$31*$T$31)</f>
        <v>618048</v>
      </c>
      <c r="I31" s="1">
        <f>IF($C$31&gt;=$T$4,$T$4*$T$31,$C$31*$T$31)</f>
        <v>618048</v>
      </c>
      <c r="J31" s="1">
        <f>IF($C$31&gt;=$T$4,$T$4*$T$32,$C$31*$T$32)</f>
        <v>174348</v>
      </c>
      <c r="K31" s="1">
        <f>IF($C$31&gt;=$T$4,$T$4*$T$32,$C$31*$T$32)</f>
        <v>174348</v>
      </c>
      <c r="L31" s="1">
        <f>IF($C$31&gt;=$T$4,$T$4*$T$32,$C$31*$T$32)</f>
        <v>174348</v>
      </c>
      <c r="M31" s="1">
        <f>IF($C$31&gt;=$T$4,$T$4*$T$32,$C$31*$T$32)</f>
        <v>174348</v>
      </c>
      <c r="N31" s="1">
        <f>IF(ROUNDDOWN($C$31/2,0)&gt;=$T$5,$T$5*$T$34,ROUNDDOWN($C$31/2,0)*$T$34)</f>
        <v>5655</v>
      </c>
      <c r="O31" s="1">
        <f>IF(ROUNDDOWN($C$31/2,0)&gt;=$T$5,$T$5*$T$34,ROUNDDOWN($C$31/2,0)*$T$34)</f>
        <v>5655</v>
      </c>
      <c r="P31" s="1">
        <f>IF(ROUNDDOWN($C$31/2,0)&gt;=$T$5,$T$5*$T$34,ROUNDDOWN($C$31/2,0)*$T$34)</f>
        <v>5655</v>
      </c>
      <c r="Q31" s="22">
        <f>IF(ROUNDDOWN($C$31/2,0)&gt;=$T$5,$T$5*$T$34,ROUNDDOWN($C$31/2,0)*$T$34)</f>
        <v>5655</v>
      </c>
      <c r="S31" s="19" t="s">
        <v>317</v>
      </c>
      <c r="T31" s="1">
        <v>3552</v>
      </c>
      <c r="U31" s="1" t="s">
        <v>264</v>
      </c>
      <c r="V31" s="22">
        <v>3250</v>
      </c>
    </row>
    <row r="32" spans="1:22" x14ac:dyDescent="0.25">
      <c r="A32" s="32">
        <v>4300000</v>
      </c>
      <c r="B32" s="1">
        <f>A32+($T$4*$T$31)</f>
        <v>4918048</v>
      </c>
      <c r="C32" s="1">
        <f>ROUNDDOWN(A32/$T$31,0)</f>
        <v>1210</v>
      </c>
      <c r="D32" s="1" t="s">
        <v>243</v>
      </c>
      <c r="E32" s="20"/>
      <c r="F32" s="1">
        <f>IF($C$32&gt;=$T$4,$T$4*$T$31,$C$32*$T$31)</f>
        <v>618048</v>
      </c>
      <c r="G32" s="20"/>
      <c r="H32" s="1">
        <f>IF($C$32&gt;=$T$4,$T$4*$T$31,$C$32*$T$31)</f>
        <v>618048</v>
      </c>
      <c r="I32" s="1">
        <f>IF($C$32&gt;=$T$4,$T$4*$T$31,$C$32*$T$31)</f>
        <v>618048</v>
      </c>
      <c r="J32" s="1">
        <f>IF($C$32&gt;=$T$4,$T$4*$T$32,$C$32*$T$32)</f>
        <v>174348</v>
      </c>
      <c r="K32" s="1">
        <f>IF($C$32&gt;=$T$4,$T$4*$T$32,$C$32*$T$32)</f>
        <v>174348</v>
      </c>
      <c r="L32" s="1">
        <f>IF($C$32&gt;=$T$4,$T$4*$T$32,$C$32*$T$32)</f>
        <v>174348</v>
      </c>
      <c r="M32" s="1">
        <f>IF($C$32&gt;=$T$4,$T$4*$T$32,$C$32*$T$32)</f>
        <v>174348</v>
      </c>
      <c r="N32" s="1">
        <f>IF(ROUNDDOWN($C$32/2,0)&gt;=$T$5,$T$5*$T$34,ROUNDDOWN($C$32,0)*$T$34)</f>
        <v>5655</v>
      </c>
      <c r="O32" s="1">
        <f>IF(ROUNDDOWN($C$32/2,0)&gt;=$T$5,$T$5*$T$34,ROUNDDOWN($C$32,0)*$T$34)</f>
        <v>5655</v>
      </c>
      <c r="P32" s="1">
        <f>IF(ROUNDDOWN($C$32/2,0)&gt;=$T$5,$T$5*$T$34,ROUNDDOWN($C$32,0)*$T$34)</f>
        <v>5655</v>
      </c>
      <c r="Q32" s="22">
        <f>IF(ROUNDDOWN($C$32/2,0)&gt;=$T$5,$T$5*$T$34,ROUNDDOWN($C$32,0)*$T$34)</f>
        <v>5655</v>
      </c>
      <c r="S32" s="19" t="s">
        <v>318</v>
      </c>
      <c r="T32" s="1">
        <v>1002</v>
      </c>
      <c r="U32" s="1" t="s">
        <v>265</v>
      </c>
      <c r="V32" s="22">
        <v>850</v>
      </c>
    </row>
    <row r="33" spans="1:22" x14ac:dyDescent="0.25">
      <c r="A33" s="32">
        <v>48900000</v>
      </c>
      <c r="B33" s="1">
        <f>A33+($T$4*$T$31)</f>
        <v>49518048</v>
      </c>
      <c r="C33" s="1">
        <f>ROUNDDOWN(A33/$T$31,0)</f>
        <v>13766</v>
      </c>
      <c r="D33" s="1" t="s">
        <v>245</v>
      </c>
      <c r="E33" s="20"/>
      <c r="F33" s="1">
        <f>IF($C$33&gt;=$T$4,$T$4*$T$31,$C$33*$T$31)</f>
        <v>618048</v>
      </c>
      <c r="G33" s="1">
        <f>IF($C$33&gt;=$T$4,$T$4*$T$31,$C$33*$T$31)</f>
        <v>618048</v>
      </c>
      <c r="H33" s="20"/>
      <c r="I33" s="1">
        <f>IF($C$33&gt;=$T$4,$T$4*$T$31,$C$33*$T$31)</f>
        <v>618048</v>
      </c>
      <c r="J33" s="1">
        <f t="shared" ref="J33:M34" si="0">IF($C$33&gt;=$T$4,$T$4*$T$32,$C$33*$T$32)</f>
        <v>174348</v>
      </c>
      <c r="K33" s="1">
        <f t="shared" si="0"/>
        <v>174348</v>
      </c>
      <c r="L33" s="1">
        <f t="shared" si="0"/>
        <v>174348</v>
      </c>
      <c r="M33" s="1">
        <f t="shared" si="0"/>
        <v>174348</v>
      </c>
      <c r="N33" s="1">
        <f>IF(ROUNDDOWN($C$33/2,0)&gt;=$T$5,$T$5*$T$34,ROUNDDOWN($C$33/2,0)*$T$34)</f>
        <v>5655</v>
      </c>
      <c r="O33" s="1">
        <f>IF(ROUNDDOWN($C$33/2,0)&gt;=$T$5,$T$5*$T$34,ROUNDDOWN($C$33/2,0)*$T$34)</f>
        <v>5655</v>
      </c>
      <c r="P33" s="1">
        <f>IF(ROUNDDOWN($C$33/2,0)&gt;=$T$5,$T$5*$T$34,ROUNDDOWN($C$33/2,0)*$T$34)</f>
        <v>5655</v>
      </c>
      <c r="Q33" s="22">
        <f>IF(ROUNDDOWN($C$33/2,0)&gt;=$T$5,$T$5*$T$34,ROUNDDOWN($C$33/2,0)*$T$34)</f>
        <v>5655</v>
      </c>
      <c r="S33" s="19" t="s">
        <v>244</v>
      </c>
      <c r="T33" s="1">
        <v>64</v>
      </c>
      <c r="U33" s="1" t="s">
        <v>283</v>
      </c>
      <c r="V33" s="22">
        <v>120</v>
      </c>
    </row>
    <row r="34" spans="1:22" ht="15.75" thickBot="1" x14ac:dyDescent="0.3">
      <c r="A34" s="32">
        <v>3200000</v>
      </c>
      <c r="B34" s="1">
        <f>A34+($T$4*$T$31)</f>
        <v>3818048</v>
      </c>
      <c r="C34" s="1">
        <f>ROUNDDOWN(A34/$T$31,0)</f>
        <v>900</v>
      </c>
      <c r="D34" s="1" t="s">
        <v>247</v>
      </c>
      <c r="E34" s="20"/>
      <c r="F34" s="1">
        <f>IF($C$34&gt;=$T$4,$T$4*$T$31,$C$34*$T$31)</f>
        <v>618048</v>
      </c>
      <c r="G34" s="1">
        <f>IF($C$34&gt;=$T$4,$T$4*$T$31,$C$34*$T$31)</f>
        <v>618048</v>
      </c>
      <c r="H34" s="1">
        <f>IF($C$34&gt;=$T$4,$T$4*$T$31,$C$34*$T$31)</f>
        <v>618048</v>
      </c>
      <c r="I34" s="20"/>
      <c r="J34" s="1">
        <f t="shared" si="0"/>
        <v>174348</v>
      </c>
      <c r="K34" s="1">
        <f t="shared" si="0"/>
        <v>174348</v>
      </c>
      <c r="L34" s="1">
        <f t="shared" si="0"/>
        <v>174348</v>
      </c>
      <c r="M34" s="1">
        <f t="shared" si="0"/>
        <v>174348</v>
      </c>
      <c r="N34" s="1">
        <f>IF(ROUNDDOWN($C$34/2,0)&gt;=$T$5,$T$5*$T$34,ROUNDDOWN($C$34/2,0)*$T$34)</f>
        <v>5655</v>
      </c>
      <c r="O34" s="1">
        <f>IF(ROUNDDOWN($C$34/2,0)&gt;=$T$5,$T$5*$T$34,ROUNDDOWN($C$34/2,0)*$T$34)</f>
        <v>5655</v>
      </c>
      <c r="P34" s="1">
        <f>IF(ROUNDDOWN($C$34/2,0)&gt;=$T$5,$T$5*$T$34,ROUNDDOWN($C$34/2,0)*$T$34)</f>
        <v>5655</v>
      </c>
      <c r="Q34" s="22">
        <f>IF(ROUNDDOWN($C$34/2,0)&gt;=$T$5,$T$5*$T$34,ROUNDDOWN($C$34/2,0)*$T$34)</f>
        <v>5655</v>
      </c>
      <c r="S34" s="23" t="s">
        <v>246</v>
      </c>
      <c r="T34" s="24">
        <v>65</v>
      </c>
      <c r="U34" s="24"/>
      <c r="V34" s="29"/>
    </row>
    <row r="35" spans="1:22" x14ac:dyDescent="0.25">
      <c r="A35" s="32">
        <v>714200</v>
      </c>
      <c r="B35" s="1">
        <f>A35+($T$4*$T$32)</f>
        <v>888548</v>
      </c>
      <c r="C35" s="1">
        <f>ROUNDDOWN(A35/$T$32, 0)</f>
        <v>712</v>
      </c>
      <c r="D35" s="1" t="s">
        <v>248</v>
      </c>
      <c r="E35" s="20"/>
      <c r="F35" s="1">
        <f>IF($C$35&gt;=$T$4,$T$4*$T$31,$C$35*$T$31)</f>
        <v>618048</v>
      </c>
      <c r="G35" s="1">
        <f>IF($C$35&gt;=$T$4,$T$4*$T$31,$C$35*$T$31)</f>
        <v>618048</v>
      </c>
      <c r="H35" s="1">
        <f>IF($C$35&gt;=$T$4,$T$4*$T$31,$C$35*$T$31)</f>
        <v>618048</v>
      </c>
      <c r="I35" s="1">
        <f>IF($C$35&gt;=$T$4,$T$4*$T$31,$C$35*$T$31)</f>
        <v>618048</v>
      </c>
      <c r="J35" s="20"/>
      <c r="K35" s="1">
        <f>IF($C$35&gt;=$T$4,$T$4*$T$32,$C$35*$T$32)</f>
        <v>174348</v>
      </c>
      <c r="L35" s="1">
        <f>IF($C$35&gt;=$T$4,$T$4*$T$32,$C$35*$T$32)</f>
        <v>174348</v>
      </c>
      <c r="M35" s="1">
        <f>IF($C$35&gt;=$T$4,$T$4*$T$32,$C$35*$T$32)</f>
        <v>174348</v>
      </c>
      <c r="N35" s="1">
        <f>IF($C$35&gt;=$T$4,$T$4*$T$34,$C$35*$T$34)</f>
        <v>11310</v>
      </c>
      <c r="O35" s="1">
        <f>IF($C$35&gt;=$T$4,$T$4*$T$34,$C$35*$T$34)</f>
        <v>11310</v>
      </c>
      <c r="P35" s="1">
        <f>IF($C$35&gt;=$T$4,$T$4*$T$34,$C$35*$T$34)</f>
        <v>11310</v>
      </c>
      <c r="Q35" s="22">
        <f>IF($C$35&gt;=$T$4,$T$4*$T$34,$C$35*$T$34)</f>
        <v>11310</v>
      </c>
    </row>
    <row r="36" spans="1:22" x14ac:dyDescent="0.25">
      <c r="A36" s="32">
        <v>1200000</v>
      </c>
      <c r="B36" s="1">
        <f>A36+($T$4*$T$32)</f>
        <v>1374348</v>
      </c>
      <c r="C36" s="1">
        <f>ROUNDDOWN(A36/$T$32, 0)</f>
        <v>1197</v>
      </c>
      <c r="D36" s="1" t="s">
        <v>249</v>
      </c>
      <c r="E36" s="20"/>
      <c r="F36" s="1">
        <f>IF($C$36&gt;=$T$4,$T$4*$T$31,$C$36*$T$31)</f>
        <v>618048</v>
      </c>
      <c r="G36" s="1">
        <f>IF($C$36&gt;=$T$4,$T$4*$T$31,$C$36*$T$31)</f>
        <v>618048</v>
      </c>
      <c r="H36" s="1">
        <f>IF($C$36&gt;=$T$4,$T$4*$T$31,$C$36*$T$31)</f>
        <v>618048</v>
      </c>
      <c r="I36" s="1">
        <f>IF($C$36&gt;=$T$4,$T$4*$T$31,$C$36*$T$31)</f>
        <v>618048</v>
      </c>
      <c r="J36" s="1">
        <f>IF($C$36&gt;=$T$4,$T$4*$T$32,$C$36*$T$32)</f>
        <v>174348</v>
      </c>
      <c r="K36" s="20"/>
      <c r="L36" s="1">
        <f>IF($C$36&gt;=$T$4,$T$4*$T$32,$C$36*$T$32)</f>
        <v>174348</v>
      </c>
      <c r="M36" s="1">
        <f>IF($C$36&gt;=$T$4,$T$4*$T$32,$C$36*$T$32)</f>
        <v>174348</v>
      </c>
      <c r="N36" s="1">
        <f>IF($C$36&gt;=$T$4,$T$4*$T$34,$C$36*$T$34)</f>
        <v>11310</v>
      </c>
      <c r="O36" s="1">
        <f>IF($C$36&gt;=$T$4,$T$4*$T$34,$C$36*$T$34)</f>
        <v>11310</v>
      </c>
      <c r="P36" s="1">
        <f>IF($C$36&gt;=$T$4,$T$4*$T$34,$C$36*$T$34)</f>
        <v>11310</v>
      </c>
      <c r="Q36" s="22">
        <f>IF($C$36&gt;=$T$4,$T$4*$T$34,$C$36*$T$34)</f>
        <v>11310</v>
      </c>
    </row>
    <row r="37" spans="1:22" x14ac:dyDescent="0.25">
      <c r="A37" s="32">
        <v>1000000</v>
      </c>
      <c r="B37" s="1">
        <f>A37+($T$4*$T$32)</f>
        <v>1174348</v>
      </c>
      <c r="C37" s="1">
        <f>ROUNDDOWN(A37/$T$32, 0)</f>
        <v>998</v>
      </c>
      <c r="D37" s="1" t="s">
        <v>250</v>
      </c>
      <c r="E37" s="20"/>
      <c r="F37" s="1">
        <f>IF($C$37&gt;=$T$4,$T$4*$T$31,$C$35*$T$31)</f>
        <v>618048</v>
      </c>
      <c r="G37" s="1">
        <f>IF($C$37&gt;=$T$4,$T$4*$T$31,$C$35*$T$31)</f>
        <v>618048</v>
      </c>
      <c r="H37" s="1">
        <f>IF($C$37&gt;=$T$4,$T$4*$T$31,$C$35*$T$31)</f>
        <v>618048</v>
      </c>
      <c r="I37" s="1">
        <f>IF($C$37&gt;=$T$4,$T$4*$T$31,$C$35*$T$31)</f>
        <v>618048</v>
      </c>
      <c r="J37" s="1">
        <f>IF($C$37&gt;=$T$4,$T$4*$T$32,$C$37*$T$32)</f>
        <v>174348</v>
      </c>
      <c r="K37" s="1">
        <f>IF($C$37&gt;=$T$4,$T$4*$T$32,$C$37*$T$32)</f>
        <v>174348</v>
      </c>
      <c r="L37" s="20"/>
      <c r="M37" s="1">
        <f>IF($C$37&gt;=$T$4,$T$4*$T$32,$C$37*$T$32)</f>
        <v>174348</v>
      </c>
      <c r="N37" s="1">
        <f>IF($C$37&gt;=$T$4,$T$4*$T$34,$C$37*$T$34)</f>
        <v>11310</v>
      </c>
      <c r="O37" s="1">
        <f>IF($C$37&gt;=$T$4,$T$4*$T$34,$C$37*$T$34)</f>
        <v>11310</v>
      </c>
      <c r="P37" s="1">
        <f>IF($C$37&gt;=$T$4,$T$4*$T$34,$C$37*$T$34)</f>
        <v>11310</v>
      </c>
      <c r="Q37" s="22">
        <f>IF($C$37&gt;=$T$4,$T$4*$T$34,$C$37*$T$34)</f>
        <v>11310</v>
      </c>
    </row>
    <row r="38" spans="1:22" x14ac:dyDescent="0.25">
      <c r="A38" s="32">
        <v>1000000</v>
      </c>
      <c r="B38" s="1">
        <f>A38+($T$4*$T$32)</f>
        <v>1174348</v>
      </c>
      <c r="C38" s="1">
        <f>ROUNDDOWN(A38/$T$32, 0)</f>
        <v>998</v>
      </c>
      <c r="D38" s="1" t="s">
        <v>251</v>
      </c>
      <c r="E38" s="20"/>
      <c r="F38" s="1">
        <f>IF($C$38&gt;=$T$4,$T$4*$T$31,$C$35*$T$31)</f>
        <v>618048</v>
      </c>
      <c r="G38" s="1">
        <f>IF($C$38&gt;=$T$4,$T$4*$T$31,$C$35*$T$31)</f>
        <v>618048</v>
      </c>
      <c r="H38" s="1">
        <f>IF($C$38&gt;=$T$4,$T$4*$T$31,$C$35*$T$31)</f>
        <v>618048</v>
      </c>
      <c r="I38" s="1">
        <f>IF($C$38&gt;=$T$4,$T$4*$T$31,$C$35*$T$31)</f>
        <v>618048</v>
      </c>
      <c r="J38" s="1">
        <f>IF($C$38&gt;=$T$4,$T$4*$T$32,$C$38*$T$32)</f>
        <v>174348</v>
      </c>
      <c r="K38" s="1">
        <f>IF($C$38&gt;=$T$4,$T$4*$T$32,$C$38*$T$32)</f>
        <v>174348</v>
      </c>
      <c r="L38" s="1">
        <f>IF($C$38&gt;=$T$4,$T$4*$T$32,$C$38*$T$32)</f>
        <v>174348</v>
      </c>
      <c r="M38" s="20"/>
      <c r="N38" s="1">
        <f>IF($C$38&gt;=$T$4,$T$4*$T$34,$C$38*$T$34)</f>
        <v>11310</v>
      </c>
      <c r="O38" s="1">
        <f>IF($C$38&gt;=$T$4,$T$4*$T$34,$C$38*$T$34)</f>
        <v>11310</v>
      </c>
      <c r="P38" s="1">
        <f>IF($C$38&gt;=$T$4,$T$4*$T$34,$C$38*$T$34)</f>
        <v>11310</v>
      </c>
      <c r="Q38" s="22">
        <f>IF($C$38&gt;=$T$4,$T$4*$T$34,$C$38*$T$34)</f>
        <v>11310</v>
      </c>
    </row>
    <row r="39" spans="1:22" x14ac:dyDescent="0.25">
      <c r="A39" s="32">
        <v>16500</v>
      </c>
      <c r="B39" s="1">
        <f>A39+($T$4*$T$34)</f>
        <v>27810</v>
      </c>
      <c r="C39" s="1">
        <f>ROUNDDOWN(A39/$T$33,0)</f>
        <v>257</v>
      </c>
      <c r="D39" s="1" t="s">
        <v>252</v>
      </c>
      <c r="E39" s="20"/>
      <c r="F39" s="1">
        <f>IF(ROUNDDOWN($C$39/2,0)&gt;=$T$5,$T$5*$T$31,ROUNDDOWN($C$39/2,0)*$T$31)</f>
        <v>309024</v>
      </c>
      <c r="G39" s="1">
        <f>IF(ROUNDDOWN($C$39/2,0)&gt;=$T$5,$T$5*$T$31,ROUNDDOWN($C$39/2,0)*$T$31)</f>
        <v>309024</v>
      </c>
      <c r="H39" s="1">
        <f>IF(ROUNDDOWN($C$39/2,0)&gt;=$T$5,$T$5*$T$31,ROUNDDOWN($C$39/2,0)*$T$31)</f>
        <v>309024</v>
      </c>
      <c r="I39" s="1">
        <f>IF(ROUNDDOWN($C$39/2,0)&gt;=$T$5,$T$5*$T$31,ROUNDDOWN($C$39/2,0)*$T$31)</f>
        <v>309024</v>
      </c>
      <c r="J39" s="1">
        <f>IF($C$39&gt;=$T$4,$T$4*$T$32,$C$39*$T$32)</f>
        <v>174348</v>
      </c>
      <c r="K39" s="1">
        <f>IF($C$39&gt;=$T$4,$T$4*$T$32,$C$39*$T$32)</f>
        <v>174348</v>
      </c>
      <c r="L39" s="1">
        <f>IF($C$39&gt;=$T$4,$T$4*$T$32,$C$39*$T$32)</f>
        <v>174348</v>
      </c>
      <c r="M39" s="1">
        <f>IF($C$39&gt;=$T$4,$T$4*$T$32,$C$39*$T$32)</f>
        <v>174348</v>
      </c>
      <c r="N39" s="20"/>
      <c r="O39" s="1">
        <f>IF($C$39&gt;=$T$4,$T$4*$T$34,$C$39*$T$34)</f>
        <v>11310</v>
      </c>
      <c r="P39" s="1">
        <f>IF($C$39&gt;=$T$4,$T$4*$T$34,$C$39*$T$34)</f>
        <v>11310</v>
      </c>
      <c r="Q39" s="22">
        <f>IF($C$39&gt;=$T$4,$T$4*$T$34,$C$39*$T$34)</f>
        <v>11310</v>
      </c>
    </row>
    <row r="40" spans="1:22" x14ac:dyDescent="0.25">
      <c r="A40" s="32">
        <v>45300</v>
      </c>
      <c r="B40" s="1">
        <f>A40+($T$4*$T$34)</f>
        <v>56610</v>
      </c>
      <c r="C40" s="1">
        <f>ROUNDDOWN(A40/$T$33,0)</f>
        <v>707</v>
      </c>
      <c r="D40" s="1" t="s">
        <v>253</v>
      </c>
      <c r="E40" s="20"/>
      <c r="F40" s="1">
        <f>IF(ROUNDDOWN($C$40/2,0)&gt;=$T$5,$T$5*$T$31,ROUNDDOWN($C$40/2,0)*$T$31)</f>
        <v>309024</v>
      </c>
      <c r="G40" s="1">
        <f>IF(ROUNDDOWN($C$40/2,0)&gt;=$T$5,$T$5*$T$31,ROUNDDOWN($C$40/2,0)*$T$31)</f>
        <v>309024</v>
      </c>
      <c r="H40" s="1">
        <f>IF(ROUNDDOWN($C$40/2,0)&gt;=$T$5,$T$5*$T$31,ROUNDDOWN($C$40/2,0)*$T$31)</f>
        <v>309024</v>
      </c>
      <c r="I40" s="1">
        <f>IF(ROUNDDOWN($C$40/2,0)&gt;=$T$5,$T$5*$T$31,ROUNDDOWN($C$40/2,0)*$T$31)</f>
        <v>309024</v>
      </c>
      <c r="J40" s="1">
        <f>IF($C$40&gt;=$T$4,$T$4*$T$32,$C$40*$T$32)</f>
        <v>174348</v>
      </c>
      <c r="K40" s="1">
        <f>IF($C$40&gt;=$T$4,$T$4*$T$32,$C$40*$T$32)</f>
        <v>174348</v>
      </c>
      <c r="L40" s="1">
        <f>IF($C$40&gt;=$T$4,$T$4*$T$32,$C$40*$T$32)</f>
        <v>174348</v>
      </c>
      <c r="M40" s="1">
        <f>IF($C$40&gt;=$T$4,$T$4*$T$32,$C$40*$T$32)</f>
        <v>174348</v>
      </c>
      <c r="N40" s="1">
        <f>IF($C$40&gt;=$T$4,$T$4*$T$34,$C$40*$T$34)</f>
        <v>11310</v>
      </c>
      <c r="O40" s="20"/>
      <c r="P40" s="1">
        <f>IF($C$40&gt;=$T$4,$T$4*$T$34,$C$40*$T$34)</f>
        <v>11310</v>
      </c>
      <c r="Q40" s="22">
        <f>IF($C$40&gt;=$T$4,$T$4*$T$34,$C$40*$T$34)</f>
        <v>11310</v>
      </c>
    </row>
    <row r="41" spans="1:22" x14ac:dyDescent="0.25">
      <c r="A41" s="32">
        <v>44100</v>
      </c>
      <c r="B41" s="1">
        <f>A41+($T$4*$T$34)</f>
        <v>55410</v>
      </c>
      <c r="C41" s="1">
        <f>ROUNDDOWN(A41/$T$33,0)</f>
        <v>689</v>
      </c>
      <c r="D41" s="1" t="s">
        <v>254</v>
      </c>
      <c r="E41" s="20"/>
      <c r="F41" s="1">
        <f>IF(ROUNDDOWN($C$41/2,0)&gt;=$T$5,$T$5*$T$31,ROUNDDOWN($C$41/2,0)*$T$31)</f>
        <v>309024</v>
      </c>
      <c r="G41" s="1">
        <f>IF(ROUNDDOWN($C$41/2,0)&gt;=$T$5,$T$5*$T$31,ROUNDDOWN($C$41/2,0)*$T$31)</f>
        <v>309024</v>
      </c>
      <c r="H41" s="1">
        <f>IF(ROUNDDOWN($C$41/2,0)&gt;=$T$5,$T$5*$T$31,ROUNDDOWN($C$41/2,0)*$T$31)</f>
        <v>309024</v>
      </c>
      <c r="I41" s="1">
        <f>IF(ROUNDDOWN($C$41/2,0)&gt;=$T$5,$T$5*$T$31,ROUNDDOWN($C$41/2,0)*$T$31)</f>
        <v>309024</v>
      </c>
      <c r="J41" s="1">
        <f>IF($C$41&gt;=$T$4,$T$4*$T$32,$C$41*$T$32)</f>
        <v>174348</v>
      </c>
      <c r="K41" s="1">
        <f>IF($C$41&gt;=$T$4,$T$4*$T$32,$C$41*$T$32)</f>
        <v>174348</v>
      </c>
      <c r="L41" s="1">
        <f>IF($C$41&gt;=$T$4,$T$4*$T$32,$C$41*$T$32)</f>
        <v>174348</v>
      </c>
      <c r="M41" s="1">
        <f>IF($C$41&gt;=$T$4,$T$4*$T$32,$C$41*$T$32)</f>
        <v>174348</v>
      </c>
      <c r="N41" s="1">
        <f>IF($C$41&gt;=$T$4,$T$4*$T$34,$C$41*$T$34)</f>
        <v>11310</v>
      </c>
      <c r="O41" s="1">
        <f>IF($C$41&gt;=$T$4,$T$4*$T$34,$C$41*$T$34)</f>
        <v>11310</v>
      </c>
      <c r="P41" s="20"/>
      <c r="Q41" s="22">
        <f>IF($C$41&gt;=$T$4,$T$4*$T$34,$C$41*$T$34)</f>
        <v>11310</v>
      </c>
    </row>
    <row r="42" spans="1:22" ht="15.75" thickBot="1" x14ac:dyDescent="0.3">
      <c r="A42" s="33">
        <v>28000</v>
      </c>
      <c r="B42" s="24">
        <f>A42+($T$4*$T$34)</f>
        <v>39310</v>
      </c>
      <c r="C42" s="24">
        <f>ROUNDDOWN(A42/$T$33,0)</f>
        <v>437</v>
      </c>
      <c r="D42" s="24" t="s">
        <v>255</v>
      </c>
      <c r="E42" s="25"/>
      <c r="F42" s="24">
        <f>IF(ROUNDDOWN($C$42/2,0)&gt;=$T$5,$T$5*$T$31,ROUNDDOWN($C$42/2,0)*$T$31)</f>
        <v>309024</v>
      </c>
      <c r="G42" s="24">
        <f>IF(ROUNDDOWN($C$42/2,0)&gt;=$T$5,$T$5*$T$31,ROUNDDOWN($C$42/2,0)*$T$31)</f>
        <v>309024</v>
      </c>
      <c r="H42" s="24">
        <f>IF(ROUNDDOWN($C$42/2,0)&gt;=$T$5,$T$5*$T$31,ROUNDDOWN($C$42/2,0)*$T$31)</f>
        <v>309024</v>
      </c>
      <c r="I42" s="24">
        <f>IF(ROUNDDOWN($C$42/2,0)&gt;=$T$5,$T$5*$T$31,ROUNDDOWN($C$42/2,0)*$T$31)</f>
        <v>309024</v>
      </c>
      <c r="J42" s="24">
        <f>IF($C$42&gt;=$T$4,$T$4*$T$32,$C$42*$T$32)</f>
        <v>174348</v>
      </c>
      <c r="K42" s="24">
        <f>IF($C$42&gt;=$T$4,$T$4*$T$32,$C$42*$T$32)</f>
        <v>174348</v>
      </c>
      <c r="L42" s="24">
        <f>IF($C$42&gt;=$T$4,$T$4*$T$32,$C$42*$T$32)</f>
        <v>174348</v>
      </c>
      <c r="M42" s="24">
        <f>IF($C$42&gt;=$T$4,$T$4*$T$32,$C$42*$T$32)</f>
        <v>174348</v>
      </c>
      <c r="N42" s="24">
        <f>IF($C$42&gt;=$T$4,$T$4*$T$34,$C$42*$T$34)</f>
        <v>11310</v>
      </c>
      <c r="O42" s="24">
        <f>IF($C$42&gt;=$T$4,$T$4*$T$34,$C$42*$T$34)</f>
        <v>11310</v>
      </c>
      <c r="P42" s="24">
        <f>IF($C$42&gt;=$T$4,$T$4*$T$34,$C$42*$T$34)</f>
        <v>11310</v>
      </c>
      <c r="Q42" s="26"/>
    </row>
    <row r="43" spans="1:22" ht="15.75" thickBot="1" x14ac:dyDescent="0.3">
      <c r="A43" s="36" t="s">
        <v>290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1:22" x14ac:dyDescent="0.25">
      <c r="A44" s="15"/>
      <c r="B44" s="16"/>
      <c r="C44" s="16"/>
      <c r="D44" s="16"/>
      <c r="E44" s="17" t="s">
        <v>227</v>
      </c>
      <c r="F44" s="16" t="s">
        <v>296</v>
      </c>
      <c r="G44" s="16" t="s">
        <v>297</v>
      </c>
      <c r="H44" s="16" t="s">
        <v>298</v>
      </c>
      <c r="I44" s="16" t="s">
        <v>299</v>
      </c>
      <c r="J44" s="16" t="s">
        <v>300</v>
      </c>
      <c r="K44" s="16" t="s">
        <v>301</v>
      </c>
      <c r="L44" s="16" t="s">
        <v>293</v>
      </c>
      <c r="M44" s="16" t="s">
        <v>294</v>
      </c>
      <c r="N44" s="18" t="s">
        <v>295</v>
      </c>
    </row>
    <row r="45" spans="1:22" x14ac:dyDescent="0.25">
      <c r="A45" s="31" t="s">
        <v>271</v>
      </c>
      <c r="B45" s="2" t="s">
        <v>272</v>
      </c>
      <c r="C45" s="2" t="s">
        <v>273</v>
      </c>
      <c r="D45" s="2" t="s">
        <v>240</v>
      </c>
      <c r="E45" s="20"/>
      <c r="F45" s="20"/>
      <c r="G45" s="20"/>
      <c r="H45" s="20"/>
      <c r="I45" s="20"/>
      <c r="J45" s="20"/>
      <c r="K45" s="20"/>
      <c r="L45" s="20"/>
      <c r="M45" s="20"/>
      <c r="N45" s="21"/>
    </row>
    <row r="46" spans="1:22" x14ac:dyDescent="0.25">
      <c r="A46" s="32">
        <v>2200000</v>
      </c>
      <c r="B46" s="1">
        <f>A46+($T$2*$V$31)</f>
        <v>2375500</v>
      </c>
      <c r="C46" s="1">
        <f>ROUNDDOWN(A46/$V$31,0)</f>
        <v>676</v>
      </c>
      <c r="D46" s="1" t="s">
        <v>256</v>
      </c>
      <c r="E46" s="20"/>
      <c r="F46" s="20"/>
      <c r="G46" s="1">
        <f>IF($C$46&gt;=$T$2,$T$2*$V$31,$C$46*$V$31)</f>
        <v>175500</v>
      </c>
      <c r="H46" s="1">
        <f>IF($C$46&gt;=$T$2,$T$2*$V$31,$C$46*$V$31)</f>
        <v>175500</v>
      </c>
      <c r="I46" s="1">
        <f>IF($C$46&gt;=$T$2,$T$2*$V$32,$C$46*$V$32)</f>
        <v>45900</v>
      </c>
      <c r="J46" s="1">
        <f>IF($C$46&gt;=$T$2,$T$2*$V$32,$C$46*$V$32)</f>
        <v>45900</v>
      </c>
      <c r="K46" s="1">
        <f>IF($C$46&gt;=$T$2,$T$2*$V$32,$C$46*$V$32)</f>
        <v>45900</v>
      </c>
      <c r="L46" s="1">
        <f>IF(ROUNDDOWN($C$46/2,0)&gt;=$T$2,$T$2*$V$33,ROUNDDOWN($C$46/2,0)*$V$33)</f>
        <v>6480</v>
      </c>
      <c r="M46" s="1">
        <f>IF(ROUNDDOWN($C$46/2,0)&gt;=$T$2,$T$2*$V$33,ROUNDDOWN($C$46/2,0)*$V$33)</f>
        <v>6480</v>
      </c>
      <c r="N46" s="22">
        <f>IF(ROUNDDOWN($C$46/2,0)&gt;=$T$2,$T$2*$V$33,ROUNDDOWN($C$46/2,0)*$V$33)</f>
        <v>6480</v>
      </c>
    </row>
    <row r="47" spans="1:22" x14ac:dyDescent="0.25">
      <c r="A47" s="32">
        <v>1900000</v>
      </c>
      <c r="B47" s="1">
        <f>A47+($T$2*$V$31)</f>
        <v>2075500</v>
      </c>
      <c r="C47" s="1">
        <f>ROUNDDOWN(A47/$V$31,0)</f>
        <v>584</v>
      </c>
      <c r="D47" s="1" t="s">
        <v>257</v>
      </c>
      <c r="E47" s="20"/>
      <c r="F47" s="1">
        <f>IF($C$47&gt;=$T$2,$T$2*$V$31,$C$47*$V$31)</f>
        <v>175500</v>
      </c>
      <c r="G47" s="20"/>
      <c r="H47" s="1">
        <f>IF($C$47&gt;=$T$2,$T$2*$V$31,$C$47*$V$31)</f>
        <v>175500</v>
      </c>
      <c r="I47" s="1">
        <f>IF($C$47&gt;=$T$2,$T$2*$V$32,$C$47*$V$32)</f>
        <v>45900</v>
      </c>
      <c r="J47" s="1">
        <f>IF($C$47&gt;=$T$2,$T$2*$V$32,$C$47*$V$32)</f>
        <v>45900</v>
      </c>
      <c r="K47" s="1">
        <f>IF($C$47&gt;=$T$2,$T$2*$V$32,$C$47*$V$32)</f>
        <v>45900</v>
      </c>
      <c r="L47" s="1">
        <f>IF(ROUNDDOWN($C$47/2,0)&gt;=$T$2,$T$2*$V$33,ROUNDDOWN($C$47/2,0)*$V$33)</f>
        <v>6480</v>
      </c>
      <c r="M47" s="1">
        <f>IF(ROUNDDOWN($C$47/2,0)&gt;=$T$2,$T$2*$V$33,ROUNDDOWN($C$47/2,0)*$V$33)</f>
        <v>6480</v>
      </c>
      <c r="N47" s="22">
        <f>IF(ROUNDDOWN($C$47/2,0)&gt;=$T$2,$T$2*$V$33,ROUNDDOWN($C$47/2,0)*$V$33)</f>
        <v>6480</v>
      </c>
    </row>
    <row r="48" spans="1:22" x14ac:dyDescent="0.25">
      <c r="A48" s="32">
        <v>2100000</v>
      </c>
      <c r="B48" s="1">
        <f>A48+($T$2*$V$31)</f>
        <v>2275500</v>
      </c>
      <c r="C48" s="1">
        <f>ROUNDDOWN(A48/$V$31,0)</f>
        <v>646</v>
      </c>
      <c r="D48" s="1" t="s">
        <v>258</v>
      </c>
      <c r="E48" s="20"/>
      <c r="F48" s="1">
        <f>IF($C$48&gt;=$T$2,$T$2*$V$31,$C$48*$V$31)</f>
        <v>175500</v>
      </c>
      <c r="G48" s="1">
        <f>IF($C$48&gt;=$T$2,$T$2*$V$31,$C$48*$V$31)</f>
        <v>175500</v>
      </c>
      <c r="H48" s="20"/>
      <c r="I48" s="1">
        <f>IF($C$48&gt;=$T$2,$T$2*$V$32,$C$48*$V$32)</f>
        <v>45900</v>
      </c>
      <c r="J48" s="1">
        <f>IF($C$48&gt;=$T$2,$T$2*$V$32,$C$48*$V$32)</f>
        <v>45900</v>
      </c>
      <c r="K48" s="1">
        <f>IF($C$48&gt;=$T$2,$T$2*$V$32,$C$48*$V$32)</f>
        <v>45900</v>
      </c>
      <c r="L48" s="1">
        <f>IF(ROUNDDOWN($C$48/2,0)&gt;=$T$2,$T$2*$V$33,ROUNDDOWN($C$48/2,0)*$V$33)</f>
        <v>6480</v>
      </c>
      <c r="M48" s="1">
        <f>IF(ROUNDDOWN($C$48/2,0)&gt;=$T$2,$T$2*$V$33,ROUNDDOWN($C$48/2,0)*$V$33)</f>
        <v>6480</v>
      </c>
      <c r="N48" s="22">
        <f>IF(ROUNDDOWN($C$48/2,0)&gt;=$T$2,$T$2*$V$33,ROUNDDOWN($C$48/2,0)*$V$33)</f>
        <v>6480</v>
      </c>
    </row>
    <row r="49" spans="1:22" x14ac:dyDescent="0.25">
      <c r="A49" s="32">
        <v>283800</v>
      </c>
      <c r="B49" s="1">
        <f>A49+($T$2*$V$32)</f>
        <v>329700</v>
      </c>
      <c r="C49" s="1">
        <f>ROUNDDOWN(A49/$V$32,0)</f>
        <v>333</v>
      </c>
      <c r="D49" s="1" t="s">
        <v>259</v>
      </c>
      <c r="E49" s="20"/>
      <c r="F49" s="1">
        <f>IF($C$49&gt;=$T$2,$T$2*$V$31,$C$49*$V$31)</f>
        <v>175500</v>
      </c>
      <c r="G49" s="1">
        <f>IF($C$49&gt;=$T$2,$T$2*$V$31,$C$49*$V$31)</f>
        <v>175500</v>
      </c>
      <c r="H49" s="1">
        <f>IF($C$49&gt;=$T$2,$T$2*$V$31,$C$49*$V$31)</f>
        <v>175500</v>
      </c>
      <c r="I49" s="20"/>
      <c r="J49" s="1">
        <f>IF($C$49&gt;=$T$2,$T$2*$V$32,$C$49*$V$32)</f>
        <v>45900</v>
      </c>
      <c r="K49" s="1">
        <f>IF($C$49&gt;=$T$2,$T$2*$V$32,$C$49*$V$32)</f>
        <v>45900</v>
      </c>
      <c r="L49" s="1">
        <f>IF($C$49&gt;=$T$2,$T$2*$V$33,$C$49*$V$33)</f>
        <v>6480</v>
      </c>
      <c r="M49" s="1">
        <f>IF($C$49&gt;=$T$2,$T$2*$V$33,$C$49*$V$33)</f>
        <v>6480</v>
      </c>
      <c r="N49" s="22">
        <f>IF($C$49&gt;=$T$2,$T$2*$V$33,$C$49*$V$33)</f>
        <v>6480</v>
      </c>
    </row>
    <row r="50" spans="1:22" x14ac:dyDescent="0.25">
      <c r="A50" s="32">
        <v>144600</v>
      </c>
      <c r="B50" s="1">
        <f>A50+($T$2*$V$32)</f>
        <v>190500</v>
      </c>
      <c r="C50" s="1">
        <f>ROUNDDOWN(A50/$V$32,0)</f>
        <v>170</v>
      </c>
      <c r="D50" s="1" t="s">
        <v>260</v>
      </c>
      <c r="E50" s="20"/>
      <c r="F50" s="1">
        <f>IF($C$50&gt;=$T$2,$T$2*$V$31,$C$50*$V$31)</f>
        <v>175500</v>
      </c>
      <c r="G50" s="1">
        <f>IF($C$50&gt;=$T$2,$T$2*$V$31,$C$50*$V$31)</f>
        <v>175500</v>
      </c>
      <c r="H50" s="1">
        <f>IF($C$50&gt;=$T$2,$T$2*$V$31,$C$50*$V$31)</f>
        <v>175500</v>
      </c>
      <c r="I50" s="1">
        <f>IF($C$50&gt;=$T$2,$T$2*$V$32,$C$50*$V$32)</f>
        <v>45900</v>
      </c>
      <c r="J50" s="20"/>
      <c r="K50" s="1">
        <f>IF($C$51&gt;=$T$2,$T$2*$V$32,$C$51*$V$32)</f>
        <v>45900</v>
      </c>
      <c r="L50" s="1">
        <f>IF($C$50&gt;=$T$2,$T$2*$V$33,$C$50*$V$33)</f>
        <v>6480</v>
      </c>
      <c r="M50" s="1">
        <f>IF($C$50&gt;=$T$2,$T$2*$V$33,$C$50*$V$33)</f>
        <v>6480</v>
      </c>
      <c r="N50" s="22">
        <f>IF($C$50&gt;=$T$2,$T$2*$V$33,$C$50*$V$33)</f>
        <v>6480</v>
      </c>
    </row>
    <row r="51" spans="1:22" x14ac:dyDescent="0.25">
      <c r="A51" s="32">
        <v>249900</v>
      </c>
      <c r="B51" s="1">
        <f>A51+($T$2*$V$32)</f>
        <v>295800</v>
      </c>
      <c r="C51" s="1">
        <f>ROUNDDOWN(A51/$V$32,0)</f>
        <v>294</v>
      </c>
      <c r="D51" s="1" t="s">
        <v>261</v>
      </c>
      <c r="E51" s="20"/>
      <c r="F51" s="1">
        <f>IF($C$51&gt;=$T$2,$T$2*$V$31,$C$51*$V$31)</f>
        <v>175500</v>
      </c>
      <c r="G51" s="1">
        <f>IF($C$51&gt;=$T$2,$T$2*$V$31,$C$51*$V$31)</f>
        <v>175500</v>
      </c>
      <c r="H51" s="1">
        <f>IF($C$51&gt;=$T$2,$T$2*$V$31,$C$51*$V$31)</f>
        <v>175500</v>
      </c>
      <c r="I51" s="1">
        <f>IF($C$51&gt;=$T$2,$T$2*$V$32,$C$51*$V$32)</f>
        <v>45900</v>
      </c>
      <c r="J51" s="1">
        <f>IF($C$52&gt;=$T$2,$T$2*$V$32,$C$52*$V$32)</f>
        <v>45900</v>
      </c>
      <c r="K51" s="20"/>
      <c r="L51" s="1">
        <f>IF($C$51&gt;=$T$2,$T$2*$V$33,$C$51*$V$33)</f>
        <v>6480</v>
      </c>
      <c r="M51" s="1">
        <f>IF($C$51&gt;=$T$2,$T$2*$V$33,$C$51*$V$33)</f>
        <v>6480</v>
      </c>
      <c r="N51" s="22">
        <f>IF($C$51&gt;=$T$2,$T$2*$V$33,$C$51*$V$33)</f>
        <v>6480</v>
      </c>
    </row>
    <row r="52" spans="1:22" x14ac:dyDescent="0.25">
      <c r="A52" s="32">
        <v>37400</v>
      </c>
      <c r="B52" s="1">
        <f>A52+($T$2*$V$33)</f>
        <v>43880</v>
      </c>
      <c r="C52" s="1">
        <f>ROUNDDOWN(A52/$V$33,0)</f>
        <v>311</v>
      </c>
      <c r="D52" s="1" t="s">
        <v>302</v>
      </c>
      <c r="E52" s="20"/>
      <c r="F52" s="1">
        <f>IF(ROUNDDOWN($C$52,0)/2&gt;=$T$3,$T$3*$V$31,$C$52*$V$31)</f>
        <v>87750</v>
      </c>
      <c r="G52" s="1">
        <f>IF($C$52&gt;=$T$3,$T$3*$V$31,$C$52*$V$31)</f>
        <v>87750</v>
      </c>
      <c r="H52" s="1">
        <f>IF($C$52&gt;=$T$3,$T$3*$V$31,$C$52*$V$31)</f>
        <v>87750</v>
      </c>
      <c r="I52" s="1">
        <f>IF($C$52&gt;=$T$2,$T$2*$V$32,$C$52*$V$32)</f>
        <v>45900</v>
      </c>
      <c r="J52" s="1">
        <f>IF($C$52&gt;=$T$2,$T$2*$V$32,$C$52*$V$32)</f>
        <v>45900</v>
      </c>
      <c r="K52" s="1">
        <f>IF($C$52&gt;=$T$2,$T$2*$V$32,$C$52*$V$32)</f>
        <v>45900</v>
      </c>
      <c r="L52" s="20"/>
      <c r="M52" s="1">
        <f>IF($C$52&gt;=$T$2,$T$2*$V$33,$C$52*$V$33)</f>
        <v>6480</v>
      </c>
      <c r="N52" s="22">
        <f>IF($C$52&gt;=$T$2,$T$2*$V$33,$C$52*$V$33)</f>
        <v>6480</v>
      </c>
    </row>
    <row r="53" spans="1:22" x14ac:dyDescent="0.25">
      <c r="A53" s="32">
        <v>5836</v>
      </c>
      <c r="B53" s="1">
        <f>A53+($T$2*$V$33)</f>
        <v>12316</v>
      </c>
      <c r="C53" s="1">
        <f>ROUNDDOWN(A53/$V$33,0)</f>
        <v>48</v>
      </c>
      <c r="D53" s="1" t="s">
        <v>303</v>
      </c>
      <c r="E53" s="20"/>
      <c r="F53" s="1">
        <f>IF($C$53/2&gt;=$T$3,$T$3*$V$31,$C$53*$V$31)</f>
        <v>156000</v>
      </c>
      <c r="G53" s="1">
        <f>IF($C$53&gt;=$T$3,$T$3*$V$31,$C$53*$V$31)</f>
        <v>87750</v>
      </c>
      <c r="H53" s="1">
        <f>IF($C$53&gt;=$T$3,$T$3*$V$31,$C$53*$V$31)</f>
        <v>87750</v>
      </c>
      <c r="I53" s="1">
        <f>IF($C$53&gt;=$T$2,$T$2*$V$32,$C$53*$V$32)</f>
        <v>40800</v>
      </c>
      <c r="J53" s="1">
        <f>IF($C$53&gt;=$T$2,$T$2*$V$32,$C$53*$V$32)</f>
        <v>40800</v>
      </c>
      <c r="K53" s="1">
        <f>IF($C$53&gt;=$T$2,$T$2*$V$32,$C$53*$V$32)</f>
        <v>40800</v>
      </c>
      <c r="L53" s="1">
        <f>IF($C$53&gt;=$T$2,$T$2*$V$33,$C$53*$V$33)</f>
        <v>5760</v>
      </c>
      <c r="M53" s="20"/>
      <c r="N53" s="22">
        <f>IF($C$53&gt;=$T$2,$T$2*$V$33,$C$53*$V$33)</f>
        <v>5760</v>
      </c>
    </row>
    <row r="54" spans="1:22" ht="15.75" thickBot="1" x14ac:dyDescent="0.3">
      <c r="A54" s="33">
        <v>25500</v>
      </c>
      <c r="B54" s="24">
        <f>A54+($T$2*$V$33)</f>
        <v>31980</v>
      </c>
      <c r="C54" s="24">
        <f>ROUNDDOWN(A54/$V$33,0)</f>
        <v>212</v>
      </c>
      <c r="D54" s="24" t="s">
        <v>304</v>
      </c>
      <c r="E54" s="25"/>
      <c r="F54" s="24">
        <f>IF($C$54/2&gt;=$T$3,$T$3*$V$31,$C$54*$V$31)</f>
        <v>87750</v>
      </c>
      <c r="G54" s="24">
        <f>IF($C$54&gt;=$T$3,$T$3*$V$31,$C$54*$V$31)</f>
        <v>87750</v>
      </c>
      <c r="H54" s="24">
        <f>IF($C$54&gt;=$T$3,$T$3*$V$31,$C$54*$V$31)</f>
        <v>87750</v>
      </c>
      <c r="I54" s="24">
        <f>IF($C$54&gt;=$T$2,$T$2*$V$32,$C$54*$V$32)</f>
        <v>45900</v>
      </c>
      <c r="J54" s="24">
        <f>IF($C$54&gt;=$T$2,$T$2*$V$32,$C$54*$V$32)</f>
        <v>45900</v>
      </c>
      <c r="K54" s="24">
        <f>IF($C$54&gt;=$T$2,$T$2*$V$32,$C$54*$V$32)</f>
        <v>45900</v>
      </c>
      <c r="L54" s="24">
        <f>IF($C$54&gt;=$T$2,$T$2*$V$33,$C$54*$V$33)</f>
        <v>6480</v>
      </c>
      <c r="M54" s="24">
        <f>IF($C$54&gt;=$T$2,$T$2*$V$33,$C$54*$V$33)</f>
        <v>6480</v>
      </c>
      <c r="N54" s="26"/>
    </row>
    <row r="55" spans="1:22" ht="15.75" thickBot="1" x14ac:dyDescent="0.3">
      <c r="A55" s="37" t="s">
        <v>291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22" ht="15.75" thickBot="1" x14ac:dyDescent="0.3">
      <c r="A56" s="15"/>
      <c r="B56" s="16"/>
      <c r="C56" s="16"/>
      <c r="D56" s="16"/>
      <c r="E56" s="17" t="s">
        <v>227</v>
      </c>
      <c r="F56" s="16" t="s">
        <v>228</v>
      </c>
      <c r="G56" s="16" t="s">
        <v>229</v>
      </c>
      <c r="H56" s="16" t="s">
        <v>230</v>
      </c>
      <c r="I56" s="16" t="s">
        <v>231</v>
      </c>
      <c r="J56" s="16" t="s">
        <v>232</v>
      </c>
      <c r="K56" s="16" t="s">
        <v>233</v>
      </c>
      <c r="L56" s="16" t="s">
        <v>225</v>
      </c>
      <c r="M56" s="16" t="s">
        <v>234</v>
      </c>
      <c r="N56" s="16" t="s">
        <v>235</v>
      </c>
      <c r="O56" s="16" t="s">
        <v>236</v>
      </c>
      <c r="P56" s="16" t="s">
        <v>226</v>
      </c>
      <c r="Q56" s="18" t="s">
        <v>237</v>
      </c>
      <c r="S56" s="38" t="s">
        <v>270</v>
      </c>
      <c r="T56" s="38"/>
      <c r="U56" s="38"/>
      <c r="V56" s="38"/>
    </row>
    <row r="57" spans="1:22" x14ac:dyDescent="0.25">
      <c r="A57" s="31" t="s">
        <v>271</v>
      </c>
      <c r="B57" s="2" t="s">
        <v>272</v>
      </c>
      <c r="C57" s="2" t="s">
        <v>273</v>
      </c>
      <c r="D57" s="2" t="s">
        <v>240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S57" s="27" t="s">
        <v>238</v>
      </c>
      <c r="T57" s="16"/>
      <c r="U57" s="17" t="s">
        <v>239</v>
      </c>
      <c r="V57" s="18"/>
    </row>
    <row r="58" spans="1:22" x14ac:dyDescent="0.25">
      <c r="A58" s="32">
        <v>5300000</v>
      </c>
      <c r="B58" s="1">
        <f>A58+($T$4*T58)</f>
        <v>6166520</v>
      </c>
      <c r="C58" s="1">
        <f>ROUNDDOWN(A58/T58,0)</f>
        <v>1064</v>
      </c>
      <c r="D58" s="1" t="s">
        <v>242</v>
      </c>
      <c r="E58" s="20"/>
      <c r="F58" s="20"/>
      <c r="G58" s="1">
        <f>IF($C$58&gt;=$T$4,$T$4*$T$58,$C$58*$T$58)</f>
        <v>866520</v>
      </c>
      <c r="H58" s="1">
        <f>IF($C$58&gt;=$T$4,$T$4*$T$58,$C$58*$T$58)</f>
        <v>866520</v>
      </c>
      <c r="I58" s="1">
        <f>IF($C$58&gt;=$T$4,$T$4*$T$58,$C$58*$T$58)</f>
        <v>866520</v>
      </c>
      <c r="J58" s="1">
        <f>IF($C$58&gt;=$T$4,$T$4*$T$59,$C$58*$T$59)</f>
        <v>242730</v>
      </c>
      <c r="K58" s="1">
        <f>IF($C$58&gt;=$T$4,$T$4*$T$59,$C$58*$T$59)</f>
        <v>242730</v>
      </c>
      <c r="L58" s="1">
        <f>IF($C$58&gt;=$T$4,$T$4*$T$59,$C$58*$T$59)</f>
        <v>242730</v>
      </c>
      <c r="M58" s="1">
        <f>IF($C$58&gt;=$T$4,$T$4*$T$59,$C$58*$T$59)</f>
        <v>242730</v>
      </c>
      <c r="N58" s="1">
        <f>IF(ROUNDDOWN($C$58/2,0)&gt;=$T$5,$T$5*$T$61,ROUNDDOWN($C$58/2,0)*$T$61)</f>
        <v>16356</v>
      </c>
      <c r="O58" s="1">
        <f>IF(ROUNDDOWN($C$58/2,0)&gt;=$T$5,$T$5*$T$61,ROUNDDOWN($C$58/2,0)*$T$61)</f>
        <v>16356</v>
      </c>
      <c r="P58" s="1">
        <f>IF(ROUNDDOWN($C$58/2,0)&gt;=$T$5,$T$5*$T$61,ROUNDDOWN($C$58/2,0)*$T$61)</f>
        <v>16356</v>
      </c>
      <c r="Q58" s="22">
        <f>IF(ROUNDDOWN($C$58/2,0)&gt;=$T$5,$T$5*$T$61,ROUNDDOWN($C$58/2,0)*$T$61)</f>
        <v>16356</v>
      </c>
      <c r="S58" s="19" t="s">
        <v>317</v>
      </c>
      <c r="T58" s="1">
        <v>4980</v>
      </c>
      <c r="U58" s="1" t="s">
        <v>264</v>
      </c>
      <c r="V58" s="22">
        <v>6100</v>
      </c>
    </row>
    <row r="59" spans="1:22" x14ac:dyDescent="0.25">
      <c r="A59" s="32">
        <v>4700000</v>
      </c>
      <c r="B59" s="1">
        <f>A59+($T$4*$T58)</f>
        <v>5566520</v>
      </c>
      <c r="C59" s="1">
        <f>ROUNDDOWN(A59/$T58,0)</f>
        <v>943</v>
      </c>
      <c r="D59" s="1" t="s">
        <v>243</v>
      </c>
      <c r="E59" s="20"/>
      <c r="F59" s="1">
        <f>IF($C$59&gt;=$T$4,$T$4*$T$58,$C$59*$T$58)</f>
        <v>866520</v>
      </c>
      <c r="G59" s="20"/>
      <c r="H59" s="1">
        <f>IF($C$59&gt;=$T$4,$T$4*$T$58,$C$59*$T$58)</f>
        <v>866520</v>
      </c>
      <c r="I59" s="1">
        <f>IF($C$59&gt;=$T$4,$T$4*$T$58,$C$59*$T$58)</f>
        <v>866520</v>
      </c>
      <c r="J59" s="1">
        <f>IF($C$59&gt;=$T$4,$T$4*$T$59,$C$59*$T$59)</f>
        <v>242730</v>
      </c>
      <c r="K59" s="1">
        <f>IF($C$59&gt;=$T$4,$T$4*$T$59,$C$59*$T$59)</f>
        <v>242730</v>
      </c>
      <c r="L59" s="1">
        <f>IF($C$59&gt;=$T$4,$T$4*$T$59,$C$59*$T$59)</f>
        <v>242730</v>
      </c>
      <c r="M59" s="1">
        <f>IF($C$59&gt;=$T$4,$T$4*$T$59,$C$59*$T$59)</f>
        <v>242730</v>
      </c>
      <c r="N59" s="1">
        <f>IF(ROUNDDOWN($C$59/2,0)&gt;=$T$5,$T$5*$T$61,ROUNDDOWN($C$59/2,0)*$T$61)</f>
        <v>16356</v>
      </c>
      <c r="O59" s="1">
        <f>IF(ROUNDDOWN($C$59/2,0)&gt;=$T$5,$T$5*$T$61,ROUNDDOWN($C$59/2,0)*$T$61)</f>
        <v>16356</v>
      </c>
      <c r="P59" s="1">
        <f>IF(ROUNDDOWN($C$59/2,0)&gt;=$T$5,$T$5*$T$61,ROUNDDOWN($C$59/2,0)*$T$61)</f>
        <v>16356</v>
      </c>
      <c r="Q59" s="22">
        <f>IF(ROUNDDOWN($C$59/2,0)&gt;=$T$5,$T$5*$T$61,ROUNDDOWN($C$59/2,0)*$T$61)</f>
        <v>16356</v>
      </c>
      <c r="S59" s="19" t="s">
        <v>318</v>
      </c>
      <c r="T59" s="1">
        <v>1395</v>
      </c>
      <c r="U59" s="1" t="s">
        <v>265</v>
      </c>
      <c r="V59" s="22">
        <v>1700</v>
      </c>
    </row>
    <row r="60" spans="1:22" x14ac:dyDescent="0.25">
      <c r="A60" s="32">
        <v>1800000</v>
      </c>
      <c r="B60" s="1">
        <f>A60+($T$4*$T58)</f>
        <v>2666520</v>
      </c>
      <c r="C60" s="1">
        <f>ROUNDDOWN(A60/$T58,0)</f>
        <v>361</v>
      </c>
      <c r="D60" s="1" t="s">
        <v>245</v>
      </c>
      <c r="E60" s="20"/>
      <c r="F60" s="1">
        <f>IF($C$60&gt;=$T$4,$T$4*$T$58,$C$60*$T$58)</f>
        <v>866520</v>
      </c>
      <c r="G60" s="1">
        <f>IF($C$60&gt;=$T$4,$T$4*$T$58,$C$60*$T$58)</f>
        <v>866520</v>
      </c>
      <c r="H60" s="20"/>
      <c r="I60" s="1">
        <f>IF($C$60&gt;=$T$4,$T$4*$T$58,$C$60*$T$58)</f>
        <v>866520</v>
      </c>
      <c r="J60" s="1">
        <f>IF($C$60&gt;=$T$4,$T$4*$T$59,$C$60*$T$59)</f>
        <v>242730</v>
      </c>
      <c r="K60" s="1">
        <f>IF($C$60&gt;=$T$4,$T$4*$T$59,$C$60*$T$59)</f>
        <v>242730</v>
      </c>
      <c r="L60" s="1">
        <f>IF($C$60&gt;=$T$4,$T$4*$T$59,$C$60*$T$59)</f>
        <v>242730</v>
      </c>
      <c r="M60" s="1">
        <f>IF($C$60&gt;=$T$4,$T$4*$T$59,$C$60*$T$59)</f>
        <v>242730</v>
      </c>
      <c r="N60" s="1">
        <f>IF(ROUNDDOWN($C$60/2,0)&gt;=$T$5,$T$5*$T$61,ROUNDDOWN($C$60/2,0)*$T$61)</f>
        <v>16356</v>
      </c>
      <c r="O60" s="1">
        <f>IF(ROUNDDOWN($C$60/2,0)&gt;=$T$5,$T$5*$T$61,ROUNDDOWN($C$60/2,0)*$T$61)</f>
        <v>16356</v>
      </c>
      <c r="P60" s="1">
        <f>IF(ROUNDDOWN($C$60/2,0)&gt;=$T$5,$T$5*$T$61,ROUNDDOWN($C$60/2,0)*$T$61)</f>
        <v>16356</v>
      </c>
      <c r="Q60" s="22">
        <f>IF(ROUNDDOWN($C$60/2,0)&gt;=$T$5,$T$5*$T$61,ROUNDDOWN($C$60/2,0)*$T$61)</f>
        <v>16356</v>
      </c>
      <c r="S60" s="19" t="s">
        <v>244</v>
      </c>
      <c r="T60" s="1">
        <v>187</v>
      </c>
      <c r="U60" s="1" t="s">
        <v>283</v>
      </c>
      <c r="V60" s="22">
        <v>480</v>
      </c>
    </row>
    <row r="61" spans="1:22" ht="15.75" thickBot="1" x14ac:dyDescent="0.3">
      <c r="A61" s="32">
        <v>1600000</v>
      </c>
      <c r="B61" s="1">
        <f>A61+($T$4*$T58)</f>
        <v>2466520</v>
      </c>
      <c r="C61" s="1">
        <f>ROUNDDOWN(A61/$T58,0)</f>
        <v>321</v>
      </c>
      <c r="D61" s="1" t="s">
        <v>247</v>
      </c>
      <c r="E61" s="20"/>
      <c r="F61" s="1">
        <f>IF($C$61&gt;=$T$4,$T$4*$T$58,$C$61*$T$58)</f>
        <v>866520</v>
      </c>
      <c r="G61" s="1">
        <f>IF($C$61&gt;=$T$4,$T$4*$T$58,$C$61*$T$58)</f>
        <v>866520</v>
      </c>
      <c r="H61" s="1">
        <f>IF($C$61&gt;=$T$4,$T$4*$T$58,$C$61*$T$58)</f>
        <v>866520</v>
      </c>
      <c r="I61" s="20"/>
      <c r="J61" s="1">
        <f>IF($C$61&gt;=$T$4,$T$4*$T$59,$C$61*$T$59)</f>
        <v>242730</v>
      </c>
      <c r="K61" s="1">
        <f>IF($C$61&gt;=$T$4,$T$4*$T$59,$C$61*$T$59)</f>
        <v>242730</v>
      </c>
      <c r="L61" s="1">
        <f>IF($C$61&gt;=$T$4,$T$4*$T$59,$C$61*$T$59)</f>
        <v>242730</v>
      </c>
      <c r="M61" s="1">
        <f>IF($C$61&gt;=$T$4,$T$4*$T$59,$C$61*$T$59)</f>
        <v>242730</v>
      </c>
      <c r="N61" s="1">
        <f>IF(ROUNDDOWN($C$61/2,0)&gt;=$T$5,$T$5*$T$61,ROUNDDOWN($C$61/2,0)*$T$61)</f>
        <v>16356</v>
      </c>
      <c r="O61" s="1">
        <f>IF(ROUNDDOWN($C$61/2,0)&gt;=$T$5,$T$5*$T$61,ROUNDDOWN($C$61/2,0)*$T$61)</f>
        <v>16356</v>
      </c>
      <c r="P61" s="1">
        <f>IF(ROUNDDOWN($C$61/2,0)&gt;=$T$5,$T$5*$T$61,ROUNDDOWN($C$61/2,0)*$T$61)</f>
        <v>16356</v>
      </c>
      <c r="Q61" s="22">
        <f>IF(ROUNDDOWN($C$61/2,0)&gt;=$T$5,$T$5*$T$61,ROUNDDOWN($C$61/2,0)*$T$61)</f>
        <v>16356</v>
      </c>
      <c r="S61" s="23" t="s">
        <v>246</v>
      </c>
      <c r="T61" s="24">
        <v>188</v>
      </c>
      <c r="U61" s="24"/>
      <c r="V61" s="29"/>
    </row>
    <row r="62" spans="1:22" x14ac:dyDescent="0.25">
      <c r="A62" s="32">
        <v>687900</v>
      </c>
      <c r="B62" s="1">
        <f>A62+($T$4*$T59)</f>
        <v>930630</v>
      </c>
      <c r="C62" s="1">
        <f>ROUNDDOWN(A62/$T59, 0)</f>
        <v>493</v>
      </c>
      <c r="D62" s="1" t="s">
        <v>248</v>
      </c>
      <c r="E62" s="20"/>
      <c r="F62" s="1">
        <f>IF($C$62&gt;=$T$4,$T$4*$T$58,$C$62*$T$58)</f>
        <v>866520</v>
      </c>
      <c r="G62" s="1">
        <f>IF($C$62&gt;=$T$4,$T$4*$T$58,$C$62*$T$58)</f>
        <v>866520</v>
      </c>
      <c r="H62" s="1">
        <f>IF($C$62&gt;=$T$4,$T$4*$T$58,$C$62*$T$58)</f>
        <v>866520</v>
      </c>
      <c r="I62" s="1">
        <f>IF($C$62&gt;=$T$4,$T$4*$T$58,$C$62*$T$58)</f>
        <v>866520</v>
      </c>
      <c r="J62" s="20"/>
      <c r="K62" s="1">
        <f>IF($C$62&gt;=$T$4,$T$4*$T$59,$C$62*$T$59)</f>
        <v>242730</v>
      </c>
      <c r="L62" s="1">
        <f>IF($C$62&gt;=$T$4,$T$4*$T$59,$C$62*$T$59)</f>
        <v>242730</v>
      </c>
      <c r="M62" s="1">
        <f>IF($C$62&gt;=$T$4,$T$4*$T$59,$C$62*$T$59)</f>
        <v>242730</v>
      </c>
      <c r="N62" s="1">
        <f>IF($C$62&gt;=$T$4,$T$4*$T$61,$C$62*$T$61)</f>
        <v>32712</v>
      </c>
      <c r="O62" s="1">
        <f>IF($C$62&gt;=$T$4,$T$4*$T$61,$C$62*$T$61)</f>
        <v>32712</v>
      </c>
      <c r="P62" s="1">
        <f>IF($C$62&gt;=$T$4,$T$4*$T$61,$C$62*$T$61)</f>
        <v>32712</v>
      </c>
      <c r="Q62" s="22">
        <f>IF($C$62&gt;=$T$4,$T$4*$T$61,$C$62*$T$61)</f>
        <v>32712</v>
      </c>
    </row>
    <row r="63" spans="1:22" x14ac:dyDescent="0.25">
      <c r="A63" s="32">
        <v>516400</v>
      </c>
      <c r="B63" s="1">
        <f>A63+($T$4*$T59)</f>
        <v>759130</v>
      </c>
      <c r="C63" s="1">
        <f>ROUNDDOWN(A63/$T59, 0)</f>
        <v>370</v>
      </c>
      <c r="D63" s="1" t="s">
        <v>249</v>
      </c>
      <c r="E63" s="20"/>
      <c r="F63" s="1">
        <f>IF($C$63&gt;=$T$4,$T$4*$T$58,$C$63*$T$58)</f>
        <v>866520</v>
      </c>
      <c r="G63" s="1">
        <f>IF($C$63&gt;=$T$4,$T$4*$T$58,$C$63*$T$58)</f>
        <v>866520</v>
      </c>
      <c r="H63" s="1">
        <f>IF($C$63&gt;=$T$4,$T$4*$T$58,$C$63*$T$58)</f>
        <v>866520</v>
      </c>
      <c r="I63" s="1">
        <f>IF($C$63&gt;=$T$4,$T$4*$T$58,$C$63*$T$58)</f>
        <v>866520</v>
      </c>
      <c r="J63" s="1">
        <f>IF($C$63&gt;=$T$4,$T$4*$T$59,$C$63*$T$59)</f>
        <v>242730</v>
      </c>
      <c r="K63" s="20"/>
      <c r="L63" s="1">
        <f>IF($C$63&gt;=$T$4,$T$4*$T$59,$C$63*$T$59)</f>
        <v>242730</v>
      </c>
      <c r="M63" s="1">
        <f>IF($C$63&gt;=$T$4,$T$4*$T$59,$C$63*$T$59)</f>
        <v>242730</v>
      </c>
      <c r="N63" s="1">
        <f>IF($C$63&gt;=$T$4,$T$4*$T$61,$C$63*$T$61)</f>
        <v>32712</v>
      </c>
      <c r="O63" s="1">
        <f>IF($C$63&gt;=$T$4,$T$4*$T$61,$C$63*$T$61)</f>
        <v>32712</v>
      </c>
      <c r="P63" s="1">
        <f>IF($C$63&gt;=$T$4,$T$4*$T$61,$C$63*$T$61)</f>
        <v>32712</v>
      </c>
      <c r="Q63" s="22">
        <f>IF($C$63&gt;=$T$4,$T$4*$T$61,$C$63*$T$61)</f>
        <v>32712</v>
      </c>
    </row>
    <row r="64" spans="1:22" x14ac:dyDescent="0.25">
      <c r="A64" s="32">
        <v>1100000</v>
      </c>
      <c r="B64" s="1">
        <f>A64+($T$4*$T59)</f>
        <v>1342730</v>
      </c>
      <c r="C64" s="1">
        <f>ROUNDDOWN(A64/$T59, 0)</f>
        <v>788</v>
      </c>
      <c r="D64" s="1" t="s">
        <v>250</v>
      </c>
      <c r="E64" s="20"/>
      <c r="F64" s="1">
        <f>IF($C$64&gt;=$T$4,$T$4*$T$58,$C$64*$T$58)</f>
        <v>866520</v>
      </c>
      <c r="G64" s="1">
        <f>IF($C$64&gt;=$T$4,$T$4*$T$58,$C$64*$T$58)</f>
        <v>866520</v>
      </c>
      <c r="H64" s="1">
        <f>IF($C$64&gt;=$T$4,$T$4*$T$58,$C$64*$T$58)</f>
        <v>866520</v>
      </c>
      <c r="I64" s="1">
        <f>IF($C$64&gt;=$T$4,$T$4*$T$58,$C$64*$T$58)</f>
        <v>866520</v>
      </c>
      <c r="J64" s="1">
        <f>IF($C$64&gt;=$T$4,$T$4*$T$59,$C$64*$T$59)</f>
        <v>242730</v>
      </c>
      <c r="K64" s="1">
        <f>IF($C$64&gt;=$T$4,$T$4*$T$59,$C$64*$T$59)</f>
        <v>242730</v>
      </c>
      <c r="L64" s="20"/>
      <c r="M64" s="1">
        <f>IF($C$64&gt;=$T$4,$T$4*$T$59,$C$64*$T$59)</f>
        <v>242730</v>
      </c>
      <c r="N64" s="1">
        <f>IF($C$64&gt;=$T$4,$T$4*$T$61,$C$64*$T$61)</f>
        <v>32712</v>
      </c>
      <c r="O64" s="1">
        <f>IF($C$64&gt;=$T$4,$T$4*$T$61,$C$64*$T$61)</f>
        <v>32712</v>
      </c>
      <c r="P64" s="1">
        <f>IF($C$64&gt;=$T$4,$T$4*$T$61,$C$64*$T$61)</f>
        <v>32712</v>
      </c>
      <c r="Q64" s="22">
        <f>IF($C$64&gt;=$T$4,$T$4*$T$61,$C$64*$T$61)</f>
        <v>32712</v>
      </c>
    </row>
    <row r="65" spans="1:17" x14ac:dyDescent="0.25">
      <c r="A65" s="32">
        <v>297500</v>
      </c>
      <c r="B65" s="1">
        <f>A65+($T$4*$T59)</f>
        <v>540230</v>
      </c>
      <c r="C65" s="1">
        <f>ROUNDDOWN(A65/$T59, 0)</f>
        <v>213</v>
      </c>
      <c r="D65" s="1" t="s">
        <v>251</v>
      </c>
      <c r="E65" s="20"/>
      <c r="F65" s="1">
        <f>IF($C$65&gt;=$T$4,$T$4*$T$58,$C$65*$T$58)</f>
        <v>866520</v>
      </c>
      <c r="G65" s="1">
        <f>IF($C$65&gt;=$T$4,$T$4*$T$58,$C$65*$T$58)</f>
        <v>866520</v>
      </c>
      <c r="H65" s="1">
        <f>IF($C$65&gt;=$T$4,$T$4*$T$58,$C$65*$T$58)</f>
        <v>866520</v>
      </c>
      <c r="I65" s="1">
        <f>IF($C$65&gt;=$T$4,$T$4*$T$58,$C$65*$T$58)</f>
        <v>866520</v>
      </c>
      <c r="J65" s="1">
        <f>IF($C$65&gt;=$T$4,$T$4*$T$59,$C$65*$T$59)</f>
        <v>242730</v>
      </c>
      <c r="K65" s="1">
        <f>IF($C$65&gt;=$T$4,$T$4*$T$59,$C$65*$T$59)</f>
        <v>242730</v>
      </c>
      <c r="L65" s="1">
        <f>IF($C$65&gt;=$T$4,$T$4*$T$59,$C$65*$T$59)</f>
        <v>242730</v>
      </c>
      <c r="M65" s="20"/>
      <c r="N65" s="1">
        <f>IF($C$65&gt;=$T$4,$T$4*$T$61,$C$65*$T$61)</f>
        <v>32712</v>
      </c>
      <c r="O65" s="1">
        <f>IF($C$65&gt;=$T$4,$T$4*$T$61,$C$65*$T$61)</f>
        <v>32712</v>
      </c>
      <c r="P65" s="1">
        <f>IF($C$65&gt;=$T$4,$T$4*$T$61,$C$65*$T$61)</f>
        <v>32712</v>
      </c>
      <c r="Q65" s="22">
        <f>IF($C$65&gt;=$T$4,$T$4*$T$61,$C$65*$T$61)</f>
        <v>32712</v>
      </c>
    </row>
    <row r="66" spans="1:17" x14ac:dyDescent="0.25">
      <c r="A66" s="32">
        <v>6758</v>
      </c>
      <c r="B66" s="1">
        <f>A66+($T$4*$T60)</f>
        <v>39296</v>
      </c>
      <c r="C66" s="1">
        <f>ROUNDDOWN(A66/T60,0)</f>
        <v>36</v>
      </c>
      <c r="D66" s="1" t="s">
        <v>252</v>
      </c>
      <c r="E66" s="20"/>
      <c r="F66" s="1">
        <f>IF(ROUNDDOWN($C$66/2,0)&gt;=$T$5,$T$5*$T$58,ROUNDDOWN($C$66/2,0)*$T$58)</f>
        <v>89640</v>
      </c>
      <c r="G66" s="1">
        <f>IF(ROUNDDOWN($C$66/2,0)&gt;=$T$5,$T$5*$T$58,ROUNDDOWN($C$66/2,0)*$T$58)</f>
        <v>89640</v>
      </c>
      <c r="H66" s="1">
        <f>IF(ROUNDDOWN($C$66/2,0)&gt;=$T$5,$T$5*$T$58,ROUNDDOWN($C$66/2,0)*$T$58)</f>
        <v>89640</v>
      </c>
      <c r="I66" s="1">
        <f>IF(ROUNDDOWN($C$66/2,0)&gt;=$T$5,$T$5*$T$58,ROUNDDOWN($C$66/2,0)*$T$58)</f>
        <v>89640</v>
      </c>
      <c r="J66" s="1">
        <f t="shared" ref="J66:Q66" si="1">IF($C$66&gt;=$T$4,$T$4*$T$61,$C$66*$T$61)</f>
        <v>6768</v>
      </c>
      <c r="K66" s="1">
        <f t="shared" si="1"/>
        <v>6768</v>
      </c>
      <c r="L66" s="1">
        <f t="shared" si="1"/>
        <v>6768</v>
      </c>
      <c r="M66" s="1">
        <f t="shared" si="1"/>
        <v>6768</v>
      </c>
      <c r="N66" s="20">
        <f t="shared" si="1"/>
        <v>6768</v>
      </c>
      <c r="O66" s="1">
        <f t="shared" si="1"/>
        <v>6768</v>
      </c>
      <c r="P66" s="1">
        <f t="shared" si="1"/>
        <v>6768</v>
      </c>
      <c r="Q66" s="22">
        <f t="shared" si="1"/>
        <v>6768</v>
      </c>
    </row>
    <row r="67" spans="1:17" x14ac:dyDescent="0.25">
      <c r="A67" s="32">
        <v>6554</v>
      </c>
      <c r="B67" s="1">
        <f>A67+($T$4*$T60)</f>
        <v>39092</v>
      </c>
      <c r="C67" s="1">
        <f>ROUNDDOWN(A67/$T60,0)</f>
        <v>35</v>
      </c>
      <c r="D67" s="1" t="s">
        <v>253</v>
      </c>
      <c r="E67" s="20"/>
      <c r="F67" s="1">
        <f>IF(ROUNDDOWN($C$67/2,0)&gt;=$T$5,$T$5*$T$58,ROUNDDOWN($C$67/2,0)*$T$58)</f>
        <v>84660</v>
      </c>
      <c r="G67" s="1">
        <f>IF(ROUNDDOWN($C$67/2,0)&gt;=$T$5,$T$5*$T$58,ROUNDDOWN($C$67/2,0)*$T$58)</f>
        <v>84660</v>
      </c>
      <c r="H67" s="1">
        <f>IF(ROUNDDOWN($C$67/2,0)&gt;=$T$5,$T$5*$T$58,ROUNDDOWN($C$67/2,0)*$T$58)</f>
        <v>84660</v>
      </c>
      <c r="I67" s="1">
        <f>IF(ROUNDDOWN($C$67/2,0)&gt;=$T$5,$T$5*$T$58,ROUNDDOWN($C$67/2,0)*$T$58)</f>
        <v>84660</v>
      </c>
      <c r="J67" s="1">
        <f>IF($C$67&gt;=$T$4,$T$4*$T$61,$C$67*$T$61)</f>
        <v>6580</v>
      </c>
      <c r="K67" s="1">
        <f>IF($C$67&gt;=$T$4,$T$4*$T$61,$C$67*$T$61)</f>
        <v>6580</v>
      </c>
      <c r="L67" s="1">
        <f>IF($C$67&gt;=$T$4,$T$4*$T$61,$C$67*$T$61)</f>
        <v>6580</v>
      </c>
      <c r="M67" s="1">
        <f>IF($C$67&gt;=$T$4,$T$4*$T$61,$C$67*$T$61)</f>
        <v>6580</v>
      </c>
      <c r="N67" s="1">
        <f>IF($C$67&gt;=$T$4,$T$4*$T$61,$C$67*$T$61)</f>
        <v>6580</v>
      </c>
      <c r="O67" s="20"/>
      <c r="P67" s="1">
        <f>IF($C$67&gt;=$T$4,$T$4*$T$61,$C$67*$T$61)</f>
        <v>6580</v>
      </c>
      <c r="Q67" s="22">
        <f>IF($C$67&gt;=$T$4,$T$4*$T$61,$C$67*$T$61)</f>
        <v>6580</v>
      </c>
    </row>
    <row r="68" spans="1:17" x14ac:dyDescent="0.25">
      <c r="A68" s="32">
        <v>68100</v>
      </c>
      <c r="B68" s="1">
        <f>A68+($T$4*$T60)</f>
        <v>100638</v>
      </c>
      <c r="C68" s="1">
        <f>ROUNDDOWN(A68/$T60,0)</f>
        <v>364</v>
      </c>
      <c r="D68" s="1" t="s">
        <v>254</v>
      </c>
      <c r="E68" s="20"/>
      <c r="F68" s="1">
        <f>IF(ROUNDDOWN($C$68/2,0)&gt;=$T$5,$T$5*$T$58,ROUNDDOWN($C$68/2,0)*$T$58)</f>
        <v>433260</v>
      </c>
      <c r="G68" s="1">
        <f>IF(ROUNDDOWN($C$68/2,0)&gt;=$T$5,$T$5*$T$58,ROUNDDOWN($C$68/2,0)*$T$58)</f>
        <v>433260</v>
      </c>
      <c r="H68" s="1">
        <f>IF(ROUNDDOWN($C$68/2,0)&gt;=$T$5,$T$5*$T$58,ROUNDDOWN($C$68/2,0)*$T$58)</f>
        <v>433260</v>
      </c>
      <c r="I68" s="1">
        <f>IF(ROUNDDOWN($C$68/2,0)&gt;=$T$5,$T$5*$T$58,ROUNDDOWN($C$68/2,0)*$T$58)</f>
        <v>433260</v>
      </c>
      <c r="J68" s="1">
        <f t="shared" ref="J68:O68" si="2">IF($C$68&gt;=$T$4,$T$4*$T$61,$C$68*$T$61)</f>
        <v>32712</v>
      </c>
      <c r="K68" s="1">
        <f t="shared" si="2"/>
        <v>32712</v>
      </c>
      <c r="L68" s="1">
        <f t="shared" si="2"/>
        <v>32712</v>
      </c>
      <c r="M68" s="1">
        <f t="shared" si="2"/>
        <v>32712</v>
      </c>
      <c r="N68" s="1">
        <f t="shared" si="2"/>
        <v>32712</v>
      </c>
      <c r="O68" s="1">
        <f t="shared" si="2"/>
        <v>32712</v>
      </c>
      <c r="P68" s="20"/>
      <c r="Q68" s="22">
        <f>IF($C$68&gt;=$T$4,$T$4*$T$61,$C$68*$T$61)</f>
        <v>32712</v>
      </c>
    </row>
    <row r="69" spans="1:17" ht="15.75" thickBot="1" x14ac:dyDescent="0.3">
      <c r="A69" s="33">
        <v>2177</v>
      </c>
      <c r="B69" s="24">
        <f>A69+($T$4*$T60)</f>
        <v>34715</v>
      </c>
      <c r="C69" s="24">
        <f>ROUNDDOWN(A69/$T60,0)</f>
        <v>11</v>
      </c>
      <c r="D69" s="24" t="s">
        <v>255</v>
      </c>
      <c r="E69" s="25"/>
      <c r="F69" s="24">
        <f>IF(ROUNDDOWN($C$69/2,0)&gt;=$T$5,$T$5*$T$58,ROUNDDOWN($C$69/2,0)*$T$58)</f>
        <v>24900</v>
      </c>
      <c r="G69" s="24">
        <f>IF(ROUNDDOWN($C$69/2,0)&gt;=$T$5,$T$5*$T$58,ROUNDDOWN($C$69/2,0)*$T$58)</f>
        <v>24900</v>
      </c>
      <c r="H69" s="24">
        <f>IF(ROUNDDOWN($C$69/2,0)&gt;=$T$5,$T$5*$T$58,ROUNDDOWN($C$69/2,0)*$T$58)</f>
        <v>24900</v>
      </c>
      <c r="I69" s="24">
        <f>IF(ROUNDDOWN($C$69/2,0)&gt;=$T$5,$T$5*$T$58,ROUNDDOWN($C$69/2,0)*$T$58)</f>
        <v>24900</v>
      </c>
      <c r="J69" s="24">
        <f t="shared" ref="J69:P69" si="3">IF($C$69&gt;=$T$4,$T$4*$T$61,$C$69*$T$61)</f>
        <v>2068</v>
      </c>
      <c r="K69" s="24">
        <f t="shared" si="3"/>
        <v>2068</v>
      </c>
      <c r="L69" s="24">
        <f t="shared" si="3"/>
        <v>2068</v>
      </c>
      <c r="M69" s="24">
        <f t="shared" si="3"/>
        <v>2068</v>
      </c>
      <c r="N69" s="24">
        <f t="shared" si="3"/>
        <v>2068</v>
      </c>
      <c r="O69" s="24">
        <f t="shared" si="3"/>
        <v>2068</v>
      </c>
      <c r="P69" s="24">
        <f t="shared" si="3"/>
        <v>2068</v>
      </c>
      <c r="Q69" s="26"/>
    </row>
    <row r="70" spans="1:17" ht="15.75" thickBot="1" x14ac:dyDescent="0.3">
      <c r="A70" s="36" t="s">
        <v>292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1:17" x14ac:dyDescent="0.25">
      <c r="A71" s="15"/>
      <c r="B71" s="16"/>
      <c r="C71" s="16"/>
      <c r="D71" s="16"/>
      <c r="E71" s="17" t="s">
        <v>227</v>
      </c>
      <c r="F71" s="16" t="s">
        <v>296</v>
      </c>
      <c r="G71" s="16" t="s">
        <v>297</v>
      </c>
      <c r="H71" s="16" t="s">
        <v>298</v>
      </c>
      <c r="I71" s="16" t="s">
        <v>299</v>
      </c>
      <c r="J71" s="16" t="s">
        <v>300</v>
      </c>
      <c r="K71" s="16" t="s">
        <v>301</v>
      </c>
      <c r="L71" s="16" t="s">
        <v>293</v>
      </c>
      <c r="M71" s="16" t="s">
        <v>294</v>
      </c>
      <c r="N71" s="18" t="s">
        <v>295</v>
      </c>
    </row>
    <row r="72" spans="1:17" x14ac:dyDescent="0.25">
      <c r="A72" s="31" t="s">
        <v>271</v>
      </c>
      <c r="B72" s="2" t="s">
        <v>272</v>
      </c>
      <c r="C72" s="2" t="s">
        <v>273</v>
      </c>
      <c r="D72" s="2" t="s">
        <v>240</v>
      </c>
      <c r="E72" s="20"/>
      <c r="F72" s="20"/>
      <c r="G72" s="20"/>
      <c r="H72" s="20"/>
      <c r="I72" s="20"/>
      <c r="J72" s="20"/>
      <c r="K72" s="20"/>
      <c r="L72" s="20"/>
      <c r="M72" s="20"/>
      <c r="N72" s="21"/>
    </row>
    <row r="73" spans="1:17" x14ac:dyDescent="0.25">
      <c r="A73" s="32">
        <v>5600000</v>
      </c>
      <c r="B73" s="1">
        <f>A73+($T$2*V58)</f>
        <v>5929400</v>
      </c>
      <c r="C73" s="1">
        <f>ROUNDDOWN(A73/$V$58,0)</f>
        <v>918</v>
      </c>
      <c r="D73" s="1" t="s">
        <v>256</v>
      </c>
      <c r="E73" s="20"/>
      <c r="F73" s="20"/>
      <c r="G73" s="1">
        <f>IF($C$73&gt;=$T$2,$T$2*$V$58,$C$73*$V$58)</f>
        <v>329400</v>
      </c>
      <c r="H73" s="1">
        <f>IF($C$73&gt;=$T$2,$T$2*$V$58,$C$73*$V$58)</f>
        <v>329400</v>
      </c>
      <c r="I73" s="1">
        <f>IF($C$73&gt;=$T$2,$T$2*$V$59,$C$73*$V$59)</f>
        <v>91800</v>
      </c>
      <c r="J73" s="1">
        <f>IF($C$73&gt;=$T$2,$T$2*$V$59,$C$73*$V$59)</f>
        <v>91800</v>
      </c>
      <c r="K73" s="1">
        <f>IF($C$73&gt;=$T$2,$T$2*$V$59,$C$73*$V$59)</f>
        <v>91800</v>
      </c>
      <c r="L73" s="1">
        <f>IF(ROUNDDOWN($C$73/2,0)&gt;=$T$3,$T$3*$V$60,ROUNDDOWN($C$73/2,0)*$V$60)</f>
        <v>12960</v>
      </c>
      <c r="M73" s="1">
        <f>IF(ROUNDDOWN($C$73/2,0)&gt;=$T$3,$T$3*$V$60,ROUNDDOWN($C$73/2,0)*$V$60)</f>
        <v>12960</v>
      </c>
      <c r="N73" s="22">
        <f>IF(ROUNDDOWN($C$73/2,0)&gt;=$T$3,$T$3*$V$60,ROUNDDOWN($C$73/2,0)*$V$60)</f>
        <v>12960</v>
      </c>
    </row>
    <row r="74" spans="1:17" x14ac:dyDescent="0.25">
      <c r="A74" s="32">
        <v>5800000</v>
      </c>
      <c r="B74" s="1">
        <f>A74+($T$2*$V58)</f>
        <v>6129400</v>
      </c>
      <c r="C74" s="1">
        <f>ROUNDDOWN(A74/$V$58,0)</f>
        <v>950</v>
      </c>
      <c r="D74" s="1" t="s">
        <v>257</v>
      </c>
      <c r="E74" s="20"/>
      <c r="F74" s="1">
        <f>IF($C$74&gt;=$T$2,$T$2*$V$58,$C$74*$V$58)</f>
        <v>329400</v>
      </c>
      <c r="G74" s="20"/>
      <c r="H74" s="1">
        <f>IF($C$74&gt;=$T$2,$T$2*$V$58,$C$74*$V$58)</f>
        <v>329400</v>
      </c>
      <c r="I74" s="1">
        <f>IF($C$74&gt;=$T$2,$T$2*$V$59,$C$74*$V$59)</f>
        <v>91800</v>
      </c>
      <c r="J74" s="1">
        <f>IF($C$74&gt;=$T$2,$T$2*$V$59,$C$74*$V$59)</f>
        <v>91800</v>
      </c>
      <c r="K74" s="1">
        <f>IF($C$74&gt;=$T$2,$T$2*$V$59,$C$74*$V$59)</f>
        <v>91800</v>
      </c>
      <c r="L74" s="1">
        <f>IF(ROUNDDOWN($C$74/2,0)&gt;=$T$3,$T$3*$V$60,ROUNDDOWN($C$74/2,0)*$V$60)</f>
        <v>12960</v>
      </c>
      <c r="M74" s="1">
        <f>IF(ROUNDDOWN($C$74/2,0)&gt;=$T$3,$T$3*$V$60,ROUNDDOWN($C$74/2,0)*$V$60)</f>
        <v>12960</v>
      </c>
      <c r="N74" s="22">
        <f>IF(ROUNDDOWN($C$74/2,0)&gt;=$T$3,$T$3*$V$60,ROUNDDOWN($C$74/2,0)*$V$60)</f>
        <v>12960</v>
      </c>
    </row>
    <row r="75" spans="1:17" x14ac:dyDescent="0.25">
      <c r="A75" s="32">
        <v>4900000</v>
      </c>
      <c r="B75" s="1">
        <f>A75+($T$2*$V58)</f>
        <v>5229400</v>
      </c>
      <c r="C75" s="1">
        <f>ROUNDDOWN(A75/$V$58,0)</f>
        <v>803</v>
      </c>
      <c r="D75" s="1" t="s">
        <v>258</v>
      </c>
      <c r="E75" s="20"/>
      <c r="F75" s="1">
        <f>IF($C$75&gt;=$T$2,$T$2*$V$58,$C$75*$V$58)</f>
        <v>329400</v>
      </c>
      <c r="G75" s="1">
        <f>IF($C$75&gt;=$T$2,$T$2*$V$58,$C$75*$V$58)</f>
        <v>329400</v>
      </c>
      <c r="H75" s="20"/>
      <c r="I75" s="1">
        <f>IF($C$75&gt;=$T$2,$T$2*$V$59,$C$75*$V$59)</f>
        <v>91800</v>
      </c>
      <c r="J75" s="1">
        <f>IF($C$75&gt;=$T$2,$T$2*$V$59,$C$75*$V$59)</f>
        <v>91800</v>
      </c>
      <c r="K75" s="1">
        <f>IF($C$75&gt;=$T$2,$T$2*$V$59,$C$75*$V$59)</f>
        <v>91800</v>
      </c>
      <c r="L75" s="1">
        <f>IF(ROUNDDOWN($C$75/2,0)&gt;=$T$3,$T$3*$V$60,ROUNDDOWN($C$75/2,0)*$V$60)</f>
        <v>12960</v>
      </c>
      <c r="M75" s="1">
        <f>IF(ROUNDDOWN($C$75/2,0)&gt;=$T$3,$T$3*$V$60,ROUNDDOWN($C$75/2,0)*$V$60)</f>
        <v>12960</v>
      </c>
      <c r="N75" s="22">
        <f>IF(ROUNDDOWN($C$75/2,0)&gt;=$T$3,$T$3*$V$60,ROUNDDOWN($C$75/2,0)*$V$60)</f>
        <v>12960</v>
      </c>
    </row>
    <row r="76" spans="1:17" x14ac:dyDescent="0.25">
      <c r="A76" s="32">
        <v>1300000</v>
      </c>
      <c r="B76" s="1">
        <f>A76+($T$2*V59)</f>
        <v>1391800</v>
      </c>
      <c r="C76" s="1">
        <f>ROUNDDOWN(A76/$V$59,0)</f>
        <v>764</v>
      </c>
      <c r="D76" s="1" t="s">
        <v>259</v>
      </c>
      <c r="E76" s="20"/>
      <c r="F76" s="1">
        <f>IF($C$76&gt;=$T$2,$T$2*$V$58,$C$76*$V$58)</f>
        <v>329400</v>
      </c>
      <c r="G76" s="1">
        <f>IF($C$76&gt;=$T$2,$T$2*$V$58,$C$76*$V$58)</f>
        <v>329400</v>
      </c>
      <c r="H76" s="1">
        <f>IF($C$76&gt;=$T$2,$T$2*$V$58,$C$76*$V$58)</f>
        <v>329400</v>
      </c>
      <c r="I76" s="20"/>
      <c r="J76" s="1">
        <f>IF($C$76&gt;=$T$2,$T$2*$V$59,$C$76*$V$59)</f>
        <v>91800</v>
      </c>
      <c r="K76" s="1">
        <f>IF($C$76&gt;=$T$2,$T$2*$V$59,$C$76*$V$59)</f>
        <v>91800</v>
      </c>
      <c r="L76" s="1">
        <f>IF($C$76&gt;=$T$2,$T$2*$V$60,$C$76*$V$60)</f>
        <v>25920</v>
      </c>
      <c r="M76" s="1">
        <f>IF($C$76&gt;=$T$2,$T$2*$V$60,$C$76*$V$60)</f>
        <v>25920</v>
      </c>
      <c r="N76" s="22">
        <f>IF($C$76&gt;=$T$2,$T$2*$V$60,$C$76*$V$60)</f>
        <v>25920</v>
      </c>
    </row>
    <row r="77" spans="1:17" x14ac:dyDescent="0.25">
      <c r="A77" s="32">
        <v>1000000</v>
      </c>
      <c r="B77" s="1">
        <f>A77+($T$2*V59)</f>
        <v>1091800</v>
      </c>
      <c r="C77" s="1">
        <f>ROUNDDOWN(A77/$V$59,0)</f>
        <v>588</v>
      </c>
      <c r="D77" s="1" t="s">
        <v>260</v>
      </c>
      <c r="E77" s="20"/>
      <c r="F77" s="1">
        <f>IF($C$77&gt;=$T$2,$T$2*$V$58,$C$77*$V$58)</f>
        <v>329400</v>
      </c>
      <c r="G77" s="1">
        <f>IF($C$77&gt;=$T$2,$T$2*$V$58,$C$77*$V$58)</f>
        <v>329400</v>
      </c>
      <c r="H77" s="1">
        <f>IF($C$77&gt;=$T$2,$T$2*$V$58,$C$77*$V$58)</f>
        <v>329400</v>
      </c>
      <c r="I77" s="1">
        <f>IF($C$77&gt;=$T$2,$T$2*$V$59,$C$77*$V$59)</f>
        <v>91800</v>
      </c>
      <c r="J77" s="20"/>
      <c r="K77" s="1">
        <f>IF($C$77&gt;=$T$2,$T$2*$V$59,$C$77*$V$59)</f>
        <v>91800</v>
      </c>
      <c r="L77" s="1">
        <f>IF($C$77&gt;=$T$2,$T$2*$V$60,$C$77*$V$60)</f>
        <v>25920</v>
      </c>
      <c r="M77" s="1">
        <f>IF($C$77&gt;=$T$2,$T$2*$V$60,$C$77*$V$60)</f>
        <v>25920</v>
      </c>
      <c r="N77" s="22">
        <f>IF($C$77&gt;=$T$2,$T$2*$V$60,$C$77*$V$60)</f>
        <v>25920</v>
      </c>
    </row>
    <row r="78" spans="1:17" x14ac:dyDescent="0.25">
      <c r="A78" s="32">
        <v>1000000</v>
      </c>
      <c r="B78" s="1">
        <f>A78+($T$2*V59)</f>
        <v>1091800</v>
      </c>
      <c r="C78" s="1">
        <f>ROUNDDOWN(A78/$V$59,0)</f>
        <v>588</v>
      </c>
      <c r="D78" s="1" t="s">
        <v>261</v>
      </c>
      <c r="E78" s="20"/>
      <c r="F78" s="1">
        <f>IF($C$78&gt;=$T$2,$T$2*$V$58,$C$78*$V$58)</f>
        <v>329400</v>
      </c>
      <c r="G78" s="1">
        <f>IF($C$78&gt;=$T$2,$T$2*$V$58,$C$78*$V$58)</f>
        <v>329400</v>
      </c>
      <c r="H78" s="1">
        <f>IF($C$78&gt;=$T$2,$T$2*$V$58,$C$78*$V$58)</f>
        <v>329400</v>
      </c>
      <c r="I78" s="1">
        <f>IF($C$78&gt;=$T$2,$T$2*$V$59,$C$78*$V$59)</f>
        <v>91800</v>
      </c>
      <c r="J78" s="1">
        <f>IF($C$78&gt;=$T$2,$T$2*$V$59,$C$78*$V$59)</f>
        <v>91800</v>
      </c>
      <c r="K78" s="20"/>
      <c r="L78" s="1">
        <f>IF($C$78&gt;=$T$2,$T$2*$V$60,$C$78*$V$60)</f>
        <v>25920</v>
      </c>
      <c r="M78" s="1">
        <f>IF($C$78&gt;=$T$2,$T$2*$V$60,$C$78*$V$60)</f>
        <v>25920</v>
      </c>
      <c r="N78" s="22">
        <f>IF($C$78&gt;=$T$2,$T$2*$V$60,$C$78*$V$60)</f>
        <v>25920</v>
      </c>
    </row>
    <row r="79" spans="1:17" x14ac:dyDescent="0.25">
      <c r="A79" s="32">
        <v>227300</v>
      </c>
      <c r="B79" s="1">
        <f>A79+($T$2*V60)</f>
        <v>253220</v>
      </c>
      <c r="C79" s="1">
        <f>ROUNDDOWN(A79/$V$60,0)</f>
        <v>473</v>
      </c>
      <c r="D79" s="1" t="s">
        <v>302</v>
      </c>
      <c r="E79" s="20"/>
      <c r="F79" s="1">
        <f>IF(ROUNDDOWN($C$79/2,0)&gt;=$T$3,$T$3*$V$58,ROUNDDOWN($C$79/2,0)*$V$58)</f>
        <v>164700</v>
      </c>
      <c r="G79" s="1">
        <f>IF(ROUNDDOWN($C$79/2,0)&gt;=$T$3,$T$3*$V$58,ROUNDDOWN($C$79/2,0)*$V$58)</f>
        <v>164700</v>
      </c>
      <c r="H79" s="1">
        <f>IF(ROUNDDOWN($C$79/2,0)&gt;=$T$3,$T$3*$V$58,ROUNDDOWN($C$79/2,0)*$V$58)</f>
        <v>164700</v>
      </c>
      <c r="I79" s="1">
        <f>IF($C$79&gt;=$T$2,$T$2*$V$60,$C$79*$V$60)</f>
        <v>25920</v>
      </c>
      <c r="J79" s="1">
        <f>IF($C$79&gt;=$T$2,$T$2*$V$60,$C$79*$V$60)</f>
        <v>25920</v>
      </c>
      <c r="K79" s="1">
        <f>IF($C$79&gt;=$T$2,$T$2*$V$60,$C$79*$V$60)</f>
        <v>25920</v>
      </c>
      <c r="L79" s="20"/>
      <c r="M79" s="1">
        <f>IF($C$79&gt;=$T$2,$T$2*$V$60,$C$79*$V$60)</f>
        <v>25920</v>
      </c>
      <c r="N79" s="22">
        <f>IF($C$79&gt;=$T$2,$T$2*$V$60,$C$79*$V$60)</f>
        <v>25920</v>
      </c>
    </row>
    <row r="80" spans="1:17" x14ac:dyDescent="0.25">
      <c r="A80" s="32">
        <v>183900</v>
      </c>
      <c r="B80" s="1">
        <f>A80+($T$2*V60)</f>
        <v>209820</v>
      </c>
      <c r="C80" s="1">
        <f>ROUNDDOWN(A80/$V$60,0)</f>
        <v>383</v>
      </c>
      <c r="D80" s="1" t="s">
        <v>303</v>
      </c>
      <c r="E80" s="20"/>
      <c r="F80" s="1">
        <f>IF(ROUNDDOWN($C$80/2,0)&gt;=$T$3,$T$3*$V$58,ROUNDDOWN($C$80/2,0)*$V$58)</f>
        <v>164700</v>
      </c>
      <c r="G80" s="1">
        <f>IF(ROUNDDOWN($C$80/2,0)&gt;=$T$3,$T$3*$V$58,ROUNDDOWN($C$80/2,0)*$V$58)</f>
        <v>164700</v>
      </c>
      <c r="H80" s="1">
        <f>IF(ROUNDDOWN($C$80/2,0)&gt;=$T$3,$T$3*$V$58,ROUNDDOWN($C$80/2,0)*$V$58)</f>
        <v>164700</v>
      </c>
      <c r="I80" s="1">
        <f>IF($C$80&gt;=$T$2,$T$2*$V$60,$C$80*$V$60)</f>
        <v>25920</v>
      </c>
      <c r="J80" s="1">
        <f>IF($C$80&gt;=$T$2,$T$2*$V$60,$C$80*$V$60)</f>
        <v>25920</v>
      </c>
      <c r="K80" s="1">
        <f>IF($C$80&gt;=$T$2,$T$2*$V$60,$C$80*$V$60)</f>
        <v>25920</v>
      </c>
      <c r="L80" s="1">
        <f>IF($C$80&gt;=$T$2,$T$2*$V$60,$C$80*$V$60)</f>
        <v>25920</v>
      </c>
      <c r="M80" s="20"/>
      <c r="N80" s="22">
        <f>IF($C$80&gt;=$T$2,$T$2*$V$60,$C$80*$V$60)</f>
        <v>25920</v>
      </c>
    </row>
    <row r="81" spans="1:14" ht="15.75" thickBot="1" x14ac:dyDescent="0.3">
      <c r="A81" s="33">
        <v>222500</v>
      </c>
      <c r="B81" s="24">
        <f>A81+($T$2*V60)</f>
        <v>248420</v>
      </c>
      <c r="C81" s="24">
        <f>ROUNDDOWN(A81/$V$60,0)</f>
        <v>463</v>
      </c>
      <c r="D81" s="24" t="s">
        <v>304</v>
      </c>
      <c r="E81" s="25"/>
      <c r="F81" s="24">
        <f>IF(ROUNDDOWN($C$81/2,0)&gt;=$T$3,$T$3*$V$58,ROUNDDOWN($C$81/2,0)*$V$58)</f>
        <v>164700</v>
      </c>
      <c r="G81" s="24">
        <f>IF(ROUNDDOWN($C$81/2,0)&gt;=$T$3,$T$3*$V$58,ROUNDDOWN($C$81/2,0)*$V$58)</f>
        <v>164700</v>
      </c>
      <c r="H81" s="24">
        <f>IF(ROUNDDOWN($C$81/2,0)&gt;=$T$3,$T$3*$V$58,ROUNDDOWN($C$81/2,0)*$V$58)</f>
        <v>164700</v>
      </c>
      <c r="I81" s="24">
        <f>IF($C$81&gt;=$T$2,$T$2*$V$60,$C$81*$V$60)</f>
        <v>25920</v>
      </c>
      <c r="J81" s="24">
        <f>IF($C$81&gt;=$T$2,$T$2*$V$60,$C$81*$V$60)</f>
        <v>25920</v>
      </c>
      <c r="K81" s="24">
        <f>IF($C$81&gt;=$T$2,$T$2*$V$60,$C$81*$V$60)</f>
        <v>25920</v>
      </c>
      <c r="L81" s="24">
        <f>IF($C$81&gt;=$T$2,$T$2*$V$60,$C$81*$V$60)</f>
        <v>25920</v>
      </c>
      <c r="M81" s="24">
        <f>IF($C$81&gt;=$T$2,$T$2*$V$60,$C$81*$V$60)</f>
        <v>25920</v>
      </c>
      <c r="N81" s="26"/>
    </row>
  </sheetData>
  <mergeCells count="9">
    <mergeCell ref="A70:Q70"/>
    <mergeCell ref="A1:Q1"/>
    <mergeCell ref="A16:Q16"/>
    <mergeCell ref="S6:V6"/>
    <mergeCell ref="S29:V29"/>
    <mergeCell ref="S56:V56"/>
    <mergeCell ref="A28:Q28"/>
    <mergeCell ref="A43:Q43"/>
    <mergeCell ref="A55:Q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A2F0-C89E-41AF-8496-7005D8983728}">
  <dimension ref="A1:C6"/>
  <sheetViews>
    <sheetView workbookViewId="0">
      <selection activeCell="B7" sqref="B7"/>
    </sheetView>
  </sheetViews>
  <sheetFormatPr defaultRowHeight="15" x14ac:dyDescent="0.25"/>
  <cols>
    <col min="1" max="1" width="11.28515625" bestFit="1" customWidth="1"/>
  </cols>
  <sheetData>
    <row r="1" spans="1:3" x14ac:dyDescent="0.25">
      <c r="A1" s="35" t="s">
        <v>322</v>
      </c>
      <c r="B1" s="35"/>
      <c r="C1" s="35"/>
    </row>
    <row r="2" spans="1:3" x14ac:dyDescent="0.25">
      <c r="A2" t="s">
        <v>39</v>
      </c>
      <c r="B2" t="s">
        <v>319</v>
      </c>
      <c r="C2" t="s">
        <v>321</v>
      </c>
    </row>
    <row r="3" spans="1:3" x14ac:dyDescent="0.25">
      <c r="A3" t="s">
        <v>31</v>
      </c>
      <c r="B3">
        <v>1171</v>
      </c>
      <c r="C3">
        <f>B3</f>
        <v>1171</v>
      </c>
    </row>
    <row r="4" spans="1:3" x14ac:dyDescent="0.25">
      <c r="A4" t="s">
        <v>32</v>
      </c>
      <c r="B4">
        <v>500</v>
      </c>
      <c r="C4">
        <f>B4+(ROUNDDOWN(C3/25,0)*40)</f>
        <v>2340</v>
      </c>
    </row>
    <row r="5" spans="1:3" x14ac:dyDescent="0.25">
      <c r="A5" t="s">
        <v>33</v>
      </c>
      <c r="B5">
        <v>2527</v>
      </c>
      <c r="C5">
        <f>B5+(ROUNDDOWN(C4/80,0)*100)</f>
        <v>5427</v>
      </c>
    </row>
    <row r="6" spans="1:3" x14ac:dyDescent="0.25">
      <c r="A6" t="s">
        <v>320</v>
      </c>
      <c r="B6">
        <v>8559</v>
      </c>
      <c r="C6">
        <f>B6+(ROUNDDOWN(C5/200,0)*300)</f>
        <v>16659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41CC-B205-4203-AB01-7051C162564E}">
  <dimension ref="A1:O36"/>
  <sheetViews>
    <sheetView workbookViewId="0">
      <selection activeCell="J15" sqref="J15"/>
    </sheetView>
  </sheetViews>
  <sheetFormatPr defaultRowHeight="15" x14ac:dyDescent="0.25"/>
  <cols>
    <col min="1" max="1" width="36.42578125" style="1" bestFit="1" customWidth="1"/>
    <col min="2" max="2" width="14.5703125" style="1" bestFit="1" customWidth="1"/>
    <col min="3" max="3" width="32.5703125" style="1" bestFit="1" customWidth="1"/>
    <col min="4" max="4" width="15.28515625" style="1" bestFit="1" customWidth="1"/>
    <col min="5" max="6" width="9.140625" style="1"/>
    <col min="7" max="7" width="12.140625" style="1" bestFit="1" customWidth="1"/>
    <col min="8" max="8" width="17.140625" style="1" bestFit="1" customWidth="1"/>
    <col min="9" max="9" width="17.85546875" style="1" bestFit="1" customWidth="1"/>
    <col min="10" max="10" width="19.42578125" style="1" bestFit="1" customWidth="1"/>
    <col min="11" max="11" width="14.140625" style="1" bestFit="1" customWidth="1"/>
    <col min="12" max="12" width="17" style="1" bestFit="1" customWidth="1"/>
    <col min="13" max="13" width="13.28515625" style="1" bestFit="1" customWidth="1"/>
    <col min="14" max="14" width="16.7109375" style="1" bestFit="1" customWidth="1"/>
    <col min="15" max="15" width="20.140625" style="1" bestFit="1" customWidth="1"/>
    <col min="16" max="16384" width="9.140625" style="1"/>
  </cols>
  <sheetData>
    <row r="1" spans="1:15" x14ac:dyDescent="0.25">
      <c r="A1" s="2" t="s">
        <v>46</v>
      </c>
      <c r="G1" s="39" t="s">
        <v>180</v>
      </c>
      <c r="H1" s="39"/>
      <c r="I1" s="39"/>
      <c r="J1" s="39"/>
      <c r="K1" s="39"/>
      <c r="L1" s="39"/>
      <c r="M1" s="39"/>
      <c r="N1" s="39"/>
      <c r="O1" s="39"/>
    </row>
    <row r="2" spans="1:15" x14ac:dyDescent="0.25">
      <c r="A2" s="1" t="s">
        <v>47</v>
      </c>
      <c r="G2" s="2" t="s">
        <v>77</v>
      </c>
      <c r="H2" s="1" t="s">
        <v>51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153</v>
      </c>
      <c r="N2" s="1" t="s">
        <v>72</v>
      </c>
      <c r="O2" s="1" t="s">
        <v>73</v>
      </c>
    </row>
    <row r="3" spans="1:15" x14ac:dyDescent="0.25">
      <c r="A3" s="1" t="s">
        <v>48</v>
      </c>
      <c r="G3" s="2" t="s">
        <v>39</v>
      </c>
      <c r="H3" s="1" t="s">
        <v>74</v>
      </c>
      <c r="I3" s="1" t="s">
        <v>74</v>
      </c>
      <c r="J3" s="1" t="s">
        <v>75</v>
      </c>
      <c r="K3" s="1" t="s">
        <v>76</v>
      </c>
      <c r="L3" s="1" t="s">
        <v>76</v>
      </c>
      <c r="M3" s="1" t="s">
        <v>76</v>
      </c>
      <c r="N3" s="1" t="s">
        <v>75</v>
      </c>
      <c r="O3" s="1" t="s">
        <v>76</v>
      </c>
    </row>
    <row r="4" spans="1:15" x14ac:dyDescent="0.25">
      <c r="A4" s="1" t="s">
        <v>49</v>
      </c>
      <c r="G4" s="2" t="s">
        <v>78</v>
      </c>
      <c r="H4" s="3">
        <v>6033342976</v>
      </c>
      <c r="I4" s="3">
        <v>6296250386</v>
      </c>
      <c r="J4" s="3">
        <v>2891598336</v>
      </c>
      <c r="K4" s="3">
        <v>2734340352</v>
      </c>
      <c r="L4" s="3">
        <v>3136972032</v>
      </c>
      <c r="M4" s="3">
        <v>1384526848</v>
      </c>
      <c r="N4" s="3">
        <v>2605871872</v>
      </c>
      <c r="O4" s="3">
        <v>1678585856</v>
      </c>
    </row>
    <row r="5" spans="1:15" x14ac:dyDescent="0.25">
      <c r="A5" s="1" t="s">
        <v>50</v>
      </c>
      <c r="G5" s="2" t="s">
        <v>79</v>
      </c>
      <c r="H5" s="4" t="s">
        <v>82</v>
      </c>
      <c r="I5" s="4" t="s">
        <v>84</v>
      </c>
      <c r="J5" s="4" t="s">
        <v>85</v>
      </c>
      <c r="K5" s="5" t="s">
        <v>161</v>
      </c>
      <c r="L5" s="3" t="s">
        <v>89</v>
      </c>
      <c r="M5" s="3" t="s">
        <v>89</v>
      </c>
      <c r="N5" s="3" t="s">
        <v>89</v>
      </c>
      <c r="O5" s="3" t="s">
        <v>90</v>
      </c>
    </row>
    <row r="6" spans="1:15" x14ac:dyDescent="0.25">
      <c r="A6" s="1" t="s">
        <v>157</v>
      </c>
      <c r="G6" s="2" t="s">
        <v>80</v>
      </c>
      <c r="H6" s="5" t="s">
        <v>81</v>
      </c>
      <c r="I6" s="4" t="s">
        <v>83</v>
      </c>
      <c r="J6" s="3" t="s">
        <v>86</v>
      </c>
      <c r="K6" s="3" t="s">
        <v>87</v>
      </c>
      <c r="L6" s="3" t="s">
        <v>88</v>
      </c>
      <c r="M6" s="4" t="s">
        <v>89</v>
      </c>
      <c r="N6" s="3" t="s">
        <v>89</v>
      </c>
      <c r="O6" s="3" t="s">
        <v>91</v>
      </c>
    </row>
    <row r="7" spans="1:15" x14ac:dyDescent="0.25">
      <c r="G7" s="2" t="s">
        <v>52</v>
      </c>
      <c r="H7" s="1" t="s">
        <v>61</v>
      </c>
      <c r="I7" s="1" t="s">
        <v>154</v>
      </c>
      <c r="J7" s="1" t="s">
        <v>133</v>
      </c>
      <c r="K7" s="1" t="s">
        <v>138</v>
      </c>
      <c r="L7" s="1" t="s">
        <v>127</v>
      </c>
      <c r="M7" s="1" t="s">
        <v>158</v>
      </c>
      <c r="N7" s="1" t="s">
        <v>163</v>
      </c>
      <c r="O7" s="1" t="s">
        <v>150</v>
      </c>
    </row>
    <row r="8" spans="1:15" x14ac:dyDescent="0.25">
      <c r="A8" s="6" t="s">
        <v>62</v>
      </c>
      <c r="G8" s="2" t="s">
        <v>53</v>
      </c>
      <c r="H8" s="1" t="s">
        <v>111</v>
      </c>
      <c r="I8" s="1" t="s">
        <v>155</v>
      </c>
      <c r="J8" s="1" t="s">
        <v>135</v>
      </c>
      <c r="K8" s="1" t="s">
        <v>144</v>
      </c>
      <c r="L8" s="1" t="s">
        <v>147</v>
      </c>
      <c r="M8" s="1" t="s">
        <v>159</v>
      </c>
      <c r="N8" s="1" t="s">
        <v>164</v>
      </c>
      <c r="O8" s="1" t="s">
        <v>151</v>
      </c>
    </row>
    <row r="9" spans="1:15" x14ac:dyDescent="0.25">
      <c r="A9" s="8" t="s">
        <v>63</v>
      </c>
      <c r="G9" s="2" t="s">
        <v>53</v>
      </c>
      <c r="H9" s="10" t="s">
        <v>67</v>
      </c>
      <c r="I9" s="1" t="s">
        <v>156</v>
      </c>
      <c r="J9" s="1" t="s">
        <v>134</v>
      </c>
      <c r="K9" s="1" t="s">
        <v>149</v>
      </c>
      <c r="L9" s="1" t="s">
        <v>148</v>
      </c>
      <c r="M9" s="1" t="s">
        <v>160</v>
      </c>
      <c r="N9" s="1" t="s">
        <v>165</v>
      </c>
      <c r="O9" s="1" t="s">
        <v>152</v>
      </c>
    </row>
    <row r="10" spans="1:15" x14ac:dyDescent="0.25">
      <c r="A10" s="9" t="s">
        <v>64</v>
      </c>
      <c r="G10" s="2" t="s">
        <v>54</v>
      </c>
      <c r="H10" s="1" t="s">
        <v>116</v>
      </c>
      <c r="I10" s="1" t="s">
        <v>167</v>
      </c>
      <c r="J10" s="1" t="s">
        <v>136</v>
      </c>
      <c r="K10" s="1" t="s">
        <v>175</v>
      </c>
      <c r="L10" s="11" t="s">
        <v>166</v>
      </c>
    </row>
    <row r="11" spans="1:15" x14ac:dyDescent="0.25">
      <c r="A11" s="7" t="s">
        <v>66</v>
      </c>
      <c r="G11" s="2" t="s">
        <v>55</v>
      </c>
      <c r="H11" s="1" t="s">
        <v>162</v>
      </c>
      <c r="I11" s="1" t="s">
        <v>123</v>
      </c>
      <c r="J11" s="1" t="s">
        <v>137</v>
      </c>
      <c r="K11" s="1" t="s">
        <v>177</v>
      </c>
      <c r="L11" s="1" t="s">
        <v>94</v>
      </c>
      <c r="N11" s="1" t="s">
        <v>89</v>
      </c>
    </row>
    <row r="12" spans="1:15" x14ac:dyDescent="0.25">
      <c r="G12" s="2" t="s">
        <v>56</v>
      </c>
      <c r="H12" s="1" t="s">
        <v>114</v>
      </c>
      <c r="I12" s="1" t="s">
        <v>112</v>
      </c>
      <c r="J12" s="1" t="s">
        <v>172</v>
      </c>
      <c r="K12" s="1" t="s">
        <v>178</v>
      </c>
      <c r="L12" s="1" t="s">
        <v>98</v>
      </c>
      <c r="N12" s="1" t="s">
        <v>89</v>
      </c>
    </row>
    <row r="13" spans="1:15" x14ac:dyDescent="0.25">
      <c r="G13" s="2" t="s">
        <v>57</v>
      </c>
      <c r="H13" s="1" t="s">
        <v>168</v>
      </c>
      <c r="I13" s="1" t="s">
        <v>96</v>
      </c>
      <c r="J13" s="1" t="s">
        <v>173</v>
      </c>
      <c r="K13" s="1" t="s">
        <v>179</v>
      </c>
      <c r="L13" s="1" t="s">
        <v>89</v>
      </c>
      <c r="N13" s="1" t="s">
        <v>89</v>
      </c>
    </row>
    <row r="14" spans="1:15" x14ac:dyDescent="0.25">
      <c r="A14" s="2" t="s">
        <v>53</v>
      </c>
      <c r="B14" s="2" t="s">
        <v>100</v>
      </c>
      <c r="C14" s="2" t="s">
        <v>102</v>
      </c>
      <c r="D14" s="1" t="s">
        <v>128</v>
      </c>
      <c r="G14" s="2" t="s">
        <v>58</v>
      </c>
      <c r="H14" s="1" t="s">
        <v>169</v>
      </c>
      <c r="I14" s="1" t="s">
        <v>89</v>
      </c>
      <c r="J14" s="1" t="s">
        <v>174</v>
      </c>
      <c r="L14" s="1" t="s">
        <v>89</v>
      </c>
      <c r="N14" s="1" t="s">
        <v>89</v>
      </c>
    </row>
    <row r="15" spans="1:15" x14ac:dyDescent="0.25">
      <c r="A15" s="1" t="s">
        <v>92</v>
      </c>
      <c r="B15" s="1" t="s">
        <v>53</v>
      </c>
      <c r="C15" s="1" t="s">
        <v>93</v>
      </c>
      <c r="G15" s="2" t="s">
        <v>59</v>
      </c>
      <c r="H15" s="1" t="s">
        <v>170</v>
      </c>
      <c r="I15" s="1" t="s">
        <v>89</v>
      </c>
      <c r="J15" s="1" t="s">
        <v>176</v>
      </c>
      <c r="L15" s="1" t="s">
        <v>89</v>
      </c>
      <c r="M15" s="1" t="s">
        <v>89</v>
      </c>
      <c r="N15" s="1" t="s">
        <v>89</v>
      </c>
    </row>
    <row r="16" spans="1:15" x14ac:dyDescent="0.25">
      <c r="A16" s="1" t="s">
        <v>94</v>
      </c>
      <c r="B16" s="1" t="s">
        <v>101</v>
      </c>
      <c r="C16" s="1" t="s">
        <v>95</v>
      </c>
      <c r="G16" s="2" t="s">
        <v>60</v>
      </c>
      <c r="H16" s="1" t="s">
        <v>89</v>
      </c>
      <c r="I16" s="1" t="s">
        <v>89</v>
      </c>
      <c r="J16" s="1" t="s">
        <v>171</v>
      </c>
      <c r="L16" s="1" t="s">
        <v>89</v>
      </c>
      <c r="M16" s="1" t="s">
        <v>89</v>
      </c>
      <c r="N16" s="1" t="s">
        <v>89</v>
      </c>
    </row>
    <row r="17" spans="1:15" x14ac:dyDescent="0.25">
      <c r="A17" s="1" t="s">
        <v>96</v>
      </c>
      <c r="B17" s="1" t="s">
        <v>101</v>
      </c>
      <c r="C17" s="1" t="s">
        <v>97</v>
      </c>
      <c r="G17" s="2" t="s">
        <v>139</v>
      </c>
      <c r="H17" s="1" t="s">
        <v>142</v>
      </c>
      <c r="K17" s="1" t="s">
        <v>142</v>
      </c>
    </row>
    <row r="18" spans="1:15" x14ac:dyDescent="0.25">
      <c r="A18" s="1" t="s">
        <v>98</v>
      </c>
      <c r="B18" s="1" t="s">
        <v>53</v>
      </c>
      <c r="C18" s="1" t="s">
        <v>99</v>
      </c>
      <c r="G18" s="2" t="s">
        <v>140</v>
      </c>
      <c r="I18" s="1" t="s">
        <v>142</v>
      </c>
      <c r="N18" s="1" t="s">
        <v>142</v>
      </c>
    </row>
    <row r="19" spans="1:15" x14ac:dyDescent="0.25">
      <c r="A19" s="1" t="s">
        <v>103</v>
      </c>
      <c r="B19" s="1" t="s">
        <v>104</v>
      </c>
      <c r="C19" s="1" t="s">
        <v>105</v>
      </c>
      <c r="G19" s="2" t="s">
        <v>141</v>
      </c>
      <c r="L19" s="1" t="s">
        <v>142</v>
      </c>
      <c r="M19" s="1" t="s">
        <v>142</v>
      </c>
      <c r="O19" s="1" t="s">
        <v>142</v>
      </c>
    </row>
    <row r="20" spans="1:15" x14ac:dyDescent="0.25">
      <c r="A20" s="1" t="s">
        <v>106</v>
      </c>
      <c r="B20" s="1" t="s">
        <v>52</v>
      </c>
      <c r="C20" s="1" t="s">
        <v>107</v>
      </c>
      <c r="G20" s="2" t="s">
        <v>143</v>
      </c>
      <c r="H20" s="1" t="s">
        <v>142</v>
      </c>
      <c r="J20" s="1" t="s">
        <v>142</v>
      </c>
    </row>
    <row r="21" spans="1:15" x14ac:dyDescent="0.25">
      <c r="A21" s="1" t="s">
        <v>108</v>
      </c>
      <c r="B21" s="1" t="s">
        <v>53</v>
      </c>
      <c r="C21" s="1" t="s">
        <v>109</v>
      </c>
      <c r="G21" s="2" t="s">
        <v>145</v>
      </c>
      <c r="H21" s="1" t="s">
        <v>62</v>
      </c>
      <c r="I21" s="1" t="s">
        <v>62</v>
      </c>
      <c r="J21" s="1" t="s">
        <v>62</v>
      </c>
      <c r="K21" s="1" t="s">
        <v>62</v>
      </c>
      <c r="L21" s="1" t="s">
        <v>146</v>
      </c>
      <c r="M21" s="1" t="s">
        <v>62</v>
      </c>
      <c r="N21" s="1" t="s">
        <v>62</v>
      </c>
      <c r="O21" s="1" t="s">
        <v>62</v>
      </c>
    </row>
    <row r="22" spans="1:15" x14ac:dyDescent="0.25">
      <c r="A22" s="1" t="s">
        <v>110</v>
      </c>
      <c r="B22" s="1" t="s">
        <v>53</v>
      </c>
      <c r="C22" s="1" t="s">
        <v>99</v>
      </c>
    </row>
    <row r="23" spans="1:15" x14ac:dyDescent="0.25">
      <c r="A23" s="1" t="s">
        <v>111</v>
      </c>
      <c r="B23" s="1" t="s">
        <v>53</v>
      </c>
      <c r="C23" s="1" t="s">
        <v>109</v>
      </c>
    </row>
    <row r="24" spans="1:15" x14ac:dyDescent="0.25">
      <c r="A24" s="1" t="s">
        <v>112</v>
      </c>
      <c r="B24" s="1" t="s">
        <v>101</v>
      </c>
      <c r="C24" s="1" t="s">
        <v>113</v>
      </c>
    </row>
    <row r="25" spans="1:15" x14ac:dyDescent="0.25">
      <c r="A25" s="1" t="s">
        <v>114</v>
      </c>
      <c r="B25" s="1" t="s">
        <v>101</v>
      </c>
      <c r="C25" s="1" t="s">
        <v>115</v>
      </c>
    </row>
    <row r="26" spans="1:15" x14ac:dyDescent="0.25">
      <c r="A26" s="1" t="s">
        <v>116</v>
      </c>
      <c r="B26" s="1" t="s">
        <v>101</v>
      </c>
      <c r="C26" s="1" t="s">
        <v>131</v>
      </c>
      <c r="D26" s="1" t="s">
        <v>129</v>
      </c>
    </row>
    <row r="27" spans="1:15" x14ac:dyDescent="0.25">
      <c r="A27" s="1" t="s">
        <v>117</v>
      </c>
      <c r="B27" s="1" t="s">
        <v>53</v>
      </c>
      <c r="C27" s="1" t="s">
        <v>132</v>
      </c>
      <c r="D27" s="1" t="s">
        <v>130</v>
      </c>
    </row>
    <row r="28" spans="1:15" x14ac:dyDescent="0.25">
      <c r="A28" s="1" t="s">
        <v>118</v>
      </c>
      <c r="B28" s="1" t="s">
        <v>53</v>
      </c>
      <c r="C28" s="1" t="s">
        <v>93</v>
      </c>
      <c r="D28" s="1" t="s">
        <v>130</v>
      </c>
    </row>
    <row r="29" spans="1:15" x14ac:dyDescent="0.25">
      <c r="A29" s="1" t="s">
        <v>119</v>
      </c>
      <c r="B29" s="1" t="s">
        <v>52</v>
      </c>
      <c r="C29" s="1" t="s">
        <v>120</v>
      </c>
    </row>
    <row r="30" spans="1:15" x14ac:dyDescent="0.25">
      <c r="A30" s="1" t="s">
        <v>121</v>
      </c>
      <c r="B30" s="1" t="s">
        <v>53</v>
      </c>
      <c r="C30" s="1" t="s">
        <v>122</v>
      </c>
    </row>
    <row r="31" spans="1:15" x14ac:dyDescent="0.25">
      <c r="A31" s="1" t="s">
        <v>123</v>
      </c>
      <c r="B31" s="1" t="s">
        <v>101</v>
      </c>
      <c r="C31" s="1" t="s">
        <v>124</v>
      </c>
    </row>
    <row r="32" spans="1:15" x14ac:dyDescent="0.25">
      <c r="A32" s="1" t="s">
        <v>125</v>
      </c>
      <c r="B32" s="1" t="s">
        <v>52</v>
      </c>
      <c r="C32" s="1" t="s">
        <v>99</v>
      </c>
      <c r="N32" s="6" t="s">
        <v>133</v>
      </c>
    </row>
    <row r="33" spans="1:14" x14ac:dyDescent="0.25">
      <c r="A33" s="1" t="s">
        <v>126</v>
      </c>
      <c r="B33" s="1" t="s">
        <v>52</v>
      </c>
      <c r="C33" s="1" t="s">
        <v>65</v>
      </c>
      <c r="N33" s="8" t="s">
        <v>134</v>
      </c>
    </row>
    <row r="34" spans="1:14" x14ac:dyDescent="0.25">
      <c r="A34" s="1" t="s">
        <v>127</v>
      </c>
      <c r="N34" s="7" t="s">
        <v>135</v>
      </c>
    </row>
    <row r="35" spans="1:14" x14ac:dyDescent="0.25">
      <c r="N35" s="8" t="s">
        <v>136</v>
      </c>
    </row>
    <row r="36" spans="1:14" x14ac:dyDescent="0.25">
      <c r="N36" s="6" t="s">
        <v>137</v>
      </c>
    </row>
  </sheetData>
  <mergeCells count="1">
    <mergeCell ref="G1:O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419E-5C97-48BC-97A4-F2E4B4974766}">
  <dimension ref="A1:Q24"/>
  <sheetViews>
    <sheetView workbookViewId="0">
      <selection activeCell="K13" sqref="K13"/>
    </sheetView>
  </sheetViews>
  <sheetFormatPr defaultRowHeight="15" x14ac:dyDescent="0.25"/>
  <cols>
    <col min="1" max="1" width="8" bestFit="1" customWidth="1"/>
    <col min="2" max="2" width="7.28515625" bestFit="1" customWidth="1"/>
    <col min="3" max="3" width="12.85546875" bestFit="1" customWidth="1"/>
    <col min="4" max="4" width="8.85546875" bestFit="1" customWidth="1"/>
    <col min="5" max="5" width="5.5703125" bestFit="1" customWidth="1"/>
    <col min="6" max="6" width="6.5703125" bestFit="1" customWidth="1"/>
    <col min="7" max="7" width="6.42578125" bestFit="1" customWidth="1"/>
    <col min="8" max="8" width="4.42578125" bestFit="1" customWidth="1"/>
    <col min="9" max="9" width="7.140625" bestFit="1" customWidth="1"/>
    <col min="10" max="10" width="17.85546875" bestFit="1" customWidth="1"/>
    <col min="11" max="11" width="34.7109375" bestFit="1" customWidth="1"/>
    <col min="12" max="12" width="22" bestFit="1" customWidth="1"/>
    <col min="17" max="17" width="20.140625" bestFit="1" customWidth="1"/>
  </cols>
  <sheetData>
    <row r="1" spans="1:17" s="12" customFormat="1" x14ac:dyDescent="0.25">
      <c r="A1" s="12" t="s">
        <v>52</v>
      </c>
      <c r="B1" s="12" t="s">
        <v>53</v>
      </c>
      <c r="C1" s="12" t="s">
        <v>53</v>
      </c>
      <c r="D1" s="12" t="s">
        <v>181</v>
      </c>
      <c r="E1" s="12" t="s">
        <v>181</v>
      </c>
      <c r="F1" s="12" t="s">
        <v>181</v>
      </c>
      <c r="G1" s="12" t="s">
        <v>181</v>
      </c>
      <c r="H1" s="12" t="s">
        <v>181</v>
      </c>
      <c r="I1" s="12" t="s">
        <v>181</v>
      </c>
      <c r="J1" s="12" t="s">
        <v>189</v>
      </c>
      <c r="K1" s="12" t="s">
        <v>190</v>
      </c>
      <c r="L1" s="12" t="s">
        <v>193</v>
      </c>
      <c r="Q1" s="12" t="s">
        <v>202</v>
      </c>
    </row>
    <row r="2" spans="1:17" x14ac:dyDescent="0.25">
      <c r="A2" t="s">
        <v>103</v>
      </c>
      <c r="B2" t="s">
        <v>182</v>
      </c>
      <c r="C2" s="12" t="s">
        <v>183</v>
      </c>
      <c r="D2" t="s">
        <v>112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>
        <v>2</v>
      </c>
      <c r="K2" t="s">
        <v>194</v>
      </c>
      <c r="L2" t="s">
        <v>195</v>
      </c>
      <c r="Q2" t="s">
        <v>203</v>
      </c>
    </row>
    <row r="3" spans="1:17" x14ac:dyDescent="0.25">
      <c r="A3" t="s">
        <v>103</v>
      </c>
      <c r="B3" t="s">
        <v>182</v>
      </c>
      <c r="C3" s="12" t="s">
        <v>191</v>
      </c>
      <c r="D3" t="s">
        <v>112</v>
      </c>
      <c r="E3" t="s">
        <v>184</v>
      </c>
      <c r="F3" t="s">
        <v>185</v>
      </c>
      <c r="G3" t="s">
        <v>186</v>
      </c>
      <c r="H3" t="s">
        <v>187</v>
      </c>
      <c r="I3" t="s">
        <v>188</v>
      </c>
      <c r="J3">
        <v>8</v>
      </c>
      <c r="K3" t="s">
        <v>196</v>
      </c>
      <c r="L3" t="s">
        <v>197</v>
      </c>
      <c r="Q3" t="s">
        <v>204</v>
      </c>
    </row>
    <row r="4" spans="1:17" x14ac:dyDescent="0.25">
      <c r="A4" t="s">
        <v>103</v>
      </c>
      <c r="B4" t="s">
        <v>182</v>
      </c>
      <c r="C4" s="12" t="s">
        <v>192</v>
      </c>
      <c r="D4" t="s">
        <v>112</v>
      </c>
      <c r="E4" t="s">
        <v>184</v>
      </c>
      <c r="F4" t="s">
        <v>185</v>
      </c>
      <c r="G4" t="s">
        <v>186</v>
      </c>
      <c r="H4" t="s">
        <v>187</v>
      </c>
      <c r="I4" t="s">
        <v>188</v>
      </c>
      <c r="J4">
        <v>3</v>
      </c>
      <c r="K4" t="s">
        <v>198</v>
      </c>
      <c r="Q4" t="s">
        <v>205</v>
      </c>
    </row>
    <row r="5" spans="1:17" x14ac:dyDescent="0.25">
      <c r="A5" t="s">
        <v>103</v>
      </c>
      <c r="B5" t="s">
        <v>182</v>
      </c>
      <c r="C5" s="12" t="s">
        <v>200</v>
      </c>
      <c r="D5" t="s">
        <v>112</v>
      </c>
      <c r="E5" t="s">
        <v>184</v>
      </c>
      <c r="F5" t="s">
        <v>185</v>
      </c>
      <c r="G5" t="s">
        <v>186</v>
      </c>
      <c r="H5" t="s">
        <v>187</v>
      </c>
      <c r="I5" t="s">
        <v>188</v>
      </c>
      <c r="J5">
        <v>3</v>
      </c>
      <c r="K5" t="s">
        <v>199</v>
      </c>
      <c r="Q5" t="s">
        <v>207</v>
      </c>
    </row>
    <row r="6" spans="1:17" x14ac:dyDescent="0.25">
      <c r="A6" t="s">
        <v>103</v>
      </c>
      <c r="B6" t="s">
        <v>182</v>
      </c>
      <c r="C6" s="12" t="s">
        <v>167</v>
      </c>
      <c r="D6" t="s">
        <v>112</v>
      </c>
      <c r="E6" t="s">
        <v>184</v>
      </c>
      <c r="F6" t="s">
        <v>185</v>
      </c>
      <c r="G6" t="s">
        <v>186</v>
      </c>
      <c r="H6" t="s">
        <v>187</v>
      </c>
      <c r="I6" t="s">
        <v>188</v>
      </c>
      <c r="J6">
        <v>1</v>
      </c>
      <c r="K6" t="s">
        <v>201</v>
      </c>
    </row>
    <row r="7" spans="1:17" x14ac:dyDescent="0.25">
      <c r="A7" t="s">
        <v>103</v>
      </c>
      <c r="B7" t="s">
        <v>182</v>
      </c>
      <c r="C7" s="12" t="s">
        <v>208</v>
      </c>
      <c r="D7" t="s">
        <v>112</v>
      </c>
      <c r="E7" t="s">
        <v>184</v>
      </c>
      <c r="F7" t="s">
        <v>185</v>
      </c>
      <c r="G7" t="s">
        <v>186</v>
      </c>
      <c r="H7" t="s">
        <v>187</v>
      </c>
      <c r="I7" t="s">
        <v>188</v>
      </c>
      <c r="J7">
        <v>1</v>
      </c>
      <c r="K7" t="s">
        <v>63</v>
      </c>
    </row>
    <row r="8" spans="1:17" x14ac:dyDescent="0.25">
      <c r="A8" t="s">
        <v>103</v>
      </c>
      <c r="B8" t="s">
        <v>182</v>
      </c>
      <c r="C8" s="12" t="s">
        <v>210</v>
      </c>
      <c r="D8" t="s">
        <v>112</v>
      </c>
      <c r="E8" t="s">
        <v>184</v>
      </c>
      <c r="F8" t="s">
        <v>185</v>
      </c>
      <c r="G8" t="s">
        <v>186</v>
      </c>
      <c r="H8" t="s">
        <v>187</v>
      </c>
      <c r="I8" t="s">
        <v>188</v>
      </c>
      <c r="J8">
        <v>7</v>
      </c>
      <c r="K8" t="s">
        <v>209</v>
      </c>
    </row>
    <row r="9" spans="1:17" x14ac:dyDescent="0.25">
      <c r="A9" t="s">
        <v>103</v>
      </c>
      <c r="B9" t="s">
        <v>182</v>
      </c>
      <c r="C9" s="12" t="s">
        <v>211</v>
      </c>
      <c r="D9" t="s">
        <v>112</v>
      </c>
      <c r="E9" t="s">
        <v>184</v>
      </c>
      <c r="F9" t="s">
        <v>185</v>
      </c>
      <c r="G9" t="s">
        <v>186</v>
      </c>
      <c r="H9" t="s">
        <v>187</v>
      </c>
      <c r="I9" t="s">
        <v>188</v>
      </c>
      <c r="J9">
        <v>1</v>
      </c>
      <c r="K9" t="s">
        <v>199</v>
      </c>
    </row>
    <row r="23" spans="1:10" x14ac:dyDescent="0.25">
      <c r="A23" s="13" t="s">
        <v>212</v>
      </c>
      <c r="B23" t="s">
        <v>191</v>
      </c>
      <c r="C23" s="12" t="s">
        <v>210</v>
      </c>
      <c r="D23" t="s">
        <v>112</v>
      </c>
      <c r="E23" t="s">
        <v>184</v>
      </c>
      <c r="F23" t="s">
        <v>185</v>
      </c>
      <c r="G23" t="s">
        <v>186</v>
      </c>
      <c r="H23" t="s">
        <v>187</v>
      </c>
      <c r="I23" t="s">
        <v>188</v>
      </c>
      <c r="J23">
        <v>7</v>
      </c>
    </row>
    <row r="24" spans="1:10" x14ac:dyDescent="0.25">
      <c r="A24" s="13" t="s">
        <v>212</v>
      </c>
      <c r="B24" t="s">
        <v>191</v>
      </c>
      <c r="C24" s="12" t="s">
        <v>213</v>
      </c>
      <c r="D24" t="s">
        <v>112</v>
      </c>
      <c r="E24" t="s">
        <v>184</v>
      </c>
      <c r="F24" t="s">
        <v>185</v>
      </c>
      <c r="G24" t="s">
        <v>186</v>
      </c>
      <c r="H24" t="s">
        <v>187</v>
      </c>
      <c r="I24" t="s">
        <v>188</v>
      </c>
      <c r="J24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Temporal Artifacts</vt:lpstr>
      <vt:lpstr>Material Conversions</vt:lpstr>
      <vt:lpstr>Token Conversions</vt:lpstr>
      <vt:lpstr>Base Defense</vt:lpstr>
      <vt:lpstr>Crewing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Kapinos</dc:creator>
  <cp:lastModifiedBy>Anthony Kapinos</cp:lastModifiedBy>
  <dcterms:created xsi:type="dcterms:W3CDTF">2025-04-26T13:22:12Z</dcterms:created>
  <dcterms:modified xsi:type="dcterms:W3CDTF">2025-06-27T15:43:09Z</dcterms:modified>
</cp:coreProperties>
</file>