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vanpoorten/Dropbox/Invasive Species/Cultus Lake SMB/Suppression plan/"/>
    </mc:Choice>
  </mc:AlternateContent>
  <xr:revisionPtr revIDLastSave="0" documentId="13_ncr:1_{C55BD41F-C243-B246-AD24-559431129BD2}" xr6:coauthVersionLast="47" xr6:coauthVersionMax="47" xr10:uidLastSave="{00000000-0000-0000-0000-000000000000}"/>
  <bookViews>
    <workbookView xWindow="16480" yWindow="760" windowWidth="12380" windowHeight="18880" xr2:uid="{852EA312-052D-1F41-BE8B-620E25AF4F59}"/>
  </bookViews>
  <sheets>
    <sheet name="Sheet1" sheetId="1" r:id="rId1"/>
    <sheet name="Sheet2" sheetId="2" r:id="rId2"/>
  </sheets>
  <definedNames>
    <definedName name="afec">Sheet1!$B$14</definedName>
    <definedName name="Age">Sheet1!$F$1:$J$1</definedName>
    <definedName name="alpha">Sheet1!$B$31</definedName>
    <definedName name="beta">Sheet1!$B$32</definedName>
    <definedName name="bfec">Sheet1!$B$15</definedName>
    <definedName name="dismort">Sheet1!$B$13</definedName>
    <definedName name="F0">Sheet1!$B$11</definedName>
    <definedName name="fec">Sheet1!$F$4:$J$4</definedName>
    <definedName name="K">Sheet1!$B$4</definedName>
    <definedName name="Length">Sheet1!$F$2:$J$2</definedName>
    <definedName name="Linf">Sheet1!$B$3</definedName>
    <definedName name="lx">Sheet1!$F$6:$J$6</definedName>
    <definedName name="lxF">Sheet1!$F$8:$J$8</definedName>
    <definedName name="M">Sheet1!$B$5</definedName>
    <definedName name="mat">Sheet1!$F$5:$J$5</definedName>
    <definedName name="N1F">Sheet1!$B$18</definedName>
    <definedName name="N1M">Sheet1!$B$23</definedName>
    <definedName name="N2F">Sheet1!$B$19</definedName>
    <definedName name="N2M">Sheet1!$B$24</definedName>
    <definedName name="N3F">Sheet1!$B$20</definedName>
    <definedName name="N3M">Sheet1!$B$25</definedName>
    <definedName name="N4F">Sheet1!$B$21</definedName>
    <definedName name="N4M">Sheet1!$B$26</definedName>
    <definedName name="N5F">Sheet1!$B$22</definedName>
    <definedName name="N5M">Sheet1!$B$27</definedName>
    <definedName name="pF">Sheet1!$B$17</definedName>
    <definedName name="pharv">Sheet1!$B$12</definedName>
    <definedName name="phi0">Sheet1!$B$29</definedName>
    <definedName name="R0">Sheet1!$B$1</definedName>
    <definedName name="reck">Sheet1!$B$2</definedName>
    <definedName name="sel">Sheet1!$F$7:$J$7</definedName>
    <definedName name="sel1_">Sheet1!$B$6</definedName>
    <definedName name="sel2_">Sheet1!$B$7</definedName>
    <definedName name="sel3_">Sheet1!$B$8</definedName>
    <definedName name="sel4_">Sheet1!$B$9</definedName>
    <definedName name="sel5_">Sheet1!$B$10</definedName>
    <definedName name="Weight">Sheet1!$F$3:$J$3</definedName>
    <definedName name="wmat">Sheet1!$B$16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J7" i="1" a="1"/>
  <c r="J7" i="1" s="1"/>
  <c r="I7" i="1"/>
  <c r="H7" i="1"/>
  <c r="G7" i="1"/>
  <c r="F7" i="1"/>
  <c r="G8" i="1" s="1"/>
  <c r="H8" i="1" s="1"/>
  <c r="I8" i="1" s="1"/>
  <c r="J8" i="1" s="1"/>
  <c r="J6" i="1"/>
  <c r="G6" i="1"/>
  <c r="H6" i="1"/>
  <c r="I6" i="1"/>
  <c r="F6" i="1"/>
  <c r="J35" i="1"/>
  <c r="I35" i="1"/>
  <c r="H35" i="1"/>
  <c r="G35" i="1"/>
  <c r="F35" i="1"/>
  <c r="J12" i="1"/>
  <c r="I12" i="1"/>
  <c r="H12" i="1"/>
  <c r="G12" i="1"/>
  <c r="F12" i="1"/>
  <c r="F4" i="1" a="1"/>
  <c r="F4" i="1" s="1"/>
  <c r="F2" i="1" a="1"/>
  <c r="F2" i="1" s="1"/>
  <c r="F3" i="1" s="1" a="1"/>
  <c r="F3" i="1" l="1"/>
  <c r="F5" i="1" s="1"/>
  <c r="J5" i="1"/>
  <c r="I5" i="1"/>
  <c r="H5" i="1"/>
  <c r="G5" i="1"/>
  <c r="B29" i="1" l="1"/>
  <c r="B32" i="1" s="1"/>
  <c r="K12" i="1"/>
  <c r="B31" i="1" l="1"/>
  <c r="F13" i="1" l="1"/>
  <c r="F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<sst xmlns="http://schemas.openxmlformats.org/spreadsheetml/2006/main" count="67" uniqueCount="54">
  <si>
    <t>R0</t>
  </si>
  <si>
    <t>reck</t>
  </si>
  <si>
    <t>Linf</t>
  </si>
  <si>
    <t>K</t>
  </si>
  <si>
    <t>M</t>
  </si>
  <si>
    <t>sel1</t>
  </si>
  <si>
    <t>sel2</t>
  </si>
  <si>
    <t>sel3</t>
  </si>
  <si>
    <t>sel4</t>
  </si>
  <si>
    <t>Age</t>
  </si>
  <si>
    <t>Length</t>
  </si>
  <si>
    <t>Weight</t>
  </si>
  <si>
    <t>afec</t>
  </si>
  <si>
    <t>bfec</t>
  </si>
  <si>
    <t>fec</t>
  </si>
  <si>
    <t>mat</t>
  </si>
  <si>
    <t>wmat</t>
  </si>
  <si>
    <t>lx</t>
  </si>
  <si>
    <t>lxF</t>
  </si>
  <si>
    <t>sel</t>
  </si>
  <si>
    <t>Year</t>
  </si>
  <si>
    <t>phi0</t>
  </si>
  <si>
    <t>alpha</t>
  </si>
  <si>
    <t>beta</t>
  </si>
  <si>
    <t>Eggs</t>
  </si>
  <si>
    <t>pF</t>
  </si>
  <si>
    <t>N1F</t>
  </si>
  <si>
    <t>N2F</t>
  </si>
  <si>
    <t>N3F</t>
  </si>
  <si>
    <t>N4F</t>
  </si>
  <si>
    <t>N5F</t>
  </si>
  <si>
    <t>N1M</t>
  </si>
  <si>
    <t>N2M</t>
  </si>
  <si>
    <t>N3M</t>
  </si>
  <si>
    <t>N4M</t>
  </si>
  <si>
    <t>N5M</t>
  </si>
  <si>
    <t>Female UNMARKED abundance</t>
  </si>
  <si>
    <t>Female MARKED abundance</t>
  </si>
  <si>
    <t>Male UNMARKED abundance</t>
  </si>
  <si>
    <t>Male MARKED abundance</t>
  </si>
  <si>
    <t>Female Marked removals - angling</t>
  </si>
  <si>
    <t>Male MARKED removals - angling</t>
  </si>
  <si>
    <t>Male MARKED removals - from nests</t>
  </si>
  <si>
    <t>nest destruction</t>
  </si>
  <si>
    <t>Fishing Effort</t>
  </si>
  <si>
    <t>Catch</t>
  </si>
  <si>
    <t>Harvest</t>
  </si>
  <si>
    <t>Release</t>
  </si>
  <si>
    <t>5+</t>
  </si>
  <si>
    <t>sel5</t>
  </si>
  <si>
    <t>dismort</t>
  </si>
  <si>
    <t>pharv</t>
  </si>
  <si>
    <t>F0</t>
  </si>
  <si>
    <t>phiF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</si>
</sst>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mbria"/>
      <family val="2"/>
    </font>
    <font>
      <sz val="1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764C-2FFF-7D4E-989D-D6A0345EB9F3}">
  <dimension ref="A1:AF54"/>
  <sheetViews>
    <sheetView tabSelected="1" topLeftCell="W1" zoomScale="63" workbookViewId="0">
      <selection activeCell="J6" sqref="J6"/>
    </sheetView>
  </sheetViews>
  <sheetFormatPr baseColWidth="10" defaultRowHeight="25" x14ac:dyDescent="0.25"/>
  <sheetData>
    <row r="1" spans="1:31" x14ac:dyDescent="0.25">
      <c r="A1" t="s">
        <v>0</v>
      </c>
      <c r="B1">
        <v>1000</v>
      </c>
      <c r="E1" t="s">
        <v>9</v>
      </c>
      <c r="F1">
        <v>1</v>
      </c>
      <c r="G1">
        <v>2</v>
      </c>
      <c r="H1">
        <v>3</v>
      </c>
      <c r="I1">
        <v>4</v>
      </c>
      <c r="J1">
        <v>5</v>
      </c>
    </row>
    <row r="2" spans="1:31" x14ac:dyDescent="0.25">
      <c r="A2" t="s">
        <v>1</v>
      </c>
      <c r="B2">
        <v>10</v>
      </c>
      <c r="E2" t="s">
        <v>10</v>
      </c>
      <c r="F2" cm="1">
        <f t="array" ref="F2:J2">Linf*(1-EXP(-K*Age))</f>
        <v>147.65595514064327</v>
      </c>
      <c r="G2">
        <v>251.70734810429525</v>
      </c>
      <c r="H2">
        <v>325.03112544442223</v>
      </c>
      <c r="I2">
        <v>376.70151802919679</v>
      </c>
      <c r="J2">
        <v>413.11302827477743</v>
      </c>
    </row>
    <row r="3" spans="1:31" x14ac:dyDescent="0.25">
      <c r="A3" t="s">
        <v>2</v>
      </c>
      <c r="B3">
        <v>500</v>
      </c>
      <c r="E3" t="s">
        <v>11</v>
      </c>
      <c r="F3" cm="1">
        <f t="array" ref="F3:J3">(Length/Linf)^3</f>
        <v>2.5753893106932886E-2</v>
      </c>
      <c r="G3">
        <v>0.12757855219760894</v>
      </c>
      <c r="H3">
        <v>0.27470391055843935</v>
      </c>
      <c r="I3">
        <v>0.42764371923035677</v>
      </c>
      <c r="J3">
        <v>0.56402280151643858</v>
      </c>
    </row>
    <row r="4" spans="1:31" x14ac:dyDescent="0.25">
      <c r="A4" t="s">
        <v>3</v>
      </c>
      <c r="B4">
        <v>0.35</v>
      </c>
      <c r="E4" t="s">
        <v>14</v>
      </c>
      <c r="F4" cm="1">
        <f t="array" ref="F4:J4">1/(1+EXP(-(Age-bfec)/afec))</f>
        <v>4.7425873177566781E-2</v>
      </c>
      <c r="G4">
        <v>0.2689414213699951</v>
      </c>
      <c r="H4">
        <v>0.7310585786300049</v>
      </c>
      <c r="I4">
        <v>0.95257412682243336</v>
      </c>
      <c r="J4">
        <v>0.99330714907571527</v>
      </c>
    </row>
    <row r="5" spans="1:31" x14ac:dyDescent="0.25">
      <c r="A5" t="s">
        <v>4</v>
      </c>
      <c r="B5">
        <v>0.4</v>
      </c>
      <c r="E5" t="s">
        <v>15</v>
      </c>
      <c r="F5">
        <f>MAX(0,F3-wmat)</f>
        <v>2.5753893106932886E-2</v>
      </c>
      <c r="G5">
        <f>MAX(0,G3-wmat)</f>
        <v>0.12757855219760894</v>
      </c>
      <c r="H5">
        <f>MAX(0,H3-wmat)</f>
        <v>0.27470391055843935</v>
      </c>
      <c r="I5">
        <f>MAX(0,I3-wmat)</f>
        <v>0.42764371923035677</v>
      </c>
      <c r="J5">
        <f>MAX(0,J3-wmat)</f>
        <v>0.56402280151643858</v>
      </c>
    </row>
    <row r="6" spans="1:31" x14ac:dyDescent="0.25">
      <c r="A6" t="s">
        <v>5</v>
      </c>
      <c r="B6">
        <v>0.1</v>
      </c>
      <c r="E6" t="s">
        <v>17</v>
      </c>
      <c r="F6">
        <f>EXP(-M*(F1-1))</f>
        <v>1</v>
      </c>
      <c r="G6">
        <f>EXP(-M*(G1-1))</f>
        <v>0.67032004603563933</v>
      </c>
      <c r="H6">
        <f>EXP(-M*(H1-1))</f>
        <v>0.44932896411722156</v>
      </c>
      <c r="I6">
        <f>EXP(-M*(I1-1))</f>
        <v>0.30119421191220203</v>
      </c>
      <c r="J6">
        <f>EXP(-M*(J1-1))/(1-EXP(-M))</f>
        <v>0.61240155965467336</v>
      </c>
    </row>
    <row r="7" spans="1:31" x14ac:dyDescent="0.25">
      <c r="A7" t="s">
        <v>6</v>
      </c>
      <c r="B7">
        <v>0.85</v>
      </c>
      <c r="E7" t="s">
        <v>19</v>
      </c>
      <c r="F7">
        <f>sel1_</f>
        <v>0.1</v>
      </c>
      <c r="G7">
        <f>sel2_</f>
        <v>0.85</v>
      </c>
      <c r="H7">
        <f>sel3_</f>
        <v>0.95</v>
      </c>
      <c r="I7">
        <f>sel4_</f>
        <v>0.99</v>
      </c>
      <c r="J7" cm="1">
        <f t="array" ref="J7">sel5_</f>
        <v>0.96</v>
      </c>
    </row>
    <row r="8" spans="1:31" x14ac:dyDescent="0.25">
      <c r="A8" t="s">
        <v>7</v>
      </c>
      <c r="B8">
        <v>0.95</v>
      </c>
      <c r="E8" t="s">
        <v>18</v>
      </c>
      <c r="F8">
        <v>1</v>
      </c>
      <c r="G8">
        <f>F8*EXP(-M-F0*F7*(pharv+(1-pharv)*dismort))</f>
        <v>0.66537798586983632</v>
      </c>
      <c r="H8">
        <f>G8*EXP(-M-F0*G7*(pharv+(1-pharv)*dismort))</f>
        <v>0.41882588263379922</v>
      </c>
      <c r="I8">
        <f>H8*EXP(-M-F0*H7*(pharv+(1-pharv)*dismort))</f>
        <v>0.26168860830197305</v>
      </c>
      <c r="J8">
        <f>I8*EXP(-M-F0*I7*(pharv+(1-pharv)*dismort))/(1-EXP(-M-F0*I7*(pharv+(1-pharv)*dismort)))</f>
        <v>0.43238686203148041</v>
      </c>
    </row>
    <row r="9" spans="1:31" x14ac:dyDescent="0.25">
      <c r="A9" t="s">
        <v>8</v>
      </c>
      <c r="B9">
        <v>0.99</v>
      </c>
    </row>
    <row r="10" spans="1:31" x14ac:dyDescent="0.25">
      <c r="A10" t="s">
        <v>49</v>
      </c>
      <c r="B10">
        <v>0.96</v>
      </c>
      <c r="E10" t="s">
        <v>36</v>
      </c>
      <c r="M10" t="s">
        <v>37</v>
      </c>
      <c r="T10" t="s">
        <v>40</v>
      </c>
      <c r="AA10" t="s">
        <v>43</v>
      </c>
      <c r="AB10" t="s">
        <v>44</v>
      </c>
      <c r="AC10" t="s">
        <v>45</v>
      </c>
      <c r="AD10" t="s">
        <v>46</v>
      </c>
      <c r="AE10" t="s">
        <v>47</v>
      </c>
    </row>
    <row r="11" spans="1:31" x14ac:dyDescent="0.25">
      <c r="A11" t="s">
        <v>52</v>
      </c>
      <c r="B11">
        <v>0.2</v>
      </c>
      <c r="E11" t="s">
        <v>20</v>
      </c>
      <c r="F11">
        <v>1</v>
      </c>
      <c r="G11">
        <v>2</v>
      </c>
      <c r="H11">
        <v>3</v>
      </c>
      <c r="I11">
        <v>4</v>
      </c>
      <c r="J11" t="s">
        <v>48</v>
      </c>
      <c r="K11" t="s">
        <v>24</v>
      </c>
      <c r="M11" t="s">
        <v>20</v>
      </c>
      <c r="N11">
        <v>1</v>
      </c>
      <c r="O11">
        <v>2</v>
      </c>
      <c r="P11">
        <v>3</v>
      </c>
      <c r="Q11">
        <v>4</v>
      </c>
      <c r="R11" t="s">
        <v>48</v>
      </c>
      <c r="T11" t="s">
        <v>20</v>
      </c>
      <c r="U11">
        <v>1</v>
      </c>
      <c r="V11">
        <v>2</v>
      </c>
      <c r="W11">
        <v>3</v>
      </c>
      <c r="X11">
        <v>4</v>
      </c>
      <c r="Y11" t="s">
        <v>48</v>
      </c>
      <c r="AA11" t="s">
        <v>20</v>
      </c>
    </row>
    <row r="12" spans="1:31" x14ac:dyDescent="0.25">
      <c r="A12" t="s">
        <v>51</v>
      </c>
      <c r="B12">
        <v>0.3</v>
      </c>
      <c r="E12">
        <v>2023</v>
      </c>
      <c r="F12">
        <f>N1F</f>
        <v>800</v>
      </c>
      <c r="G12">
        <f>N2F</f>
        <v>500</v>
      </c>
      <c r="H12">
        <f>N3F</f>
        <v>350</v>
      </c>
      <c r="I12">
        <f>N4F</f>
        <v>200</v>
      </c>
      <c r="J12">
        <f>N5F</f>
        <v>125</v>
      </c>
      <c r="K12">
        <f>SUMPRODUCT(fec,mat,F12:J12)</f>
        <v>239.92478052665473</v>
      </c>
      <c r="M12">
        <v>2023</v>
      </c>
      <c r="T12">
        <v>2023</v>
      </c>
      <c r="AA12">
        <v>2023</v>
      </c>
    </row>
    <row r="13" spans="1:31" x14ac:dyDescent="0.25">
      <c r="A13" t="s">
        <v>50</v>
      </c>
      <c r="B13">
        <v>0.1</v>
      </c>
      <c r="E13">
        <v>2024</v>
      </c>
      <c r="F13">
        <f>alpha*K12*pF/(1+beta*K12)</f>
        <v>489.75284403331733</v>
      </c>
      <c r="M13">
        <v>2024</v>
      </c>
      <c r="T13">
        <v>2024</v>
      </c>
      <c r="AA13">
        <v>2024</v>
      </c>
    </row>
    <row r="14" spans="1:31" x14ac:dyDescent="0.25">
      <c r="A14" t="s">
        <v>12</v>
      </c>
      <c r="B14">
        <v>0.5</v>
      </c>
      <c r="E14">
        <v>2025</v>
      </c>
      <c r="M14">
        <v>2025</v>
      </c>
      <c r="T14">
        <v>2025</v>
      </c>
      <c r="AA14">
        <v>2025</v>
      </c>
    </row>
    <row r="15" spans="1:31" x14ac:dyDescent="0.25">
      <c r="A15" t="s">
        <v>13</v>
      </c>
      <c r="B15">
        <v>2.5</v>
      </c>
      <c r="E15">
        <v>2026</v>
      </c>
      <c r="M15">
        <v>2026</v>
      </c>
      <c r="T15">
        <v>2026</v>
      </c>
      <c r="AA15">
        <v>2026</v>
      </c>
    </row>
    <row r="16" spans="1:31" x14ac:dyDescent="0.25">
      <c r="A16" t="s">
        <v>16</v>
      </c>
      <c r="B16">
        <v>0</v>
      </c>
      <c r="E16">
        <v>2027</v>
      </c>
      <c r="M16">
        <v>2027</v>
      </c>
      <c r="T16">
        <v>2027</v>
      </c>
      <c r="AA16">
        <v>2027</v>
      </c>
    </row>
    <row r="17" spans="1:27" x14ac:dyDescent="0.25">
      <c r="A17" t="s">
        <v>25</v>
      </c>
      <c r="B17">
        <v>0.5</v>
      </c>
      <c r="E17">
        <v>2028</v>
      </c>
      <c r="M17">
        <v>2028</v>
      </c>
      <c r="T17">
        <v>2028</v>
      </c>
      <c r="AA17">
        <v>2028</v>
      </c>
    </row>
    <row r="18" spans="1:27" x14ac:dyDescent="0.25">
      <c r="A18" t="s">
        <v>26</v>
      </c>
      <c r="B18">
        <v>800</v>
      </c>
      <c r="E18">
        <v>2029</v>
      </c>
      <c r="M18">
        <v>2029</v>
      </c>
      <c r="T18">
        <v>2029</v>
      </c>
      <c r="AA18">
        <v>2029</v>
      </c>
    </row>
    <row r="19" spans="1:27" x14ac:dyDescent="0.25">
      <c r="A19" t="s">
        <v>27</v>
      </c>
      <c r="B19">
        <v>500</v>
      </c>
      <c r="E19">
        <v>2030</v>
      </c>
      <c r="M19">
        <v>2030</v>
      </c>
      <c r="T19">
        <v>2030</v>
      </c>
      <c r="AA19">
        <v>2030</v>
      </c>
    </row>
    <row r="20" spans="1:27" x14ac:dyDescent="0.25">
      <c r="A20" t="s">
        <v>28</v>
      </c>
      <c r="B20">
        <v>350</v>
      </c>
      <c r="E20">
        <v>2031</v>
      </c>
      <c r="M20">
        <v>2031</v>
      </c>
      <c r="T20">
        <v>2031</v>
      </c>
      <c r="AA20">
        <v>2031</v>
      </c>
    </row>
    <row r="21" spans="1:27" x14ac:dyDescent="0.25">
      <c r="A21" t="s">
        <v>29</v>
      </c>
      <c r="B21">
        <v>200</v>
      </c>
      <c r="E21">
        <v>2032</v>
      </c>
      <c r="M21">
        <v>2032</v>
      </c>
      <c r="T21">
        <v>2032</v>
      </c>
      <c r="AA21">
        <v>2032</v>
      </c>
    </row>
    <row r="22" spans="1:27" x14ac:dyDescent="0.25">
      <c r="A22" t="s">
        <v>30</v>
      </c>
      <c r="B22">
        <v>125</v>
      </c>
      <c r="E22">
        <v>2033</v>
      </c>
      <c r="M22">
        <v>2033</v>
      </c>
      <c r="T22">
        <v>2033</v>
      </c>
      <c r="AA22">
        <v>2033</v>
      </c>
    </row>
    <row r="23" spans="1:27" x14ac:dyDescent="0.25">
      <c r="A23" t="s">
        <v>31</v>
      </c>
      <c r="B23">
        <v>750</v>
      </c>
      <c r="E23">
        <v>2034</v>
      </c>
      <c r="M23">
        <v>2034</v>
      </c>
      <c r="T23">
        <v>2034</v>
      </c>
      <c r="AA23">
        <v>2034</v>
      </c>
    </row>
    <row r="24" spans="1:27" x14ac:dyDescent="0.25">
      <c r="A24" t="s">
        <v>32</v>
      </c>
      <c r="B24">
        <v>550</v>
      </c>
      <c r="E24">
        <v>2035</v>
      </c>
      <c r="M24">
        <v>2035</v>
      </c>
      <c r="T24">
        <v>2035</v>
      </c>
      <c r="AA24">
        <v>2035</v>
      </c>
    </row>
    <row r="25" spans="1:27" x14ac:dyDescent="0.25">
      <c r="A25" t="s">
        <v>33</v>
      </c>
      <c r="B25">
        <v>300</v>
      </c>
      <c r="E25">
        <v>2036</v>
      </c>
      <c r="M25">
        <v>2036</v>
      </c>
      <c r="T25">
        <v>2036</v>
      </c>
      <c r="AA25">
        <v>2036</v>
      </c>
    </row>
    <row r="26" spans="1:27" x14ac:dyDescent="0.25">
      <c r="A26" t="s">
        <v>34</v>
      </c>
      <c r="B26">
        <v>220</v>
      </c>
      <c r="E26">
        <v>2037</v>
      </c>
      <c r="M26">
        <v>2037</v>
      </c>
      <c r="T26">
        <v>2037</v>
      </c>
      <c r="AA26">
        <v>2037</v>
      </c>
    </row>
    <row r="27" spans="1:27" x14ac:dyDescent="0.25">
      <c r="A27" t="s">
        <v>35</v>
      </c>
      <c r="B27">
        <v>100</v>
      </c>
      <c r="E27">
        <v>2038</v>
      </c>
      <c r="M27">
        <v>2038</v>
      </c>
      <c r="T27">
        <v>2038</v>
      </c>
      <c r="AA27">
        <v>2038</v>
      </c>
    </row>
    <row r="28" spans="1:27" x14ac:dyDescent="0.25">
      <c r="E28">
        <v>2039</v>
      </c>
      <c r="M28">
        <v>2039</v>
      </c>
      <c r="T28">
        <v>2039</v>
      </c>
      <c r="AA28">
        <v>2039</v>
      </c>
    </row>
    <row r="29" spans="1:27" x14ac:dyDescent="0.25">
      <c r="A29" t="s">
        <v>21</v>
      </c>
      <c r="B29">
        <f>SUMPRODUCT(fec,mat,lx)*pF</f>
        <v>0.29012452262680433</v>
      </c>
      <c r="E29">
        <v>2040</v>
      </c>
      <c r="M29">
        <v>2040</v>
      </c>
      <c r="T29">
        <v>2040</v>
      </c>
      <c r="AA29">
        <v>2040</v>
      </c>
    </row>
    <row r="30" spans="1:27" x14ac:dyDescent="0.25">
      <c r="A30" t="s">
        <v>53</v>
      </c>
      <c r="B30">
        <f>SUMPRODUCT(fec,mat,lxF)*pF</f>
        <v>0.22850387932973468</v>
      </c>
      <c r="E30">
        <v>2041</v>
      </c>
      <c r="M30">
        <v>2041</v>
      </c>
      <c r="T30">
        <v>2041</v>
      </c>
      <c r="AA30">
        <v>2041</v>
      </c>
    </row>
    <row r="31" spans="1:27" x14ac:dyDescent="0.25">
      <c r="A31" t="s">
        <v>22</v>
      </c>
      <c r="B31">
        <f>reck/phi0</f>
        <v>34.46795848023951</v>
      </c>
      <c r="E31">
        <v>2042</v>
      </c>
      <c r="M31">
        <v>2042</v>
      </c>
      <c r="T31">
        <v>2042</v>
      </c>
      <c r="AA31">
        <v>2042</v>
      </c>
    </row>
    <row r="32" spans="1:27" x14ac:dyDescent="0.25">
      <c r="A32" t="s">
        <v>23</v>
      </c>
      <c r="B32">
        <f>(reck-1)/(R0*phi0)</f>
        <v>3.1021162632215559E-2</v>
      </c>
    </row>
    <row r="33" spans="5:32" x14ac:dyDescent="0.25">
      <c r="E33" t="s">
        <v>38</v>
      </c>
      <c r="M33" t="s">
        <v>39</v>
      </c>
      <c r="T33" t="s">
        <v>41</v>
      </c>
      <c r="AA33" t="s">
        <v>42</v>
      </c>
    </row>
    <row r="34" spans="5:32" x14ac:dyDescent="0.25">
      <c r="E34" t="s">
        <v>20</v>
      </c>
      <c r="F34">
        <v>1</v>
      </c>
      <c r="G34">
        <v>2</v>
      </c>
      <c r="H34">
        <v>3</v>
      </c>
      <c r="I34">
        <v>4</v>
      </c>
      <c r="J34" t="s">
        <v>48</v>
      </c>
      <c r="M34" t="s">
        <v>20</v>
      </c>
      <c r="N34">
        <v>1</v>
      </c>
      <c r="O34">
        <v>2</v>
      </c>
      <c r="P34">
        <v>3</v>
      </c>
      <c r="Q34">
        <v>4</v>
      </c>
      <c r="R34" t="s">
        <v>48</v>
      </c>
      <c r="T34" t="s">
        <v>20</v>
      </c>
      <c r="U34">
        <v>1</v>
      </c>
      <c r="V34">
        <v>2</v>
      </c>
      <c r="W34">
        <v>3</v>
      </c>
      <c r="X34">
        <v>4</v>
      </c>
      <c r="Y34" t="s">
        <v>48</v>
      </c>
      <c r="AA34" t="s">
        <v>20</v>
      </c>
      <c r="AB34">
        <v>1</v>
      </c>
      <c r="AC34">
        <v>2</v>
      </c>
      <c r="AD34">
        <v>3</v>
      </c>
      <c r="AE34">
        <v>4</v>
      </c>
      <c r="AF34" t="s">
        <v>48</v>
      </c>
    </row>
    <row r="35" spans="5:32" x14ac:dyDescent="0.25">
      <c r="E35">
        <v>2023</v>
      </c>
      <c r="F35">
        <f>N1M</f>
        <v>750</v>
      </c>
      <c r="G35">
        <f>N2M</f>
        <v>550</v>
      </c>
      <c r="H35">
        <f>N3M</f>
        <v>300</v>
      </c>
      <c r="I35">
        <f>N4M</f>
        <v>220</v>
      </c>
      <c r="J35">
        <f>N5M</f>
        <v>100</v>
      </c>
      <c r="M35">
        <v>2023</v>
      </c>
      <c r="T35">
        <v>2023</v>
      </c>
      <c r="AA35">
        <v>2023</v>
      </c>
    </row>
    <row r="36" spans="5:32" x14ac:dyDescent="0.25">
      <c r="E36">
        <v>2024</v>
      </c>
      <c r="F36">
        <f>alpha*K12*pF/(1+beta*K12)</f>
        <v>489.75284403331733</v>
      </c>
      <c r="M36">
        <v>2024</v>
      </c>
      <c r="T36">
        <v>2024</v>
      </c>
      <c r="AA36">
        <v>2024</v>
      </c>
    </row>
    <row r="37" spans="5:32" x14ac:dyDescent="0.25">
      <c r="E37">
        <v>2025</v>
      </c>
      <c r="M37">
        <v>2025</v>
      </c>
      <c r="T37">
        <v>2025</v>
      </c>
      <c r="AA37">
        <v>2025</v>
      </c>
    </row>
    <row r="38" spans="5:32" x14ac:dyDescent="0.25">
      <c r="E38">
        <v>2026</v>
      </c>
      <c r="M38">
        <v>2026</v>
      </c>
      <c r="T38">
        <v>2026</v>
      </c>
      <c r="AA38">
        <v>2026</v>
      </c>
    </row>
    <row r="39" spans="5:32" x14ac:dyDescent="0.25">
      <c r="E39">
        <v>2027</v>
      </c>
      <c r="M39">
        <v>2027</v>
      </c>
      <c r="T39">
        <v>2027</v>
      </c>
      <c r="AA39">
        <v>2027</v>
      </c>
    </row>
    <row r="40" spans="5:32" x14ac:dyDescent="0.25">
      <c r="E40">
        <v>2028</v>
      </c>
      <c r="M40">
        <v>2028</v>
      </c>
      <c r="T40">
        <v>2028</v>
      </c>
      <c r="AA40">
        <v>2028</v>
      </c>
    </row>
    <row r="41" spans="5:32" x14ac:dyDescent="0.25">
      <c r="E41">
        <v>2029</v>
      </c>
      <c r="M41">
        <v>2029</v>
      </c>
      <c r="T41">
        <v>2029</v>
      </c>
      <c r="AA41">
        <v>2029</v>
      </c>
    </row>
    <row r="42" spans="5:32" x14ac:dyDescent="0.25">
      <c r="E42">
        <v>2030</v>
      </c>
      <c r="M42">
        <v>2030</v>
      </c>
      <c r="T42">
        <v>2030</v>
      </c>
      <c r="AA42">
        <v>2030</v>
      </c>
    </row>
    <row r="43" spans="5:32" x14ac:dyDescent="0.25">
      <c r="E43">
        <v>2031</v>
      </c>
      <c r="M43">
        <v>2031</v>
      </c>
      <c r="T43">
        <v>2031</v>
      </c>
      <c r="AA43">
        <v>2031</v>
      </c>
    </row>
    <row r="44" spans="5:32" x14ac:dyDescent="0.25">
      <c r="E44">
        <v>2032</v>
      </c>
      <c r="M44">
        <v>2032</v>
      </c>
      <c r="T44">
        <v>2032</v>
      </c>
      <c r="AA44">
        <v>2032</v>
      </c>
    </row>
    <row r="45" spans="5:32" x14ac:dyDescent="0.25">
      <c r="E45">
        <v>2033</v>
      </c>
      <c r="M45">
        <v>2033</v>
      </c>
      <c r="T45">
        <v>2033</v>
      </c>
      <c r="AA45">
        <v>2033</v>
      </c>
    </row>
    <row r="46" spans="5:32" x14ac:dyDescent="0.25">
      <c r="E46">
        <v>2034</v>
      </c>
      <c r="M46">
        <v>2034</v>
      </c>
      <c r="T46">
        <v>2034</v>
      </c>
      <c r="AA46">
        <v>2034</v>
      </c>
    </row>
    <row r="47" spans="5:32" x14ac:dyDescent="0.25">
      <c r="E47">
        <v>2035</v>
      </c>
      <c r="M47">
        <v>2035</v>
      </c>
      <c r="T47">
        <v>2035</v>
      </c>
      <c r="AA47">
        <v>2035</v>
      </c>
    </row>
    <row r="48" spans="5:32" x14ac:dyDescent="0.25">
      <c r="E48">
        <v>2036</v>
      </c>
      <c r="M48">
        <v>2036</v>
      </c>
      <c r="T48">
        <v>2036</v>
      </c>
      <c r="AA48">
        <v>2036</v>
      </c>
    </row>
    <row r="49" spans="5:27" x14ac:dyDescent="0.25">
      <c r="E49">
        <v>2037</v>
      </c>
      <c r="M49">
        <v>2037</v>
      </c>
      <c r="T49">
        <v>2037</v>
      </c>
      <c r="AA49">
        <v>2037</v>
      </c>
    </row>
    <row r="50" spans="5:27" x14ac:dyDescent="0.25">
      <c r="E50">
        <v>2038</v>
      </c>
      <c r="M50">
        <v>2038</v>
      </c>
      <c r="T50">
        <v>2038</v>
      </c>
      <c r="AA50">
        <v>2038</v>
      </c>
    </row>
    <row r="51" spans="5:27" x14ac:dyDescent="0.25">
      <c r="E51">
        <v>2039</v>
      </c>
      <c r="M51">
        <v>2039</v>
      </c>
      <c r="T51">
        <v>2039</v>
      </c>
      <c r="AA51">
        <v>2039</v>
      </c>
    </row>
    <row r="52" spans="5:27" x14ac:dyDescent="0.25">
      <c r="E52">
        <v>2040</v>
      </c>
      <c r="M52">
        <v>2040</v>
      </c>
      <c r="T52">
        <v>2040</v>
      </c>
      <c r="AA52">
        <v>2040</v>
      </c>
    </row>
    <row r="53" spans="5:27" x14ac:dyDescent="0.25">
      <c r="E53">
        <v>2041</v>
      </c>
      <c r="M53">
        <v>2041</v>
      </c>
      <c r="T53">
        <v>2041</v>
      </c>
      <c r="AA53">
        <v>2041</v>
      </c>
    </row>
    <row r="54" spans="5:27" x14ac:dyDescent="0.25">
      <c r="E54">
        <v>2042</v>
      </c>
      <c r="M54">
        <v>2042</v>
      </c>
      <c r="T54">
        <v>2042</v>
      </c>
      <c r="AA54">
        <v>2042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B4A1-C379-0147-BE8F-988057B520B0}">
  <dimension ref="A1"/>
  <sheetViews>
    <sheetView workbookViewId="0"/>
  </sheetViews>
  <sheetFormatPr baseColWidth="10" defaultRowHeight="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Sheet1</vt:lpstr>
      <vt:lpstr>Sheet2</vt:lpstr>
      <vt:lpstr>afec</vt:lpstr>
      <vt:lpstr>Age</vt:lpstr>
      <vt:lpstr>alpha</vt:lpstr>
      <vt:lpstr>beta</vt:lpstr>
      <vt:lpstr>bfec</vt:lpstr>
      <vt:lpstr>dismort</vt:lpstr>
      <vt:lpstr>F0</vt:lpstr>
      <vt:lpstr>fec</vt:lpstr>
      <vt:lpstr>K</vt:lpstr>
      <vt:lpstr>Length</vt:lpstr>
      <vt:lpstr>Linf</vt:lpstr>
      <vt:lpstr>lx</vt:lpstr>
      <vt:lpstr>lxF</vt:lpstr>
      <vt:lpstr>M</vt:lpstr>
      <vt:lpstr>mat</vt:lpstr>
      <vt:lpstr>N1F</vt:lpstr>
      <vt:lpstr>N1M</vt:lpstr>
      <vt:lpstr>N2F</vt:lpstr>
      <vt:lpstr>N2M</vt:lpstr>
      <vt:lpstr>N3F</vt:lpstr>
      <vt:lpstr>N3M</vt:lpstr>
      <vt:lpstr>N4F</vt:lpstr>
      <vt:lpstr>N4M</vt:lpstr>
      <vt:lpstr>N5F</vt:lpstr>
      <vt:lpstr>N5M</vt:lpstr>
      <vt:lpstr>pF</vt:lpstr>
      <vt:lpstr>pharv</vt:lpstr>
      <vt:lpstr>phi0</vt:lpstr>
      <vt:lpstr>R0</vt:lpstr>
      <vt:lpstr>reck</vt:lpstr>
      <vt:lpstr>sel</vt:lpstr>
      <vt:lpstr>sel1_</vt:lpstr>
      <vt:lpstr>sel2_</vt:lpstr>
      <vt:lpstr>sel3_</vt:lpstr>
      <vt:lpstr>sel4_</vt:lpstr>
      <vt:lpstr>sel5_</vt:lpstr>
      <vt:lpstr>Weight</vt:lpstr>
      <vt:lpstr>wmat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Van Poorten</dc:creator>
  <cp:lastModifiedBy>Brett Van Poorten</cp:lastModifiedBy>
  <dcterms:created xsi:type="dcterms:W3CDTF">2023-01-20T03:10:41Z</dcterms:created>
  <dcterms:modified xsi:type="dcterms:W3CDTF">2023-02-16T19:33:20Z</dcterms:modified>
</cp:coreProperties>
</file>