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ettvanpoorten/Dropbox/Invasive Species/Cultus Lake SMB/Suppression plan/"/>
    </mc:Choice>
  </mc:AlternateContent>
  <xr:revisionPtr revIDLastSave="0" documentId="13_ncr:1_{BC7D32A4-6C59-4446-B4B9-371E71ED0CFC}" xr6:coauthVersionLast="47" xr6:coauthVersionMax="47" xr10:uidLastSave="{00000000-0000-0000-0000-000000000000}"/>
  <bookViews>
    <workbookView xWindow="0" yWindow="760" windowWidth="28980" windowHeight="18880" xr2:uid="{889A69B2-23DC-BD4A-8F1C-A44F37809F78}"/>
  </bookViews>
  <sheets>
    <sheet name="Sheet1" sheetId="1" r:id="rId1"/>
    <sheet name="Sheet2" sheetId="2" r:id="rId2"/>
  </sheets>
  <externalReferences>
    <externalReference r:id="rId3"/>
  </externalReferences>
  <definedNames>
    <definedName name="Faug">Sheet1!$B$15</definedName>
    <definedName name="Fjuly">Sheet1!$B$14</definedName>
    <definedName name="Fjune">Sheet1!$B$13</definedName>
    <definedName name="Fmay">Sheet1!$B$12</definedName>
    <definedName name="Fother">Sheet1!$B$17</definedName>
    <definedName name="Fsept">Sheet1!$B$16</definedName>
    <definedName name="K">Sheet1!$B$20</definedName>
    <definedName name="Linf">Sheet1!$B$19</definedName>
    <definedName name="M">Sheet1!$B$1</definedName>
    <definedName name="NT_1">Sheet1!$B$6</definedName>
    <definedName name="NT_2">Sheet1!$B$7</definedName>
    <definedName name="NT_3">Sheet1!$B$8</definedName>
    <definedName name="NT_4">Sheet1!$B$9</definedName>
    <definedName name="sel1_">Sheet1!$B$2</definedName>
    <definedName name="sel2_">Sheet1!$B$3</definedName>
    <definedName name="sel3_">Sheet1!$B$4</definedName>
    <definedName name="sel4_">Sheet1!$B$5</definedName>
    <definedName name="solver_adj" localSheetId="0" hidden="1">Sheet1!$C$1:$C$9,Sheet1!$C$12:$C$17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Sheet1!$B$24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0">Sheet1!$B$21</definedName>
    <definedName name="Unrep">Sheet1!$B$10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Y38" i="1" s="1"/>
  <c r="Y37" i="1" l="1"/>
  <c r="Y42" i="1"/>
  <c r="Y40" i="1"/>
  <c r="Y39" i="1"/>
  <c r="Y43" i="1"/>
  <c r="Y41" i="1"/>
  <c r="B13" i="1" l="1"/>
  <c r="B14" i="1"/>
  <c r="B15" i="1"/>
  <c r="B16" i="1"/>
  <c r="B12" i="1"/>
  <c r="Y36" i="1" l="1"/>
  <c r="Y48" i="1"/>
  <c r="Y35" i="1"/>
  <c r="Y47" i="1"/>
  <c r="Y34" i="1"/>
  <c r="Y46" i="1"/>
  <c r="Y33" i="1"/>
  <c r="Y45" i="1"/>
  <c r="Y44" i="1"/>
  <c r="Y32" i="1"/>
  <c r="J8" i="1" l="1"/>
  <c r="K8" i="1"/>
  <c r="I8" i="1"/>
  <c r="L8" i="1"/>
  <c r="H8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12" i="1"/>
  <c r="B5" i="1"/>
  <c r="K5" i="1" s="1"/>
  <c r="B1" i="1"/>
  <c r="B10" i="1"/>
  <c r="U28" i="1"/>
  <c r="U27" i="1"/>
  <c r="U26" i="1"/>
  <c r="U25" i="1"/>
  <c r="V25" i="1" s="1"/>
  <c r="U24" i="1"/>
  <c r="U23" i="1"/>
  <c r="U22" i="1"/>
  <c r="U21" i="1"/>
  <c r="U20" i="1"/>
  <c r="U19" i="1"/>
  <c r="U18" i="1"/>
  <c r="U17" i="1"/>
  <c r="U16" i="1"/>
  <c r="U15" i="1"/>
  <c r="V15" i="1" s="1"/>
  <c r="U14" i="1"/>
  <c r="U13" i="1"/>
  <c r="U12" i="1"/>
  <c r="M13" i="1"/>
  <c r="M14" i="1"/>
  <c r="M15" i="1"/>
  <c r="M16" i="1"/>
  <c r="M17" i="1"/>
  <c r="M18" i="1"/>
  <c r="V18" i="1" s="1"/>
  <c r="M19" i="1"/>
  <c r="V19" i="1" s="1"/>
  <c r="M20" i="1"/>
  <c r="M21" i="1"/>
  <c r="M22" i="1"/>
  <c r="M23" i="1"/>
  <c r="M24" i="1"/>
  <c r="M25" i="1"/>
  <c r="M26" i="1"/>
  <c r="M27" i="1"/>
  <c r="M28" i="1"/>
  <c r="M12" i="1"/>
  <c r="J5" i="1"/>
  <c r="I2" i="1"/>
  <c r="J2" i="1"/>
  <c r="K2" i="1"/>
  <c r="L2" i="1"/>
  <c r="H2" i="1"/>
  <c r="B7" i="1"/>
  <c r="I48" i="1" s="1"/>
  <c r="B8" i="1"/>
  <c r="J48" i="1" s="1"/>
  <c r="B9" i="1"/>
  <c r="K48" i="1" s="1"/>
  <c r="B6" i="1"/>
  <c r="H48" i="1" s="1"/>
  <c r="B3" i="1"/>
  <c r="I5" i="1" s="1"/>
  <c r="B2" i="1"/>
  <c r="H5" i="1" s="1"/>
  <c r="Q33" i="1" l="1"/>
  <c r="B23" i="1"/>
  <c r="P41" i="1"/>
  <c r="P33" i="1"/>
  <c r="P34" i="1" s="1"/>
  <c r="V14" i="1"/>
  <c r="V24" i="1"/>
  <c r="V12" i="1"/>
  <c r="V26" i="1"/>
  <c r="V27" i="1"/>
  <c r="S33" i="1"/>
  <c r="T33" i="1"/>
  <c r="R33" i="1"/>
  <c r="V16" i="1"/>
  <c r="V17" i="1"/>
  <c r="V28" i="1"/>
  <c r="V23" i="1"/>
  <c r="V13" i="1"/>
  <c r="V20" i="1"/>
  <c r="V21" i="1"/>
  <c r="V22" i="1"/>
  <c r="I6" i="1"/>
  <c r="J6" i="1" s="1"/>
  <c r="K6" i="1" s="1"/>
  <c r="L6" i="1" s="1"/>
  <c r="Q34" i="1" l="1"/>
  <c r="P35" i="1"/>
  <c r="L38" i="1"/>
  <c r="I47" i="1"/>
  <c r="S34" i="1"/>
  <c r="L47" i="1"/>
  <c r="T34" i="1"/>
  <c r="J47" i="1"/>
  <c r="K47" i="1"/>
  <c r="H47" i="1"/>
  <c r="P42" i="1"/>
  <c r="R34" i="1"/>
  <c r="S35" i="1" l="1"/>
  <c r="K46" i="1"/>
  <c r="J46" i="1"/>
  <c r="T35" i="1"/>
  <c r="Q35" i="1"/>
  <c r="H46" i="1"/>
  <c r="I46" i="1"/>
  <c r="L37" i="1"/>
  <c r="R35" i="1"/>
  <c r="P36" i="1"/>
  <c r="P43" i="1"/>
  <c r="L46" i="1"/>
  <c r="Q36" i="1" l="1"/>
  <c r="R36" i="1"/>
  <c r="L36" i="1"/>
  <c r="P37" i="1"/>
  <c r="T36" i="1"/>
  <c r="J45" i="1"/>
  <c r="L45" i="1"/>
  <c r="I45" i="1"/>
  <c r="K45" i="1"/>
  <c r="P44" i="1"/>
  <c r="H45" i="1"/>
  <c r="S36" i="1"/>
  <c r="AK36" i="1" l="1"/>
  <c r="T37" i="1"/>
  <c r="AK37" i="1" s="1"/>
  <c r="P45" i="1"/>
  <c r="L44" i="1"/>
  <c r="K44" i="1"/>
  <c r="P38" i="1"/>
  <c r="I44" i="1"/>
  <c r="L35" i="1"/>
  <c r="AK35" i="1" s="1"/>
  <c r="S37" i="1"/>
  <c r="R37" i="1"/>
  <c r="H44" i="1"/>
  <c r="AG44" i="1" s="1"/>
  <c r="J44" i="1"/>
  <c r="Q37" i="1"/>
  <c r="H102" i="1" l="1"/>
  <c r="AG45" i="1"/>
  <c r="H103" i="1"/>
  <c r="L43" i="1"/>
  <c r="H43" i="1"/>
  <c r="P102" i="1"/>
  <c r="R38" i="1"/>
  <c r="S38" i="1"/>
  <c r="L34" i="1"/>
  <c r="AK34" i="1" s="1"/>
  <c r="P46" i="1"/>
  <c r="P103" i="1"/>
  <c r="P39" i="1"/>
  <c r="K43" i="1"/>
  <c r="Q38" i="1"/>
  <c r="J43" i="1"/>
  <c r="I43" i="1"/>
  <c r="T38" i="1"/>
  <c r="AK38" i="1" s="1"/>
  <c r="AG43" i="1" l="1"/>
  <c r="H101" i="1"/>
  <c r="AG46" i="1"/>
  <c r="H104" i="1"/>
  <c r="S39" i="1"/>
  <c r="K42" i="1"/>
  <c r="R39" i="1"/>
  <c r="Q40" i="1"/>
  <c r="I42" i="1"/>
  <c r="J42" i="1"/>
  <c r="H42" i="1"/>
  <c r="P101" i="1"/>
  <c r="T39" i="1"/>
  <c r="AK39" i="1" s="1"/>
  <c r="P47" i="1"/>
  <c r="P104" i="1"/>
  <c r="Q39" i="1"/>
  <c r="L33" i="1"/>
  <c r="AK33" i="1" s="1"/>
  <c r="L42" i="1"/>
  <c r="AG42" i="1" l="1"/>
  <c r="H100" i="1"/>
  <c r="AG47" i="1"/>
  <c r="H105" i="1"/>
  <c r="I41" i="1"/>
  <c r="L41" i="1"/>
  <c r="H41" i="1"/>
  <c r="P100" i="1"/>
  <c r="P48" i="1"/>
  <c r="P105" i="1"/>
  <c r="L32" i="1"/>
  <c r="AK32" i="1" s="1"/>
  <c r="Q41" i="1"/>
  <c r="R40" i="1"/>
  <c r="S40" i="1"/>
  <c r="K41" i="1"/>
  <c r="J41" i="1"/>
  <c r="T40" i="1"/>
  <c r="AH41" i="1" l="1"/>
  <c r="I99" i="1"/>
  <c r="AG41" i="1"/>
  <c r="H99" i="1"/>
  <c r="AG48" i="1"/>
  <c r="H106" i="1"/>
  <c r="P106" i="1"/>
  <c r="T41" i="1"/>
  <c r="AK41" i="1" s="1"/>
  <c r="Q42" i="1"/>
  <c r="J40" i="1"/>
  <c r="AI40" i="1" s="1"/>
  <c r="K40" i="1"/>
  <c r="AJ40" i="1" s="1"/>
  <c r="L40" i="1"/>
  <c r="AK40" i="1" s="1"/>
  <c r="S41" i="1"/>
  <c r="R41" i="1"/>
  <c r="H40" i="1"/>
  <c r="P99" i="1"/>
  <c r="I40" i="1"/>
  <c r="AH40" i="1" l="1"/>
  <c r="H39" i="1"/>
  <c r="H97" i="1" s="1"/>
  <c r="I98" i="1"/>
  <c r="AJ41" i="1"/>
  <c r="K99" i="1"/>
  <c r="AH42" i="1"/>
  <c r="I100" i="1"/>
  <c r="J98" i="1"/>
  <c r="AG40" i="1"/>
  <c r="H98" i="1"/>
  <c r="AI41" i="1"/>
  <c r="J99" i="1"/>
  <c r="K98" i="1"/>
  <c r="X41" i="1" a="1"/>
  <c r="X41" i="1" s="1"/>
  <c r="J61" i="1" s="1"/>
  <c r="X40" i="1" a="1"/>
  <c r="X40" i="1" s="1"/>
  <c r="H60" i="1" s="1"/>
  <c r="P98" i="1"/>
  <c r="R42" i="1"/>
  <c r="T42" i="1"/>
  <c r="AK42" i="1" s="1"/>
  <c r="I39" i="1"/>
  <c r="Q43" i="1"/>
  <c r="S42" i="1"/>
  <c r="K39" i="1"/>
  <c r="J39" i="1"/>
  <c r="AL40" i="1" l="1"/>
  <c r="AL41" i="1"/>
  <c r="AG39" i="1"/>
  <c r="AI39" i="1"/>
  <c r="J97" i="1"/>
  <c r="AJ39" i="1"/>
  <c r="K97" i="1"/>
  <c r="AI42" i="1"/>
  <c r="J100" i="1"/>
  <c r="AJ42" i="1"/>
  <c r="K100" i="1"/>
  <c r="AH43" i="1"/>
  <c r="I101" i="1"/>
  <c r="AH39" i="1"/>
  <c r="I97" i="1"/>
  <c r="S61" i="1"/>
  <c r="T61" i="1"/>
  <c r="Q61" i="1"/>
  <c r="K60" i="1"/>
  <c r="L61" i="1"/>
  <c r="K61" i="1"/>
  <c r="P61" i="1"/>
  <c r="J60" i="1"/>
  <c r="I61" i="1"/>
  <c r="L60" i="1"/>
  <c r="H61" i="1"/>
  <c r="R61" i="1"/>
  <c r="I60" i="1"/>
  <c r="X42" i="1" a="1"/>
  <c r="X42" i="1" s="1"/>
  <c r="P62" i="1" s="1"/>
  <c r="X39" i="1" a="1"/>
  <c r="X39" i="1" s="1"/>
  <c r="J59" i="1" s="1"/>
  <c r="P60" i="1"/>
  <c r="Q60" i="1"/>
  <c r="T60" i="1"/>
  <c r="S60" i="1"/>
  <c r="R60" i="1"/>
  <c r="I38" i="1"/>
  <c r="S43" i="1"/>
  <c r="J38" i="1"/>
  <c r="K38" i="1"/>
  <c r="T43" i="1"/>
  <c r="AK43" i="1" s="1"/>
  <c r="H38" i="1"/>
  <c r="R43" i="1"/>
  <c r="Q44" i="1"/>
  <c r="AL42" i="1" l="1"/>
  <c r="AI43" i="1"/>
  <c r="J101" i="1"/>
  <c r="AJ38" i="1"/>
  <c r="K96" i="1"/>
  <c r="AJ43" i="1"/>
  <c r="K101" i="1"/>
  <c r="AG38" i="1"/>
  <c r="H96" i="1"/>
  <c r="AI38" i="1"/>
  <c r="J96" i="1"/>
  <c r="AH38" i="1"/>
  <c r="I96" i="1"/>
  <c r="AH44" i="1"/>
  <c r="I102" i="1"/>
  <c r="AL39" i="1"/>
  <c r="S62" i="1"/>
  <c r="J62" i="1"/>
  <c r="Q62" i="1"/>
  <c r="T62" i="1"/>
  <c r="H62" i="1"/>
  <c r="L62" i="1"/>
  <c r="I62" i="1"/>
  <c r="R62" i="1"/>
  <c r="K62" i="1"/>
  <c r="X43" i="1" a="1"/>
  <c r="X43" i="1" s="1"/>
  <c r="S63" i="1" s="1"/>
  <c r="X38" i="1" a="1"/>
  <c r="X38" i="1" s="1"/>
  <c r="K58" i="1" s="1"/>
  <c r="L59" i="1"/>
  <c r="P59" i="1"/>
  <c r="Q59" i="1"/>
  <c r="T59" i="1"/>
  <c r="S59" i="1"/>
  <c r="R59" i="1"/>
  <c r="H59" i="1"/>
  <c r="K59" i="1"/>
  <c r="I59" i="1"/>
  <c r="Q45" i="1"/>
  <c r="K37" i="1"/>
  <c r="J37" i="1"/>
  <c r="R44" i="1"/>
  <c r="S44" i="1"/>
  <c r="T44" i="1"/>
  <c r="AK44" i="1" s="1"/>
  <c r="H37" i="1"/>
  <c r="I37" i="1"/>
  <c r="AL38" i="1" l="1"/>
  <c r="AI44" i="1"/>
  <c r="R45" i="1"/>
  <c r="J103" i="1" s="1"/>
  <c r="J102" i="1"/>
  <c r="AJ37" i="1"/>
  <c r="K95" i="1"/>
  <c r="AH45" i="1"/>
  <c r="I103" i="1"/>
  <c r="AH37" i="1"/>
  <c r="I95" i="1"/>
  <c r="AG37" i="1"/>
  <c r="H95" i="1"/>
  <c r="AI37" i="1"/>
  <c r="J95" i="1"/>
  <c r="AJ44" i="1"/>
  <c r="K102" i="1"/>
  <c r="AL43" i="1"/>
  <c r="J58" i="1"/>
  <c r="X44" i="1" a="1"/>
  <c r="X44" i="1" s="1"/>
  <c r="L64" i="1" s="1"/>
  <c r="I58" i="1"/>
  <c r="X37" i="1" a="1"/>
  <c r="X37" i="1" s="1"/>
  <c r="J57" i="1" s="1"/>
  <c r="L58" i="1"/>
  <c r="P58" i="1"/>
  <c r="R58" i="1"/>
  <c r="T58" i="1"/>
  <c r="Q58" i="1"/>
  <c r="S58" i="1"/>
  <c r="H58" i="1"/>
  <c r="P63" i="1"/>
  <c r="I63" i="1"/>
  <c r="K63" i="1"/>
  <c r="L63" i="1"/>
  <c r="H63" i="1"/>
  <c r="J63" i="1"/>
  <c r="Q63" i="1"/>
  <c r="T63" i="1"/>
  <c r="R63" i="1"/>
  <c r="I36" i="1"/>
  <c r="J36" i="1"/>
  <c r="S45" i="1"/>
  <c r="H36" i="1"/>
  <c r="K36" i="1"/>
  <c r="T45" i="1"/>
  <c r="AK45" i="1" s="1"/>
  <c r="Q46" i="1"/>
  <c r="AI45" i="1" l="1"/>
  <c r="AL44" i="1"/>
  <c r="AL37" i="1"/>
  <c r="AI36" i="1"/>
  <c r="J94" i="1"/>
  <c r="AH36" i="1"/>
  <c r="I94" i="1"/>
  <c r="AH46" i="1"/>
  <c r="I104" i="1"/>
  <c r="AJ36" i="1"/>
  <c r="K94" i="1"/>
  <c r="AG36" i="1"/>
  <c r="H94" i="1"/>
  <c r="AJ45" i="1"/>
  <c r="K103" i="1"/>
  <c r="R64" i="1"/>
  <c r="I64" i="1"/>
  <c r="S64" i="1"/>
  <c r="K64" i="1"/>
  <c r="Q64" i="1"/>
  <c r="J64" i="1"/>
  <c r="P64" i="1"/>
  <c r="K57" i="1"/>
  <c r="H64" i="1"/>
  <c r="T64" i="1"/>
  <c r="X36" i="1" a="1"/>
  <c r="X36" i="1" s="1"/>
  <c r="I56" i="1" s="1"/>
  <c r="L57" i="1"/>
  <c r="P57" i="1"/>
  <c r="S57" i="1"/>
  <c r="Q57" i="1"/>
  <c r="R57" i="1"/>
  <c r="T57" i="1"/>
  <c r="X45" i="1" a="1"/>
  <c r="X45" i="1" s="1"/>
  <c r="R65" i="1" s="1"/>
  <c r="H57" i="1"/>
  <c r="I57" i="1"/>
  <c r="H35" i="1"/>
  <c r="S46" i="1"/>
  <c r="Q47" i="1"/>
  <c r="J35" i="1"/>
  <c r="T46" i="1"/>
  <c r="AK46" i="1" s="1"/>
  <c r="I35" i="1"/>
  <c r="K35" i="1"/>
  <c r="R46" i="1"/>
  <c r="AL45" i="1" l="1"/>
  <c r="AL36" i="1"/>
  <c r="AH35" i="1"/>
  <c r="I93" i="1"/>
  <c r="AI35" i="1"/>
  <c r="J93" i="1"/>
  <c r="AH47" i="1"/>
  <c r="I105" i="1"/>
  <c r="AJ46" i="1"/>
  <c r="K104" i="1"/>
  <c r="AG35" i="1"/>
  <c r="H93" i="1"/>
  <c r="AI46" i="1"/>
  <c r="J104" i="1"/>
  <c r="AJ35" i="1"/>
  <c r="K93" i="1"/>
  <c r="J56" i="1"/>
  <c r="X46" i="1" a="1"/>
  <c r="X46" i="1" s="1"/>
  <c r="R66" i="1" s="1"/>
  <c r="X35" i="1" a="1"/>
  <c r="X35" i="1" s="1"/>
  <c r="H55" i="1" s="1"/>
  <c r="J65" i="1"/>
  <c r="K65" i="1"/>
  <c r="L65" i="1"/>
  <c r="I65" i="1"/>
  <c r="H65" i="1"/>
  <c r="P65" i="1"/>
  <c r="Q65" i="1"/>
  <c r="S65" i="1"/>
  <c r="P56" i="1"/>
  <c r="T56" i="1"/>
  <c r="L56" i="1"/>
  <c r="S56" i="1"/>
  <c r="R56" i="1"/>
  <c r="Q56" i="1"/>
  <c r="H56" i="1"/>
  <c r="K56" i="1"/>
  <c r="T65" i="1"/>
  <c r="T47" i="1"/>
  <c r="AK47" i="1" s="1"/>
  <c r="J34" i="1"/>
  <c r="R47" i="1"/>
  <c r="Q48" i="1"/>
  <c r="K34" i="1"/>
  <c r="S47" i="1"/>
  <c r="I34" i="1"/>
  <c r="H34" i="1"/>
  <c r="AJ47" i="1" l="1"/>
  <c r="K105" i="1"/>
  <c r="AJ34" i="1"/>
  <c r="K92" i="1"/>
  <c r="AH48" i="1"/>
  <c r="I106" i="1"/>
  <c r="AI47" i="1"/>
  <c r="J105" i="1"/>
  <c r="AI34" i="1"/>
  <c r="J92" i="1"/>
  <c r="AG34" i="1"/>
  <c r="H92" i="1"/>
  <c r="AH34" i="1"/>
  <c r="I92" i="1"/>
  <c r="AL46" i="1"/>
  <c r="AL35" i="1"/>
  <c r="T66" i="1"/>
  <c r="S66" i="1"/>
  <c r="Q66" i="1"/>
  <c r="P66" i="1"/>
  <c r="K66" i="1"/>
  <c r="L66" i="1"/>
  <c r="H66" i="1"/>
  <c r="J66" i="1"/>
  <c r="I66" i="1"/>
  <c r="J55" i="1"/>
  <c r="P55" i="1"/>
  <c r="Q55" i="1"/>
  <c r="R55" i="1"/>
  <c r="T55" i="1"/>
  <c r="S55" i="1"/>
  <c r="L55" i="1"/>
  <c r="X34" i="1" a="1"/>
  <c r="X34" i="1" s="1"/>
  <c r="I54" i="1" s="1"/>
  <c r="I55" i="1"/>
  <c r="X47" i="1" a="1"/>
  <c r="X47" i="1" s="1"/>
  <c r="K55" i="1"/>
  <c r="K33" i="1"/>
  <c r="I33" i="1"/>
  <c r="H33" i="1"/>
  <c r="R48" i="1"/>
  <c r="J33" i="1"/>
  <c r="S48" i="1"/>
  <c r="T48" i="1"/>
  <c r="AK48" i="1" s="1"/>
  <c r="AL47" i="1" l="1"/>
  <c r="AL34" i="1"/>
  <c r="AJ33" i="1"/>
  <c r="K91" i="1"/>
  <c r="AJ48" i="1"/>
  <c r="K106" i="1"/>
  <c r="AH33" i="1"/>
  <c r="I91" i="1"/>
  <c r="AI33" i="1"/>
  <c r="J91" i="1"/>
  <c r="AI48" i="1"/>
  <c r="J106" i="1"/>
  <c r="AG33" i="1"/>
  <c r="H91" i="1"/>
  <c r="L67" i="1"/>
  <c r="L86" i="1" s="1"/>
  <c r="H67" i="1"/>
  <c r="H86" i="1" s="1"/>
  <c r="I67" i="1"/>
  <c r="I86" i="1" s="1"/>
  <c r="K67" i="1"/>
  <c r="K86" i="1" s="1"/>
  <c r="J67" i="1"/>
  <c r="J86" i="1" s="1"/>
  <c r="P67" i="1"/>
  <c r="Q67" i="1"/>
  <c r="P54" i="1"/>
  <c r="R54" i="1"/>
  <c r="S54" i="1"/>
  <c r="T54" i="1"/>
  <c r="Q54" i="1"/>
  <c r="L54" i="1"/>
  <c r="H54" i="1"/>
  <c r="H73" i="1" s="1"/>
  <c r="X48" i="1" a="1"/>
  <c r="X48" i="1" s="1"/>
  <c r="S68" i="1" s="1"/>
  <c r="R67" i="1"/>
  <c r="X33" i="1" a="1"/>
  <c r="X33" i="1" s="1"/>
  <c r="I53" i="1" s="1"/>
  <c r="I72" i="1" s="1"/>
  <c r="T67" i="1"/>
  <c r="K54" i="1"/>
  <c r="K73" i="1" s="1"/>
  <c r="J54" i="1"/>
  <c r="S67" i="1"/>
  <c r="H32" i="1"/>
  <c r="J32" i="1"/>
  <c r="I32" i="1"/>
  <c r="K32" i="1"/>
  <c r="H74" i="1"/>
  <c r="P83" i="1"/>
  <c r="K74" i="1"/>
  <c r="J83" i="1"/>
  <c r="J82" i="1"/>
  <c r="K82" i="1"/>
  <c r="H83" i="1"/>
  <c r="L85" i="1"/>
  <c r="L74" i="1"/>
  <c r="I83" i="1"/>
  <c r="H82" i="1"/>
  <c r="P82" i="1"/>
  <c r="I82" i="1"/>
  <c r="J74" i="1"/>
  <c r="K85" i="1"/>
  <c r="H85" i="1"/>
  <c r="H75" i="1"/>
  <c r="I85" i="1"/>
  <c r="I73" i="1"/>
  <c r="AL48" i="1" l="1"/>
  <c r="AL33" i="1"/>
  <c r="H90" i="1"/>
  <c r="AJ32" i="1"/>
  <c r="K90" i="1"/>
  <c r="AH32" i="1"/>
  <c r="I90" i="1"/>
  <c r="AI32" i="1"/>
  <c r="J90" i="1"/>
  <c r="AG32" i="1"/>
  <c r="P90" i="1"/>
  <c r="H53" i="1"/>
  <c r="H72" i="1" s="1"/>
  <c r="K53" i="1"/>
  <c r="K72" i="1" s="1"/>
  <c r="J53" i="1"/>
  <c r="J72" i="1" s="1"/>
  <c r="I68" i="1"/>
  <c r="I87" i="1" s="1"/>
  <c r="L68" i="1"/>
  <c r="L87" i="1" s="1"/>
  <c r="J68" i="1"/>
  <c r="J87" i="1" s="1"/>
  <c r="K68" i="1"/>
  <c r="K87" i="1" s="1"/>
  <c r="H68" i="1"/>
  <c r="H87" i="1" s="1"/>
  <c r="P68" i="1"/>
  <c r="P87" i="1" s="1"/>
  <c r="Q68" i="1"/>
  <c r="T68" i="1"/>
  <c r="R68" i="1"/>
  <c r="X32" i="1" a="1"/>
  <c r="X32" i="1" s="1"/>
  <c r="H52" i="1" s="1"/>
  <c r="P53" i="1"/>
  <c r="T53" i="1"/>
  <c r="Q53" i="1"/>
  <c r="R53" i="1"/>
  <c r="S53" i="1"/>
  <c r="L53" i="1"/>
  <c r="L72" i="1" s="1"/>
  <c r="M66" i="1"/>
  <c r="M67" i="1"/>
  <c r="P84" i="1"/>
  <c r="P81" i="1"/>
  <c r="J75" i="1"/>
  <c r="L75" i="1"/>
  <c r="K75" i="1"/>
  <c r="J85" i="1"/>
  <c r="I81" i="1"/>
  <c r="L81" i="1"/>
  <c r="K81" i="1"/>
  <c r="J81" i="1"/>
  <c r="P86" i="1"/>
  <c r="I84" i="1"/>
  <c r="L84" i="1"/>
  <c r="J84" i="1"/>
  <c r="K84" i="1"/>
  <c r="L73" i="1"/>
  <c r="L83" i="1"/>
  <c r="K83" i="1"/>
  <c r="I74" i="1"/>
  <c r="J73" i="1"/>
  <c r="AL32" i="1" l="1"/>
  <c r="J52" i="1"/>
  <c r="I52" i="1"/>
  <c r="K52" i="1"/>
  <c r="Q52" i="1"/>
  <c r="Q71" i="1" s="1"/>
  <c r="P52" i="1"/>
  <c r="P71" i="1" s="1"/>
  <c r="R52" i="1"/>
  <c r="R71" i="1" s="1"/>
  <c r="T52" i="1"/>
  <c r="T71" i="1" s="1"/>
  <c r="S52" i="1"/>
  <c r="S71" i="1" s="1"/>
  <c r="L52" i="1"/>
  <c r="M53" i="1"/>
  <c r="M61" i="1"/>
  <c r="M58" i="1"/>
  <c r="M64" i="1"/>
  <c r="I75" i="1"/>
  <c r="M56" i="1"/>
  <c r="H84" i="1"/>
  <c r="M65" i="1"/>
  <c r="M54" i="1"/>
  <c r="M62" i="1"/>
  <c r="H81" i="1"/>
  <c r="L82" i="1"/>
  <c r="M63" i="1"/>
  <c r="M60" i="1"/>
  <c r="M59" i="1"/>
  <c r="M57" i="1"/>
  <c r="P85" i="1"/>
  <c r="M55" i="1"/>
  <c r="M68" i="1"/>
  <c r="U52" i="1" l="1"/>
  <c r="L71" i="1"/>
  <c r="I71" i="1"/>
  <c r="Q90" i="1"/>
  <c r="S72" i="1"/>
  <c r="S91" i="1"/>
  <c r="R91" i="1"/>
  <c r="R72" i="1"/>
  <c r="S90" i="1"/>
  <c r="K71" i="1"/>
  <c r="P91" i="1"/>
  <c r="T72" i="1"/>
  <c r="Q91" i="1"/>
  <c r="Q72" i="1"/>
  <c r="R90" i="1"/>
  <c r="J71" i="1"/>
  <c r="H71" i="1" l="1"/>
  <c r="M52" i="1"/>
  <c r="W52" i="1" s="1"/>
  <c r="Q92" i="1"/>
  <c r="Q73" i="1"/>
  <c r="R92" i="1"/>
  <c r="R73" i="1"/>
  <c r="T73" i="1"/>
  <c r="S92" i="1"/>
  <c r="S73" i="1"/>
  <c r="U53" i="1"/>
  <c r="W53" i="1" s="1"/>
  <c r="P72" i="1"/>
  <c r="P92" i="1"/>
  <c r="R74" i="1" l="1"/>
  <c r="R93" i="1"/>
  <c r="P73" i="1"/>
  <c r="U54" i="1"/>
  <c r="W54" i="1" s="1"/>
  <c r="Q74" i="1"/>
  <c r="Q93" i="1"/>
  <c r="P93" i="1"/>
  <c r="T74" i="1"/>
  <c r="S74" i="1"/>
  <c r="S93" i="1"/>
  <c r="Q75" i="1" l="1"/>
  <c r="Q94" i="1"/>
  <c r="P94" i="1"/>
  <c r="S75" i="1"/>
  <c r="S94" i="1"/>
  <c r="T75" i="1"/>
  <c r="U55" i="1"/>
  <c r="W55" i="1" s="1"/>
  <c r="P74" i="1"/>
  <c r="R75" i="1"/>
  <c r="R94" i="1"/>
  <c r="Q95" i="1" l="1"/>
  <c r="P75" i="1"/>
  <c r="U56" i="1"/>
  <c r="W56" i="1" s="1"/>
  <c r="P95" i="1"/>
  <c r="R95" i="1"/>
  <c r="S95" i="1"/>
  <c r="U57" i="1" l="1"/>
  <c r="W57" i="1" s="1"/>
  <c r="R96" i="1"/>
  <c r="S96" i="1"/>
  <c r="P96" i="1"/>
  <c r="Q96" i="1"/>
  <c r="U58" i="1" l="1"/>
  <c r="W58" i="1" s="1"/>
  <c r="P97" i="1"/>
  <c r="P108" i="1" s="1"/>
  <c r="S97" i="1"/>
  <c r="Q97" i="1"/>
  <c r="R97" i="1"/>
  <c r="U59" i="1" l="1"/>
  <c r="W59" i="1" s="1"/>
  <c r="Q98" i="1"/>
  <c r="R98" i="1"/>
  <c r="S98" i="1"/>
  <c r="U60" i="1" l="1"/>
  <c r="W60" i="1" s="1"/>
  <c r="R99" i="1"/>
  <c r="Q99" i="1"/>
  <c r="S99" i="1"/>
  <c r="U61" i="1" l="1"/>
  <c r="W61" i="1" s="1"/>
  <c r="T81" i="1"/>
  <c r="S100" i="1"/>
  <c r="S81" i="1"/>
  <c r="Q100" i="1"/>
  <c r="R100" i="1"/>
  <c r="R81" i="1"/>
  <c r="R101" i="1" l="1"/>
  <c r="R108" i="1" s="1"/>
  <c r="R82" i="1"/>
  <c r="S101" i="1"/>
  <c r="S108" i="1" s="1"/>
  <c r="S82" i="1"/>
  <c r="Q101" i="1"/>
  <c r="Q108" i="1" s="1"/>
  <c r="Q81" i="1"/>
  <c r="U62" i="1"/>
  <c r="W62" i="1" s="1"/>
  <c r="T82" i="1"/>
  <c r="T83" i="1" l="1"/>
  <c r="S83" i="1"/>
  <c r="S102" i="1"/>
  <c r="Q102" i="1"/>
  <c r="Q82" i="1"/>
  <c r="U63" i="1"/>
  <c r="W63" i="1" s="1"/>
  <c r="R83" i="1"/>
  <c r="R102" i="1"/>
  <c r="S84" i="1" l="1"/>
  <c r="S103" i="1"/>
  <c r="T84" i="1"/>
  <c r="Q83" i="1"/>
  <c r="U64" i="1"/>
  <c r="W64" i="1" s="1"/>
  <c r="R103" i="1"/>
  <c r="R84" i="1"/>
  <c r="Q103" i="1"/>
  <c r="Q84" i="1" l="1"/>
  <c r="U65" i="1"/>
  <c r="W65" i="1" s="1"/>
  <c r="Q104" i="1"/>
  <c r="T85" i="1"/>
  <c r="S85" i="1"/>
  <c r="S104" i="1"/>
  <c r="R85" i="1"/>
  <c r="R104" i="1"/>
  <c r="Q85" i="1" l="1"/>
  <c r="U66" i="1"/>
  <c r="W66" i="1" s="1"/>
  <c r="S86" i="1"/>
  <c r="S105" i="1"/>
  <c r="T86" i="1"/>
  <c r="R86" i="1"/>
  <c r="R105" i="1"/>
  <c r="Q105" i="1"/>
  <c r="T87" i="1" l="1"/>
  <c r="S106" i="1"/>
  <c r="S87" i="1"/>
  <c r="Q86" i="1"/>
  <c r="U67" i="1"/>
  <c r="W67" i="1" s="1"/>
  <c r="Q106" i="1"/>
  <c r="R106" i="1"/>
  <c r="R87" i="1"/>
  <c r="B24" i="1" l="1"/>
  <c r="Q87" i="1"/>
  <c r="U68" i="1"/>
  <c r="W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<sst xmlns="http://schemas.openxmlformats.org/spreadsheetml/2006/main" count="242" uniqueCount="65">
  <si>
    <t>Age</t>
  </si>
  <si>
    <t>Length</t>
  </si>
  <si>
    <t>Weight</t>
  </si>
  <si>
    <t>Maturity</t>
  </si>
  <si>
    <t>Selectivity</t>
  </si>
  <si>
    <t>Survivorship</t>
  </si>
  <si>
    <t>Survival</t>
  </si>
  <si>
    <t>Unmarked captures</t>
  </si>
  <si>
    <t>Recaptures</t>
  </si>
  <si>
    <t>Unmarked mortalities</t>
  </si>
  <si>
    <t>Marked mortalities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</si>
  <si>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</si>
  <si>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</si>
  <si>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</si>
  <si>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</si>
  <si>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</si>
  <si>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</si>
  <si>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</si>
  <si>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</si>
  <si>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</si>
  <si>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</si>
  <si>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</si>
  <si>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</si>
  <si>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</si>
  <si>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Year</t>
  </si>
  <si>
    <t>Marked</t>
  </si>
  <si>
    <t>Unmarked fish (Uhat)</t>
  </si>
  <si>
    <t>M</t>
  </si>
  <si>
    <t>sel1</t>
  </si>
  <si>
    <t>sel2</t>
  </si>
  <si>
    <t>sel3</t>
  </si>
  <si>
    <t>sel4</t>
  </si>
  <si>
    <t>NT,1</t>
  </si>
  <si>
    <t>NT,2</t>
  </si>
  <si>
    <t>NT,3</t>
  </si>
  <si>
    <t>NT,4</t>
  </si>
  <si>
    <t>Marked fish (Mhat)</t>
  </si>
  <si>
    <t>Linf</t>
  </si>
  <si>
    <t>K</t>
  </si>
  <si>
    <t>t0</t>
  </si>
  <si>
    <t>SUM</t>
  </si>
  <si>
    <t>Predicted unmarked catches</t>
  </si>
  <si>
    <t>Predicted recaptures</t>
  </si>
  <si>
    <t>LIKELIHOOD</t>
  </si>
  <si>
    <t>Likelihood</t>
  </si>
  <si>
    <t>DATA</t>
  </si>
  <si>
    <t>PREDICTIONS</t>
  </si>
  <si>
    <t>SUM PREDICTED</t>
  </si>
  <si>
    <t>SUM OBSERVED</t>
  </si>
  <si>
    <t>Unrep</t>
  </si>
  <si>
    <t>Mpen</t>
  </si>
  <si>
    <t>BINOMIAL LIKELIHOOD</t>
  </si>
  <si>
    <t>Ind consump</t>
  </si>
  <si>
    <t>SOCKEYE CONSUMPTION ESTIMATE</t>
  </si>
  <si>
    <t>ANNUAL</t>
  </si>
  <si>
    <t>Total abundance</t>
  </si>
  <si>
    <t>Fmay</t>
  </si>
  <si>
    <t>Fjune</t>
  </si>
  <si>
    <t>Fjuly</t>
  </si>
  <si>
    <t>Faug</t>
  </si>
  <si>
    <t>Fsept</t>
  </si>
  <si>
    <t>Unobs Fhat</t>
  </si>
  <si>
    <t>Obs Fhat</t>
  </si>
  <si>
    <t>Vuln Abundance</t>
  </si>
  <si>
    <t>Fother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</si>
</sst>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mbria"/>
      <family val="2"/>
    </font>
    <font>
      <sz val="10"/>
      <name val="Cambria"/>
      <family val="2"/>
    </font>
    <font>
      <b/>
      <sz val="2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Selectivity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Sheet1!$H$1:$L$1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Sheet1!$H$5:$L$5</c:f>
              <c:numCache>
                <c:formatCode>General</c:formatCode>
                <c:ptCount val="5"/>
                <c:pt idx="0">
                  <c:v>5.6854586478034501E-59</c:v>
                </c:pt>
                <c:pt idx="1">
                  <c:v>1</c:v>
                </c:pt>
                <c:pt idx="2">
                  <c:v>1</c:v>
                </c:pt>
                <c:pt idx="3">
                  <c:v>0.99999999913040516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89-FF4F-B0CE-8CC33F499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161471"/>
        <c:axId val="534722367"/>
      </c:scatterChart>
      <c:valAx>
        <c:axId val="160916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22367"/>
        <c:crosses val="autoZero"/>
        <c:crossBetween val="midCat"/>
      </c:valAx>
      <c:valAx>
        <c:axId val="53472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16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Unmarked</a:t>
            </a:r>
            <a:r>
              <a:rPr lang="en-US" baseline="0"/>
              <a:t> </a:t>
            </a:r>
            <a:r>
              <a:rPr lang="en-US"/>
              <a:t>catch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Sheet1!$F$12:$F$28</c:f>
              <c:strCache>
                <c:ptCount val="17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  <c:pt idx="8">
                  <c:v>January</c:v>
                </c:pt>
                <c:pt idx="9">
                  <c:v>February</c:v>
                </c:pt>
                <c:pt idx="10">
                  <c:v>March</c:v>
                </c:pt>
                <c:pt idx="11">
                  <c:v>April</c:v>
                </c:pt>
                <c:pt idx="12">
                  <c:v>May</c:v>
                </c:pt>
                <c:pt idx="13">
                  <c:v>June</c:v>
                </c:pt>
                <c:pt idx="14">
                  <c:v>July</c:v>
                </c:pt>
                <c:pt idx="15">
                  <c:v>August</c:v>
                </c:pt>
                <c:pt idx="16">
                  <c:v>September</c:v>
                </c:pt>
              </c:strCache>
            </c:strRef>
          </c:xVal>
          <c:yVal>
            <c:numRef>
              <c:f>Sheet1!$M$12:$M$28</c:f>
              <c:numCache>
                <c:formatCode>General</c:formatCode>
                <c:ptCount val="17"/>
                <c:pt idx="0">
                  <c:v>40</c:v>
                </c:pt>
                <c:pt idx="1">
                  <c:v>21</c:v>
                </c:pt>
                <c:pt idx="2">
                  <c:v>65</c:v>
                </c:pt>
                <c:pt idx="3">
                  <c:v>39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112</c:v>
                </c:pt>
                <c:pt idx="13">
                  <c:v>73</c:v>
                </c:pt>
                <c:pt idx="14">
                  <c:v>22</c:v>
                </c:pt>
                <c:pt idx="15">
                  <c:v>51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E-8041-8BBE-50D8F09B16F0}"/>
            </c:ext>
          </c:extLst>
        </c:ser>
        <c:ser>
          <c:idx val="1"/>
          <c:order val="1"/>
          <c:tx>
            <c:v>Predicted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Sheet1!$F$12:$F$28</c:f>
              <c:strCache>
                <c:ptCount val="17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  <c:pt idx="8">
                  <c:v>January</c:v>
                </c:pt>
                <c:pt idx="9">
                  <c:v>February</c:v>
                </c:pt>
                <c:pt idx="10">
                  <c:v>March</c:v>
                </c:pt>
                <c:pt idx="11">
                  <c:v>April</c:v>
                </c:pt>
                <c:pt idx="12">
                  <c:v>May</c:v>
                </c:pt>
                <c:pt idx="13">
                  <c:v>June</c:v>
                </c:pt>
                <c:pt idx="14">
                  <c:v>July</c:v>
                </c:pt>
                <c:pt idx="15">
                  <c:v>August</c:v>
                </c:pt>
                <c:pt idx="16">
                  <c:v>September</c:v>
                </c:pt>
              </c:strCache>
            </c:strRef>
          </c:xVal>
          <c:yVal>
            <c:numRef>
              <c:f>Sheet1!$M$52:$M$68</c:f>
              <c:numCache>
                <c:formatCode>General</c:formatCode>
                <c:ptCount val="17"/>
                <c:pt idx="0">
                  <c:v>25.760128526893233</c:v>
                </c:pt>
                <c:pt idx="1">
                  <c:v>18.524601940818922</c:v>
                </c:pt>
                <c:pt idx="2">
                  <c:v>52.624135387479704</c:v>
                </c:pt>
                <c:pt idx="3">
                  <c:v>30.494606806402142</c:v>
                </c:pt>
                <c:pt idx="4">
                  <c:v>15.131697244051576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0.79625232403236201</c:v>
                </c:pt>
                <c:pt idx="11">
                  <c:v>4.7917095720426728</c:v>
                </c:pt>
                <c:pt idx="12">
                  <c:v>78.013449070380005</c:v>
                </c:pt>
                <c:pt idx="13">
                  <c:v>74.985024784807621</c:v>
                </c:pt>
                <c:pt idx="14">
                  <c:v>9.0379425820546473</c:v>
                </c:pt>
                <c:pt idx="15">
                  <c:v>17.099230955102342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E-8041-8BBE-50D8F09B1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8847"/>
        <c:axId val="897290015"/>
      </c:scatterChart>
      <c:valAx>
        <c:axId val="89748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90015"/>
        <c:crosses val="autoZero"/>
        <c:crossBetween val="midCat"/>
      </c:valAx>
      <c:valAx>
        <c:axId val="897290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8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Marked catch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Sheet1!$F$12:$F$28</c:f>
              <c:strCache>
                <c:ptCount val="17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  <c:pt idx="8">
                  <c:v>January</c:v>
                </c:pt>
                <c:pt idx="9">
                  <c:v>February</c:v>
                </c:pt>
                <c:pt idx="10">
                  <c:v>March</c:v>
                </c:pt>
                <c:pt idx="11">
                  <c:v>April</c:v>
                </c:pt>
                <c:pt idx="12">
                  <c:v>May</c:v>
                </c:pt>
                <c:pt idx="13">
                  <c:v>June</c:v>
                </c:pt>
                <c:pt idx="14">
                  <c:v>July</c:v>
                </c:pt>
                <c:pt idx="15">
                  <c:v>August</c:v>
                </c:pt>
                <c:pt idx="16">
                  <c:v>September</c:v>
                </c:pt>
              </c:strCache>
            </c:strRef>
          </c:xVal>
          <c:yVal>
            <c:numRef>
              <c:f>Sheet1!$U$12:$U$28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11</c:v>
                </c:pt>
                <c:pt idx="13">
                  <c:v>42</c:v>
                </c:pt>
                <c:pt idx="14">
                  <c:v>1</c:v>
                </c:pt>
                <c:pt idx="15">
                  <c:v>4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E-EF4F-8337-9E6461A957EA}"/>
            </c:ext>
          </c:extLst>
        </c:ser>
        <c:ser>
          <c:idx val="1"/>
          <c:order val="1"/>
          <c:tx>
            <c:v>Predicted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Sheet1!$F$12:$F$28</c:f>
              <c:strCache>
                <c:ptCount val="17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  <c:pt idx="8">
                  <c:v>January</c:v>
                </c:pt>
                <c:pt idx="9">
                  <c:v>February</c:v>
                </c:pt>
                <c:pt idx="10">
                  <c:v>March</c:v>
                </c:pt>
                <c:pt idx="11">
                  <c:v>April</c:v>
                </c:pt>
                <c:pt idx="12">
                  <c:v>May</c:v>
                </c:pt>
                <c:pt idx="13">
                  <c:v>June</c:v>
                </c:pt>
                <c:pt idx="14">
                  <c:v>July</c:v>
                </c:pt>
                <c:pt idx="15">
                  <c:v>August</c:v>
                </c:pt>
                <c:pt idx="16">
                  <c:v>September</c:v>
                </c:pt>
              </c:strCache>
            </c:strRef>
          </c:xVal>
          <c:yVal>
            <c:numRef>
              <c:f>Sheet1!$U$52:$U$68</c:f>
              <c:numCache>
                <c:formatCode>General</c:formatCode>
                <c:ptCount val="17"/>
                <c:pt idx="0">
                  <c:v>0</c:v>
                </c:pt>
                <c:pt idx="1">
                  <c:v>0.66505440724482079</c:v>
                </c:pt>
                <c:pt idx="2">
                  <c:v>4.4061962492567357</c:v>
                </c:pt>
                <c:pt idx="3">
                  <c:v>2.9796191554760783</c:v>
                </c:pt>
                <c:pt idx="4">
                  <c:v>1.5638402452844589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3.6318712399795533E-2</c:v>
                </c:pt>
                <c:pt idx="11">
                  <c:v>0.20581824784520836</c:v>
                </c:pt>
                <c:pt idx="12">
                  <c:v>3.407009917995341</c:v>
                </c:pt>
                <c:pt idx="13">
                  <c:v>24.083142082097567</c:v>
                </c:pt>
                <c:pt idx="14">
                  <c:v>10.226574449537805</c:v>
                </c:pt>
                <c:pt idx="15">
                  <c:v>29.765689333982259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E-EF4F-8337-9E6461A95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8847"/>
        <c:axId val="897290015"/>
      </c:scatterChart>
      <c:valAx>
        <c:axId val="89748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90015"/>
        <c:crosses val="autoZero"/>
        <c:crossBetween val="midCat"/>
      </c:valAx>
      <c:valAx>
        <c:axId val="897290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8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Sheet1!$AF$32:$AF$48</c:f>
              <c:strCache>
                <c:ptCount val="17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  <c:pt idx="8">
                  <c:v>January</c:v>
                </c:pt>
                <c:pt idx="9">
                  <c:v>February</c:v>
                </c:pt>
                <c:pt idx="10">
                  <c:v>March</c:v>
                </c:pt>
                <c:pt idx="11">
                  <c:v>April</c:v>
                </c:pt>
                <c:pt idx="12">
                  <c:v>May</c:v>
                </c:pt>
                <c:pt idx="13">
                  <c:v>June</c:v>
                </c:pt>
                <c:pt idx="14">
                  <c:v>July</c:v>
                </c:pt>
                <c:pt idx="15">
                  <c:v>August</c:v>
                </c:pt>
                <c:pt idx="16">
                  <c:v>September</c:v>
                </c:pt>
              </c:strCache>
            </c:strRef>
          </c:xVal>
          <c:yVal>
            <c:numRef>
              <c:f>Sheet1!$AL$32:$AL$48</c:f>
              <c:numCache>
                <c:formatCode>General</c:formatCode>
                <c:ptCount val="17"/>
                <c:pt idx="0">
                  <c:v>652.79383797833646</c:v>
                </c:pt>
                <c:pt idx="1">
                  <c:v>341.30461853169402</c:v>
                </c:pt>
                <c:pt idx="2">
                  <c:v>323.92298314009008</c:v>
                </c:pt>
                <c:pt idx="3">
                  <c:v>261.54068197050799</c:v>
                </c:pt>
                <c:pt idx="4">
                  <c:v>240.82236131634559</c:v>
                </c:pt>
                <c:pt idx="5">
                  <c:v>227.5300895366058</c:v>
                </c:pt>
                <c:pt idx="6">
                  <c:v>220.4642750074965</c:v>
                </c:pt>
                <c:pt idx="7">
                  <c:v>213.61788523693872</c:v>
                </c:pt>
                <c:pt idx="8">
                  <c:v>418.83321160193333</c:v>
                </c:pt>
                <c:pt idx="9">
                  <c:v>405.82658993779364</c:v>
                </c:pt>
                <c:pt idx="10">
                  <c:v>393.22388134078409</c:v>
                </c:pt>
                <c:pt idx="11">
                  <c:v>380.04359694373738</c:v>
                </c:pt>
                <c:pt idx="12">
                  <c:v>362.42789070024099</c:v>
                </c:pt>
                <c:pt idx="13">
                  <c:v>170.66896158892311</c:v>
                </c:pt>
                <c:pt idx="14">
                  <c:v>130.48689535352085</c:v>
                </c:pt>
                <c:pt idx="15">
                  <c:v>104.14895236538835</c:v>
                </c:pt>
                <c:pt idx="16">
                  <c:v>62.156835100124411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5-914B-B83A-8EF524D63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76608"/>
        <c:axId val="1706357119"/>
      </c:scatterChart>
      <c:valAx>
        <c:axId val="9407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357119"/>
        <c:crosses val="autoZero"/>
        <c:crossBetween val="midCat"/>
      </c:valAx>
      <c:valAx>
        <c:axId val="1706357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0</xdr:row>
      <xdr:rowOff>101600</xdr:rowOff>
    </xdr:from>
    <xdr:to>
      <xdr:col>16</xdr:col>
      <xdr:colOff>1473200</xdr:colOff>
      <xdr:row>9</xdr:row>
      <xdr:rowOff>304800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D5612-47E0-5232-3367-F99C39C24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100792</xdr:rowOff>
    </xdr:from>
    <xdr:to>
      <xdr:col>4</xdr:col>
      <xdr:colOff>342699</xdr:colOff>
      <xdr:row>39</xdr:row>
      <xdr:rowOff>81440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195A77-B5F9-BBE6-D4E7-A0C43CBA2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4</xdr:col>
      <xdr:colOff>342699</xdr:colOff>
      <xdr:row>53</xdr:row>
      <xdr:rowOff>303187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1BCDEC-DBB0-9544-8C98-23F337B29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745872</xdr:colOff>
      <xdr:row>8</xdr:row>
      <xdr:rowOff>201588</xdr:rowOff>
    </xdr:from>
    <xdr:to>
      <xdr:col>13</xdr:col>
      <xdr:colOff>1189364</xdr:colOff>
      <xdr:row>21</xdr:row>
      <xdr:rowOff>283029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CB6210-ACF4-7300-94E4-2CFACA381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k-Recapture%20Data%20Overall_10-11-2021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ge-length key"/>
      <sheetName val="Explanations"/>
      <sheetName val="PIVOT"/>
    </sheetNames>
    <sheetDataSet>
      <sheetData sheetId="0" refreshError="1"/>
      <sheetData sheetId="1">
        <row r="16">
          <cell r="M16">
            <v>35.733410765843885</v>
          </cell>
        </row>
        <row r="17">
          <cell r="M17">
            <v>79.712163049220635</v>
          </cell>
        </row>
        <row r="18">
          <cell r="M18">
            <v>137.46292330901147</v>
          </cell>
        </row>
        <row r="19">
          <cell r="M19">
            <v>224.76674079050491</v>
          </cell>
        </row>
        <row r="20">
          <cell r="M20">
            <v>305.66834544179068</v>
          </cell>
        </row>
      </sheetData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5825-2EDB-3043-8696-977E6912458C}">
  <sheetPr codeName="Sheet1"/>
  <dimension ref="A1:AU108"/>
  <sheetViews>
    <sheetView tabSelected="1" zoomScale="63" workbookViewId="0">
      <selection activeCell="J36" sqref="J36"/>
    </sheetView>
  </sheetViews>
  <sheetFormatPr baseColWidth="10" defaultRowHeight="25" x14ac:dyDescent="0.25"/>
  <cols>
    <col min="2" max="2" width="12.08984375" bestFit="1" customWidth="1"/>
    <col min="8" max="8" width="12.08984375" bestFit="1" customWidth="1"/>
    <col min="10" max="11" width="12.08984375" bestFit="1" customWidth="1"/>
    <col min="25" max="26" width="12.08984375" bestFit="1" customWidth="1"/>
  </cols>
  <sheetData>
    <row r="1" spans="1:47" x14ac:dyDescent="0.25">
      <c r="A1" t="s">
        <v>27</v>
      </c>
      <c r="B1">
        <f>EXP(C1)</f>
        <v>0.37856193196755333</v>
      </c>
      <c r="C1">
        <v>-0.97137559474055257</v>
      </c>
      <c r="G1" t="s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47" x14ac:dyDescent="0.25">
      <c r="A2" t="s">
        <v>28</v>
      </c>
      <c r="B2">
        <f>1/(1+EXP(-C2))</f>
        <v>5.6854586478034501E-59</v>
      </c>
      <c r="C2">
        <v>-134.11460868586602</v>
      </c>
      <c r="G2" t="s">
        <v>1</v>
      </c>
      <c r="H2">
        <f>Linf*(1-EXP(-K*H1))</f>
        <v>142.11393322056833</v>
      </c>
      <c r="I2">
        <f>Linf*(1-EXP(-K*I1))</f>
        <v>240.51277982767311</v>
      </c>
      <c r="J2">
        <f>Linf*(1-EXP(-K*J1))</f>
        <v>308.64355908477131</v>
      </c>
      <c r="K2">
        <f>Linf*(1-EXP(-K*K1))</f>
        <v>355.81690757648312</v>
      </c>
      <c r="L2">
        <f>Linf*(1-EXP(-K*L1))</f>
        <v>388.47945499169765</v>
      </c>
    </row>
    <row r="3" spans="1:47" x14ac:dyDescent="0.25">
      <c r="A3" t="s">
        <v>29</v>
      </c>
      <c r="B3">
        <f t="shared" ref="B3:B5" si="0">1/(1+EXP(-C3))</f>
        <v>1</v>
      </c>
      <c r="C3">
        <v>9323.4182681581242</v>
      </c>
      <c r="G3" t="s">
        <v>2</v>
      </c>
    </row>
    <row r="4" spans="1:47" x14ac:dyDescent="0.25">
      <c r="A4" t="s">
        <v>30</v>
      </c>
      <c r="B4">
        <v>1</v>
      </c>
      <c r="C4">
        <v>9.9817574338810058</v>
      </c>
      <c r="G4" t="s">
        <v>3</v>
      </c>
    </row>
    <row r="5" spans="1:47" x14ac:dyDescent="0.25">
      <c r="A5" t="s">
        <v>31</v>
      </c>
      <c r="B5">
        <f t="shared" si="0"/>
        <v>0.99999999913040516</v>
      </c>
      <c r="C5">
        <v>20.862993796613377</v>
      </c>
      <c r="G5" t="s">
        <v>4</v>
      </c>
      <c r="H5">
        <f>sel1_</f>
        <v>5.6854586478034501E-59</v>
      </c>
      <c r="I5">
        <f>sel2_</f>
        <v>1</v>
      </c>
      <c r="J5">
        <f>sel3_</f>
        <v>1</v>
      </c>
      <c r="K5">
        <f>sel4_</f>
        <v>0.99999999913040516</v>
      </c>
      <c r="L5">
        <v>0</v>
      </c>
    </row>
    <row r="6" spans="1:47" x14ac:dyDescent="0.25">
      <c r="A6" t="s">
        <v>32</v>
      </c>
      <c r="B6">
        <f>EXP(C6)</f>
        <v>3.3377698854994953E-7</v>
      </c>
      <c r="C6">
        <v>-14.912792765932178</v>
      </c>
      <c r="G6" t="s">
        <v>5</v>
      </c>
      <c r="H6">
        <v>1</v>
      </c>
      <c r="I6">
        <f>H6*EXP(-M)</f>
        <v>0.68484555590891538</v>
      </c>
      <c r="J6">
        <f>I6*EXP(-M)</f>
        <v>0.46901343544819135</v>
      </c>
      <c r="K6">
        <f>J6*EXP(-M)</f>
        <v>0.3212017669282668</v>
      </c>
      <c r="L6">
        <f>K6*EXP(-M)</f>
        <v>0.21997360263091476</v>
      </c>
    </row>
    <row r="7" spans="1:47" x14ac:dyDescent="0.25">
      <c r="A7" t="s">
        <v>33</v>
      </c>
      <c r="B7">
        <f t="shared" ref="B7:B9" si="1">EXP(C7)</f>
        <v>1.1439574133968501E-8</v>
      </c>
      <c r="C7">
        <v>-18.28618707773937</v>
      </c>
      <c r="G7" t="s">
        <v>6</v>
      </c>
    </row>
    <row r="8" spans="1:47" x14ac:dyDescent="0.25">
      <c r="A8" t="s">
        <v>34</v>
      </c>
      <c r="B8">
        <f t="shared" si="1"/>
        <v>3.7168427984703804E-7</v>
      </c>
      <c r="C8">
        <v>-14.805221053120187</v>
      </c>
      <c r="G8" t="s">
        <v>52</v>
      </c>
      <c r="H8">
        <f>'[1]age-length key'!$M$16</f>
        <v>35.733410765843885</v>
      </c>
      <c r="I8">
        <f>'[1]age-length key'!$M$17</f>
        <v>79.712163049220635</v>
      </c>
      <c r="J8">
        <f>'[1]age-length key'!$M$18</f>
        <v>137.46292330901147</v>
      </c>
      <c r="K8">
        <f>'[1]age-length key'!$M$19</f>
        <v>224.76674079050491</v>
      </c>
      <c r="L8">
        <f>'[1]age-length key'!$M$20</f>
        <v>305.66834544179068</v>
      </c>
    </row>
    <row r="9" spans="1:47" x14ac:dyDescent="0.25">
      <c r="A9" t="s">
        <v>35</v>
      </c>
      <c r="B9">
        <f t="shared" si="1"/>
        <v>1.6776753513845479E-8</v>
      </c>
      <c r="C9">
        <v>-17.90327162817491</v>
      </c>
    </row>
    <row r="10" spans="1:47" x14ac:dyDescent="0.25">
      <c r="A10" t="s">
        <v>49</v>
      </c>
      <c r="B10">
        <f>EXP(C10)</f>
        <v>0.17276457686839744</v>
      </c>
      <c r="C10">
        <v>-1.7558254386010754</v>
      </c>
      <c r="G10" s="2" t="s">
        <v>45</v>
      </c>
    </row>
    <row r="11" spans="1:47" x14ac:dyDescent="0.25">
      <c r="E11" t="s">
        <v>24</v>
      </c>
      <c r="F11" t="s">
        <v>11</v>
      </c>
      <c r="G11" t="s">
        <v>7</v>
      </c>
      <c r="H11">
        <v>1</v>
      </c>
      <c r="I11">
        <v>2</v>
      </c>
      <c r="J11">
        <v>3</v>
      </c>
      <c r="K11">
        <v>4</v>
      </c>
      <c r="L11">
        <v>5</v>
      </c>
      <c r="M11" t="s">
        <v>40</v>
      </c>
      <c r="O11" t="s">
        <v>8</v>
      </c>
      <c r="P11">
        <v>1</v>
      </c>
      <c r="Q11">
        <v>2</v>
      </c>
      <c r="R11">
        <v>3</v>
      </c>
      <c r="S11">
        <v>4</v>
      </c>
      <c r="T11">
        <v>5</v>
      </c>
      <c r="U11" t="s">
        <v>40</v>
      </c>
      <c r="V11" t="s">
        <v>48</v>
      </c>
      <c r="W11" s="1" t="s">
        <v>9</v>
      </c>
      <c r="X11">
        <v>1</v>
      </c>
      <c r="Y11">
        <v>2</v>
      </c>
      <c r="Z11">
        <v>3</v>
      </c>
      <c r="AA11">
        <v>4</v>
      </c>
      <c r="AB11">
        <v>5</v>
      </c>
      <c r="AF11" s="1" t="s">
        <v>10</v>
      </c>
      <c r="AG11">
        <v>1</v>
      </c>
      <c r="AH11">
        <v>2</v>
      </c>
      <c r="AI11">
        <v>3</v>
      </c>
      <c r="AJ11">
        <v>4</v>
      </c>
      <c r="AK11">
        <v>5</v>
      </c>
      <c r="AO11" t="s">
        <v>25</v>
      </c>
      <c r="AP11">
        <v>1</v>
      </c>
      <c r="AQ11">
        <v>2</v>
      </c>
      <c r="AR11">
        <v>3</v>
      </c>
      <c r="AS11">
        <v>4</v>
      </c>
      <c r="AT11">
        <v>5</v>
      </c>
      <c r="AU11" t="s">
        <v>40</v>
      </c>
    </row>
    <row r="12" spans="1:47" x14ac:dyDescent="0.25">
      <c r="A12" t="s">
        <v>56</v>
      </c>
      <c r="B12">
        <f>EXP(C12)</f>
        <v>0.58897806592777702</v>
      </c>
      <c r="C12">
        <v>-0.52936633553537249</v>
      </c>
      <c r="E12">
        <v>2020</v>
      </c>
      <c r="F12" t="s">
        <v>13</v>
      </c>
      <c r="H12">
        <v>0</v>
      </c>
      <c r="I12">
        <v>16</v>
      </c>
      <c r="J12">
        <v>21</v>
      </c>
      <c r="K12">
        <v>3</v>
      </c>
      <c r="L12">
        <v>0</v>
      </c>
      <c r="M12">
        <f>SUM(H12:L12)</f>
        <v>40</v>
      </c>
      <c r="O12" t="s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f>SUM(P12:T12)</f>
        <v>0</v>
      </c>
      <c r="V12">
        <f>U12+M12</f>
        <v>40</v>
      </c>
      <c r="W12" s="1"/>
      <c r="X12">
        <v>0</v>
      </c>
      <c r="Y12">
        <v>10</v>
      </c>
      <c r="Z12">
        <v>7</v>
      </c>
      <c r="AA12">
        <v>1</v>
      </c>
      <c r="AB12">
        <v>0</v>
      </c>
      <c r="AF12" s="1"/>
      <c r="AG12">
        <v>0</v>
      </c>
      <c r="AH12">
        <v>0</v>
      </c>
      <c r="AI12">
        <v>0</v>
      </c>
      <c r="AJ12">
        <v>0</v>
      </c>
      <c r="AK12">
        <v>0</v>
      </c>
      <c r="AO12" t="s">
        <v>13</v>
      </c>
      <c r="AP12">
        <v>0</v>
      </c>
      <c r="AQ12">
        <v>6</v>
      </c>
      <c r="AR12">
        <v>14</v>
      </c>
      <c r="AS12">
        <v>2</v>
      </c>
      <c r="AT12">
        <v>0</v>
      </c>
      <c r="AU12">
        <f>SUM(AP12:AT12)</f>
        <v>22</v>
      </c>
    </row>
    <row r="13" spans="1:47" x14ac:dyDescent="0.25">
      <c r="A13" t="s">
        <v>57</v>
      </c>
      <c r="B13">
        <f t="shared" ref="B13:B17" si="2">EXP(C13)</f>
        <v>1.875282403878598E-11</v>
      </c>
      <c r="C13">
        <v>-24.69967675945157</v>
      </c>
      <c r="E13">
        <v>2020</v>
      </c>
      <c r="F13" t="s">
        <v>14</v>
      </c>
      <c r="H13">
        <v>0</v>
      </c>
      <c r="I13">
        <v>4</v>
      </c>
      <c r="J13">
        <v>14</v>
      </c>
      <c r="K13">
        <v>3</v>
      </c>
      <c r="L13">
        <v>0</v>
      </c>
      <c r="M13">
        <f t="shared" ref="M13:M28" si="3">SUM(H13:L13)</f>
        <v>21</v>
      </c>
      <c r="O13" t="s">
        <v>14</v>
      </c>
      <c r="P13">
        <v>0</v>
      </c>
      <c r="Q13">
        <v>0</v>
      </c>
      <c r="R13">
        <v>2</v>
      </c>
      <c r="S13">
        <v>0</v>
      </c>
      <c r="T13">
        <v>0</v>
      </c>
      <c r="U13">
        <f t="shared" ref="U13:U28" si="4">SUM(P13:T13)</f>
        <v>2</v>
      </c>
      <c r="V13">
        <f t="shared" ref="V13:V28" si="5">U13+M13</f>
        <v>23</v>
      </c>
      <c r="W13" t="s">
        <v>14</v>
      </c>
      <c r="X13">
        <v>0</v>
      </c>
      <c r="Y13">
        <v>1</v>
      </c>
      <c r="Z13">
        <v>6</v>
      </c>
      <c r="AA13">
        <v>0</v>
      </c>
      <c r="AB13">
        <v>0</v>
      </c>
      <c r="AF13" t="s">
        <v>14</v>
      </c>
      <c r="AG13">
        <v>0</v>
      </c>
      <c r="AH13">
        <v>0</v>
      </c>
      <c r="AI13">
        <v>0</v>
      </c>
      <c r="AJ13">
        <v>0</v>
      </c>
      <c r="AK13">
        <v>0</v>
      </c>
      <c r="AO13" t="s">
        <v>14</v>
      </c>
      <c r="AP13">
        <v>0</v>
      </c>
      <c r="AQ13">
        <v>3</v>
      </c>
      <c r="AR13">
        <v>8</v>
      </c>
      <c r="AS13">
        <v>3</v>
      </c>
      <c r="AT13">
        <v>0</v>
      </c>
      <c r="AU13">
        <f t="shared" ref="AU13:AU28" si="6">SUM(AP13:AT13)</f>
        <v>14</v>
      </c>
    </row>
    <row r="14" spans="1:47" x14ac:dyDescent="0.25">
      <c r="A14" t="s">
        <v>58</v>
      </c>
      <c r="B14">
        <f t="shared" si="2"/>
        <v>3.0024197173615572E-11</v>
      </c>
      <c r="C14">
        <v>-24.2290174869173</v>
      </c>
      <c r="E14">
        <v>2020</v>
      </c>
      <c r="F14" t="s">
        <v>15</v>
      </c>
      <c r="H14">
        <v>12</v>
      </c>
      <c r="I14">
        <v>28</v>
      </c>
      <c r="J14">
        <v>24</v>
      </c>
      <c r="K14">
        <v>1</v>
      </c>
      <c r="L14">
        <v>0</v>
      </c>
      <c r="M14">
        <f t="shared" si="3"/>
        <v>65</v>
      </c>
      <c r="O14" t="s">
        <v>15</v>
      </c>
      <c r="P14">
        <v>0</v>
      </c>
      <c r="Q14">
        <v>0</v>
      </c>
      <c r="R14">
        <v>1</v>
      </c>
      <c r="S14">
        <v>2</v>
      </c>
      <c r="T14">
        <v>0</v>
      </c>
      <c r="U14">
        <f t="shared" si="4"/>
        <v>3</v>
      </c>
      <c r="V14">
        <f t="shared" si="5"/>
        <v>68</v>
      </c>
      <c r="W14" t="s">
        <v>15</v>
      </c>
      <c r="X14">
        <v>12</v>
      </c>
      <c r="Y14">
        <v>28</v>
      </c>
      <c r="Z14">
        <v>22</v>
      </c>
      <c r="AA14">
        <v>1</v>
      </c>
      <c r="AB14">
        <v>0</v>
      </c>
      <c r="AF14" t="s">
        <v>15</v>
      </c>
      <c r="AG14">
        <v>0</v>
      </c>
      <c r="AH14">
        <v>0</v>
      </c>
      <c r="AI14">
        <v>1</v>
      </c>
      <c r="AJ14">
        <v>2</v>
      </c>
      <c r="AK14">
        <v>0</v>
      </c>
      <c r="AO14" t="s">
        <v>15</v>
      </c>
      <c r="AP14">
        <v>0</v>
      </c>
      <c r="AQ14">
        <v>0</v>
      </c>
      <c r="AR14">
        <v>2</v>
      </c>
      <c r="AS14">
        <v>0</v>
      </c>
      <c r="AT14">
        <v>0</v>
      </c>
      <c r="AU14">
        <f t="shared" si="6"/>
        <v>2</v>
      </c>
    </row>
    <row r="15" spans="1:47" x14ac:dyDescent="0.25">
      <c r="A15" t="s">
        <v>59</v>
      </c>
      <c r="B15">
        <f t="shared" si="2"/>
        <v>1.4289095508772784E-7</v>
      </c>
      <c r="C15">
        <v>-15.761184049411114</v>
      </c>
      <c r="E15">
        <v>2020</v>
      </c>
      <c r="F15" t="s">
        <v>16</v>
      </c>
      <c r="H15">
        <v>26</v>
      </c>
      <c r="I15">
        <v>6</v>
      </c>
      <c r="J15">
        <v>5</v>
      </c>
      <c r="K15">
        <v>2</v>
      </c>
      <c r="L15">
        <v>0</v>
      </c>
      <c r="M15">
        <f t="shared" si="3"/>
        <v>39</v>
      </c>
      <c r="O15" t="s">
        <v>16</v>
      </c>
      <c r="P15">
        <v>0</v>
      </c>
      <c r="Q15">
        <v>0</v>
      </c>
      <c r="R15">
        <v>1</v>
      </c>
      <c r="S15">
        <v>0</v>
      </c>
      <c r="T15">
        <v>0</v>
      </c>
      <c r="U15">
        <f t="shared" si="4"/>
        <v>1</v>
      </c>
      <c r="V15">
        <f t="shared" si="5"/>
        <v>40</v>
      </c>
      <c r="W15" t="s">
        <v>16</v>
      </c>
      <c r="X15">
        <v>26</v>
      </c>
      <c r="Y15">
        <v>6</v>
      </c>
      <c r="Z15">
        <v>5</v>
      </c>
      <c r="AA15">
        <v>2</v>
      </c>
      <c r="AB15">
        <v>0</v>
      </c>
      <c r="AF15" t="s">
        <v>16</v>
      </c>
      <c r="AG15">
        <v>0</v>
      </c>
      <c r="AH15">
        <v>0</v>
      </c>
      <c r="AI15">
        <v>0</v>
      </c>
      <c r="AJ15">
        <v>0</v>
      </c>
      <c r="AK15">
        <v>0</v>
      </c>
      <c r="AO15" t="s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f t="shared" si="6"/>
        <v>0</v>
      </c>
    </row>
    <row r="16" spans="1:47" x14ac:dyDescent="0.25">
      <c r="A16" t="s">
        <v>60</v>
      </c>
      <c r="B16">
        <f t="shared" si="2"/>
        <v>3.5943178881225497E-256</v>
      </c>
      <c r="C16">
        <v>-588.18242957235339</v>
      </c>
      <c r="E16">
        <v>2020</v>
      </c>
      <c r="F16" t="s">
        <v>17</v>
      </c>
      <c r="H16">
        <v>14</v>
      </c>
      <c r="I16">
        <v>5</v>
      </c>
      <c r="J16">
        <v>1</v>
      </c>
      <c r="K16">
        <v>0</v>
      </c>
      <c r="L16">
        <v>0</v>
      </c>
      <c r="M16">
        <f t="shared" si="3"/>
        <v>20</v>
      </c>
      <c r="O16" t="s">
        <v>17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4"/>
        <v>0</v>
      </c>
      <c r="V16">
        <f t="shared" si="5"/>
        <v>20</v>
      </c>
      <c r="W16" t="s">
        <v>17</v>
      </c>
      <c r="X16">
        <v>14</v>
      </c>
      <c r="Y16">
        <v>5</v>
      </c>
      <c r="Z16">
        <v>1</v>
      </c>
      <c r="AA16">
        <v>0</v>
      </c>
      <c r="AB16">
        <v>0</v>
      </c>
      <c r="AF16" t="s">
        <v>17</v>
      </c>
      <c r="AG16">
        <v>0</v>
      </c>
      <c r="AH16">
        <v>0</v>
      </c>
      <c r="AI16">
        <v>0</v>
      </c>
      <c r="AJ16">
        <v>0</v>
      </c>
      <c r="AK16">
        <v>0</v>
      </c>
      <c r="AO16" t="s">
        <v>17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f t="shared" si="6"/>
        <v>0</v>
      </c>
    </row>
    <row r="17" spans="1:47" x14ac:dyDescent="0.25">
      <c r="A17" t="s">
        <v>64</v>
      </c>
      <c r="B17">
        <f t="shared" si="2"/>
        <v>2.6643438235079717E-11</v>
      </c>
      <c r="C17">
        <v>-24.348478215705889</v>
      </c>
      <c r="E17">
        <v>2020</v>
      </c>
      <c r="F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3"/>
        <v>0</v>
      </c>
      <c r="O17" t="s">
        <v>18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4"/>
        <v>0</v>
      </c>
      <c r="V17">
        <f t="shared" si="5"/>
        <v>0</v>
      </c>
      <c r="W17" t="s">
        <v>18</v>
      </c>
      <c r="X17">
        <v>0</v>
      </c>
      <c r="Y17">
        <v>0</v>
      </c>
      <c r="Z17">
        <v>0</v>
      </c>
      <c r="AA17">
        <v>0</v>
      </c>
      <c r="AB17">
        <v>0</v>
      </c>
      <c r="AF17" t="s">
        <v>18</v>
      </c>
      <c r="AG17">
        <v>0</v>
      </c>
      <c r="AH17">
        <v>0</v>
      </c>
      <c r="AI17">
        <v>0</v>
      </c>
      <c r="AJ17">
        <v>0</v>
      </c>
      <c r="AK17">
        <v>0</v>
      </c>
      <c r="AO17" t="s">
        <v>18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f t="shared" si="6"/>
        <v>0</v>
      </c>
    </row>
    <row r="18" spans="1:47" x14ac:dyDescent="0.25">
      <c r="E18">
        <v>2020</v>
      </c>
      <c r="F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3"/>
        <v>0</v>
      </c>
      <c r="O18" t="s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4"/>
        <v>0</v>
      </c>
      <c r="V18">
        <f t="shared" si="5"/>
        <v>0</v>
      </c>
      <c r="W18" t="s">
        <v>19</v>
      </c>
      <c r="X18">
        <v>0</v>
      </c>
      <c r="Y18">
        <v>0</v>
      </c>
      <c r="Z18">
        <v>0</v>
      </c>
      <c r="AA18">
        <v>0</v>
      </c>
      <c r="AB18">
        <v>0</v>
      </c>
      <c r="AF18" t="s">
        <v>19</v>
      </c>
      <c r="AG18">
        <v>0</v>
      </c>
      <c r="AH18">
        <v>0</v>
      </c>
      <c r="AI18">
        <v>0</v>
      </c>
      <c r="AJ18">
        <v>0</v>
      </c>
      <c r="AK18">
        <v>0</v>
      </c>
      <c r="AO18" t="s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f t="shared" si="6"/>
        <v>0</v>
      </c>
    </row>
    <row r="19" spans="1:47" x14ac:dyDescent="0.25">
      <c r="A19" t="s">
        <v>37</v>
      </c>
      <c r="B19">
        <v>462</v>
      </c>
      <c r="E19">
        <v>2020</v>
      </c>
      <c r="F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3"/>
        <v>0</v>
      </c>
      <c r="O19" t="s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4"/>
        <v>0</v>
      </c>
      <c r="V19">
        <f t="shared" si="5"/>
        <v>0</v>
      </c>
      <c r="W19" t="s">
        <v>20</v>
      </c>
      <c r="X19">
        <v>0</v>
      </c>
      <c r="Y19">
        <v>0</v>
      </c>
      <c r="Z19">
        <v>0</v>
      </c>
      <c r="AA19">
        <v>0</v>
      </c>
      <c r="AB19">
        <v>0</v>
      </c>
      <c r="AF19" t="s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O19" t="s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f t="shared" si="6"/>
        <v>0</v>
      </c>
    </row>
    <row r="20" spans="1:47" x14ac:dyDescent="0.25">
      <c r="A20" t="s">
        <v>38</v>
      </c>
      <c r="B20">
        <v>0.36759999999999998</v>
      </c>
      <c r="E20">
        <v>2021</v>
      </c>
      <c r="F20" t="s">
        <v>21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3"/>
        <v>0</v>
      </c>
      <c r="O20" t="s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4"/>
        <v>0</v>
      </c>
      <c r="V20">
        <f t="shared" si="5"/>
        <v>0</v>
      </c>
      <c r="W20" t="s">
        <v>21</v>
      </c>
      <c r="X20">
        <v>0</v>
      </c>
      <c r="Y20">
        <v>0</v>
      </c>
      <c r="Z20">
        <v>0</v>
      </c>
      <c r="AA20">
        <v>0</v>
      </c>
      <c r="AB20">
        <v>0</v>
      </c>
      <c r="AF20" t="s">
        <v>21</v>
      </c>
      <c r="AG20">
        <v>0</v>
      </c>
      <c r="AH20">
        <v>0</v>
      </c>
      <c r="AI20">
        <v>0</v>
      </c>
      <c r="AJ20">
        <v>0</v>
      </c>
      <c r="AK20">
        <v>0</v>
      </c>
      <c r="AO20" t="s">
        <v>21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f t="shared" si="6"/>
        <v>0</v>
      </c>
    </row>
    <row r="21" spans="1:47" x14ac:dyDescent="0.25">
      <c r="A21" t="s">
        <v>39</v>
      </c>
      <c r="B21">
        <v>0</v>
      </c>
      <c r="E21">
        <v>2021</v>
      </c>
      <c r="F21" t="s">
        <v>22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3"/>
        <v>0</v>
      </c>
      <c r="O21" t="s">
        <v>22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4"/>
        <v>0</v>
      </c>
      <c r="V21">
        <f t="shared" si="5"/>
        <v>0</v>
      </c>
      <c r="W21" t="s">
        <v>22</v>
      </c>
      <c r="X21">
        <v>0</v>
      </c>
      <c r="Y21">
        <v>0</v>
      </c>
      <c r="Z21">
        <v>0</v>
      </c>
      <c r="AA21">
        <v>0</v>
      </c>
      <c r="AB21">
        <v>0</v>
      </c>
      <c r="AF21" t="s">
        <v>22</v>
      </c>
      <c r="AG21">
        <v>0</v>
      </c>
      <c r="AH21">
        <v>0</v>
      </c>
      <c r="AI21">
        <v>0</v>
      </c>
      <c r="AJ21">
        <v>0</v>
      </c>
      <c r="AK21">
        <v>0</v>
      </c>
      <c r="AO21" t="s">
        <v>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f t="shared" si="6"/>
        <v>0</v>
      </c>
    </row>
    <row r="22" spans="1:47" x14ac:dyDescent="0.25">
      <c r="E22">
        <v>2021</v>
      </c>
      <c r="F22" t="s">
        <v>23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3"/>
        <v>0</v>
      </c>
      <c r="O22" t="s">
        <v>23</v>
      </c>
      <c r="P22">
        <v>0</v>
      </c>
      <c r="Q22">
        <v>0</v>
      </c>
      <c r="R22">
        <v>1</v>
      </c>
      <c r="S22">
        <v>0</v>
      </c>
      <c r="T22">
        <v>0</v>
      </c>
      <c r="U22">
        <f t="shared" si="4"/>
        <v>1</v>
      </c>
      <c r="V22">
        <f t="shared" si="5"/>
        <v>1</v>
      </c>
      <c r="W22" t="s">
        <v>23</v>
      </c>
      <c r="X22">
        <v>0</v>
      </c>
      <c r="Y22">
        <v>0</v>
      </c>
      <c r="Z22">
        <v>0</v>
      </c>
      <c r="AA22">
        <v>0</v>
      </c>
      <c r="AB22">
        <v>0</v>
      </c>
      <c r="AF22" t="s">
        <v>23</v>
      </c>
      <c r="AG22">
        <v>0</v>
      </c>
      <c r="AH22">
        <v>0</v>
      </c>
      <c r="AI22">
        <v>1</v>
      </c>
      <c r="AJ22">
        <v>0</v>
      </c>
      <c r="AK22">
        <v>0</v>
      </c>
      <c r="AO22" t="s">
        <v>23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f t="shared" si="6"/>
        <v>0</v>
      </c>
    </row>
    <row r="23" spans="1:47" x14ac:dyDescent="0.25">
      <c r="A23" t="s">
        <v>50</v>
      </c>
      <c r="B23">
        <f>_xlfn.NORM.DIST(M,0.26,0.26,FALSE)</f>
        <v>1.3828737014637387</v>
      </c>
      <c r="E23">
        <v>2021</v>
      </c>
      <c r="F23" t="s">
        <v>12</v>
      </c>
      <c r="H23">
        <v>0</v>
      </c>
      <c r="I23">
        <v>0</v>
      </c>
      <c r="J23">
        <v>5</v>
      </c>
      <c r="K23">
        <v>1</v>
      </c>
      <c r="L23">
        <v>0</v>
      </c>
      <c r="M23">
        <f t="shared" si="3"/>
        <v>6</v>
      </c>
      <c r="O23" t="s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4"/>
        <v>0</v>
      </c>
      <c r="V23">
        <f t="shared" si="5"/>
        <v>6</v>
      </c>
      <c r="W23" t="s">
        <v>12</v>
      </c>
      <c r="X23">
        <v>0</v>
      </c>
      <c r="Y23">
        <v>0</v>
      </c>
      <c r="Z23">
        <v>5</v>
      </c>
      <c r="AA23">
        <v>1</v>
      </c>
      <c r="AB23">
        <v>0</v>
      </c>
      <c r="AF23" t="s">
        <v>12</v>
      </c>
      <c r="AG23">
        <v>0</v>
      </c>
      <c r="AH23">
        <v>0</v>
      </c>
      <c r="AI23">
        <v>0</v>
      </c>
      <c r="AJ23">
        <v>0</v>
      </c>
      <c r="AK23">
        <v>0</v>
      </c>
      <c r="AO23" t="s">
        <v>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f t="shared" si="6"/>
        <v>0</v>
      </c>
    </row>
    <row r="24" spans="1:47" x14ac:dyDescent="0.25">
      <c r="A24" t="s">
        <v>44</v>
      </c>
      <c r="B24">
        <f>SUM(H90:K106)+B23</f>
        <v>-95.924674807086745</v>
      </c>
      <c r="E24">
        <v>2021</v>
      </c>
      <c r="F24" t="s">
        <v>13</v>
      </c>
      <c r="H24">
        <v>5</v>
      </c>
      <c r="I24">
        <v>43</v>
      </c>
      <c r="J24">
        <v>55</v>
      </c>
      <c r="K24">
        <v>9</v>
      </c>
      <c r="L24">
        <v>0</v>
      </c>
      <c r="M24">
        <f t="shared" si="3"/>
        <v>112</v>
      </c>
      <c r="O24" t="s">
        <v>13</v>
      </c>
      <c r="P24">
        <v>0</v>
      </c>
      <c r="Q24">
        <v>0</v>
      </c>
      <c r="R24">
        <v>10</v>
      </c>
      <c r="S24">
        <v>1</v>
      </c>
      <c r="T24">
        <v>0</v>
      </c>
      <c r="U24">
        <f t="shared" si="4"/>
        <v>11</v>
      </c>
      <c r="V24">
        <f t="shared" si="5"/>
        <v>123</v>
      </c>
      <c r="W24" t="s">
        <v>13</v>
      </c>
      <c r="X24">
        <v>2</v>
      </c>
      <c r="Y24">
        <v>10</v>
      </c>
      <c r="Z24">
        <v>28</v>
      </c>
      <c r="AA24">
        <v>5</v>
      </c>
      <c r="AB24">
        <v>0</v>
      </c>
      <c r="AF24" t="s">
        <v>13</v>
      </c>
      <c r="AG24">
        <v>1</v>
      </c>
      <c r="AH24">
        <v>0</v>
      </c>
      <c r="AI24">
        <v>1</v>
      </c>
      <c r="AJ24">
        <v>1</v>
      </c>
      <c r="AK24">
        <v>0</v>
      </c>
      <c r="AO24" t="s">
        <v>13</v>
      </c>
      <c r="AP24">
        <v>3</v>
      </c>
      <c r="AQ24">
        <v>33</v>
      </c>
      <c r="AR24">
        <v>27</v>
      </c>
      <c r="AS24">
        <v>4</v>
      </c>
      <c r="AT24">
        <v>0</v>
      </c>
      <c r="AU24">
        <f t="shared" si="6"/>
        <v>67</v>
      </c>
    </row>
    <row r="25" spans="1:47" x14ac:dyDescent="0.25">
      <c r="E25">
        <v>2021</v>
      </c>
      <c r="F25" t="s">
        <v>14</v>
      </c>
      <c r="H25">
        <v>7</v>
      </c>
      <c r="I25">
        <v>38</v>
      </c>
      <c r="J25">
        <v>27</v>
      </c>
      <c r="K25">
        <v>1</v>
      </c>
      <c r="L25">
        <v>0</v>
      </c>
      <c r="M25">
        <f t="shared" si="3"/>
        <v>73</v>
      </c>
      <c r="O25" t="s">
        <v>14</v>
      </c>
      <c r="P25">
        <v>0</v>
      </c>
      <c r="Q25">
        <v>9</v>
      </c>
      <c r="R25">
        <v>28</v>
      </c>
      <c r="S25">
        <v>5</v>
      </c>
      <c r="T25">
        <v>0</v>
      </c>
      <c r="U25">
        <f t="shared" si="4"/>
        <v>42</v>
      </c>
      <c r="V25">
        <f t="shared" si="5"/>
        <v>115</v>
      </c>
      <c r="W25" t="s">
        <v>14</v>
      </c>
      <c r="X25">
        <v>2</v>
      </c>
      <c r="Y25">
        <v>14</v>
      </c>
      <c r="Z25">
        <v>8</v>
      </c>
      <c r="AA25">
        <v>0</v>
      </c>
      <c r="AB25">
        <v>0</v>
      </c>
      <c r="AF25" t="s">
        <v>14</v>
      </c>
      <c r="AG25">
        <v>0</v>
      </c>
      <c r="AH25">
        <v>4</v>
      </c>
      <c r="AI25">
        <v>9</v>
      </c>
      <c r="AJ25">
        <v>1</v>
      </c>
      <c r="AK25">
        <v>0</v>
      </c>
      <c r="AO25" t="s">
        <v>14</v>
      </c>
      <c r="AP25">
        <v>5</v>
      </c>
      <c r="AQ25">
        <v>24</v>
      </c>
      <c r="AR25">
        <v>19</v>
      </c>
      <c r="AS25">
        <v>1</v>
      </c>
      <c r="AT25">
        <v>0</v>
      </c>
      <c r="AU25">
        <f t="shared" si="6"/>
        <v>49</v>
      </c>
    </row>
    <row r="26" spans="1:47" x14ac:dyDescent="0.25">
      <c r="E26">
        <v>2021</v>
      </c>
      <c r="F26" t="s">
        <v>15</v>
      </c>
      <c r="H26">
        <v>0</v>
      </c>
      <c r="I26">
        <v>13</v>
      </c>
      <c r="J26">
        <v>9</v>
      </c>
      <c r="K26">
        <v>0</v>
      </c>
      <c r="L26">
        <v>0</v>
      </c>
      <c r="M26">
        <f t="shared" si="3"/>
        <v>22</v>
      </c>
      <c r="O26" t="s">
        <v>15</v>
      </c>
      <c r="P26">
        <v>0</v>
      </c>
      <c r="Q26">
        <v>0</v>
      </c>
      <c r="R26">
        <v>1</v>
      </c>
      <c r="S26">
        <v>0</v>
      </c>
      <c r="T26">
        <v>0</v>
      </c>
      <c r="U26">
        <f t="shared" si="4"/>
        <v>1</v>
      </c>
      <c r="V26">
        <f t="shared" si="5"/>
        <v>23</v>
      </c>
      <c r="W26" t="s">
        <v>15</v>
      </c>
      <c r="X26">
        <v>0</v>
      </c>
      <c r="Y26">
        <v>13</v>
      </c>
      <c r="Z26">
        <v>9</v>
      </c>
      <c r="AA26">
        <v>0</v>
      </c>
      <c r="AB26">
        <v>0</v>
      </c>
      <c r="AF26" t="s">
        <v>15</v>
      </c>
      <c r="AG26">
        <v>0</v>
      </c>
      <c r="AH26">
        <v>0</v>
      </c>
      <c r="AI26">
        <v>1</v>
      </c>
      <c r="AJ26">
        <v>0</v>
      </c>
      <c r="AK26">
        <v>0</v>
      </c>
      <c r="AO26" t="s">
        <v>15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f t="shared" si="6"/>
        <v>0</v>
      </c>
    </row>
    <row r="27" spans="1:47" x14ac:dyDescent="0.25">
      <c r="E27">
        <v>2021</v>
      </c>
      <c r="F27" t="s">
        <v>16</v>
      </c>
      <c r="H27">
        <v>12</v>
      </c>
      <c r="I27">
        <v>26</v>
      </c>
      <c r="J27">
        <v>11</v>
      </c>
      <c r="K27">
        <v>2</v>
      </c>
      <c r="L27">
        <v>0</v>
      </c>
      <c r="M27">
        <f t="shared" si="3"/>
        <v>51</v>
      </c>
      <c r="O27" t="s">
        <v>16</v>
      </c>
      <c r="P27">
        <v>0</v>
      </c>
      <c r="Q27">
        <v>1</v>
      </c>
      <c r="R27">
        <v>3</v>
      </c>
      <c r="S27">
        <v>0</v>
      </c>
      <c r="T27">
        <v>0</v>
      </c>
      <c r="U27">
        <f t="shared" si="4"/>
        <v>4</v>
      </c>
      <c r="V27">
        <f t="shared" si="5"/>
        <v>55</v>
      </c>
      <c r="W27" t="s">
        <v>16</v>
      </c>
      <c r="X27">
        <v>12</v>
      </c>
      <c r="Y27">
        <v>25</v>
      </c>
      <c r="Z27">
        <v>11</v>
      </c>
      <c r="AA27">
        <v>2</v>
      </c>
      <c r="AB27">
        <v>0</v>
      </c>
      <c r="AF27" t="s">
        <v>16</v>
      </c>
      <c r="AG27">
        <v>0</v>
      </c>
      <c r="AH27">
        <v>1</v>
      </c>
      <c r="AI27">
        <v>1</v>
      </c>
      <c r="AJ27">
        <v>0</v>
      </c>
      <c r="AK27">
        <v>0</v>
      </c>
      <c r="AO27" t="s">
        <v>16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f t="shared" si="6"/>
        <v>0</v>
      </c>
    </row>
    <row r="28" spans="1:47" x14ac:dyDescent="0.25">
      <c r="E28">
        <v>2021</v>
      </c>
      <c r="F28" t="s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f t="shared" si="3"/>
        <v>0</v>
      </c>
      <c r="O28" t="s">
        <v>17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4"/>
        <v>0</v>
      </c>
      <c r="V28">
        <f t="shared" si="5"/>
        <v>0</v>
      </c>
      <c r="W28" t="s">
        <v>17</v>
      </c>
      <c r="X28">
        <v>0</v>
      </c>
      <c r="Y28">
        <v>0</v>
      </c>
      <c r="Z28">
        <v>0</v>
      </c>
      <c r="AA28">
        <v>0</v>
      </c>
      <c r="AB28">
        <v>0</v>
      </c>
      <c r="AF28" t="s">
        <v>17</v>
      </c>
      <c r="AG28">
        <v>0</v>
      </c>
      <c r="AH28">
        <v>0</v>
      </c>
      <c r="AI28">
        <v>0</v>
      </c>
      <c r="AJ28">
        <v>0</v>
      </c>
      <c r="AK28">
        <v>0</v>
      </c>
      <c r="AO28" t="s">
        <v>17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f t="shared" si="6"/>
        <v>0</v>
      </c>
    </row>
    <row r="30" spans="1:47" x14ac:dyDescent="0.25">
      <c r="G30" s="2" t="s">
        <v>46</v>
      </c>
      <c r="AF30" s="1" t="s">
        <v>55</v>
      </c>
    </row>
    <row r="31" spans="1:47" x14ac:dyDescent="0.25">
      <c r="G31" t="s">
        <v>26</v>
      </c>
      <c r="O31" t="s">
        <v>36</v>
      </c>
      <c r="X31" t="s">
        <v>62</v>
      </c>
      <c r="Y31" t="s">
        <v>61</v>
      </c>
      <c r="AF31" s="1"/>
      <c r="AG31">
        <v>1</v>
      </c>
      <c r="AH31">
        <v>2</v>
      </c>
      <c r="AI31">
        <v>3</v>
      </c>
      <c r="AJ31">
        <v>4</v>
      </c>
      <c r="AK31">
        <v>5</v>
      </c>
      <c r="AL31" t="s">
        <v>63</v>
      </c>
    </row>
    <row r="32" spans="1:47" x14ac:dyDescent="0.25">
      <c r="E32">
        <v>2020</v>
      </c>
      <c r="F32" t="s">
        <v>13</v>
      </c>
      <c r="H32">
        <f>H33/EXP(-M/12-$Y32*H$5)+AP12+X12</f>
        <v>331.98732818187693</v>
      </c>
      <c r="I32">
        <f>I33/EXP(-M/12-$Y32*I$5)+AQ12+Y12</f>
        <v>491.72265750083568</v>
      </c>
      <c r="J32">
        <f>J33/EXP(-M/12-$Y32*J$5)+AR12+Z12</f>
        <v>146.60988848658528</v>
      </c>
      <c r="K32">
        <f>K33/EXP(-M/12-$Y32*K$5)+AS12+AA12</f>
        <v>14.461292003490927</v>
      </c>
      <c r="L32">
        <f>L33/EXP(-M/12-$Y32*L$5)+AT12+AB12</f>
        <v>0</v>
      </c>
      <c r="O32" t="s">
        <v>13</v>
      </c>
      <c r="P32">
        <v>0</v>
      </c>
      <c r="Q32">
        <v>0</v>
      </c>
      <c r="R32">
        <v>0</v>
      </c>
      <c r="S32">
        <v>0</v>
      </c>
      <c r="T32">
        <v>0</v>
      </c>
      <c r="X32" cm="1">
        <f t="array" ref="X32">-LN(1-(M12+U12)/SUMPRODUCT(H32:L32+P32:T32,H$5:L$5))</f>
        <v>6.3232801376481185E-2</v>
      </c>
      <c r="Y32">
        <f>Fmay</f>
        <v>0.58897806592777702</v>
      </c>
      <c r="Z32">
        <v>0</v>
      </c>
      <c r="AE32">
        <v>2020</v>
      </c>
      <c r="AF32" t="s">
        <v>13</v>
      </c>
      <c r="AG32">
        <f>H32+P32</f>
        <v>331.98732818187693</v>
      </c>
      <c r="AH32">
        <f t="shared" ref="AH32:AK32" si="7">I32+Q32</f>
        <v>491.72265750083568</v>
      </c>
      <c r="AI32">
        <f t="shared" si="7"/>
        <v>146.60988848658528</v>
      </c>
      <c r="AJ32">
        <f t="shared" si="7"/>
        <v>14.461292003490927</v>
      </c>
      <c r="AK32">
        <f t="shared" si="7"/>
        <v>0</v>
      </c>
      <c r="AL32">
        <f>SUMPRODUCT(AG32:AK32,H$5:L$5)</f>
        <v>652.79383797833646</v>
      </c>
    </row>
    <row r="33" spans="5:38" x14ac:dyDescent="0.25">
      <c r="E33">
        <v>2020</v>
      </c>
      <c r="F33" t="s">
        <v>14</v>
      </c>
      <c r="H33">
        <f>H34/EXP(-M/12-$Y33*H$5)+AP13+X13</f>
        <v>321.67765489965279</v>
      </c>
      <c r="I33">
        <f>I34/EXP(-M/12-$Y33*I$5)+AQ13+Y13</f>
        <v>255.77806593132308</v>
      </c>
      <c r="J33">
        <f>J34/EXP(-M/12-$Y33*J$5)+AR13+Z13</f>
        <v>67.535682466188845</v>
      </c>
      <c r="K33">
        <f>K34/EXP(-M/12-$Y33*K$5)+AS13+AA13</f>
        <v>6.1623028817444023</v>
      </c>
      <c r="L33">
        <f>L34/EXP(-M/12-$Y33*L$5)+AT13+AB13</f>
        <v>0</v>
      </c>
      <c r="O33" t="s">
        <v>14</v>
      </c>
      <c r="P33">
        <f>(P32+AP12-AG12)*EXP(-M/12-$Y32*H$5)</f>
        <v>0</v>
      </c>
      <c r="Q33">
        <f>(Q32+AQ12-AH12)*EXP(-M/12-$Y32*I$5)</f>
        <v>3.2259728885947432</v>
      </c>
      <c r="R33">
        <f>(R32+AR12-AI12)*EXP(-M/12-$Y32*J$5)</f>
        <v>7.5272700733877338</v>
      </c>
      <c r="S33">
        <f>(S32+AS12-AJ12)*EXP(-M/12-$Y32*K$5)</f>
        <v>1.0753242967489989</v>
      </c>
      <c r="T33">
        <f>(T32+AT12-AK12)*EXP(-M/12-$Y32*L$5)</f>
        <v>0</v>
      </c>
      <c r="X33" cm="1">
        <f t="array" ref="X33">-LN(1-(M13+U13)/SUMPRODUCT(H33:L33+P33:T33,H$5:L$5))</f>
        <v>6.9766543818501003E-2</v>
      </c>
      <c r="Y33">
        <f>Fjune</f>
        <v>1.875282403878598E-11</v>
      </c>
      <c r="Z33">
        <v>0</v>
      </c>
      <c r="AE33">
        <v>2020</v>
      </c>
      <c r="AF33" t="s">
        <v>14</v>
      </c>
      <c r="AG33">
        <f t="shared" ref="AG33:AG48" si="8">H33+P33</f>
        <v>321.67765489965279</v>
      </c>
      <c r="AH33">
        <f t="shared" ref="AH33:AH48" si="9">I33+Q33</f>
        <v>259.00403881991781</v>
      </c>
      <c r="AI33">
        <f t="shared" ref="AI33:AI48" si="10">J33+R33</f>
        <v>75.062952539576585</v>
      </c>
      <c r="AJ33">
        <f t="shared" ref="AJ33:AJ48" si="11">K33+S33</f>
        <v>7.2376271784934012</v>
      </c>
      <c r="AK33">
        <f t="shared" ref="AK33:AK48" si="12">L33+T33</f>
        <v>0</v>
      </c>
      <c r="AL33">
        <f t="shared" ref="AL33:AL48" si="13">SUMPRODUCT(AG33:AK33,H$5:L$5)</f>
        <v>341.30461853169402</v>
      </c>
    </row>
    <row r="34" spans="5:38" x14ac:dyDescent="0.25">
      <c r="E34">
        <v>2020</v>
      </c>
      <c r="F34" t="s">
        <v>15</v>
      </c>
      <c r="H34">
        <f>H35/EXP(-M/12-$Y34*H$5)+AP14+X14</f>
        <v>311.68814252166646</v>
      </c>
      <c r="I34">
        <f>I35/EXP(-M/12-$Y34*I$5)+AQ14+Y14</f>
        <v>243.95924460727849</v>
      </c>
      <c r="J34">
        <f>J35/EXP(-M/12-$Y34*J$5)+AR14+Z14</f>
        <v>51.873163000422139</v>
      </c>
      <c r="K34">
        <f>K35/EXP(-M/12-$Y34*K$5)+AS14+AA14</f>
        <v>3.0640994059435549</v>
      </c>
      <c r="L34">
        <f>L35/EXP(-M/12-$Y34*L$5)+AT14+AB14</f>
        <v>0</v>
      </c>
      <c r="O34" t="s">
        <v>15</v>
      </c>
      <c r="P34">
        <f>(P33+AP13-AG13)*EXP(-M/12-$Y33*H$5)</f>
        <v>0</v>
      </c>
      <c r="Q34">
        <f>(Q33+AQ13-AH13)*EXP(-M/12-$Y33*I$5)</f>
        <v>6.0326289235269268</v>
      </c>
      <c r="R34">
        <f>(R33+AR13-AI13)*EXP(-M/12-$Y33*J$5)</f>
        <v>15.045079736811239</v>
      </c>
      <c r="S34">
        <f>(S33+AS13-AJ13)*EXP(-M/12-$Y33*K$5)</f>
        <v>3.9487674722061108</v>
      </c>
      <c r="T34">
        <f>(T33+AT13-AK13)*EXP(-M/12-$Y33*L$5)</f>
        <v>0</v>
      </c>
      <c r="X34" cm="1">
        <f t="array" ref="X34">-LN(1-(M14+U14)/SUMPRODUCT(H34:L34+P34:T34,H$5:L$5))</f>
        <v>0.23562922907097916</v>
      </c>
      <c r="Y34">
        <f>Fjuly</f>
        <v>3.0024197173615572E-11</v>
      </c>
      <c r="Z34">
        <v>0</v>
      </c>
      <c r="AE34">
        <v>2020</v>
      </c>
      <c r="AF34" t="s">
        <v>15</v>
      </c>
      <c r="AG34">
        <f t="shared" si="8"/>
        <v>311.68814252166646</v>
      </c>
      <c r="AH34">
        <f t="shared" si="9"/>
        <v>249.99187353080541</v>
      </c>
      <c r="AI34">
        <f t="shared" si="10"/>
        <v>66.918242737233385</v>
      </c>
      <c r="AJ34">
        <f t="shared" si="11"/>
        <v>7.0128668781496657</v>
      </c>
      <c r="AK34">
        <f t="shared" si="12"/>
        <v>0</v>
      </c>
      <c r="AL34">
        <f t="shared" si="13"/>
        <v>323.92298314009008</v>
      </c>
    </row>
    <row r="35" spans="5:38" x14ac:dyDescent="0.25">
      <c r="E35">
        <v>2020</v>
      </c>
      <c r="F35" t="s">
        <v>16</v>
      </c>
      <c r="H35">
        <f>H36/EXP(-M/12-$Y35*H$5)+AP15+X15</f>
        <v>290.38150165415016</v>
      </c>
      <c r="I35">
        <f>I36/EXP(-M/12-$Y35*I$5)+AQ15+Y15</f>
        <v>209.25275593358137</v>
      </c>
      <c r="J35">
        <f>J36/EXP(-M/12-$Y35*J$5)+AR15+Z15</f>
        <v>27.007578142953417</v>
      </c>
      <c r="K35">
        <f>K36/EXP(-M/12-$Y35*K$5)+AS15+AA15</f>
        <v>2</v>
      </c>
      <c r="L35">
        <f>L36/EXP(-M/12-$Y35*L$5)+AT15+AB15</f>
        <v>0</v>
      </c>
      <c r="O35" t="s">
        <v>16</v>
      </c>
      <c r="P35">
        <f>(P34+AP14-AG14)*EXP(-M/12-$Y34*H$5)</f>
        <v>0</v>
      </c>
      <c r="Q35">
        <f>(Q34+AQ14-AH14)*EXP(-M/12-$Y34*I$5)</f>
        <v>5.8452891427186389</v>
      </c>
      <c r="R35">
        <f>(R34+AR14-AI14)*EXP(-M/12-$Y34*J$5)</f>
        <v>15.546809122283145</v>
      </c>
      <c r="S35">
        <f>(S34+AS14-AJ14)*EXP(-M/12-$Y34*K$5)</f>
        <v>1.8882496323526408</v>
      </c>
      <c r="T35">
        <f>(T34+AT14-AK14)*EXP(-M/12-$Y34*L$5)</f>
        <v>0</v>
      </c>
      <c r="X35" cm="1">
        <f t="array" ref="X35">-LN(1-(M15+U15)/SUMPRODUCT(H35:L35+P35:T35,H$5:L$5))</f>
        <v>0.16598360459214342</v>
      </c>
      <c r="Y35">
        <f>Faug</f>
        <v>1.4289095508772784E-7</v>
      </c>
      <c r="Z35">
        <v>0</v>
      </c>
      <c r="AE35">
        <v>2020</v>
      </c>
      <c r="AF35" t="s">
        <v>16</v>
      </c>
      <c r="AG35">
        <f t="shared" si="8"/>
        <v>290.38150165415016</v>
      </c>
      <c r="AH35">
        <f t="shared" si="9"/>
        <v>215.0980450763</v>
      </c>
      <c r="AI35">
        <f t="shared" si="10"/>
        <v>42.554387265236564</v>
      </c>
      <c r="AJ35">
        <f t="shared" si="11"/>
        <v>3.8882496323526405</v>
      </c>
      <c r="AK35">
        <f t="shared" si="12"/>
        <v>0</v>
      </c>
      <c r="AL35">
        <f t="shared" si="13"/>
        <v>261.54068197050799</v>
      </c>
    </row>
    <row r="36" spans="5:38" x14ac:dyDescent="0.25">
      <c r="E36">
        <v>2020</v>
      </c>
      <c r="F36" t="s">
        <v>17</v>
      </c>
      <c r="H36">
        <f>H37/EXP(-M/12-$Y36*H$5)+AP16+X16</f>
        <v>256.17128797266639</v>
      </c>
      <c r="I36">
        <f>I37/EXP(-M/12-$Y36*I$5)+AQ16+Y16</f>
        <v>196.94083173653479</v>
      </c>
      <c r="J36">
        <f>J37/EXP(-M/12-$Y36*J$5)+AR16+Z16</f>
        <v>21.324142563638102</v>
      </c>
      <c r="K36">
        <f>K37/EXP(-M/12-$Y36*K$5)+AS16+AA16</f>
        <v>0</v>
      </c>
      <c r="L36">
        <f>L37/EXP(-M/12-$Y36*L$5)+AT16+AB16</f>
        <v>0</v>
      </c>
      <c r="O36" t="s">
        <v>17</v>
      </c>
      <c r="P36">
        <f>(P35+AP15-AG15)*EXP(-M/12-$Y35*H$5)</f>
        <v>0</v>
      </c>
      <c r="Q36">
        <f>(Q35+AQ15-AH15)*EXP(-M/12-$Y35*I$5)</f>
        <v>5.6637662806585745</v>
      </c>
      <c r="R36">
        <f>(R35+AR15-AI15)*EXP(-M/12-$Y35*J$5)</f>
        <v>15.064009859684854</v>
      </c>
      <c r="S36">
        <f>(S35+AS15-AJ15)*EXP(-M/12-$Y35*K$5)</f>
        <v>1.8296108774203061</v>
      </c>
      <c r="T36">
        <f>(T35+AT15-AK15)*EXP(-M/12-$Y35*L$5)</f>
        <v>0</v>
      </c>
      <c r="X36" cm="1">
        <f t="array" ref="X36">-LN(1-(M16+U16)/SUMPRODUCT(H36:L36+P36:T36,H$5:L$5))</f>
        <v>8.6700988379890168E-2</v>
      </c>
      <c r="Y36">
        <f>Fsept</f>
        <v>3.5943178881225497E-256</v>
      </c>
      <c r="Z36">
        <v>0</v>
      </c>
      <c r="AE36">
        <v>2020</v>
      </c>
      <c r="AF36" t="s">
        <v>17</v>
      </c>
      <c r="AG36">
        <f t="shared" si="8"/>
        <v>256.17128797266639</v>
      </c>
      <c r="AH36">
        <f t="shared" si="9"/>
        <v>202.60459801719335</v>
      </c>
      <c r="AI36">
        <f t="shared" si="10"/>
        <v>36.388152423322957</v>
      </c>
      <c r="AJ36">
        <f t="shared" si="11"/>
        <v>1.8296108774203061</v>
      </c>
      <c r="AK36">
        <f t="shared" si="12"/>
        <v>0</v>
      </c>
      <c r="AL36">
        <f t="shared" si="13"/>
        <v>240.82236131634559</v>
      </c>
    </row>
    <row r="37" spans="5:38" x14ac:dyDescent="0.25">
      <c r="E37">
        <v>2020</v>
      </c>
      <c r="F37" t="s">
        <v>18</v>
      </c>
      <c r="H37">
        <f>H38/EXP(-M/12-$Y37*H$5)+AP17+X17</f>
        <v>234.65079955219935</v>
      </c>
      <c r="I37">
        <f>I38/EXP(-M/12-$Y37*I$5)+AQ17+Y17</f>
        <v>185.98022090370824</v>
      </c>
      <c r="J37">
        <f>J38/EXP(-M/12-$Y37*J$5)+AR17+Z17</f>
        <v>19.692988143618607</v>
      </c>
      <c r="K37">
        <f>K38/EXP(-M/12-$Y37*K$5)+AS17+AA17</f>
        <v>0</v>
      </c>
      <c r="L37">
        <f>L38/EXP(-M/12-$Y37*L$5)+AT17+AB17</f>
        <v>0</v>
      </c>
      <c r="O37" t="s">
        <v>18</v>
      </c>
      <c r="P37">
        <f>(P36+AP16-AG16)*EXP(-M/12-$Y36*H$5)</f>
        <v>0</v>
      </c>
      <c r="Q37">
        <f>(Q36+AQ16-AH16)*EXP(-M/12-$Y36*I$5)</f>
        <v>5.4878813147466277</v>
      </c>
      <c r="R37">
        <f>(R36+AR16-AI16)*EXP(-M/12-$Y36*J$5)</f>
        <v>14.596205799740519</v>
      </c>
      <c r="S37">
        <f>(S36+AS16-AJ16)*EXP(-M/12-$Y36*K$5)</f>
        <v>1.7727933763334183</v>
      </c>
      <c r="T37">
        <f>(T36+AT16-AK16)*EXP(-M/12-$Y36*L$5)</f>
        <v>0</v>
      </c>
      <c r="X37" cm="1">
        <f t="array" ref="X37">-LN(1-(M17+U17)/SUMPRODUCT(H37:L37+P37:T37,H$5:L$5))</f>
        <v>0</v>
      </c>
      <c r="Y37">
        <f>Fother</f>
        <v>2.6643438235079717E-11</v>
      </c>
      <c r="Z37">
        <v>0</v>
      </c>
      <c r="AE37">
        <v>2020</v>
      </c>
      <c r="AF37" t="s">
        <v>18</v>
      </c>
      <c r="AG37">
        <f t="shared" si="8"/>
        <v>234.65079955219935</v>
      </c>
      <c r="AH37">
        <f t="shared" si="9"/>
        <v>191.46810221845487</v>
      </c>
      <c r="AI37">
        <f t="shared" si="10"/>
        <v>34.289193943359123</v>
      </c>
      <c r="AJ37">
        <f t="shared" si="11"/>
        <v>1.7727933763334183</v>
      </c>
      <c r="AK37">
        <f t="shared" si="12"/>
        <v>0</v>
      </c>
      <c r="AL37">
        <f t="shared" si="13"/>
        <v>227.5300895366058</v>
      </c>
    </row>
    <row r="38" spans="5:38" x14ac:dyDescent="0.25">
      <c r="E38">
        <v>2020</v>
      </c>
      <c r="F38" t="s">
        <v>19</v>
      </c>
      <c r="H38">
        <f>H39/EXP(-M/12-$Y38*H$5)+AP18+X18</f>
        <v>227.3638555232076</v>
      </c>
      <c r="I38">
        <f>I39/EXP(-M/12-$Y38*I$5)+AQ18+Y18</f>
        <v>180.20471336681624</v>
      </c>
      <c r="J38">
        <f>J39/EXP(-M/12-$Y38*J$5)+AR18+Z18</f>
        <v>19.081433856314682</v>
      </c>
      <c r="K38">
        <f>K39/EXP(-M/12-$Y38*K$5)+AS18+AA18</f>
        <v>0</v>
      </c>
      <c r="L38">
        <f>L39/EXP(-M/12-$Y38*L$5)+AT18+AB18</f>
        <v>0</v>
      </c>
      <c r="O38" t="s">
        <v>19</v>
      </c>
      <c r="P38">
        <f>(P37+AP17-AG17)*EXP(-M/12-$Y37*H$5)</f>
        <v>0</v>
      </c>
      <c r="Q38">
        <f>(Q37+AQ17-AH17)*EXP(-M/12-$Y37*I$5)</f>
        <v>5.3174583539560913</v>
      </c>
      <c r="R38">
        <f>(R37+AR17-AI17)*EXP(-M/12-$Y37*J$5)</f>
        <v>14.142929122270203</v>
      </c>
      <c r="S38">
        <f>(S37+AS17-AJ17)*EXP(-M/12-$Y37*K$5)</f>
        <v>1.7177403096330242</v>
      </c>
      <c r="T38">
        <f>(T37+AT17-AK17)*EXP(-M/12-$Y37*L$5)</f>
        <v>0</v>
      </c>
      <c r="X38" cm="1">
        <f t="array" ref="X38">-LN(1-(M18+U18)/SUMPRODUCT(H38:L38+P38:T38,H$5:L$5))</f>
        <v>0</v>
      </c>
      <c r="Y38">
        <f>Fother</f>
        <v>2.6643438235079717E-11</v>
      </c>
      <c r="Z38">
        <v>0</v>
      </c>
      <c r="AE38">
        <v>2020</v>
      </c>
      <c r="AF38" t="s">
        <v>19</v>
      </c>
      <c r="AG38">
        <f t="shared" si="8"/>
        <v>227.3638555232076</v>
      </c>
      <c r="AH38">
        <f t="shared" si="9"/>
        <v>185.52217172077232</v>
      </c>
      <c r="AI38">
        <f t="shared" si="10"/>
        <v>33.224362978584885</v>
      </c>
      <c r="AJ38">
        <f t="shared" si="11"/>
        <v>1.7177403096330242</v>
      </c>
      <c r="AK38">
        <f t="shared" si="12"/>
        <v>0</v>
      </c>
      <c r="AL38">
        <f t="shared" si="13"/>
        <v>220.4642750074965</v>
      </c>
    </row>
    <row r="39" spans="5:38" x14ac:dyDescent="0.25">
      <c r="E39">
        <v>2020</v>
      </c>
      <c r="F39" t="s">
        <v>20</v>
      </c>
      <c r="H39">
        <f>I40/EXP(-M/12-$Y39*I$5)+AP19+X19</f>
        <v>220.3032033005212</v>
      </c>
      <c r="I39">
        <f>J40/EXP(-M/12-$Y39*J$5)+AQ19+Y19</f>
        <v>174.60856085567167</v>
      </c>
      <c r="J39">
        <f>K40/EXP(-M/12-$Y39*K$5)+AR19+Z19</f>
        <v>18.488871031534995</v>
      </c>
      <c r="K39">
        <f>L40/EXP(-M/12-$Y39*L$5)+AS19+AA19</f>
        <v>0</v>
      </c>
      <c r="L39">
        <v>0</v>
      </c>
      <c r="O39" t="s">
        <v>20</v>
      </c>
      <c r="P39">
        <f>(P38+AP18-AG18)*EXP(-M/12-$Y38*H$5)</f>
        <v>0</v>
      </c>
      <c r="Q39">
        <f>(Q38+AQ18-AH18)*EXP(-M/12-$Y38*I$5)</f>
        <v>5.1523277790425182</v>
      </c>
      <c r="R39">
        <f>(R38+AR18-AI18)*EXP(-M/12-$Y38*J$5)</f>
        <v>13.703728688253662</v>
      </c>
      <c r="S39">
        <f>(S38+AS18-AJ18)*EXP(-M/12-$Y38*K$5)</f>
        <v>1.6643968838832222</v>
      </c>
      <c r="T39">
        <f>(T38+AT18-AK18)*EXP(-M/12-$Y38*L$5)</f>
        <v>0</v>
      </c>
      <c r="X39" cm="1">
        <f t="array" ref="X39">-LN(1-(M19+U19)/SUMPRODUCT(H39:L39+P39:T39,H$5:L$5))</f>
        <v>0</v>
      </c>
      <c r="Y39">
        <f>Fother</f>
        <v>2.6643438235079717E-11</v>
      </c>
      <c r="Z39">
        <v>0</v>
      </c>
      <c r="AE39">
        <v>2020</v>
      </c>
      <c r="AF39" t="s">
        <v>20</v>
      </c>
      <c r="AG39">
        <f t="shared" si="8"/>
        <v>220.3032033005212</v>
      </c>
      <c r="AH39">
        <f t="shared" si="9"/>
        <v>179.76088863471418</v>
      </c>
      <c r="AI39">
        <f t="shared" si="10"/>
        <v>32.19259971978866</v>
      </c>
      <c r="AJ39">
        <f t="shared" si="11"/>
        <v>1.6643968838832222</v>
      </c>
      <c r="AK39">
        <f t="shared" si="12"/>
        <v>0</v>
      </c>
      <c r="AL39">
        <f t="shared" si="13"/>
        <v>213.61788523693872</v>
      </c>
    </row>
    <row r="40" spans="5:38" x14ac:dyDescent="0.25">
      <c r="E40">
        <v>2021</v>
      </c>
      <c r="F40" t="s">
        <v>21</v>
      </c>
      <c r="H40">
        <f>H41/EXP(-M/12-$Y40*H$5)+AP20+X20</f>
        <v>28.833761585844901</v>
      </c>
      <c r="I40">
        <f>I41/EXP(-M/12-$Y40*I$5)+AQ20+Y20</f>
        <v>213.46181551809471</v>
      </c>
      <c r="J40">
        <f>J41/EXP(-M/12-$Y40*J$5)+AR20+Z20</f>
        <v>169.18619360431796</v>
      </c>
      <c r="K40">
        <f>K41/EXP(-M/12-$Y40*K$5)+AS20+AA20</f>
        <v>17.914709900462128</v>
      </c>
      <c r="L40">
        <f>L41/EXP(-M/12-$Y40*L$5)+AT20+AB20</f>
        <v>0</v>
      </c>
      <c r="O40" t="s">
        <v>21</v>
      </c>
      <c r="P40">
        <v>0</v>
      </c>
      <c r="Q40">
        <f>(P39+AP19-AG19)*EXP(-M/12-$Y39*H$5)</f>
        <v>0</v>
      </c>
      <c r="R40">
        <f>(Q39+AQ19-AH19)*EXP(-M/12-$Y39*I$5)</f>
        <v>4.9923252380421772</v>
      </c>
      <c r="S40">
        <f>(R39+AR19-AI19)*EXP(-M/12-$Y39*J$5)</f>
        <v>13.278167368141508</v>
      </c>
      <c r="T40">
        <f>(S39+AS19-AJ19)*EXP(-M/12-$Y39*K$5)</f>
        <v>1.6127100071791445</v>
      </c>
      <c r="X40" cm="1">
        <f t="array" ref="X40">-LN(1-(M20+U20)/SUMPRODUCT(H40:L40+P40:T40,H$5:L$5))</f>
        <v>0</v>
      </c>
      <c r="Y40">
        <f>Fother</f>
        <v>2.6643438235079717E-11</v>
      </c>
      <c r="Z40">
        <v>0</v>
      </c>
      <c r="AE40">
        <v>2021</v>
      </c>
      <c r="AF40" t="s">
        <v>21</v>
      </c>
      <c r="AG40">
        <f t="shared" si="8"/>
        <v>28.833761585844901</v>
      </c>
      <c r="AH40">
        <f t="shared" si="9"/>
        <v>213.46181551809471</v>
      </c>
      <c r="AI40">
        <f t="shared" si="10"/>
        <v>174.17851884236015</v>
      </c>
      <c r="AJ40">
        <f t="shared" si="11"/>
        <v>31.192877268603638</v>
      </c>
      <c r="AK40">
        <f t="shared" si="12"/>
        <v>1.6127100071791445</v>
      </c>
      <c r="AL40">
        <f t="shared" si="13"/>
        <v>418.83321160193333</v>
      </c>
    </row>
    <row r="41" spans="5:38" x14ac:dyDescent="0.25">
      <c r="E41">
        <v>2021</v>
      </c>
      <c r="F41" t="s">
        <v>22</v>
      </c>
      <c r="H41">
        <f>H42/EXP(-M/12-$Y41*H$5)+AP21+X21</f>
        <v>27.938345899121007</v>
      </c>
      <c r="I41">
        <f>I42/EXP(-M/12-$Y41*I$5)+AQ21+Y21</f>
        <v>206.83288305219708</v>
      </c>
      <c r="J41">
        <f>J42/EXP(-M/12-$Y41*J$5)+AR21+Z21</f>
        <v>163.93221481263924</v>
      </c>
      <c r="K41">
        <f>K42/EXP(-M/12-$Y41*K$5)+AS21+AA21</f>
        <v>17.3583790092061</v>
      </c>
      <c r="L41">
        <f>L42/EXP(-M/12-$Y41*L$5)+AT21+AB21</f>
        <v>0</v>
      </c>
      <c r="O41" t="s">
        <v>22</v>
      </c>
      <c r="P41">
        <f>(P40+AP20-AG20)*EXP(-M/12-$Y40*H$5)</f>
        <v>0</v>
      </c>
      <c r="Q41">
        <f>(Q40+AQ20-AH20)*EXP(-M/12-$Y40*I$5)</f>
        <v>0</v>
      </c>
      <c r="R41">
        <f>(R40+AR20-AI20)*EXP(-M/12-$Y40*J$5)</f>
        <v>4.8372914828459344</v>
      </c>
      <c r="S41">
        <f>(S40+AS20-AJ20)*EXP(-M/12-$Y40*K$5)</f>
        <v>12.865821607188142</v>
      </c>
      <c r="T41">
        <f>(T40+AT20-AK20)*EXP(-M/12-$Y40*L$5)</f>
        <v>1.562628236395768</v>
      </c>
      <c r="X41" cm="1">
        <f t="array" ref="X41">-LN(1-(M21+U21)/SUMPRODUCT(H41:L41+P41:T41,H$5:L$5))</f>
        <v>0</v>
      </c>
      <c r="Y41">
        <f>Fother</f>
        <v>2.6643438235079717E-11</v>
      </c>
      <c r="Z41">
        <v>0</v>
      </c>
      <c r="AE41">
        <v>2021</v>
      </c>
      <c r="AF41" t="s">
        <v>22</v>
      </c>
      <c r="AG41">
        <f t="shared" si="8"/>
        <v>27.938345899121007</v>
      </c>
      <c r="AH41">
        <f t="shared" si="9"/>
        <v>206.83288305219708</v>
      </c>
      <c r="AI41">
        <f t="shared" si="10"/>
        <v>168.76950629548517</v>
      </c>
      <c r="AJ41">
        <f t="shared" si="11"/>
        <v>30.224200616394242</v>
      </c>
      <c r="AK41">
        <f t="shared" si="12"/>
        <v>1.562628236395768</v>
      </c>
      <c r="AL41">
        <f t="shared" si="13"/>
        <v>405.82658993779364</v>
      </c>
    </row>
    <row r="42" spans="5:38" x14ac:dyDescent="0.25">
      <c r="E42">
        <v>2021</v>
      </c>
      <c r="F42" t="s">
        <v>23</v>
      </c>
      <c r="H42">
        <f>H43/EXP(-M/12-$Y42*H$5)+AP22+X22</f>
        <v>27.070736825476164</v>
      </c>
      <c r="I42">
        <f>I43/EXP(-M/12-$Y42*I$5)+AQ22+Y22</f>
        <v>200.40980822660282</v>
      </c>
      <c r="J42">
        <f>J43/EXP(-M/12-$Y42*J$5)+AR22+Z22</f>
        <v>158.84139527500679</v>
      </c>
      <c r="K42">
        <f>K43/EXP(-M/12-$Y42*K$5)+AS22+AA22</f>
        <v>16.819324650044948</v>
      </c>
      <c r="L42">
        <f>L43/EXP(-M/12-$Y42*L$5)+AT22+AB22</f>
        <v>0</v>
      </c>
      <c r="O42" t="s">
        <v>23</v>
      </c>
      <c r="P42">
        <f>(P41+AP21-AG21)*EXP(-M/12-$Y41*H$5)</f>
        <v>0</v>
      </c>
      <c r="Q42">
        <f>(Q41+AQ21-AH21)*EXP(-M/12-$Y41*I$5)</f>
        <v>0</v>
      </c>
      <c r="R42">
        <f>(R41+AR21-AI21)*EXP(-M/12-$Y41*J$5)</f>
        <v>4.6870722107020164</v>
      </c>
      <c r="S42">
        <f>(S41+AS21-AJ21)*EXP(-M/12-$Y41*K$5)</f>
        <v>12.466281003894119</v>
      </c>
      <c r="T42">
        <f>(T41+AT21-AK21)*EXP(-M/12-$Y41*L$5)</f>
        <v>1.5141017258598217</v>
      </c>
      <c r="X42" cm="1">
        <f t="array" ref="X42">-LN(1-(M22+U22)/SUMPRODUCT(H42:L42+P42:T42,H$5:L$5))</f>
        <v>2.5463196607699566E-3</v>
      </c>
      <c r="Y42">
        <f>Fother</f>
        <v>2.6643438235079717E-11</v>
      </c>
      <c r="Z42">
        <v>0</v>
      </c>
      <c r="AE42">
        <v>2021</v>
      </c>
      <c r="AF42" t="s">
        <v>23</v>
      </c>
      <c r="AG42">
        <f t="shared" si="8"/>
        <v>27.070736825476164</v>
      </c>
      <c r="AH42">
        <f t="shared" si="9"/>
        <v>200.40980822660282</v>
      </c>
      <c r="AI42">
        <f t="shared" si="10"/>
        <v>163.5284674857088</v>
      </c>
      <c r="AJ42">
        <f t="shared" si="11"/>
        <v>29.285605653939065</v>
      </c>
      <c r="AK42">
        <f t="shared" si="12"/>
        <v>1.5141017258598217</v>
      </c>
      <c r="AL42">
        <f t="shared" si="13"/>
        <v>393.22388134078409</v>
      </c>
    </row>
    <row r="43" spans="5:38" x14ac:dyDescent="0.25">
      <c r="E43">
        <v>2021</v>
      </c>
      <c r="F43" t="s">
        <v>12</v>
      </c>
      <c r="H43">
        <f>H44/EXP(-M/12-$Y43*H$5)+AP23+X23</f>
        <v>26.230070846722796</v>
      </c>
      <c r="I43">
        <f>I44/EXP(-M/12-$Y43*I$5)+AQ23+Y23</f>
        <v>194.18619825208242</v>
      </c>
      <c r="J43">
        <f>J44/EXP(-M/12-$Y43*J$5)+AR23+Z23</f>
        <v>153.90866817572979</v>
      </c>
      <c r="K43">
        <f>K44/EXP(-M/12-$Y43*K$5)+AS23+AA23</f>
        <v>16.29701031032781</v>
      </c>
      <c r="L43">
        <f>L44/EXP(-M/12-$Y43*L$5)+AT23+AB23</f>
        <v>0</v>
      </c>
      <c r="O43" t="s">
        <v>12</v>
      </c>
      <c r="P43">
        <f>(P42+AP22-AG22)*EXP(-M/12-$Y42*H$5)</f>
        <v>0</v>
      </c>
      <c r="Q43">
        <f>(Q42+AQ22-AH22)*EXP(-M/12-$Y42*I$5)</f>
        <v>0</v>
      </c>
      <c r="R43">
        <f>(R42+AR22-AI22)*EXP(-M/12-$Y42*J$5)</f>
        <v>3.572572328733385</v>
      </c>
      <c r="S43">
        <f>(S42+AS22-AJ22)*EXP(-M/12-$Y42*K$5)</f>
        <v>12.079147901539747</v>
      </c>
      <c r="T43">
        <f>(T42+AT22-AK22)*EXP(-M/12-$Y42*L$5)</f>
        <v>1.4670821778693794</v>
      </c>
      <c r="X43" cm="1">
        <f t="array" ref="X43">-LN(1-(M23+U23)/SUMPRODUCT(H43:L43+P43:T43,H$5:L$5))</f>
        <v>1.5913614949762137E-2</v>
      </c>
      <c r="Y43">
        <f>Fother</f>
        <v>2.6643438235079717E-11</v>
      </c>
      <c r="Z43">
        <v>0</v>
      </c>
      <c r="AE43">
        <v>2021</v>
      </c>
      <c r="AF43" t="s">
        <v>12</v>
      </c>
      <c r="AG43">
        <f t="shared" si="8"/>
        <v>26.230070846722796</v>
      </c>
      <c r="AH43">
        <f t="shared" si="9"/>
        <v>194.18619825208242</v>
      </c>
      <c r="AI43">
        <f t="shared" si="10"/>
        <v>157.48124050446316</v>
      </c>
      <c r="AJ43">
        <f t="shared" si="11"/>
        <v>28.376158211867555</v>
      </c>
      <c r="AK43">
        <f t="shared" si="12"/>
        <v>1.4670821778693794</v>
      </c>
      <c r="AL43">
        <f t="shared" si="13"/>
        <v>380.04359694373738</v>
      </c>
    </row>
    <row r="44" spans="5:38" x14ac:dyDescent="0.25">
      <c r="E44">
        <v>2021</v>
      </c>
      <c r="F44" t="s">
        <v>13</v>
      </c>
      <c r="H44">
        <f>H45/EXP(-M/12-$Y44*H$5)+AP24+X24</f>
        <v>25.415511260728131</v>
      </c>
      <c r="I44">
        <f>I45/EXP(-M/12-$Y44*I$5)+AQ24+Y24</f>
        <v>188.15585886375587</v>
      </c>
      <c r="J44">
        <f>J45/EXP(-M/12-$Y44*J$5)+AR24+Z24</f>
        <v>144.28439613659313</v>
      </c>
      <c r="K44">
        <f>K45/EXP(-M/12-$Y44*K$5)+AS24+AA24</f>
        <v>14.82197055658456</v>
      </c>
      <c r="L44">
        <f>L45/EXP(-M/12-$Y44*L$5)+AT24+AB24</f>
        <v>0</v>
      </c>
      <c r="O44" t="s">
        <v>13</v>
      </c>
      <c r="P44">
        <f>(P43+AP23-AG23)*EXP(-M/12-$Y43*H$5)</f>
        <v>0</v>
      </c>
      <c r="Q44">
        <f>(Q43+AQ23-AH23)*EXP(-M/12-$Y43*I$5)</f>
        <v>0</v>
      </c>
      <c r="R44">
        <f>(R43+AR23-AI23)*EXP(-M/12-$Y43*J$5)</f>
        <v>3.4616281739709573</v>
      </c>
      <c r="S44">
        <f>(S43+AS23-AJ23)*EXP(-M/12-$Y43*K$5)</f>
        <v>11.70403699240336</v>
      </c>
      <c r="T44">
        <f>(T43+AT23-AK23)*EXP(-M/12-$Y43*L$5)</f>
        <v>1.4215227945795421</v>
      </c>
      <c r="X44" cm="1">
        <f t="array" ref="X44">-LN(1-(M24+U24)/SUMPRODUCT(H44:L44+P44:T44,H$5:L$5))</f>
        <v>0.41457324345559643</v>
      </c>
      <c r="Y44">
        <f>Fmay</f>
        <v>0.58897806592777702</v>
      </c>
      <c r="Z44">
        <v>0</v>
      </c>
      <c r="AE44">
        <v>2021</v>
      </c>
      <c r="AF44" t="s">
        <v>13</v>
      </c>
      <c r="AG44">
        <f t="shared" si="8"/>
        <v>25.415511260728131</v>
      </c>
      <c r="AH44">
        <f t="shared" si="9"/>
        <v>188.15585886375587</v>
      </c>
      <c r="AI44">
        <f t="shared" si="10"/>
        <v>147.74602431056408</v>
      </c>
      <c r="AJ44">
        <f t="shared" si="11"/>
        <v>26.52600754898792</v>
      </c>
      <c r="AK44">
        <f t="shared" si="12"/>
        <v>1.4215227945795421</v>
      </c>
      <c r="AL44">
        <f t="shared" si="13"/>
        <v>362.42789070024099</v>
      </c>
    </row>
    <row r="45" spans="5:38" x14ac:dyDescent="0.25">
      <c r="E45">
        <v>2021</v>
      </c>
      <c r="F45" t="s">
        <v>14</v>
      </c>
      <c r="H45">
        <f>H46/EXP(-M/12-$Y45*H$5)+AP25+X25</f>
        <v>19.781519438990987</v>
      </c>
      <c r="I45">
        <f>I46/EXP(-M/12-$Y45*I$5)+AQ25+Y25</f>
        <v>78.044810885860215</v>
      </c>
      <c r="J45">
        <f>J46/EXP(-M/12-$Y45*J$5)+AR25+Z25</f>
        <v>48.004840218533772</v>
      </c>
      <c r="K45">
        <f>K46/EXP(-M/12-$Y45*K$5)+AS25+AA25</f>
        <v>3.1302531972263341</v>
      </c>
      <c r="L45">
        <f>L46/EXP(-M/12-$Y45*L$5)+AT25+AB25</f>
        <v>0</v>
      </c>
      <c r="O45" t="s">
        <v>14</v>
      </c>
      <c r="P45">
        <f>(P44+AP24-AG24)*EXP(-M/12-$Y44*H$5)</f>
        <v>1.9378911638664951</v>
      </c>
      <c r="Q45">
        <f>(Q44+AQ24-AH24)*EXP(-M/12-$Y44*I$5)</f>
        <v>17.742850887271086</v>
      </c>
      <c r="R45">
        <f>(R44+AR24-AI24)*EXP(-M/12-$Y44*J$5)</f>
        <v>15.840402290514891</v>
      </c>
      <c r="S45">
        <f>(S44+AS24-AJ24)*EXP(-M/12-$Y44*K$5)</f>
        <v>7.9058041191137036</v>
      </c>
      <c r="T45">
        <f>(T44+AT24-AK24)*EXP(-M/12-$Y44*L$5)</f>
        <v>1.3773782314252507</v>
      </c>
      <c r="X45" cm="1">
        <f t="array" ref="X45">-LN(1-(M25+U25)/SUMPRODUCT(H45:L45+P45:T45,H$5:L$5))</f>
        <v>1.1203030340438964</v>
      </c>
      <c r="Y45">
        <f>Fjune</f>
        <v>1.875282403878598E-11</v>
      </c>
      <c r="Z45">
        <v>0</v>
      </c>
      <c r="AE45">
        <v>2021</v>
      </c>
      <c r="AF45" t="s">
        <v>14</v>
      </c>
      <c r="AG45">
        <f t="shared" si="8"/>
        <v>21.719410602857483</v>
      </c>
      <c r="AH45">
        <f t="shared" si="9"/>
        <v>95.787661773131305</v>
      </c>
      <c r="AI45">
        <f t="shared" si="10"/>
        <v>63.84524250904866</v>
      </c>
      <c r="AJ45">
        <f t="shared" si="11"/>
        <v>11.036057316340038</v>
      </c>
      <c r="AK45">
        <f t="shared" si="12"/>
        <v>1.3773782314252507</v>
      </c>
      <c r="AL45">
        <f t="shared" si="13"/>
        <v>170.66896158892311</v>
      </c>
    </row>
    <row r="46" spans="5:38" x14ac:dyDescent="0.25">
      <c r="E46">
        <v>2021</v>
      </c>
      <c r="F46" t="s">
        <v>15</v>
      </c>
      <c r="H46">
        <f>H47/EXP(-M/12-$Y46*H$5)+AP26+X26</f>
        <v>12.384596790804238</v>
      </c>
      <c r="I46">
        <f>I47/EXP(-M/12-$Y46*I$5)+AQ26+Y26</f>
        <v>38.801242586479034</v>
      </c>
      <c r="J46">
        <f>J47/EXP(-M/12-$Y46*J$5)+AR26+Z26</f>
        <v>20.352547128580419</v>
      </c>
      <c r="K46">
        <f>K47/EXP(-M/12-$Y46*K$5)+AS26+AA26</f>
        <v>2.0640994238129236</v>
      </c>
      <c r="L46">
        <f>L47/EXP(-M/12-$Y46*L$5)+AT26+AB26</f>
        <v>0</v>
      </c>
      <c r="O46" t="s">
        <v>15</v>
      </c>
      <c r="P46">
        <f>(P45+AP25-AG25)*EXP(-M/12-$Y45*H$5)</f>
        <v>6.7224389911621572</v>
      </c>
      <c r="Q46">
        <f>(Q45+AQ25-AH25)*EXP(-M/12-$Y45*I$5)</f>
        <v>36.570768616100871</v>
      </c>
      <c r="R46">
        <f>(R45+AR25-AI25)*EXP(-M/12-$Y45*J$5)</f>
        <v>25.037943634302639</v>
      </c>
      <c r="S46">
        <f>(S45+AS25-AJ25)*EXP(-M/12-$Y45*K$5)</f>
        <v>7.6602939727012407</v>
      </c>
      <c r="T46">
        <f>(T45+AT25-AK25)*EXP(-M/12-$Y45*L$5)</f>
        <v>1.334604551990527</v>
      </c>
      <c r="X46" cm="1">
        <f t="array" ref="X46">-LN(1-(M26+U26)/SUMPRODUCT(H46:L46+P46:T46,H$5:L$5))</f>
        <v>0.19390386652480066</v>
      </c>
      <c r="Y46">
        <f>Fjuly</f>
        <v>3.0024197173615572E-11</v>
      </c>
      <c r="Z46">
        <v>0</v>
      </c>
      <c r="AE46">
        <v>2021</v>
      </c>
      <c r="AF46" t="s">
        <v>15</v>
      </c>
      <c r="AG46">
        <f t="shared" si="8"/>
        <v>19.107035781966395</v>
      </c>
      <c r="AH46">
        <f t="shared" si="9"/>
        <v>75.372011202579898</v>
      </c>
      <c r="AI46">
        <f t="shared" si="10"/>
        <v>45.390490762883061</v>
      </c>
      <c r="AJ46">
        <f t="shared" si="11"/>
        <v>9.7243933965141647</v>
      </c>
      <c r="AK46">
        <f t="shared" si="12"/>
        <v>1.334604551990527</v>
      </c>
      <c r="AL46">
        <f t="shared" si="13"/>
        <v>130.48689535352085</v>
      </c>
    </row>
    <row r="47" spans="5:38" x14ac:dyDescent="0.25">
      <c r="E47">
        <v>2021</v>
      </c>
      <c r="F47" t="s">
        <v>16</v>
      </c>
      <c r="H47">
        <f>H48/EXP(-M/12-$Y47*H$5)+AP27+X27</f>
        <v>12.000000344474442</v>
      </c>
      <c r="I47">
        <f>I48/EXP(-M/12-$Y47*I$5)+AQ27+Y27</f>
        <v>25.000000011806211</v>
      </c>
      <c r="J47">
        <f>J48/EXP(-M/12-$Y47*J$5)+AR27+Z27</f>
        <v>11.000000383596705</v>
      </c>
      <c r="K47">
        <f>K48/EXP(-M/12-$Y47*K$5)+AS27+AA27</f>
        <v>2.0000000173144459</v>
      </c>
      <c r="L47">
        <f>L48/EXP(-M/12-$Y47*L$5)+AT27+AB27</f>
        <v>0</v>
      </c>
      <c r="O47" t="s">
        <v>16</v>
      </c>
      <c r="P47">
        <f>(P46+AP26-AG26)*EXP(-M/12-$Y46*H$5)</f>
        <v>6.5136775603023702</v>
      </c>
      <c r="Q47">
        <f>(Q46+AQ26-AH26)*EXP(-M/12-$Y46*I$5)</f>
        <v>35.435084677410096</v>
      </c>
      <c r="R47">
        <f>(R46+AR26-AI26)*EXP(-M/12-$Y46*J$5)</f>
        <v>23.291459282518669</v>
      </c>
      <c r="S47">
        <f>(S46+AS26-AJ26)*EXP(-M/12-$Y46*K$5)</f>
        <v>7.422408000935901</v>
      </c>
      <c r="T47">
        <f>(T46+AT26-AK26)*EXP(-M/12-$Y46*L$5)</f>
        <v>1.2931591842792223</v>
      </c>
      <c r="X47" cm="1">
        <f t="array" ref="X47">-LN(1-(M27+U27)/SUMPRODUCT(H47:L47+P47:T47,H$5:L$5))</f>
        <v>0.75096657743673689</v>
      </c>
      <c r="Y47">
        <f>Faug</f>
        <v>1.4289095508772784E-7</v>
      </c>
      <c r="Z47">
        <v>0</v>
      </c>
      <c r="AE47">
        <v>2021</v>
      </c>
      <c r="AF47" t="s">
        <v>16</v>
      </c>
      <c r="AG47">
        <f t="shared" si="8"/>
        <v>18.513677904776813</v>
      </c>
      <c r="AH47">
        <f t="shared" si="9"/>
        <v>60.43508468921631</v>
      </c>
      <c r="AI47">
        <f t="shared" si="10"/>
        <v>34.291459666115372</v>
      </c>
      <c r="AJ47">
        <f t="shared" si="11"/>
        <v>9.4224080182503478</v>
      </c>
      <c r="AK47">
        <f t="shared" si="12"/>
        <v>1.2931591842792223</v>
      </c>
      <c r="AL47">
        <f t="shared" si="13"/>
        <v>104.14895236538835</v>
      </c>
    </row>
    <row r="48" spans="5:38" x14ac:dyDescent="0.25">
      <c r="E48">
        <v>2021</v>
      </c>
      <c r="F48" t="s">
        <v>17</v>
      </c>
      <c r="H48">
        <f>NT_1</f>
        <v>3.3377698854994953E-7</v>
      </c>
      <c r="I48">
        <f>NT_2</f>
        <v>1.1439574133968501E-8</v>
      </c>
      <c r="J48">
        <f>NT_3</f>
        <v>3.7168427984703804E-7</v>
      </c>
      <c r="K48">
        <f>NT_4</f>
        <v>1.6776753513845479E-8</v>
      </c>
      <c r="L48">
        <v>0</v>
      </c>
      <c r="O48" t="s">
        <v>17</v>
      </c>
      <c r="P48">
        <f>(P47+AP27-AG27)*EXP(-M/12-$Y47*H$5)</f>
        <v>6.3113990941927165</v>
      </c>
      <c r="Q48">
        <f>(Q47+AQ27-AH27)*EXP(-M/12-$Y47*I$5)</f>
        <v>33.365718394014074</v>
      </c>
      <c r="R48">
        <f>(R47+AR27-AI27)*EXP(-M/12-$Y47*J$5)</f>
        <v>21.599207900309679</v>
      </c>
      <c r="S48">
        <f>(S47+AS27-AJ27)*EXP(-M/12-$Y47*K$5)</f>
        <v>7.1919084121540955</v>
      </c>
      <c r="T48">
        <f>(T47+AT27-AK27)*EXP(-M/12-$Y47*L$5)</f>
        <v>1.2530008783437547</v>
      </c>
      <c r="X48" cm="1">
        <f t="array" ref="X48">-LN(1-(M28+U28)/SUMPRODUCT(H48:L48+P48:T48,H$5:L$5))</f>
        <v>0</v>
      </c>
      <c r="Y48">
        <f>Fsept</f>
        <v>3.5943178881225497E-256</v>
      </c>
      <c r="Z48">
        <v>0</v>
      </c>
      <c r="AE48">
        <v>2021</v>
      </c>
      <c r="AF48" t="s">
        <v>17</v>
      </c>
      <c r="AG48">
        <f t="shared" si="8"/>
        <v>6.3113994279697048</v>
      </c>
      <c r="AH48">
        <f t="shared" si="9"/>
        <v>33.365718405453649</v>
      </c>
      <c r="AI48">
        <f t="shared" si="10"/>
        <v>21.599208271993959</v>
      </c>
      <c r="AJ48">
        <f t="shared" si="11"/>
        <v>7.1919084289308488</v>
      </c>
      <c r="AK48">
        <f t="shared" si="12"/>
        <v>1.2530008783437547</v>
      </c>
      <c r="AL48">
        <f t="shared" si="13"/>
        <v>62.156835100124411</v>
      </c>
    </row>
    <row r="51" spans="6:23" x14ac:dyDescent="0.25">
      <c r="G51" t="s">
        <v>41</v>
      </c>
      <c r="M51" t="s">
        <v>40</v>
      </c>
      <c r="O51" t="s">
        <v>42</v>
      </c>
      <c r="U51" t="s">
        <v>40</v>
      </c>
      <c r="W51" t="s">
        <v>47</v>
      </c>
    </row>
    <row r="52" spans="6:23" x14ac:dyDescent="0.25">
      <c r="F52" t="s">
        <v>13</v>
      </c>
      <c r="H52">
        <f>H32*$X32*H$5/(M+($X32+$Y32)*H$5)*(1-EXP(-($X32+$Y32)*H$5-M))</f>
        <v>9.9360994841121339E-58</v>
      </c>
      <c r="I52">
        <f>I32*$X32*I$5/(M+($X32+$Y32)*I$5)*(1-EXP(-($X32+$Y32)*I$5-M))</f>
        <v>19.40404170475832</v>
      </c>
      <c r="J52">
        <f>J32*$X32*J$5/(M+($X32+$Y32)*J$5)*(1-EXP(-($X32+$Y32)*J$5-M))</f>
        <v>5.7854246639404314</v>
      </c>
      <c r="K52">
        <f>K32*$X32*K$5/(M+($X32+$Y32)*K$5)*(1-EXP(-($X32+$Y32)*K$5-M))</f>
        <v>0.57066215819447852</v>
      </c>
      <c r="L52">
        <f>L32*$X32*L$5/(M+($X32+$Y32)*L$5)*(1-EXP(-($X32+$Y32)*L$5-M))</f>
        <v>0</v>
      </c>
      <c r="M52">
        <f>SUM(H52:L52)</f>
        <v>25.760128526893233</v>
      </c>
      <c r="P52">
        <f>P32*$X32*H$5/(M+($X32+$Y32)*H$5)*(1-EXP(-($X32+$Y32)*H$5-M))</f>
        <v>0</v>
      </c>
      <c r="Q52">
        <f>Q32*$X32*I$5/(M+($X32+$Y32)*I$5)*(1-EXP(-($X32+$Y32)*I$5-M))</f>
        <v>0</v>
      </c>
      <c r="R52">
        <f>R32*$X32*J$5/(M+($X32+$Y32)*J$5)*(1-EXP(-($X32+$Y32)*J$5-M))</f>
        <v>0</v>
      </c>
      <c r="S52">
        <f>S32*$X32*K$5/(M+($X32+$Y32)*K$5)*(1-EXP(-($X32+$Y32)*K$5-M))</f>
        <v>0</v>
      </c>
      <c r="T52">
        <f>T32*$X32*L$5/(M+($X32+$Y32)*L$5)*(1-EXP(-($X32+$Y32)*L$5-M))</f>
        <v>0</v>
      </c>
      <c r="U52">
        <f>SUM(P52:T52)</f>
        <v>0</v>
      </c>
      <c r="W52">
        <f>M52+U52</f>
        <v>25.760128526893233</v>
      </c>
    </row>
    <row r="53" spans="6:23" x14ac:dyDescent="0.25">
      <c r="F53" t="s">
        <v>14</v>
      </c>
      <c r="H53">
        <f>H33*$X33*H$5/(M+($X33+$Y33)*H$5)*(1-EXP(-($X33+$Y33)*H$5-M))</f>
        <v>1.0622337702873966E-57</v>
      </c>
      <c r="I53">
        <f>I33*$X33*I$5/(M+($X33+$Y33)*I$5)*(1-EXP(-($X33+$Y33)*I$5-M))</f>
        <v>14.380975000300991</v>
      </c>
      <c r="J53">
        <f>J33*$X33*J$5/(M+($X33+$Y33)*J$5)*(1-EXP(-($X33+$Y33)*J$5-M))</f>
        <v>3.7971549970015985</v>
      </c>
      <c r="K53">
        <f>K33*$X33*K$5/(M+($X33+$Y33)*K$5)*(1-EXP(-($X33+$Y33)*K$5-M))</f>
        <v>0.34647194351633037</v>
      </c>
      <c r="L53">
        <f>L33*$X33*L$5/(M+($X33+$Y33)*L$5)*(1-EXP(-($X33+$Y33)*L$5-M))</f>
        <v>0</v>
      </c>
      <c r="M53">
        <f t="shared" ref="M53:M68" si="14">SUM(H53:L53)</f>
        <v>18.524601940818922</v>
      </c>
      <c r="P53">
        <f>P33*$X33*H$5/(M+($X33+$Y33)*H$5)*(1-EXP(-($X33+$Y33)*H$5-M))</f>
        <v>0</v>
      </c>
      <c r="Q53">
        <f>Q33*$X33*I$5/(M+($X33+$Y33)*I$5)*(1-EXP(-($X33+$Y33)*I$5-M))</f>
        <v>0.18137847470856353</v>
      </c>
      <c r="R53">
        <f>R33*$X33*J$5/(M+($X33+$Y33)*J$5)*(1-EXP(-($X33+$Y33)*J$5-M))</f>
        <v>0.42321644098664829</v>
      </c>
      <c r="S53">
        <f>S33*$X33*K$5/(M+($X33+$Y33)*K$5)*(1-EXP(-($X33+$Y33)*K$5-M))</f>
        <v>6.045949154960898E-2</v>
      </c>
      <c r="T53">
        <f>T33*$X33*L$5/(M+($X33+$Y33)*L$5)*(1-EXP(-($X33+$Y33)*L$5-M))</f>
        <v>0</v>
      </c>
      <c r="U53">
        <f t="shared" ref="U53:U68" si="15">SUM(P53:T53)</f>
        <v>0.66505440724482079</v>
      </c>
      <c r="W53">
        <f t="shared" ref="W53:W68" si="16">M53+U53</f>
        <v>19.189656348063743</v>
      </c>
    </row>
    <row r="54" spans="6:23" x14ac:dyDescent="0.25">
      <c r="F54" t="s">
        <v>15</v>
      </c>
      <c r="H54">
        <f>H34*$X34*H$5/(M+($X34+$Y34)*H$5)*(1-EXP(-($X34+$Y34)*H$5-M))</f>
        <v>3.4761735006122896E-57</v>
      </c>
      <c r="I54">
        <f>I34*$X34*I$5/(M+($X34+$Y34)*I$5)*(1-EXP(-($X34+$Y34)*I$5-M))</f>
        <v>42.951804440983288</v>
      </c>
      <c r="J54">
        <f>J34*$X34*J$5/(M+($X34+$Y34)*J$5)*(1-EXP(-($X34+$Y34)*J$5-M))</f>
        <v>9.1328613372125016</v>
      </c>
      <c r="K54">
        <f>K34*$X34*K$5/(M+($X34+$Y34)*K$5)*(1-EXP(-($X34+$Y34)*K$5-M))</f>
        <v>0.53946960928390963</v>
      </c>
      <c r="L54">
        <f>L34*$X34*L$5/(M+($X34+$Y34)*L$5)*(1-EXP(-($X34+$Y34)*L$5-M))</f>
        <v>0</v>
      </c>
      <c r="M54">
        <f t="shared" si="14"/>
        <v>52.624135387479704</v>
      </c>
      <c r="P54">
        <f>P34*$X34*H$5/(M+($X34+$Y34)*H$5)*(1-EXP(-($X34+$Y34)*H$5-M))</f>
        <v>0</v>
      </c>
      <c r="Q54">
        <f>Q34*$X34*I$5/(M+($X34+$Y34)*I$5)*(1-EXP(-($X34+$Y34)*I$5-M))</f>
        <v>1.0621130517331399</v>
      </c>
      <c r="R54">
        <f>R34*$X34*J$5/(M+($X34+$Y34)*J$5)*(1-EXP(-($X34+$Y34)*J$5-M))</f>
        <v>2.6488576962712767</v>
      </c>
      <c r="S54">
        <f>S34*$X34*K$5/(M+($X34+$Y34)*K$5)*(1-EXP(-($X34+$Y34)*K$5-M))</f>
        <v>0.69522550125231941</v>
      </c>
      <c r="T54">
        <f>T34*$X34*L$5/(M+($X34+$Y34)*L$5)*(1-EXP(-($X34+$Y34)*L$5-M))</f>
        <v>0</v>
      </c>
      <c r="U54">
        <f t="shared" si="15"/>
        <v>4.4061962492567357</v>
      </c>
      <c r="W54">
        <f t="shared" si="16"/>
        <v>57.030331636736442</v>
      </c>
    </row>
    <row r="55" spans="6:23" x14ac:dyDescent="0.25">
      <c r="F55" t="s">
        <v>16</v>
      </c>
      <c r="H55">
        <f>H35*$X35*H$5/(M+($X35+$Y35)*H$5)*(1-EXP(-($X35+$Y35)*H$5-M))</f>
        <v>2.2813196429210064E-57</v>
      </c>
      <c r="I55">
        <f>I35*$X35*I$5/(M+($X35+$Y35)*I$5)*(1-EXP(-($X35+$Y35)*I$5-M))</f>
        <v>26.781967464814798</v>
      </c>
      <c r="J55">
        <f>J35*$X35*J$5/(M+($X35+$Y35)*J$5)*(1-EXP(-($X35+$Y35)*J$5-M))</f>
        <v>3.4566621400083659</v>
      </c>
      <c r="K55">
        <f>K35*$X35*K$5/(M+($X35+$Y35)*K$5)*(1-EXP(-($X35+$Y35)*K$5-M))</f>
        <v>0.25597720157897885</v>
      </c>
      <c r="L55">
        <f>L35*$X35*L$5/(M+($X35+$Y35)*L$5)*(1-EXP(-($X35+$Y35)*L$5-M))</f>
        <v>0</v>
      </c>
      <c r="M55">
        <f t="shared" si="14"/>
        <v>30.494606806402142</v>
      </c>
      <c r="P55">
        <f>P35*$X35*H$5/(M+($X35+$Y35)*H$5)*(1-EXP(-($X35+$Y35)*H$5-M))</f>
        <v>0</v>
      </c>
      <c r="Q55">
        <f>Q35*$X35*I$5/(M+($X35+$Y35)*I$5)*(1-EXP(-($X35+$Y35)*I$5-M))</f>
        <v>0.7481303791880074</v>
      </c>
      <c r="R55">
        <f>R35*$X35*J$5/(M+($X35+$Y35)*J$5)*(1-EXP(-($X35+$Y35)*J$5-M))</f>
        <v>1.9898143479019885</v>
      </c>
      <c r="S55">
        <f>S35*$X35*K$5/(M+($X35+$Y35)*K$5)*(1-EXP(-($X35+$Y35)*K$5-M))</f>
        <v>0.24167442838608236</v>
      </c>
      <c r="T55">
        <f>T35*$X35*L$5/(M+($X35+$Y35)*L$5)*(1-EXP(-($X35+$Y35)*L$5-M))</f>
        <v>0</v>
      </c>
      <c r="U55">
        <f t="shared" si="15"/>
        <v>2.9796191554760783</v>
      </c>
      <c r="W55">
        <f t="shared" si="16"/>
        <v>33.474225961878219</v>
      </c>
    </row>
    <row r="56" spans="6:23" x14ac:dyDescent="0.25">
      <c r="F56" t="s">
        <v>17</v>
      </c>
      <c r="H56">
        <f>H36*$X36*H$5/(M+($X36+$Y36)*H$5)*(1-EXP(-($X36+$Y36)*H$5-M))</f>
        <v>1.0512511928917767E-57</v>
      </c>
      <c r="I56">
        <f>I36*$X36*I$5/(M+($X36+$Y36)*I$5)*(1-EXP(-($X36+$Y36)*I$5-M))</f>
        <v>13.653354370686072</v>
      </c>
      <c r="J56">
        <f>J36*$X36*J$5/(M+($X36+$Y36)*J$5)*(1-EXP(-($X36+$Y36)*J$5-M))</f>
        <v>1.4783428733655044</v>
      </c>
      <c r="K56">
        <f>K36*$X36*K$5/(M+($X36+$Y36)*K$5)*(1-EXP(-($X36+$Y36)*K$5-M))</f>
        <v>0</v>
      </c>
      <c r="L56">
        <f>L36*$X36*L$5/(M+($X36+$Y36)*L$5)*(1-EXP(-($X36+$Y36)*L$5-M))</f>
        <v>0</v>
      </c>
      <c r="M56">
        <f t="shared" si="14"/>
        <v>15.131697244051576</v>
      </c>
      <c r="P56">
        <f>P36*$X36*H$5/(M+($X36+$Y36)*H$5)*(1-EXP(-($X36+$Y36)*H$5-M))</f>
        <v>0</v>
      </c>
      <c r="Q56">
        <f>Q36*$X36*I$5/(M+($X36+$Y36)*I$5)*(1-EXP(-($X36+$Y36)*I$5-M))</f>
        <v>0.39265299847024387</v>
      </c>
      <c r="R56">
        <f>R36*$X36*J$5/(M+($X36+$Y36)*J$5)*(1-EXP(-($X36+$Y36)*J$5-M))</f>
        <v>1.0443454668300325</v>
      </c>
      <c r="S56">
        <f>S36*$X36*K$5/(M+($X36+$Y36)*K$5)*(1-EXP(-($X36+$Y36)*K$5-M))</f>
        <v>0.12684177998418267</v>
      </c>
      <c r="T56">
        <f>T36*$X36*L$5/(M+($X36+$Y36)*L$5)*(1-EXP(-($X36+$Y36)*L$5-M))</f>
        <v>0</v>
      </c>
      <c r="U56">
        <f t="shared" si="15"/>
        <v>1.5638402452844589</v>
      </c>
      <c r="W56">
        <f t="shared" si="16"/>
        <v>16.695537489336036</v>
      </c>
    </row>
    <row r="57" spans="6:23" x14ac:dyDescent="0.25">
      <c r="F57" t="s">
        <v>18</v>
      </c>
      <c r="H57">
        <f>H37*$X37*H$5/(M+($X37+$Y37)*H$5)*(1-EXP(-($X37+$Y37)*H$5-M))</f>
        <v>0</v>
      </c>
      <c r="I57">
        <f>I37*$X37*I$5/(M+($X37+$Y37)*I$5)*(1-EXP(-($X37+$Y37)*I$5-M))</f>
        <v>0</v>
      </c>
      <c r="J57">
        <f>J37*$X37*J$5/(M+($X37+$Y37)*J$5)*(1-EXP(-($X37+$Y37)*J$5-M))</f>
        <v>0</v>
      </c>
      <c r="K57">
        <f>K37*$X37*K$5/(M+($X37+$Y37)*K$5)*(1-EXP(-($X37+$Y37)*K$5-M))</f>
        <v>0</v>
      </c>
      <c r="L57">
        <f>L37*$X37*L$5/(M+($X37+$Y37)*L$5)*(1-EXP(-($X37+$Y37)*L$5-M))</f>
        <v>0</v>
      </c>
      <c r="M57">
        <f t="shared" si="14"/>
        <v>0</v>
      </c>
      <c r="P57">
        <f>P37*$X37*H$5/(M+($X37+$Y37)*H$5)*(1-EXP(-($X37+$Y37)*H$5-M))</f>
        <v>0</v>
      </c>
      <c r="Q57">
        <f>Q37*$X37*I$5/(M+($X37+$Y37)*I$5)*(1-EXP(-($X37+$Y37)*I$5-M))</f>
        <v>0</v>
      </c>
      <c r="R57">
        <f>R37*$X37*J$5/(M+($X37+$Y37)*J$5)*(1-EXP(-($X37+$Y37)*J$5-M))</f>
        <v>0</v>
      </c>
      <c r="S57">
        <f>S37*$X37*K$5/(M+($X37+$Y37)*K$5)*(1-EXP(-($X37+$Y37)*K$5-M))</f>
        <v>0</v>
      </c>
      <c r="T57">
        <f>T37*$X37*L$5/(M+($X37+$Y37)*L$5)*(1-EXP(-($X37+$Y37)*L$5-M))</f>
        <v>0</v>
      </c>
      <c r="U57">
        <f t="shared" si="15"/>
        <v>0</v>
      </c>
      <c r="W57">
        <f t="shared" si="16"/>
        <v>0</v>
      </c>
    </row>
    <row r="58" spans="6:23" x14ac:dyDescent="0.25">
      <c r="F58" t="s">
        <v>19</v>
      </c>
      <c r="H58">
        <f>H38*$X38*H$5/(M+($X38+$Y38)*H$5)*(1-EXP(-($X38+$Y38)*H$5-M))</f>
        <v>0</v>
      </c>
      <c r="I58">
        <f>I38*$X38*I$5/(M+($X38+$Y38)*I$5)*(1-EXP(-($X38+$Y38)*I$5-M))</f>
        <v>0</v>
      </c>
      <c r="J58">
        <f>J38*$X38*J$5/(M+($X38+$Y38)*J$5)*(1-EXP(-($X38+$Y38)*J$5-M))</f>
        <v>0</v>
      </c>
      <c r="K58">
        <f>K38*$X38*K$5/(M+($X38+$Y38)*K$5)*(1-EXP(-($X38+$Y38)*K$5-M))</f>
        <v>0</v>
      </c>
      <c r="L58">
        <f>L38*$X38*L$5/(M+($X38+$Y38)*L$5)*(1-EXP(-($X38+$Y38)*L$5-M))</f>
        <v>0</v>
      </c>
      <c r="M58">
        <f t="shared" si="14"/>
        <v>0</v>
      </c>
      <c r="P58">
        <f>P38*$X38*H$5/(M+($X38+$Y38)*H$5)*(1-EXP(-($X38+$Y38)*H$5-M))</f>
        <v>0</v>
      </c>
      <c r="Q58">
        <f>Q38*$X38*I$5/(M+($X38+$Y38)*I$5)*(1-EXP(-($X38+$Y38)*I$5-M))</f>
        <v>0</v>
      </c>
      <c r="R58">
        <f>R38*$X38*J$5/(M+($X38+$Y38)*J$5)*(1-EXP(-($X38+$Y38)*J$5-M))</f>
        <v>0</v>
      </c>
      <c r="S58">
        <f>S38*$X38*K$5/(M+($X38+$Y38)*K$5)*(1-EXP(-($X38+$Y38)*K$5-M))</f>
        <v>0</v>
      </c>
      <c r="T58">
        <f>T38*$X38*L$5/(M+($X38+$Y38)*L$5)*(1-EXP(-($X38+$Y38)*L$5-M))</f>
        <v>0</v>
      </c>
      <c r="U58">
        <f t="shared" si="15"/>
        <v>0</v>
      </c>
      <c r="W58">
        <f t="shared" si="16"/>
        <v>0</v>
      </c>
    </row>
    <row r="59" spans="6:23" x14ac:dyDescent="0.25">
      <c r="F59" t="s">
        <v>20</v>
      </c>
      <c r="H59">
        <f>H39*$X39*H$5/(M+($X39+$Y39)*H$5)*(1-EXP(-($X39+$Y39)*H$5-M))</f>
        <v>0</v>
      </c>
      <c r="I59">
        <f>I39*$X39*I$5/(M+($X39+$Y39)*I$5)*(1-EXP(-($X39+$Y39)*I$5-M))</f>
        <v>0</v>
      </c>
      <c r="J59">
        <f>J39*$X39*J$5/(M+($X39+$Y39)*J$5)*(1-EXP(-($X39+$Y39)*J$5-M))</f>
        <v>0</v>
      </c>
      <c r="K59">
        <f>K39*$X39*K$5/(M+($X39+$Y39)*K$5)*(1-EXP(-($X39+$Y39)*K$5-M))</f>
        <v>0</v>
      </c>
      <c r="L59">
        <f>L39*$X39*L$5/(M+($X39+$Y39)*L$5)*(1-EXP(-($X39+$Y39)*L$5-M))</f>
        <v>0</v>
      </c>
      <c r="M59">
        <f t="shared" si="14"/>
        <v>0</v>
      </c>
      <c r="P59">
        <f>P39*$X39*H$5/(M+($X39+$Y39)*H$5)*(1-EXP(-($X39+$Y39)*H$5-M))</f>
        <v>0</v>
      </c>
      <c r="Q59">
        <f>Q39*$X39*I$5/(M+($X39+$Y39)*I$5)*(1-EXP(-($X39+$Y39)*I$5-M))</f>
        <v>0</v>
      </c>
      <c r="R59">
        <f>R39*$X39*J$5/(M+($X39+$Y39)*J$5)*(1-EXP(-($X39+$Y39)*J$5-M))</f>
        <v>0</v>
      </c>
      <c r="S59">
        <f>S39*$X39*K$5/(M+($X39+$Y39)*K$5)*(1-EXP(-($X39+$Y39)*K$5-M))</f>
        <v>0</v>
      </c>
      <c r="T59">
        <f>T39*$X39*L$5/(M+($X39+$Y39)*L$5)*(1-EXP(-($X39+$Y39)*L$5-M))</f>
        <v>0</v>
      </c>
      <c r="U59">
        <f t="shared" si="15"/>
        <v>0</v>
      </c>
      <c r="W59">
        <f t="shared" si="16"/>
        <v>0</v>
      </c>
    </row>
    <row r="60" spans="6:23" x14ac:dyDescent="0.25">
      <c r="F60" t="s">
        <v>21</v>
      </c>
      <c r="H60">
        <f>H40*$X40*H$5/(M+($X40+$Y40)*H$5)*(1-EXP(-($X40+$Y40)*H$5-M))</f>
        <v>0</v>
      </c>
      <c r="I60">
        <f>I40*$X40*I$5/(M+($X40+$Y40)*I$5)*(1-EXP(-($X40+$Y40)*I$5-M))</f>
        <v>0</v>
      </c>
      <c r="J60">
        <f>J40*$X40*J$5/(M+($X40+$Y40)*J$5)*(1-EXP(-($X40+$Y40)*J$5-M))</f>
        <v>0</v>
      </c>
      <c r="K60">
        <f>K40*$X40*K$5/(M+($X40+$Y40)*K$5)*(1-EXP(-($X40+$Y40)*K$5-M))</f>
        <v>0</v>
      </c>
      <c r="L60">
        <f>L40*$X40*L$5/(M+($X40+$Y40)*L$5)*(1-EXP(-($X40+$Y40)*L$5-M))</f>
        <v>0</v>
      </c>
      <c r="M60">
        <f t="shared" si="14"/>
        <v>0</v>
      </c>
      <c r="P60">
        <f>P40*$X40*H$5/(M+($X40+$Y40)*H$5)*(1-EXP(-($X40+$Y40)*H$5-M))</f>
        <v>0</v>
      </c>
      <c r="Q60">
        <f>Q40*$X40*I$5/(M+($X40+$Y40)*I$5)*(1-EXP(-($X40+$Y40)*I$5-M))</f>
        <v>0</v>
      </c>
      <c r="R60">
        <f>R40*$X40*J$5/(M+($X40+$Y40)*J$5)*(1-EXP(-($X40+$Y40)*J$5-M))</f>
        <v>0</v>
      </c>
      <c r="S60">
        <f>S40*$X40*K$5/(M+($X40+$Y40)*K$5)*(1-EXP(-($X40+$Y40)*K$5-M))</f>
        <v>0</v>
      </c>
      <c r="T60">
        <f>T40*$X40*L$5/(M+($X40+$Y40)*L$5)*(1-EXP(-($X40+$Y40)*L$5-M))</f>
        <v>0</v>
      </c>
      <c r="U60">
        <f t="shared" si="15"/>
        <v>0</v>
      </c>
      <c r="W60">
        <f t="shared" si="16"/>
        <v>0</v>
      </c>
    </row>
    <row r="61" spans="6:23" x14ac:dyDescent="0.25">
      <c r="F61" t="s">
        <v>22</v>
      </c>
      <c r="H61">
        <f>H41*$X41*H$5/(M+($X41+$Y41)*H$5)*(1-EXP(-($X41+$Y41)*H$5-M))</f>
        <v>0</v>
      </c>
      <c r="I61">
        <f>I41*$X41*I$5/(M+($X41+$Y41)*I$5)*(1-EXP(-($X41+$Y41)*I$5-M))</f>
        <v>0</v>
      </c>
      <c r="J61">
        <f>J41*$X41*J$5/(M+($X41+$Y41)*J$5)*(1-EXP(-($X41+$Y41)*J$5-M))</f>
        <v>0</v>
      </c>
      <c r="K61">
        <f>K41*$X41*K$5/(M+($X41+$Y41)*K$5)*(1-EXP(-($X41+$Y41)*K$5-M))</f>
        <v>0</v>
      </c>
      <c r="L61">
        <f>L41*$X41*L$5/(M+($X41+$Y41)*L$5)*(1-EXP(-($X41+$Y41)*L$5-M))</f>
        <v>0</v>
      </c>
      <c r="M61">
        <f t="shared" si="14"/>
        <v>0</v>
      </c>
      <c r="P61">
        <f>P41*$X41*H$5/(M+($X41+$Y41)*H$5)*(1-EXP(-($X41+$Y41)*H$5-M))</f>
        <v>0</v>
      </c>
      <c r="Q61">
        <f>Q41*$X41*I$5/(M+($X41+$Y41)*I$5)*(1-EXP(-($X41+$Y41)*I$5-M))</f>
        <v>0</v>
      </c>
      <c r="R61">
        <f>R41*$X41*J$5/(M+($X41+$Y41)*J$5)*(1-EXP(-($X41+$Y41)*J$5-M))</f>
        <v>0</v>
      </c>
      <c r="S61">
        <f>S41*$X41*K$5/(M+($X41+$Y41)*K$5)*(1-EXP(-($X41+$Y41)*K$5-M))</f>
        <v>0</v>
      </c>
      <c r="T61">
        <f>T41*$X41*L$5/(M+($X41+$Y41)*L$5)*(1-EXP(-($X41+$Y41)*L$5-M))</f>
        <v>0</v>
      </c>
      <c r="U61">
        <f t="shared" si="15"/>
        <v>0</v>
      </c>
      <c r="W61">
        <f t="shared" si="16"/>
        <v>0</v>
      </c>
    </row>
    <row r="62" spans="6:23" x14ac:dyDescent="0.25">
      <c r="F62" t="s">
        <v>23</v>
      </c>
      <c r="H62">
        <f>H42*$X42*H$5/(M+($X42+$Y42)*H$5)*(1-EXP(-($X42+$Y42)*H$5-M))</f>
        <v>3.2626087871375858E-60</v>
      </c>
      <c r="I62">
        <f>I42*$X42*I$5/(M+($X42+$Y42)*I$5)*(1-EXP(-($X42+$Y42)*I$5-M))</f>
        <v>0.4243267249625054</v>
      </c>
      <c r="J62">
        <f>J42*$X42*J$5/(M+($X42+$Y42)*J$5)*(1-EXP(-($X42+$Y42)*J$5-M))</f>
        <v>0.33631412375440572</v>
      </c>
      <c r="K62">
        <f>K42*$X42*K$5/(M+($X42+$Y42)*K$5)*(1-EXP(-($X42+$Y42)*K$5-M))</f>
        <v>3.5611475315450863E-2</v>
      </c>
      <c r="L62">
        <f>L42*$X42*L$5/(M+($X42+$Y42)*L$5)*(1-EXP(-($X42+$Y42)*L$5-M))</f>
        <v>0</v>
      </c>
      <c r="M62">
        <f t="shared" si="14"/>
        <v>0.79625232403236201</v>
      </c>
      <c r="P62">
        <f>P42*$X42*H$5/(M+($X42+$Y42)*H$5)*(1-EXP(-($X42+$Y42)*H$5-M))</f>
        <v>0</v>
      </c>
      <c r="Q62">
        <f>Q42*$X42*I$5/(M+($X42+$Y42)*I$5)*(1-EXP(-($X42+$Y42)*I$5-M))</f>
        <v>0</v>
      </c>
      <c r="R62">
        <f>R42*$X42*J$5/(M+($X42+$Y42)*J$5)*(1-EXP(-($X42+$Y42)*J$5-M))</f>
        <v>9.9239154931038583E-3</v>
      </c>
      <c r="S62">
        <f>S42*$X42*K$5/(M+($X42+$Y42)*K$5)*(1-EXP(-($X42+$Y42)*K$5-M))</f>
        <v>2.6394796906691671E-2</v>
      </c>
      <c r="T62">
        <f>T42*$X42*L$5/(M+($X42+$Y42)*L$5)*(1-EXP(-($X42+$Y42)*L$5-M))</f>
        <v>0</v>
      </c>
      <c r="U62">
        <f t="shared" si="15"/>
        <v>3.6318712399795533E-2</v>
      </c>
      <c r="W62">
        <f t="shared" si="16"/>
        <v>0.83257103643215757</v>
      </c>
    </row>
    <row r="63" spans="6:23" x14ac:dyDescent="0.25">
      <c r="F63" t="s">
        <v>12</v>
      </c>
      <c r="H63">
        <f>H43*$X43*H$5/(M+($X43+$Y43)*H$5)*(1-EXP(-($X43+$Y43)*H$5-M))</f>
        <v>1.9756968642085916E-59</v>
      </c>
      <c r="I63">
        <f>I43*$X43*I$5/(M+($X43+$Y43)*I$5)*(1-EXP(-($X43+$Y43)*I$5-M))</f>
        <v>2.553525268697646</v>
      </c>
      <c r="J63">
        <f>J43*$X43*J$5/(M+($X43+$Y43)*J$5)*(1-EXP(-($X43+$Y43)*J$5-M))</f>
        <v>2.0238805682170184</v>
      </c>
      <c r="K63">
        <f>K43*$X43*K$5/(M+($X43+$Y43)*K$5)*(1-EXP(-($X43+$Y43)*K$5-M))</f>
        <v>0.21430373512800818</v>
      </c>
      <c r="L63">
        <f>L43*$X43*L$5/(M+($X43+$Y43)*L$5)*(1-EXP(-($X43+$Y43)*L$5-M))</f>
        <v>0</v>
      </c>
      <c r="M63">
        <f t="shared" si="14"/>
        <v>4.7917095720426728</v>
      </c>
      <c r="P63">
        <f>P43*$X43*H$5/(M+($X43+$Y43)*H$5)*(1-EXP(-($X43+$Y43)*H$5-M))</f>
        <v>0</v>
      </c>
      <c r="Q63">
        <f>Q43*$X43*I$5/(M+($X43+$Y43)*I$5)*(1-EXP(-($X43+$Y43)*I$5-M))</f>
        <v>0</v>
      </c>
      <c r="R63">
        <f>R43*$X43*J$5/(M+($X43+$Y43)*J$5)*(1-EXP(-($X43+$Y43)*J$5-M))</f>
        <v>4.6978898592103524E-2</v>
      </c>
      <c r="S63">
        <f>S43*$X43*K$5/(M+($X43+$Y43)*K$5)*(1-EXP(-($X43+$Y43)*K$5-M))</f>
        <v>0.15883934925310483</v>
      </c>
      <c r="T63">
        <f>T43*$X43*L$5/(M+($X43+$Y43)*L$5)*(1-EXP(-($X43+$Y43)*L$5-M))</f>
        <v>0</v>
      </c>
      <c r="U63">
        <f t="shared" si="15"/>
        <v>0.20581824784520836</v>
      </c>
      <c r="W63">
        <f t="shared" si="16"/>
        <v>4.997527819887881</v>
      </c>
    </row>
    <row r="64" spans="6:23" x14ac:dyDescent="0.25">
      <c r="F64" t="s">
        <v>13</v>
      </c>
      <c r="H64">
        <f>H44*$X44*H$5/(M+($X44+$Y44)*H$5)*(1-EXP(-($X44+$Y44)*H$5-M))</f>
        <v>4.9871464437998747E-58</v>
      </c>
      <c r="I64">
        <f>I44*$X44*I$5/(M+($X44+$Y44)*I$5)*(1-EXP(-($X44+$Y44)*I$5-M))</f>
        <v>42.269750156534542</v>
      </c>
      <c r="J64">
        <f>J44*$X44*J$5/(M+($X44+$Y44)*J$5)*(1-EXP(-($X44+$Y44)*J$5-M))</f>
        <v>32.413900970240071</v>
      </c>
      <c r="K64">
        <f>K44*$X44*K$5/(M+($X44+$Y44)*K$5)*(1-EXP(-($X44+$Y44)*K$5-M))</f>
        <v>3.3297979436054064</v>
      </c>
      <c r="L64">
        <f>L44*$X44*L$5/(M+($X44+$Y44)*L$5)*(1-EXP(-($X44+$Y44)*L$5-M))</f>
        <v>0</v>
      </c>
      <c r="M64">
        <f t="shared" si="14"/>
        <v>78.013449070380005</v>
      </c>
      <c r="P64">
        <f>P44*$X44*H$5/(M+($X44+$Y44)*H$5)*(1-EXP(-($X44+$Y44)*H$5-M))</f>
        <v>0</v>
      </c>
      <c r="Q64">
        <f>Q44*$X44*I$5/(M+($X44+$Y44)*I$5)*(1-EXP(-($X44+$Y44)*I$5-M))</f>
        <v>0</v>
      </c>
      <c r="R64">
        <f>R44*$X44*J$5/(M+($X44+$Y44)*J$5)*(1-EXP(-($X44+$Y44)*J$5-M))</f>
        <v>0.77766463894449089</v>
      </c>
      <c r="S64">
        <f>S44*$X44*K$5/(M+($X44+$Y44)*K$5)*(1-EXP(-($X44+$Y44)*K$5-M))</f>
        <v>2.6293452790508502</v>
      </c>
      <c r="T64">
        <f>T44*$X44*L$5/(M+($X44+$Y44)*L$5)*(1-EXP(-($X44+$Y44)*L$5-M))</f>
        <v>0</v>
      </c>
      <c r="U64">
        <f t="shared" si="15"/>
        <v>3.407009917995341</v>
      </c>
      <c r="W64">
        <f t="shared" si="16"/>
        <v>81.420458988375344</v>
      </c>
    </row>
    <row r="65" spans="6:23" x14ac:dyDescent="0.25">
      <c r="F65" t="s">
        <v>14</v>
      </c>
      <c r="H65">
        <f>H45*$X45*H$5/(M+($X45+$Y45)*H$5)*(1-EXP(-($X45+$Y45)*H$5-M))</f>
        <v>1.0489315796440037E-57</v>
      </c>
      <c r="I65">
        <f>I45*$X45*I$5/(M+($X45+$Y45)*I$5)*(1-EXP(-($X45+$Y45)*I$5-M))</f>
        <v>45.302650673966554</v>
      </c>
      <c r="J65">
        <f>J45*$X45*J$5/(M+($X45+$Y45)*J$5)*(1-EXP(-($X45+$Y45)*J$5-M))</f>
        <v>27.865356868637445</v>
      </c>
      <c r="K65">
        <f>K45*$X45*K$5/(M+($X45+$Y45)*K$5)*(1-EXP(-($X45+$Y45)*K$5-M))</f>
        <v>1.8170172422036179</v>
      </c>
      <c r="L65">
        <f>L45*$X45*L$5/(M+($X45+$Y45)*L$5)*(1-EXP(-($X45+$Y45)*L$5-M))</f>
        <v>0</v>
      </c>
      <c r="M65">
        <f t="shared" si="14"/>
        <v>74.985024784807621</v>
      </c>
      <c r="P65">
        <f>P45*$X45*H$5/(M+($X45+$Y45)*H$5)*(1-EXP(-($X45+$Y45)*H$5-M))</f>
        <v>1.0275829649799258E-58</v>
      </c>
      <c r="Q65">
        <f>Q45*$X45*I$5/(M+($X45+$Y45)*I$5)*(1-EXP(-($X45+$Y45)*I$5-M))</f>
        <v>10.299187948342478</v>
      </c>
      <c r="R65">
        <f>R45*$X45*J$5/(M+($X45+$Y45)*J$5)*(1-EXP(-($X45+$Y45)*J$5-M))</f>
        <v>9.1948741159972407</v>
      </c>
      <c r="S65">
        <f>S45*$X45*K$5/(M+($X45+$Y45)*K$5)*(1-EXP(-($X45+$Y45)*K$5-M))</f>
        <v>4.5890800177578477</v>
      </c>
      <c r="T65">
        <f>T45*$X45*L$5/(M+($X45+$Y45)*L$5)*(1-EXP(-($X45+$Y45)*L$5-M))</f>
        <v>0</v>
      </c>
      <c r="U65">
        <f t="shared" si="15"/>
        <v>24.083142082097567</v>
      </c>
      <c r="W65">
        <f t="shared" si="16"/>
        <v>99.068166866905187</v>
      </c>
    </row>
    <row r="66" spans="6:23" x14ac:dyDescent="0.25">
      <c r="F66" t="s">
        <v>15</v>
      </c>
      <c r="H66">
        <f>H46*$X46*H$5/(M+($X46+$Y46)*H$5)*(1-EXP(-($X46+$Y46)*H$5-M))</f>
        <v>1.1366332131662889E-58</v>
      </c>
      <c r="I66">
        <f>I46*$X46*I$5/(M+($X46+$Y46)*I$5)*(1-EXP(-($X46+$Y46)*I$5-M))</f>
        <v>5.7284464974417535</v>
      </c>
      <c r="J66">
        <f>J46*$X46*J$5/(M+($X46+$Y46)*J$5)*(1-EXP(-($X46+$Y46)*J$5-M))</f>
        <v>3.0047614339382518</v>
      </c>
      <c r="K66">
        <f>K46*$X46*K$5/(M+($X46+$Y46)*K$5)*(1-EXP(-($X46+$Y46)*K$5-M))</f>
        <v>0.30473465067464373</v>
      </c>
      <c r="L66">
        <f>L46*$X46*L$5/(M+($X46+$Y46)*L$5)*(1-EXP(-($X46+$Y46)*L$5-M))</f>
        <v>0</v>
      </c>
      <c r="M66">
        <f t="shared" si="14"/>
        <v>9.0379425820546473</v>
      </c>
      <c r="P66">
        <f>P46*$X46*H$5/(M+($X46+$Y46)*H$5)*(1-EXP(-($X46+$Y46)*H$5-M))</f>
        <v>6.1697183686371718E-59</v>
      </c>
      <c r="Q66">
        <f>Q46*$X46*I$5/(M+($X46+$Y46)*I$5)*(1-EXP(-($X46+$Y46)*I$5-M))</f>
        <v>5.3991490329399277</v>
      </c>
      <c r="R66">
        <f>R46*$X46*J$5/(M+($X46+$Y46)*J$5)*(1-EXP(-($X46+$Y46)*J$5-M))</f>
        <v>3.6964929717236719</v>
      </c>
      <c r="S66">
        <f>S46*$X46*K$5/(M+($X46+$Y46)*K$5)*(1-EXP(-($X46+$Y46)*K$5-M))</f>
        <v>1.1309324448742071</v>
      </c>
      <c r="T66">
        <f>T46*$X46*L$5/(M+($X46+$Y46)*L$5)*(1-EXP(-($X46+$Y46)*L$5-M))</f>
        <v>0</v>
      </c>
      <c r="U66">
        <f t="shared" si="15"/>
        <v>10.226574449537805</v>
      </c>
      <c r="W66">
        <f t="shared" si="16"/>
        <v>19.264517031592455</v>
      </c>
    </row>
    <row r="67" spans="6:23" x14ac:dyDescent="0.25">
      <c r="F67" t="s">
        <v>16</v>
      </c>
      <c r="H67">
        <f>H47*$X47*H$5/(M+($X47+$Y47)*H$5)*(1-EXP(-($X47+$Y47)*H$5-M))</f>
        <v>4.2653420930795468E-58</v>
      </c>
      <c r="I67">
        <f>I47*$X47*I$5/(M+($X47+$Y47)*I$5)*(1-EXP(-($X47+$Y47)*I$5-M))</f>
        <v>11.249493932898616</v>
      </c>
      <c r="J67">
        <f>J47*$X47*J$5/(M+($X47+$Y47)*J$5)*(1-EXP(-($X47+$Y47)*J$5-M))</f>
        <v>4.9497775007486187</v>
      </c>
      <c r="K67">
        <f>K47*$X47*K$5/(M+($X47+$Y47)*K$5)*(1-EXP(-($X47+$Y47)*K$5-M))</f>
        <v>0.8999595214551106</v>
      </c>
      <c r="L67">
        <f>L47*$X47*L$5/(M+($X47+$Y47)*L$5)*(1-EXP(-($X47+$Y47)*L$5-M))</f>
        <v>0</v>
      </c>
      <c r="M67">
        <f t="shared" si="14"/>
        <v>17.099230955102342</v>
      </c>
      <c r="P67">
        <f>P47*$X47*H$5/(M+($X47+$Y47)*H$5)*(1-EXP(-($X47+$Y47)*H$5-M))</f>
        <v>2.3152551900965959E-58</v>
      </c>
      <c r="Q67">
        <f>Q47*$X47*I$5/(M+($X47+$Y47)*I$5)*(1-EXP(-($X47+$Y47)*I$5-M))</f>
        <v>15.945070796080909</v>
      </c>
      <c r="R67">
        <f>R47*$X47*J$5/(M+($X47+$Y47)*J$5)*(1-EXP(-($X47+$Y47)*J$5-M))</f>
        <v>10.480685190532469</v>
      </c>
      <c r="S67">
        <f>S47*$X47*K$5/(M+($X47+$Y47)*K$5)*(1-EXP(-($X47+$Y47)*K$5-M))</f>
        <v>3.3399333473688815</v>
      </c>
      <c r="T67">
        <f>T47*$X47*L$5/(M+($X47+$Y47)*L$5)*(1-EXP(-($X47+$Y47)*L$5-M))</f>
        <v>0</v>
      </c>
      <c r="U67">
        <f t="shared" si="15"/>
        <v>29.765689333982259</v>
      </c>
      <c r="W67">
        <f t="shared" si="16"/>
        <v>46.864920289084601</v>
      </c>
    </row>
    <row r="68" spans="6:23" x14ac:dyDescent="0.25">
      <c r="F68" t="s">
        <v>17</v>
      </c>
      <c r="H68">
        <f>H48*$X48*H$5/(M+($X48+$Y48)*H$5)*(1-EXP(-($X48+$Y48)*H$5-M))</f>
        <v>0</v>
      </c>
      <c r="I68">
        <f>I48*$X48*I$5/(M+($X48+$Y48)*I$5)*(1-EXP(-($X48+$Y48)*I$5-M))</f>
        <v>0</v>
      </c>
      <c r="J68">
        <f>J48*$X48*J$5/(M+($X48+$Y48)*J$5)*(1-EXP(-($X48+$Y48)*J$5-M))</f>
        <v>0</v>
      </c>
      <c r="K68">
        <f>K48*$X48*K$5/(M+($X48+$Y48)*K$5)*(1-EXP(-($X48+$Y48)*K$5-M))</f>
        <v>0</v>
      </c>
      <c r="L68">
        <f>L48*$X48*L$5/(M+($X48+$Y48)*L$5)*(1-EXP(-($X48+$Y48)*L$5-M))</f>
        <v>0</v>
      </c>
      <c r="M68">
        <f t="shared" si="14"/>
        <v>0</v>
      </c>
      <c r="P68">
        <f>P48*$X48*H$5/(M+($X48+$Y48)*H$5)*(1-EXP(-($X48+$Y48)*H$5-M))</f>
        <v>0</v>
      </c>
      <c r="Q68">
        <f>Q48*$X48*I$5/(M+($X48+$Y48)*I$5)*(1-EXP(-($X48+$Y48)*I$5-M))</f>
        <v>0</v>
      </c>
      <c r="R68">
        <f>R48*$X48*J$5/(M+($X48+$Y48)*J$5)*(1-EXP(-($X48+$Y48)*J$5-M))</f>
        <v>0</v>
      </c>
      <c r="S68">
        <f>S48*$X48*K$5/(M+($X48+$Y48)*K$5)*(1-EXP(-($X48+$Y48)*K$5-M))</f>
        <v>0</v>
      </c>
      <c r="T68">
        <f>T48*$X48*L$5/(M+($X48+$Y48)*L$5)*(1-EXP(-($X48+$Y48)*L$5-M))</f>
        <v>0</v>
      </c>
      <c r="U68">
        <f t="shared" si="15"/>
        <v>0</v>
      </c>
      <c r="W68">
        <f t="shared" si="16"/>
        <v>0</v>
      </c>
    </row>
    <row r="70" spans="6:23" x14ac:dyDescent="0.25">
      <c r="G70" s="2" t="s">
        <v>43</v>
      </c>
    </row>
    <row r="71" spans="6:23" x14ac:dyDescent="0.25">
      <c r="F71" t="s">
        <v>13</v>
      </c>
      <c r="H71">
        <f>-H52+H12*LN(H52+0.0000000001)</f>
        <v>-9.9360994841121339E-58</v>
      </c>
      <c r="I71">
        <f t="shared" ref="I71:L71" si="17">-I52+I12*LN(I52+0.0000000001)</f>
        <v>28.043660370001234</v>
      </c>
      <c r="J71">
        <f t="shared" si="17"/>
        <v>31.076752416539662</v>
      </c>
      <c r="K71">
        <f t="shared" si="17"/>
        <v>-2.2535358916885038</v>
      </c>
      <c r="L71">
        <f t="shared" si="17"/>
        <v>0</v>
      </c>
      <c r="P71">
        <f>-P52+P12*LN(P52+0.0000000001)</f>
        <v>0</v>
      </c>
      <c r="Q71">
        <f t="shared" ref="Q71:T71" si="18">-Q52+Q12*LN(Q52+0.0000000001)</f>
        <v>0</v>
      </c>
      <c r="R71">
        <f t="shared" si="18"/>
        <v>0</v>
      </c>
      <c r="S71">
        <f t="shared" si="18"/>
        <v>0</v>
      </c>
      <c r="T71">
        <f t="shared" si="18"/>
        <v>0</v>
      </c>
    </row>
    <row r="72" spans="6:23" x14ac:dyDescent="0.25">
      <c r="F72" t="s">
        <v>14</v>
      </c>
      <c r="H72">
        <f t="shared" ref="H72:L87" si="19">-H53+H13*LN(H53+0.0000000001)</f>
        <v>-1.0622337702873966E-57</v>
      </c>
      <c r="I72">
        <f t="shared" si="19"/>
        <v>-3.7173503901978897</v>
      </c>
      <c r="J72">
        <f t="shared" si="19"/>
        <v>14.882374421961636</v>
      </c>
      <c r="K72">
        <f t="shared" si="19"/>
        <v>-3.5263322468205294</v>
      </c>
      <c r="L72">
        <f t="shared" si="19"/>
        <v>0</v>
      </c>
      <c r="P72">
        <f t="shared" ref="P72:T72" si="20">-P53+P13*LN(P53+0.0000000001)</f>
        <v>0</v>
      </c>
      <c r="Q72">
        <f t="shared" si="20"/>
        <v>-0.18137847470856353</v>
      </c>
      <c r="R72">
        <f t="shared" si="20"/>
        <v>-2.1429595404747799</v>
      </c>
      <c r="S72">
        <f t="shared" si="20"/>
        <v>-6.045949154960898E-2</v>
      </c>
      <c r="T72">
        <f t="shared" si="20"/>
        <v>0</v>
      </c>
    </row>
    <row r="73" spans="6:23" x14ac:dyDescent="0.25">
      <c r="F73" t="s">
        <v>15</v>
      </c>
      <c r="H73">
        <f t="shared" si="19"/>
        <v>-276.31021115928547</v>
      </c>
      <c r="I73">
        <f t="shared" si="19"/>
        <v>62.330398043097468</v>
      </c>
      <c r="J73">
        <f t="shared" si="19"/>
        <v>43.952235742645883</v>
      </c>
      <c r="K73">
        <f t="shared" si="19"/>
        <v>-1.1566384362316025</v>
      </c>
      <c r="L73">
        <f t="shared" si="19"/>
        <v>0</v>
      </c>
      <c r="P73">
        <f t="shared" ref="P73:T73" si="21">-P54+P14*LN(P54+0.0000000001)</f>
        <v>0</v>
      </c>
      <c r="Q73">
        <f t="shared" si="21"/>
        <v>-1.0621130517331399</v>
      </c>
      <c r="R73">
        <f t="shared" si="21"/>
        <v>-1.6747292071784441</v>
      </c>
      <c r="S73">
        <f t="shared" si="21"/>
        <v>-1.4222635485852011</v>
      </c>
      <c r="T73">
        <f t="shared" si="21"/>
        <v>0</v>
      </c>
    </row>
    <row r="74" spans="6:23" x14ac:dyDescent="0.25">
      <c r="F74" t="s">
        <v>16</v>
      </c>
      <c r="H74">
        <f t="shared" si="19"/>
        <v>-598.6721241784519</v>
      </c>
      <c r="I74">
        <f t="shared" si="19"/>
        <v>-7.0555946332487878</v>
      </c>
      <c r="J74">
        <f t="shared" si="19"/>
        <v>2.7448549802768798</v>
      </c>
      <c r="K74">
        <f t="shared" si="19"/>
        <v>-2.9813109903985375</v>
      </c>
      <c r="L74">
        <f t="shared" si="19"/>
        <v>0</v>
      </c>
      <c r="P74">
        <f t="shared" ref="P74:T74" si="22">-P55+P15*LN(P55+0.0000000001)</f>
        <v>0</v>
      </c>
      <c r="Q74">
        <f t="shared" si="22"/>
        <v>-0.7481303791880074</v>
      </c>
      <c r="R74">
        <f t="shared" si="22"/>
        <v>-1.3017730059789121</v>
      </c>
      <c r="S74">
        <f t="shared" si="22"/>
        <v>-0.24167442838608236</v>
      </c>
      <c r="T74">
        <f t="shared" si="22"/>
        <v>0</v>
      </c>
    </row>
    <row r="75" spans="6:23" x14ac:dyDescent="0.25">
      <c r="F75" t="s">
        <v>17</v>
      </c>
      <c r="H75">
        <f t="shared" si="19"/>
        <v>-322.36191301916642</v>
      </c>
      <c r="I75">
        <f t="shared" si="19"/>
        <v>-0.58342820623100344</v>
      </c>
      <c r="J75">
        <f t="shared" si="19"/>
        <v>-1.0874210929904105</v>
      </c>
      <c r="K75">
        <f t="shared" si="19"/>
        <v>0</v>
      </c>
      <c r="L75">
        <f t="shared" si="19"/>
        <v>0</v>
      </c>
      <c r="P75">
        <f t="shared" ref="P75:T75" si="23">-P56+P16*LN(P56+0.0000000001)</f>
        <v>0</v>
      </c>
      <c r="Q75">
        <f t="shared" si="23"/>
        <v>-0.39265299847024387</v>
      </c>
      <c r="R75">
        <f t="shared" si="23"/>
        <v>-1.0443454668300325</v>
      </c>
      <c r="S75">
        <f t="shared" si="23"/>
        <v>-0.12684177998418267</v>
      </c>
      <c r="T75">
        <f t="shared" si="23"/>
        <v>0</v>
      </c>
    </row>
    <row r="76" spans="6:23" x14ac:dyDescent="0.25">
      <c r="F76" t="s">
        <v>18</v>
      </c>
    </row>
    <row r="77" spans="6:23" x14ac:dyDescent="0.25">
      <c r="F77" t="s">
        <v>19</v>
      </c>
    </row>
    <row r="78" spans="6:23" x14ac:dyDescent="0.25">
      <c r="F78" t="s">
        <v>20</v>
      </c>
    </row>
    <row r="79" spans="6:23" x14ac:dyDescent="0.25">
      <c r="F79" t="s">
        <v>21</v>
      </c>
    </row>
    <row r="80" spans="6:23" x14ac:dyDescent="0.25">
      <c r="F80" t="s">
        <v>22</v>
      </c>
    </row>
    <row r="81" spans="6:20" x14ac:dyDescent="0.25">
      <c r="F81" t="s">
        <v>23</v>
      </c>
      <c r="H81">
        <f t="shared" si="19"/>
        <v>-3.2626087871375858E-60</v>
      </c>
      <c r="I81">
        <f t="shared" si="19"/>
        <v>-0.4243267249625054</v>
      </c>
      <c r="J81">
        <f t="shared" si="19"/>
        <v>-0.33631412375440572</v>
      </c>
      <c r="K81">
        <f t="shared" si="19"/>
        <v>-3.5611475315450863E-2</v>
      </c>
      <c r="L81">
        <f t="shared" si="19"/>
        <v>0</v>
      </c>
      <c r="P81">
        <f t="shared" ref="P81:T81" si="24">-P62+P22*LN(P62+0.0000000001)</f>
        <v>0</v>
      </c>
      <c r="Q81">
        <f t="shared" si="24"/>
        <v>0</v>
      </c>
      <c r="R81">
        <f t="shared" si="24"/>
        <v>-4.6227316340119806</v>
      </c>
      <c r="S81">
        <f t="shared" si="24"/>
        <v>-2.6394796906691671E-2</v>
      </c>
      <c r="T81">
        <f t="shared" si="24"/>
        <v>0</v>
      </c>
    </row>
    <row r="82" spans="6:20" x14ac:dyDescent="0.25">
      <c r="F82" t="s">
        <v>12</v>
      </c>
      <c r="H82">
        <f t="shared" si="19"/>
        <v>-1.9756968642085916E-59</v>
      </c>
      <c r="I82">
        <f t="shared" si="19"/>
        <v>-2.553525268697646</v>
      </c>
      <c r="J82">
        <f t="shared" si="19"/>
        <v>1.5012031414614055</v>
      </c>
      <c r="K82">
        <f t="shared" si="19"/>
        <v>-1.7546646818804681</v>
      </c>
      <c r="L82">
        <f t="shared" si="19"/>
        <v>0</v>
      </c>
      <c r="P82">
        <f t="shared" ref="P82:T82" si="25">-P63+P23*LN(P63+0.0000000001)</f>
        <v>0</v>
      </c>
      <c r="Q82">
        <f t="shared" si="25"/>
        <v>0</v>
      </c>
      <c r="R82">
        <f>-R63+R23*LN(R63+0.0000000001)</f>
        <v>-4.6978898592103524E-2</v>
      </c>
      <c r="S82">
        <f t="shared" si="25"/>
        <v>-0.15883934925310483</v>
      </c>
      <c r="T82">
        <f t="shared" si="25"/>
        <v>0</v>
      </c>
    </row>
    <row r="83" spans="6:20" x14ac:dyDescent="0.25">
      <c r="F83" t="s">
        <v>13</v>
      </c>
      <c r="H83">
        <f t="shared" si="19"/>
        <v>-115.12925464970229</v>
      </c>
      <c r="I83">
        <f t="shared" si="19"/>
        <v>118.72533311145514</v>
      </c>
      <c r="J83">
        <f t="shared" si="19"/>
        <v>158.90840454918205</v>
      </c>
      <c r="K83">
        <f t="shared" si="19"/>
        <v>7.4964066776636482</v>
      </c>
      <c r="L83">
        <f t="shared" si="19"/>
        <v>0</v>
      </c>
      <c r="P83">
        <f t="shared" ref="P83:T83" si="26">-P64+P24*LN(P64+0.0000000001)</f>
        <v>0</v>
      </c>
      <c r="Q83">
        <f t="shared" si="26"/>
        <v>0</v>
      </c>
      <c r="R83">
        <f t="shared" si="26"/>
        <v>-3.2922636684193591</v>
      </c>
      <c r="S83">
        <f t="shared" si="26"/>
        <v>-1.6626104071413512</v>
      </c>
      <c r="T83">
        <f t="shared" si="26"/>
        <v>0</v>
      </c>
    </row>
    <row r="84" spans="6:20" x14ac:dyDescent="0.25">
      <c r="F84" t="s">
        <v>14</v>
      </c>
      <c r="H84">
        <f t="shared" si="19"/>
        <v>-161.18095650958321</v>
      </c>
      <c r="I84">
        <f t="shared" si="19"/>
        <v>99.6052400190637</v>
      </c>
      <c r="J84">
        <f t="shared" si="19"/>
        <v>61.97401728735899</v>
      </c>
      <c r="K84">
        <f t="shared" si="19"/>
        <v>-1.2198209633994854</v>
      </c>
      <c r="L84">
        <f t="shared" si="19"/>
        <v>0</v>
      </c>
      <c r="P84">
        <f t="shared" ref="P84:T84" si="27">-P65+P25*LN(P65+0.0000000001)</f>
        <v>-1.0275829649799258E-58</v>
      </c>
      <c r="Q84">
        <f t="shared" si="27"/>
        <v>10.68939752119217</v>
      </c>
      <c r="R84">
        <f t="shared" si="27"/>
        <v>52.92721857369996</v>
      </c>
      <c r="S84">
        <f t="shared" si="27"/>
        <v>3.0293178429624499</v>
      </c>
      <c r="T84">
        <f t="shared" si="27"/>
        <v>0</v>
      </c>
    </row>
    <row r="85" spans="6:20" x14ac:dyDescent="0.25">
      <c r="F85" t="s">
        <v>15</v>
      </c>
      <c r="H85">
        <f t="shared" si="19"/>
        <v>-1.1366332131662889E-58</v>
      </c>
      <c r="I85">
        <f t="shared" si="19"/>
        <v>16.962330398491275</v>
      </c>
      <c r="J85">
        <f t="shared" si="19"/>
        <v>6.8970221425423679</v>
      </c>
      <c r="K85">
        <f t="shared" si="19"/>
        <v>-0.30473465067464373</v>
      </c>
      <c r="L85">
        <f t="shared" si="19"/>
        <v>0</v>
      </c>
      <c r="P85">
        <f t="shared" ref="P85:T85" si="28">-P66+P26*LN(P66+0.0000000001)</f>
        <v>-6.1697183686371718E-59</v>
      </c>
      <c r="Q85">
        <f t="shared" si="28"/>
        <v>-5.3991490329399277</v>
      </c>
      <c r="R85">
        <f t="shared" si="28"/>
        <v>-2.3891084470161097</v>
      </c>
      <c r="S85">
        <f t="shared" si="28"/>
        <v>-1.1309324448742071</v>
      </c>
      <c r="T85">
        <f t="shared" si="28"/>
        <v>0</v>
      </c>
    </row>
    <row r="86" spans="6:20" x14ac:dyDescent="0.25">
      <c r="F86" t="s">
        <v>16</v>
      </c>
      <c r="H86">
        <f t="shared" si="19"/>
        <v>-276.31021115928547</v>
      </c>
      <c r="I86">
        <f t="shared" si="19"/>
        <v>51.678907808635913</v>
      </c>
      <c r="J86">
        <f t="shared" si="19"/>
        <v>12.642991387966584</v>
      </c>
      <c r="K86">
        <f t="shared" si="19"/>
        <v>-1.110770506893423</v>
      </c>
      <c r="L86">
        <f t="shared" si="19"/>
        <v>0</v>
      </c>
      <c r="P86">
        <f t="shared" ref="P86:T86" si="29">-P67+P27*LN(P67+0.0000000001)</f>
        <v>-2.3152551900965959E-58</v>
      </c>
      <c r="Q86">
        <f t="shared" si="29"/>
        <v>-13.175921055604856</v>
      </c>
      <c r="R86">
        <f t="shared" si="29"/>
        <v>-3.4320830179088491</v>
      </c>
      <c r="S86">
        <f t="shared" si="29"/>
        <v>-3.3399333473688815</v>
      </c>
      <c r="T86">
        <f t="shared" si="29"/>
        <v>0</v>
      </c>
    </row>
    <row r="87" spans="6:20" x14ac:dyDescent="0.25">
      <c r="F87" t="s">
        <v>17</v>
      </c>
      <c r="H87">
        <f t="shared" si="19"/>
        <v>0</v>
      </c>
      <c r="I87">
        <f t="shared" si="19"/>
        <v>0</v>
      </c>
      <c r="J87">
        <f t="shared" si="19"/>
        <v>0</v>
      </c>
      <c r="K87">
        <f t="shared" si="19"/>
        <v>0</v>
      </c>
      <c r="L87">
        <f t="shared" si="19"/>
        <v>0</v>
      </c>
      <c r="P87">
        <f t="shared" ref="P87:T87" si="30">-P68+P28*LN(P68+0.0000000001)</f>
        <v>0</v>
      </c>
      <c r="Q87">
        <f t="shared" si="30"/>
        <v>0</v>
      </c>
      <c r="R87">
        <f t="shared" si="30"/>
        <v>0</v>
      </c>
      <c r="S87">
        <f t="shared" si="30"/>
        <v>0</v>
      </c>
      <c r="T87">
        <f t="shared" si="30"/>
        <v>0</v>
      </c>
    </row>
    <row r="89" spans="6:20" x14ac:dyDescent="0.25">
      <c r="G89" s="2" t="s">
        <v>51</v>
      </c>
      <c r="N89" s="2" t="s">
        <v>53</v>
      </c>
    </row>
    <row r="90" spans="6:20" x14ac:dyDescent="0.25">
      <c r="F90" t="s">
        <v>13</v>
      </c>
      <c r="H90">
        <f>LN(_xlfn.BINOM.DIST(P12,P12+H12,P32/(P32+H32),FALSE))</f>
        <v>0</v>
      </c>
      <c r="I90">
        <f t="shared" ref="I90:K90" si="31">LN(_xlfn.BINOM.DIST(Q12,Q12+I12,Q32/(Q32+I32),FALSE))</f>
        <v>0</v>
      </c>
      <c r="J90">
        <f t="shared" si="31"/>
        <v>0</v>
      </c>
      <c r="K90">
        <f t="shared" si="31"/>
        <v>0</v>
      </c>
      <c r="P90">
        <f>(H32+P32)*H$8/12/50</f>
        <v>19.771732611630046</v>
      </c>
      <c r="Q90">
        <f t="shared" ref="Q90:S90" si="32">(I32+Q32)*I$8/12/50</f>
        <v>65.327127749504484</v>
      </c>
      <c r="R90">
        <f t="shared" si="32"/>
        <v>33.589039762290327</v>
      </c>
      <c r="S90">
        <f t="shared" si="32"/>
        <v>5.4173624520740766</v>
      </c>
    </row>
    <row r="91" spans="6:20" x14ac:dyDescent="0.25">
      <c r="F91" t="s">
        <v>14</v>
      </c>
      <c r="H91">
        <f t="shared" ref="H91:H106" si="33">LN(_xlfn.BINOM.DIST(P13,P13+H13,P33/(P33+H33),FALSE))</f>
        <v>0</v>
      </c>
      <c r="I91">
        <f t="shared" ref="I91:I106" si="34">LN(_xlfn.BINOM.DIST(Q13,Q13+I13,Q33/(Q33+I33),FALSE))</f>
        <v>-5.0134067818233624E-2</v>
      </c>
      <c r="J91">
        <f t="shared" ref="J91:J106" si="35">LN(_xlfn.BINOM.DIST(R13,R13+J13,R33/(R33+J33),FALSE))</f>
        <v>-1.2914922210664952</v>
      </c>
      <c r="K91">
        <f t="shared" ref="K91:K106" si="36">LN(_xlfn.BINOM.DIST(S13,S13+K13,S33/(S33+K33),FALSE))</f>
        <v>-0.48252858834202267</v>
      </c>
      <c r="P91">
        <f t="shared" ref="P91:P106" si="37">(H33+P33)*H$8/12/50</f>
        <v>19.157732961204445</v>
      </c>
      <c r="Q91">
        <f t="shared" ref="Q91:Q106" si="38">(I33+Q33)*I$8/12/50</f>
        <v>34.40962028803326</v>
      </c>
      <c r="R91">
        <f t="shared" ref="R91:R106" si="39">(J33+R33)*J$8/12/50</f>
        <v>17.197288147159639</v>
      </c>
      <c r="S91">
        <f t="shared" ref="S91:S106" si="40">(K33+S33)*K$8/12/50</f>
        <v>2.7112964532778996</v>
      </c>
    </row>
    <row r="92" spans="6:20" x14ac:dyDescent="0.25">
      <c r="F92" t="s">
        <v>15</v>
      </c>
      <c r="H92">
        <f t="shared" si="33"/>
        <v>0</v>
      </c>
      <c r="I92">
        <f t="shared" si="34"/>
        <v>-0.68396245156656221</v>
      </c>
      <c r="J92">
        <f t="shared" si="35"/>
        <v>-4.3856259993937572</v>
      </c>
      <c r="K92">
        <f t="shared" si="36"/>
        <v>-0.87806678271087835</v>
      </c>
      <c r="P92">
        <f t="shared" si="37"/>
        <v>18.562800712615999</v>
      </c>
      <c r="Q92">
        <f t="shared" si="38"/>
        <v>33.212321639779503</v>
      </c>
      <c r="R92">
        <f t="shared" si="39"/>
        <v>15.331295448936878</v>
      </c>
      <c r="S92">
        <f t="shared" si="40"/>
        <v>2.6270987196656388</v>
      </c>
    </row>
    <row r="93" spans="6:20" x14ac:dyDescent="0.25">
      <c r="F93" t="s">
        <v>16</v>
      </c>
      <c r="H93">
        <f t="shared" si="33"/>
        <v>0</v>
      </c>
      <c r="I93">
        <f t="shared" si="34"/>
        <v>-0.16530640786491171</v>
      </c>
      <c r="J93">
        <f t="shared" si="35"/>
        <v>-1.4884953704414705</v>
      </c>
      <c r="K93">
        <f t="shared" si="36"/>
        <v>-1.329623819658313</v>
      </c>
      <c r="P93">
        <f t="shared" si="37"/>
        <v>17.293869129017207</v>
      </c>
      <c r="Q93">
        <f t="shared" si="38"/>
        <v>28.576550734484389</v>
      </c>
      <c r="R93">
        <f t="shared" si="39"/>
        <v>9.7494174551719794</v>
      </c>
      <c r="S93">
        <f t="shared" si="40"/>
        <v>1.4565819954063033</v>
      </c>
    </row>
    <row r="94" spans="6:20" x14ac:dyDescent="0.25">
      <c r="F94" t="s">
        <v>17</v>
      </c>
      <c r="H94">
        <f t="shared" si="33"/>
        <v>0</v>
      </c>
      <c r="I94">
        <f t="shared" si="34"/>
        <v>-0.14176474748739065</v>
      </c>
      <c r="J94">
        <f t="shared" si="35"/>
        <v>-0.53440335425225405</v>
      </c>
      <c r="K94">
        <f t="shared" si="36"/>
        <v>0</v>
      </c>
      <c r="P94">
        <f t="shared" si="37"/>
        <v>15.256456432570952</v>
      </c>
      <c r="Q94">
        <f t="shared" si="38"/>
        <v>26.916751252780536</v>
      </c>
      <c r="R94">
        <f t="shared" si="39"/>
        <v>8.336703009873105</v>
      </c>
      <c r="S94">
        <f t="shared" si="40"/>
        <v>0.68539278972103035</v>
      </c>
    </row>
    <row r="95" spans="6:20" x14ac:dyDescent="0.25">
      <c r="F95" t="s">
        <v>18</v>
      </c>
      <c r="H95">
        <f t="shared" si="33"/>
        <v>0</v>
      </c>
      <c r="I95">
        <f t="shared" si="34"/>
        <v>0</v>
      </c>
      <c r="J95">
        <f t="shared" si="35"/>
        <v>0</v>
      </c>
      <c r="K95">
        <f t="shared" si="36"/>
        <v>0</v>
      </c>
      <c r="P95">
        <f t="shared" si="37"/>
        <v>13.97478901155406</v>
      </c>
      <c r="Q95">
        <f t="shared" si="38"/>
        <v>25.437227637937198</v>
      </c>
      <c r="R95">
        <f t="shared" si="39"/>
        <v>7.8558213956063261</v>
      </c>
      <c r="S95">
        <f t="shared" si="40"/>
        <v>0.66410831548909566</v>
      </c>
    </row>
    <row r="96" spans="6:20" x14ac:dyDescent="0.25">
      <c r="F96" t="s">
        <v>19</v>
      </c>
      <c r="H96">
        <f t="shared" si="33"/>
        <v>0</v>
      </c>
      <c r="I96">
        <f t="shared" si="34"/>
        <v>0</v>
      </c>
      <c r="J96">
        <f t="shared" si="35"/>
        <v>0</v>
      </c>
      <c r="K96">
        <f t="shared" si="36"/>
        <v>0</v>
      </c>
      <c r="P96">
        <f t="shared" si="37"/>
        <v>13.540810071194601</v>
      </c>
      <c r="Q96">
        <f t="shared" si="38"/>
        <v>24.647289335752852</v>
      </c>
      <c r="R96">
        <f t="shared" si="39"/>
        <v>7.6118634335266231</v>
      </c>
      <c r="S96">
        <f t="shared" si="40"/>
        <v>0.643484818201146</v>
      </c>
    </row>
    <row r="97" spans="6:19" x14ac:dyDescent="0.25">
      <c r="F97" t="s">
        <v>20</v>
      </c>
      <c r="H97">
        <f t="shared" si="33"/>
        <v>0</v>
      </c>
      <c r="I97">
        <f t="shared" si="34"/>
        <v>0</v>
      </c>
      <c r="J97">
        <f t="shared" si="35"/>
        <v>0</v>
      </c>
      <c r="K97">
        <f t="shared" si="36"/>
        <v>0</v>
      </c>
      <c r="P97">
        <f t="shared" si="37"/>
        <v>13.120308094281231</v>
      </c>
      <c r="Q97">
        <f t="shared" si="38"/>
        <v>23.881882107871885</v>
      </c>
      <c r="R97">
        <f t="shared" si="39"/>
        <v>7.3754814439983543</v>
      </c>
      <c r="S97">
        <f t="shared" si="40"/>
        <v>0.62350177162050724</v>
      </c>
    </row>
    <row r="98" spans="6:19" x14ac:dyDescent="0.25">
      <c r="F98" t="s">
        <v>21</v>
      </c>
      <c r="H98">
        <f t="shared" si="33"/>
        <v>0</v>
      </c>
      <c r="I98">
        <f t="shared" si="34"/>
        <v>0</v>
      </c>
      <c r="J98">
        <f t="shared" si="35"/>
        <v>0</v>
      </c>
      <c r="K98">
        <f t="shared" si="36"/>
        <v>0</v>
      </c>
      <c r="P98">
        <f t="shared" si="37"/>
        <v>1.71721441111901</v>
      </c>
      <c r="Q98">
        <f t="shared" si="38"/>
        <v>28.359171738935039</v>
      </c>
      <c r="R98">
        <f t="shared" si="39"/>
        <v>39.90514729617427</v>
      </c>
      <c r="S98">
        <f t="shared" si="40"/>
        <v>11.685202265903779</v>
      </c>
    </row>
    <row r="99" spans="6:19" x14ac:dyDescent="0.25">
      <c r="F99" t="s">
        <v>22</v>
      </c>
      <c r="H99">
        <f t="shared" si="33"/>
        <v>0</v>
      </c>
      <c r="I99">
        <f t="shared" si="34"/>
        <v>0</v>
      </c>
      <c r="J99">
        <f t="shared" si="35"/>
        <v>0</v>
      </c>
      <c r="K99">
        <f t="shared" si="36"/>
        <v>0</v>
      </c>
      <c r="P99">
        <f t="shared" si="37"/>
        <v>1.6638873168858683</v>
      </c>
      <c r="Q99">
        <f t="shared" si="38"/>
        <v>27.478494162995194</v>
      </c>
      <c r="R99">
        <f t="shared" si="39"/>
        <v>38.665916167993345</v>
      </c>
      <c r="S99">
        <f t="shared" si="40"/>
        <v>11.322325109242172</v>
      </c>
    </row>
    <row r="100" spans="6:19" x14ac:dyDescent="0.25">
      <c r="F100" t="s">
        <v>23</v>
      </c>
      <c r="H100">
        <f t="shared" si="33"/>
        <v>0</v>
      </c>
      <c r="I100">
        <f t="shared" si="34"/>
        <v>0</v>
      </c>
      <c r="J100">
        <f t="shared" si="35"/>
        <v>-3.5521789628288052</v>
      </c>
      <c r="K100">
        <f t="shared" si="36"/>
        <v>0</v>
      </c>
      <c r="P100">
        <f t="shared" si="37"/>
        <v>1.6122162645313276</v>
      </c>
      <c r="Q100">
        <f t="shared" si="38"/>
        <v>26.625165516703337</v>
      </c>
      <c r="R100">
        <f t="shared" si="39"/>
        <v>37.465168641380281</v>
      </c>
      <c r="S100">
        <f t="shared" si="40"/>
        <v>10.970716891519778</v>
      </c>
    </row>
    <row r="101" spans="6:19" x14ac:dyDescent="0.25">
      <c r="F101" t="s">
        <v>12</v>
      </c>
      <c r="H101">
        <f t="shared" si="33"/>
        <v>0</v>
      </c>
      <c r="I101">
        <f t="shared" si="34"/>
        <v>0</v>
      </c>
      <c r="J101">
        <f t="shared" si="35"/>
        <v>-0.11473490287917505</v>
      </c>
      <c r="K101">
        <f t="shared" si="36"/>
        <v>-0.55456761856237946</v>
      </c>
      <c r="P101">
        <f t="shared" si="37"/>
        <v>1.5621498266385536</v>
      </c>
      <c r="Q101">
        <f t="shared" si="38"/>
        <v>25.798336494963795</v>
      </c>
      <c r="R101">
        <f t="shared" si="39"/>
        <v>36.079719476788355</v>
      </c>
      <c r="S101">
        <f t="shared" si="40"/>
        <v>10.630027662395321</v>
      </c>
    </row>
    <row r="102" spans="6:19" x14ac:dyDescent="0.25">
      <c r="F102" t="s">
        <v>13</v>
      </c>
      <c r="H102">
        <f t="shared" si="33"/>
        <v>0</v>
      </c>
      <c r="I102">
        <f t="shared" si="34"/>
        <v>0</v>
      </c>
      <c r="J102">
        <f t="shared" si="35"/>
        <v>-12.930791502968651</v>
      </c>
      <c r="K102">
        <f t="shared" si="36"/>
        <v>-3.7537425756927285</v>
      </c>
      <c r="P102">
        <f t="shared" si="37"/>
        <v>1.5136381728392152</v>
      </c>
      <c r="Q102">
        <f t="shared" si="38"/>
        <v>24.997184167356423</v>
      </c>
      <c r="R102">
        <f t="shared" si="39"/>
        <v>33.849334015024027</v>
      </c>
      <c r="S102">
        <f t="shared" si="40"/>
        <v>9.9369404382839086</v>
      </c>
    </row>
    <row r="103" spans="6:19" x14ac:dyDescent="0.25">
      <c r="F103" t="s">
        <v>14</v>
      </c>
      <c r="H103">
        <f t="shared" si="33"/>
        <v>-0.65420752858325482</v>
      </c>
      <c r="I103">
        <f t="shared" si="34"/>
        <v>-1.9269919593234035</v>
      </c>
      <c r="J103">
        <f t="shared" si="35"/>
        <v>-10.848314416193174</v>
      </c>
      <c r="K103">
        <f t="shared" si="36"/>
        <v>-1.136147793653324</v>
      </c>
      <c r="P103">
        <f t="shared" si="37"/>
        <v>1.293514367773219</v>
      </c>
      <c r="Q103">
        <f t="shared" si="38"/>
        <v>12.72573618893907</v>
      </c>
      <c r="R103">
        <f t="shared" si="39"/>
        <v>14.627256124444328</v>
      </c>
      <c r="S103">
        <f t="shared" si="40"/>
        <v>4.1342310569515943</v>
      </c>
    </row>
    <row r="104" spans="6:19" x14ac:dyDescent="0.25">
      <c r="F104" t="s">
        <v>15</v>
      </c>
      <c r="H104">
        <f t="shared" si="33"/>
        <v>0</v>
      </c>
      <c r="I104">
        <f t="shared" si="34"/>
        <v>-8.6317884945450025</v>
      </c>
      <c r="J104">
        <f t="shared" si="35"/>
        <v>-5.5111941421265396</v>
      </c>
      <c r="K104">
        <f t="shared" si="36"/>
        <v>0</v>
      </c>
      <c r="P104">
        <f t="shared" si="37"/>
        <v>1.137932596857804</v>
      </c>
      <c r="Q104">
        <f t="shared" si="38"/>
        <v>10.013443410546222</v>
      </c>
      <c r="R104">
        <f t="shared" si="39"/>
        <v>10.399182584494312</v>
      </c>
      <c r="S104">
        <f t="shared" si="40"/>
        <v>3.6428670164986618</v>
      </c>
    </row>
    <row r="105" spans="6:19" x14ac:dyDescent="0.25">
      <c r="F105" t="s">
        <v>16</v>
      </c>
      <c r="H105">
        <f t="shared" si="33"/>
        <v>-5.2032375193495826</v>
      </c>
      <c r="I105">
        <f t="shared" si="34"/>
        <v>-20.188074086449394</v>
      </c>
      <c r="J105">
        <f t="shared" si="35"/>
        <v>-7.7702862048565242</v>
      </c>
      <c r="K105">
        <f t="shared" si="36"/>
        <v>-3.0998869899362669</v>
      </c>
      <c r="P105">
        <f t="shared" si="37"/>
        <v>1.1025947622631964</v>
      </c>
      <c r="Q105">
        <f t="shared" si="38"/>
        <v>8.0290188744004478</v>
      </c>
      <c r="R105">
        <f t="shared" si="39"/>
        <v>7.8563404837287951</v>
      </c>
      <c r="S105">
        <f t="shared" si="40"/>
        <v>3.529739901100752</v>
      </c>
    </row>
    <row r="106" spans="6:19" x14ac:dyDescent="0.25">
      <c r="F106" t="s">
        <v>17</v>
      </c>
      <c r="H106">
        <f t="shared" si="33"/>
        <v>0</v>
      </c>
      <c r="I106">
        <f t="shared" si="34"/>
        <v>0</v>
      </c>
      <c r="J106">
        <f t="shared" si="35"/>
        <v>0</v>
      </c>
      <c r="K106">
        <f t="shared" si="36"/>
        <v>0</v>
      </c>
      <c r="P106">
        <f t="shared" si="37"/>
        <v>0.37587971377825596</v>
      </c>
      <c r="Q106">
        <f t="shared" si="38"/>
        <v>4.4327559763165052</v>
      </c>
      <c r="R106">
        <f t="shared" si="39"/>
        <v>4.9484838503807866</v>
      </c>
      <c r="S106">
        <f t="shared" si="40"/>
        <v>2.6941696960575792</v>
      </c>
    </row>
    <row r="108" spans="6:19" x14ac:dyDescent="0.25">
      <c r="O108" s="2" t="s">
        <v>54</v>
      </c>
      <c r="P108">
        <f>SUM(P90:P101)</f>
        <v>137.23396684324331</v>
      </c>
      <c r="Q108">
        <f t="shared" ref="Q108:S108" si="41">SUM(Q90:Q101)</f>
        <v>370.66993865974149</v>
      </c>
      <c r="R108">
        <f t="shared" si="41"/>
        <v>259.1628616788995</v>
      </c>
      <c r="S108">
        <f t="shared" si="41"/>
        <v>59.437099244516752</v>
      </c>
    </row>
  </sheetData>
  <mergeCells count="3">
    <mergeCell ref="W11:W12"/>
    <mergeCell ref="AF11:AF12"/>
    <mergeCell ref="AF30:AF3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EC3D-90A1-DA42-8C6E-8B16F62FF82D}">
  <sheetPr codeName="Sheet2"/>
  <dimension ref="A1"/>
  <sheetViews>
    <sheetView workbookViewId="0"/>
  </sheetViews>
  <sheetFormatPr baseColWidth="10" defaultRowHeight="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Sheet1</vt:lpstr>
      <vt:lpstr>Sheet2</vt:lpstr>
      <vt:lpstr>Faug</vt:lpstr>
      <vt:lpstr>Fjuly</vt:lpstr>
      <vt:lpstr>Fjune</vt:lpstr>
      <vt:lpstr>Fmay</vt:lpstr>
      <vt:lpstr>Fother</vt:lpstr>
      <vt:lpstr>Fsept</vt:lpstr>
      <vt:lpstr>K</vt:lpstr>
      <vt:lpstr>Linf</vt:lpstr>
      <vt:lpstr>M</vt:lpstr>
      <vt:lpstr>NT_1</vt:lpstr>
      <vt:lpstr>NT_2</vt:lpstr>
      <vt:lpstr>NT_3</vt:lpstr>
      <vt:lpstr>NT_4</vt:lpstr>
      <vt:lpstr>sel1_</vt:lpstr>
      <vt:lpstr>sel2_</vt:lpstr>
      <vt:lpstr>sel3_</vt:lpstr>
      <vt:lpstr>sel4_</vt:lpstr>
      <vt:lpstr>t0</vt:lpstr>
      <vt:lpstr>Unrep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Van Poorten</dc:creator>
  <cp:lastModifiedBy>Brett Van Poorten</cp:lastModifiedBy>
  <dcterms:created xsi:type="dcterms:W3CDTF">2022-11-17T06:16:06Z</dcterms:created>
  <dcterms:modified xsi:type="dcterms:W3CDTF">2023-01-20T02:53:17Z</dcterms:modified>
</cp:coreProperties>
</file>