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codeName="ThisWorkbook" defaultThemeVersion="166925"/>
  <mc:AlternateContent xmlns:mc="http://schemas.openxmlformats.org/markup-compatibility/2006">
    <mc:Choice Requires="x15">
      <x15ac:absPath xmlns:x15ac="http://schemas.microsoft.com/office/spreadsheetml/2010/11/ac" url="/Users/brettvanpoorten/Dropbox/Invasive Species/Cultus Lake SMB/Suppression plan/"/>
    </mc:Choice>
  </mc:AlternateContent>
  <xr:revisionPtr revIDLastSave="0" documentId="13_ncr:1_{FE7770C7-8DE6-404B-958F-EE86E089F5C9}" xr6:coauthVersionLast="47" xr6:coauthVersionMax="47" xr10:uidLastSave="{00000000-0000-0000-0000-000000000000}"/>
  <bookViews>
    <workbookView xWindow="0" yWindow="760" windowWidth="19820" windowHeight="18880" xr2:uid="{E4A800CC-12BE-49C0-A164-FBAD3FC195C2}"/>
  </bookViews>
  <sheets>
    <sheet name="Data" sheetId="1" r:id="rId1"/>
    <sheet name="age-length key" sheetId="3" r:id="rId2"/>
    <sheet name="Explanations" sheetId="2" r:id="rId3"/>
    <sheet name="PIVOT" sheetId="4" r:id="rId4"/>
  </sheets>
  <definedNames>
    <definedName name="_xlnm._FilterDatabase" localSheetId="0" hidden="1">Data!$A$1:$S$549</definedName>
    <definedName name="alpha">'age-length key'!$B$7</definedName>
    <definedName name="beta">'age-length key'!$B$8</definedName>
    <definedName name="e">'age-length key'!$B$10</definedName>
    <definedName name="K">'age-length key'!$B$2</definedName>
    <definedName name="Linf">'age-length key'!$B$1</definedName>
    <definedName name="solver_adj" localSheetId="1" hidden="1">'age-length key'!$C$1:$C$2</definedName>
    <definedName name="solver_cvg" localSheetId="1" hidden="1">0.0001</definedName>
    <definedName name="solver_drv" localSheetId="1" hidden="1">1</definedName>
    <definedName name="solver_eng" localSheetId="1" hidden="1">1</definedName>
    <definedName name="solver_itr" localSheetId="1" hidden="1">2147483647</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opt" localSheetId="1" hidden="1">'age-length key'!$B$5</definedName>
    <definedName name="solver_pre" localSheetId="1" hidden="1">0.000001</definedName>
    <definedName name="solver_rbv" localSheetId="1" hidden="1">1</definedName>
    <definedName name="solver_rlx" localSheetId="1" hidden="1">1</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2</definedName>
    <definedName name="t0">'age-length key'!$B$3</definedName>
  </definedNames>
  <calcPr calcId="191029"/>
  <pivotCaches>
    <pivotCache cacheId="1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3" l="1"/>
  <c r="J19" i="3"/>
  <c r="J18" i="3"/>
  <c r="J17" i="3"/>
  <c r="J16" i="3" l="1"/>
  <c r="L18" i="3"/>
  <c r="M18" i="3" s="1"/>
  <c r="L19" i="3"/>
  <c r="M19" i="3" s="1"/>
  <c r="L17" i="3"/>
  <c r="M17" i="3" s="1"/>
  <c r="L20" i="3"/>
  <c r="M20" i="3" s="1"/>
  <c r="L16" i="3"/>
  <c r="M16" i="3" s="1"/>
  <c r="K17" i="3"/>
  <c r="K18" i="3"/>
  <c r="K19" i="3"/>
  <c r="K20" i="3"/>
  <c r="K16" i="3"/>
  <c r="I17" i="3"/>
  <c r="I18" i="3"/>
  <c r="I19" i="3"/>
  <c r="I20" i="3"/>
  <c r="I16" i="3"/>
  <c r="S69" i="1"/>
  <c r="S70" i="1"/>
  <c r="S71" i="1"/>
  <c r="S72" i="1"/>
  <c r="S73" i="1"/>
  <c r="S74" i="1"/>
  <c r="S75" i="1"/>
  <c r="S76" i="1"/>
  <c r="S77" i="1"/>
  <c r="S78" i="1"/>
  <c r="S79" i="1"/>
  <c r="S80" i="1"/>
  <c r="S81" i="1"/>
  <c r="S82" i="1"/>
  <c r="S83" i="1"/>
  <c r="S84" i="1"/>
  <c r="S85" i="1"/>
  <c r="S86" i="1"/>
  <c r="S87" i="1"/>
  <c r="S88" i="1"/>
  <c r="S89"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7" i="1"/>
  <c r="S198" i="1"/>
  <c r="S199" i="1"/>
  <c r="S200" i="1"/>
  <c r="S201" i="1"/>
  <c r="S202" i="1"/>
  <c r="S203" i="1"/>
  <c r="S204" i="1"/>
  <c r="S205" i="1"/>
  <c r="S206" i="1"/>
  <c r="S207" i="1"/>
  <c r="S208" i="1"/>
  <c r="S209" i="1"/>
  <c r="S211" i="1"/>
  <c r="S212" i="1"/>
  <c r="S213" i="1"/>
  <c r="S214" i="1"/>
  <c r="S215" i="1"/>
  <c r="S216" i="1"/>
  <c r="S217" i="1"/>
  <c r="S218" i="1"/>
  <c r="S219" i="1"/>
  <c r="S220" i="1"/>
  <c r="S221" i="1"/>
  <c r="S222" i="1"/>
  <c r="S223" i="1"/>
  <c r="S224" i="1"/>
  <c r="S225" i="1"/>
  <c r="S226" i="1"/>
  <c r="S227" i="1"/>
  <c r="S228" i="1"/>
  <c r="S229" i="1"/>
  <c r="S230" i="1"/>
  <c r="S231" i="1"/>
  <c r="S236" i="1"/>
  <c r="S237" i="1"/>
  <c r="S238" i="1"/>
  <c r="S239" i="1"/>
  <c r="S240" i="1"/>
  <c r="S241" i="1"/>
  <c r="S242" i="1"/>
  <c r="S243" i="1"/>
  <c r="S244" i="1"/>
  <c r="S245" i="1"/>
  <c r="S246" i="1"/>
  <c r="S247" i="1"/>
  <c r="S248"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2" i="1"/>
  <c r="S293" i="1"/>
  <c r="S294" i="1"/>
  <c r="S295" i="1"/>
  <c r="S296" i="1"/>
  <c r="S297" i="1"/>
  <c r="S298" i="1"/>
  <c r="S299" i="1"/>
  <c r="S300" i="1"/>
  <c r="S301" i="1"/>
  <c r="S302" i="1"/>
  <c r="S303" i="1"/>
  <c r="S304" i="1"/>
  <c r="S306" i="1"/>
  <c r="S307" i="1"/>
  <c r="S308" i="1"/>
  <c r="S309" i="1"/>
  <c r="S310" i="1"/>
  <c r="S311" i="1"/>
  <c r="S319" i="1"/>
  <c r="S320" i="1"/>
  <c r="S321" i="1"/>
  <c r="S322" i="1"/>
  <c r="S323" i="1"/>
  <c r="S324" i="1"/>
  <c r="S325" i="1"/>
  <c r="S326" i="1"/>
  <c r="S327" i="1"/>
  <c r="S328" i="1"/>
  <c r="S329" i="1"/>
  <c r="S330" i="1"/>
  <c r="S331" i="1"/>
  <c r="S332" i="1"/>
  <c r="S333" i="1"/>
  <c r="S334" i="1"/>
  <c r="S335" i="1"/>
  <c r="S336" i="1"/>
  <c r="S337" i="1"/>
  <c r="S338" i="1"/>
  <c r="S339" i="1"/>
  <c r="S340" i="1"/>
  <c r="S341"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34" i="1"/>
  <c r="S435" i="1"/>
  <c r="S436" i="1"/>
  <c r="S437" i="1"/>
  <c r="S438" i="1"/>
  <c r="S439" i="1"/>
  <c r="S440" i="1"/>
  <c r="S449" i="1"/>
  <c r="S450" i="1"/>
  <c r="S451" i="1"/>
  <c r="S452" i="1"/>
  <c r="S453" i="1"/>
  <c r="S454" i="1"/>
  <c r="S455" i="1"/>
  <c r="S456" i="1"/>
  <c r="S457" i="1"/>
  <c r="S458" i="1"/>
  <c r="S459" i="1"/>
  <c r="S460" i="1"/>
  <c r="S462" i="1"/>
  <c r="S463" i="1"/>
  <c r="S464" i="1"/>
  <c r="S465" i="1"/>
  <c r="S466" i="1"/>
  <c r="S467" i="1"/>
  <c r="S468" i="1"/>
  <c r="S469" i="1"/>
  <c r="S470" i="1"/>
  <c r="S471" i="1"/>
  <c r="S472" i="1"/>
  <c r="S473" i="1"/>
  <c r="S474" i="1"/>
  <c r="S475" i="1"/>
  <c r="S476" i="1"/>
  <c r="S477" i="1"/>
  <c r="S478" i="1"/>
  <c r="S479" i="1"/>
  <c r="S480" i="1"/>
  <c r="S481" i="1"/>
  <c r="S482" i="1"/>
  <c r="S483" i="1"/>
  <c r="S485" i="1"/>
  <c r="S486" i="1"/>
  <c r="S487" i="1"/>
  <c r="S488" i="1"/>
  <c r="S489" i="1"/>
  <c r="S490" i="1"/>
  <c r="S491" i="1"/>
  <c r="S492" i="1"/>
  <c r="S493" i="1"/>
  <c r="S494" i="1"/>
  <c r="S495" i="1"/>
  <c r="S496" i="1"/>
  <c r="S497" i="1"/>
  <c r="S498" i="1"/>
  <c r="S499" i="1"/>
  <c r="S500" i="1"/>
  <c r="S501" i="1"/>
  <c r="S502" i="1"/>
  <c r="S503" i="1"/>
  <c r="S504" i="1"/>
  <c r="S506" i="1"/>
  <c r="S507"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4" i="1"/>
  <c r="S545" i="1"/>
  <c r="S546" i="1"/>
  <c r="S547"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4" i="1"/>
  <c r="S65" i="1"/>
  <c r="S66" i="1"/>
  <c r="S67" i="1"/>
  <c r="S68" i="1"/>
  <c r="S3"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9" i="1"/>
  <c r="B8" i="1"/>
  <c r="B7" i="1"/>
  <c r="B6" i="1"/>
  <c r="B5" i="1"/>
  <c r="B4" i="1"/>
  <c r="B3" i="1"/>
  <c r="B2" i="1"/>
  <c r="B1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2" i="1"/>
  <c r="K549" i="1"/>
  <c r="K548" i="1"/>
  <c r="K543" i="1"/>
  <c r="K542" i="1"/>
  <c r="K510" i="1"/>
  <c r="K509" i="1"/>
  <c r="K508" i="1"/>
  <c r="K505" i="1"/>
  <c r="K484" i="1"/>
  <c r="K461"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64" i="1"/>
  <c r="K263" i="1"/>
  <c r="K262" i="1"/>
  <c r="K261" i="1"/>
  <c r="K260" i="1"/>
  <c r="K259" i="1"/>
  <c r="K258" i="1"/>
  <c r="K257" i="1"/>
  <c r="K256" i="1"/>
  <c r="K255" i="1"/>
  <c r="K254" i="1"/>
  <c r="K253" i="1"/>
  <c r="K252" i="1"/>
  <c r="K251" i="1"/>
  <c r="K250" i="1"/>
  <c r="K249" i="1"/>
  <c r="K244" i="1"/>
  <c r="K243" i="1"/>
  <c r="K242" i="1"/>
  <c r="K241" i="1"/>
  <c r="K240" i="1"/>
  <c r="K239" i="1"/>
  <c r="K238" i="1"/>
  <c r="K237" i="1"/>
  <c r="K236" i="1"/>
  <c r="K235" i="1"/>
  <c r="K234" i="1"/>
  <c r="K233" i="1"/>
  <c r="K232" i="1"/>
  <c r="K211" i="1"/>
  <c r="K210" i="1"/>
  <c r="K196" i="1"/>
  <c r="K136" i="1"/>
  <c r="K134" i="1"/>
  <c r="K133" i="1"/>
  <c r="K92" i="1"/>
  <c r="K91" i="1"/>
  <c r="K90" i="1"/>
  <c r="K64" i="1"/>
  <c r="K63" i="1"/>
  <c r="K61" i="1"/>
  <c r="K60" i="1"/>
  <c r="K59" i="1"/>
  <c r="K58" i="1"/>
  <c r="K55" i="1"/>
  <c r="K52" i="1"/>
  <c r="K51" i="1"/>
  <c r="K50" i="1"/>
  <c r="K49" i="1"/>
  <c r="K48" i="1"/>
  <c r="K47" i="1"/>
  <c r="K46" i="1"/>
  <c r="K45" i="1"/>
  <c r="K41" i="1"/>
  <c r="K40" i="1"/>
  <c r="K39" i="1"/>
  <c r="K38" i="1"/>
  <c r="K37" i="1"/>
  <c r="K36" i="1"/>
  <c r="K35" i="1"/>
  <c r="K21" i="1"/>
  <c r="K20" i="1"/>
  <c r="K19" i="1"/>
  <c r="K18" i="1"/>
  <c r="K17" i="1"/>
  <c r="K16" i="1"/>
  <c r="K15" i="1"/>
  <c r="K14" i="1"/>
  <c r="K13" i="1"/>
  <c r="K12" i="1"/>
  <c r="K11" i="1"/>
  <c r="K10" i="1"/>
  <c r="K9" i="1"/>
  <c r="K8" i="1"/>
  <c r="K7" i="1"/>
  <c r="K62"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48" i="1"/>
  <c r="Q247" i="1"/>
  <c r="Q246" i="1"/>
  <c r="Q245" i="1"/>
  <c r="Q244" i="1"/>
  <c r="Q243" i="1"/>
  <c r="Q242" i="1"/>
  <c r="Q241" i="1"/>
  <c r="Q240" i="1"/>
  <c r="Q239" i="1"/>
  <c r="Q238" i="1"/>
  <c r="Q237" i="1"/>
  <c r="Q236" i="1"/>
  <c r="Q235" i="1"/>
  <c r="Q234" i="1"/>
  <c r="R234" i="1" s="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89" i="1"/>
  <c r="Q88" i="1"/>
  <c r="Q87" i="1"/>
  <c r="Q86" i="1"/>
  <c r="Q85" i="1"/>
  <c r="Q84" i="1"/>
  <c r="Q83" i="1"/>
  <c r="Q82" i="1"/>
  <c r="Q81" i="1"/>
  <c r="Q80" i="1"/>
  <c r="Q79" i="1"/>
  <c r="Q78" i="1"/>
  <c r="Q77" i="1"/>
  <c r="Q76" i="1"/>
  <c r="Q75" i="1"/>
  <c r="Q74" i="1"/>
  <c r="Q73" i="1"/>
  <c r="Q72" i="1"/>
  <c r="Q71" i="1"/>
  <c r="Q70" i="1"/>
  <c r="Q69" i="1"/>
  <c r="Q68" i="1"/>
  <c r="Q67" i="1"/>
  <c r="Q66" i="1"/>
  <c r="Q65" i="1"/>
  <c r="Q64"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S305" i="1" l="1"/>
  <c r="S136" i="1"/>
  <c r="S317" i="1"/>
  <c r="S347" i="1"/>
  <c r="S429" i="1"/>
  <c r="S461" i="1"/>
  <c r="S484" i="1"/>
  <c r="S210" i="1"/>
  <c r="S441" i="1"/>
  <c r="S432" i="1"/>
  <c r="S509" i="1"/>
  <c r="S382" i="1"/>
  <c r="S424" i="1"/>
  <c r="S91" i="1"/>
  <c r="S234" i="1"/>
  <c r="S313" i="1"/>
  <c r="S343" i="1"/>
  <c r="S353" i="1"/>
  <c r="S383" i="1"/>
  <c r="S393" i="1"/>
  <c r="S425" i="1"/>
  <c r="S445" i="1"/>
  <c r="S542" i="1"/>
  <c r="S232" i="1"/>
  <c r="S381" i="1"/>
  <c r="S433" i="1"/>
  <c r="S233" i="1"/>
  <c r="S352" i="1"/>
  <c r="S92" i="1"/>
  <c r="S235" i="1"/>
  <c r="S249" i="1"/>
  <c r="S314" i="1"/>
  <c r="S344" i="1"/>
  <c r="S354" i="1"/>
  <c r="S384" i="1"/>
  <c r="S426" i="1"/>
  <c r="S446" i="1"/>
  <c r="S543" i="1"/>
  <c r="S505" i="1"/>
  <c r="S290" i="1"/>
  <c r="S380" i="1"/>
  <c r="S442" i="1"/>
  <c r="S291" i="1"/>
  <c r="S391" i="1"/>
  <c r="S443" i="1"/>
  <c r="S312" i="1"/>
  <c r="S392" i="1"/>
  <c r="S444" i="1"/>
  <c r="S250" i="1"/>
  <c r="S315" i="1"/>
  <c r="S345" i="1"/>
  <c r="S385" i="1"/>
  <c r="S63" i="1"/>
  <c r="S350" i="1"/>
  <c r="S390" i="1"/>
  <c r="S351" i="1"/>
  <c r="S423" i="1"/>
  <c r="S90" i="1"/>
  <c r="S342" i="1"/>
  <c r="S510" i="1"/>
  <c r="S62" i="1"/>
  <c r="S316" i="1"/>
  <c r="S346" i="1"/>
  <c r="S386" i="1"/>
  <c r="S428" i="1"/>
  <c r="S448" i="1"/>
  <c r="S549" i="1"/>
  <c r="S548" i="1"/>
  <c r="S508" i="1"/>
  <c r="S348" i="1"/>
  <c r="S318" i="1"/>
  <c r="S447" i="1"/>
  <c r="S196" i="1"/>
  <c r="S388" i="1"/>
  <c r="S427" i="1"/>
  <c r="L196" i="1"/>
  <c r="Q196" i="1" s="1"/>
  <c r="L442" i="1"/>
  <c r="Q442" i="1" s="1"/>
  <c r="L62" i="1"/>
  <c r="Q62" i="1" s="1"/>
  <c r="L92" i="1"/>
  <c r="Q92" i="1" s="1"/>
  <c r="L249" i="1"/>
  <c r="Q249" i="1" s="1"/>
  <c r="L90" i="1"/>
  <c r="Q90" i="1" s="1"/>
  <c r="L510" i="1"/>
  <c r="Q510" i="1" s="1"/>
  <c r="L91" i="1"/>
  <c r="Q91" i="1" s="1"/>
  <c r="L441" i="1"/>
  <c r="Q441" i="1" s="1"/>
  <c r="L250" i="1"/>
  <c r="Q250" i="1" s="1"/>
  <c r="L509" i="1"/>
  <c r="Q509" i="1" s="1"/>
  <c r="L549" i="1"/>
  <c r="L136" i="1"/>
  <c r="Q136" i="1" s="1"/>
  <c r="L342" i="1"/>
  <c r="Q342" i="1" s="1"/>
  <c r="L63" i="1"/>
  <c r="Q63" i="1" s="1"/>
  <c r="L312" i="1"/>
  <c r="Q312" i="1" s="1"/>
  <c r="T4" i="3" l="1"/>
  <c r="S4" i="3"/>
  <c r="R4" i="3"/>
  <c r="Q4" i="3"/>
  <c r="P4" i="3"/>
  <c r="S3" i="3"/>
  <c r="S16" i="3" s="1"/>
  <c r="R3" i="3"/>
  <c r="Q3" i="3"/>
  <c r="P3" i="3"/>
  <c r="T2" i="3"/>
  <c r="T3" i="3" s="1"/>
  <c r="S2" i="3"/>
  <c r="R2" i="3"/>
  <c r="Q2" i="3"/>
  <c r="P2" i="3"/>
  <c r="P9" i="3" s="1"/>
  <c r="B10" i="3"/>
  <c r="D19" i="3"/>
  <c r="D18" i="3"/>
  <c r="D17" i="3"/>
  <c r="D16" i="3"/>
  <c r="B2" i="3"/>
  <c r="B1" i="3"/>
  <c r="E21" i="3"/>
  <c r="F17" i="3" s="1"/>
  <c r="H448" i="1"/>
  <c r="H380" i="1"/>
  <c r="H441" i="1"/>
  <c r="H210" i="1"/>
  <c r="H136" i="1"/>
  <c r="H312" i="1"/>
  <c r="H232" i="1"/>
  <c r="H290" i="1"/>
  <c r="H233" i="1"/>
  <c r="H316" i="1"/>
  <c r="H347" i="1"/>
  <c r="H235" i="1"/>
  <c r="H383" i="1"/>
  <c r="H92" i="1"/>
  <c r="H234" i="1"/>
  <c r="H90" i="1"/>
  <c r="H91" i="1"/>
  <c r="H348" i="1"/>
  <c r="H314" i="1"/>
  <c r="H351" i="1"/>
  <c r="H392" i="1"/>
  <c r="H353" i="1"/>
  <c r="H211" i="1"/>
  <c r="H242" i="1"/>
  <c r="H238" i="1"/>
  <c r="H237" i="1"/>
  <c r="H236" i="1"/>
  <c r="H250" i="1"/>
  <c r="H241" i="1"/>
  <c r="H244" i="1"/>
  <c r="H240" i="1"/>
  <c r="H239" i="1"/>
  <c r="H243" i="1"/>
  <c r="H260" i="1"/>
  <c r="H259" i="1"/>
  <c r="H257" i="1"/>
  <c r="H253" i="1"/>
  <c r="H251" i="1"/>
  <c r="H256" i="1"/>
  <c r="H258" i="1"/>
  <c r="H262" i="1"/>
  <c r="H252" i="1"/>
  <c r="H254" i="1"/>
  <c r="H261" i="1"/>
  <c r="H255" i="1"/>
  <c r="H264" i="1"/>
  <c r="H263" i="1"/>
  <c r="H307" i="1"/>
  <c r="H295" i="1"/>
  <c r="H311" i="1"/>
  <c r="H302" i="1"/>
  <c r="H300" i="1"/>
  <c r="H430" i="1"/>
  <c r="H296" i="1"/>
  <c r="H315" i="1"/>
  <c r="H542" i="1"/>
  <c r="H310" i="1"/>
  <c r="H317" i="1"/>
  <c r="H350" i="1"/>
  <c r="H303" i="1"/>
  <c r="H313" i="1"/>
  <c r="H346" i="1"/>
  <c r="H305" i="1"/>
  <c r="H291" i="1"/>
  <c r="H352" i="1"/>
  <c r="H297" i="1"/>
  <c r="H299" i="1"/>
  <c r="H309" i="1"/>
  <c r="H308" i="1"/>
  <c r="H391" i="1"/>
  <c r="H306" i="1"/>
  <c r="H384" i="1"/>
  <c r="H298" i="1"/>
  <c r="H337" i="1"/>
  <c r="H325" i="1"/>
  <c r="H326" i="1"/>
  <c r="H327" i="1"/>
  <c r="H354" i="1"/>
  <c r="H393" i="1"/>
  <c r="H338" i="1"/>
  <c r="H324" i="1"/>
  <c r="H329" i="1"/>
  <c r="H331" i="1"/>
  <c r="H332" i="1"/>
  <c r="H333" i="1"/>
  <c r="H334" i="1"/>
  <c r="H336" i="1"/>
  <c r="H510" i="1"/>
  <c r="H543" i="1"/>
  <c r="H328" i="1"/>
  <c r="H335" i="1"/>
  <c r="H345" i="1"/>
  <c r="H330" i="1"/>
  <c r="H372" i="1"/>
  <c r="H376" i="1"/>
  <c r="H367" i="1"/>
  <c r="H377" i="1"/>
  <c r="H371" i="1"/>
  <c r="H349" i="1"/>
  <c r="H361" i="1"/>
  <c r="H390" i="1"/>
  <c r="H375" i="1"/>
  <c r="H358" i="1"/>
  <c r="H304" i="1"/>
  <c r="H318" i="1"/>
  <c r="H301" i="1"/>
  <c r="H401" i="1"/>
  <c r="H444" i="1"/>
  <c r="H368" i="1"/>
  <c r="H445" i="1"/>
  <c r="H356" i="1"/>
  <c r="H374" i="1"/>
  <c r="H357" i="1"/>
  <c r="H369" i="1"/>
  <c r="H370" i="1"/>
  <c r="H362" i="1"/>
  <c r="H365" i="1"/>
  <c r="H378" i="1"/>
  <c r="H355" i="1"/>
  <c r="H364" i="1"/>
  <c r="H359" i="1"/>
  <c r="H386" i="1"/>
  <c r="H373" i="1"/>
  <c r="H366" i="1"/>
  <c r="H363" i="1"/>
  <c r="H360" i="1"/>
  <c r="H385" i="1"/>
  <c r="H379" i="1"/>
  <c r="H388" i="1"/>
  <c r="H404" i="1"/>
  <c r="H395" i="1"/>
  <c r="H432" i="1"/>
  <c r="H398" i="1"/>
  <c r="H447" i="1"/>
  <c r="H405" i="1"/>
  <c r="H396" i="1"/>
  <c r="H400" i="1"/>
  <c r="H403" i="1"/>
  <c r="H397" i="1"/>
  <c r="H446" i="1"/>
  <c r="H406" i="1"/>
  <c r="H407" i="1"/>
  <c r="H394" i="1"/>
  <c r="H433" i="1"/>
  <c r="H410" i="1"/>
  <c r="H409" i="1"/>
  <c r="H389" i="1"/>
  <c r="H402" i="1"/>
  <c r="H387" i="1"/>
  <c r="H399" i="1"/>
  <c r="H431" i="1"/>
  <c r="H408" i="1"/>
  <c r="H435" i="1"/>
  <c r="H438" i="1"/>
  <c r="H439" i="1"/>
  <c r="H434" i="1"/>
  <c r="H436" i="1"/>
  <c r="H437" i="1"/>
  <c r="H440" i="1"/>
  <c r="H344" i="1"/>
  <c r="H421" i="1"/>
  <c r="H412" i="1"/>
  <c r="H416" i="1"/>
  <c r="H411" i="1"/>
  <c r="H420" i="1"/>
  <c r="H419" i="1"/>
  <c r="H413" i="1"/>
  <c r="H417" i="1"/>
  <c r="H415" i="1"/>
  <c r="H418" i="1"/>
  <c r="H422" i="1"/>
  <c r="H414" i="1"/>
  <c r="H457" i="1"/>
  <c r="H449" i="1"/>
  <c r="H455" i="1"/>
  <c r="H458" i="1"/>
  <c r="H453" i="1"/>
  <c r="H451" i="1"/>
  <c r="H460" i="1"/>
  <c r="H450" i="1"/>
  <c r="H459" i="1"/>
  <c r="H454" i="1"/>
  <c r="H452" i="1"/>
  <c r="H456" i="1"/>
  <c r="H478" i="1"/>
  <c r="H467" i="1"/>
  <c r="H470" i="1"/>
  <c r="H465" i="1"/>
  <c r="H482" i="1"/>
  <c r="H466" i="1"/>
  <c r="H473" i="1"/>
  <c r="H480" i="1"/>
  <c r="H462" i="1"/>
  <c r="H469" i="1"/>
  <c r="H479" i="1"/>
  <c r="H471" i="1"/>
  <c r="H476" i="1"/>
  <c r="H464" i="1"/>
  <c r="H463" i="1"/>
  <c r="H474" i="1"/>
  <c r="H475" i="1"/>
  <c r="H472" i="1"/>
  <c r="H481" i="1"/>
  <c r="H477" i="1"/>
  <c r="H468" i="1"/>
  <c r="H483" i="1"/>
  <c r="H492" i="1"/>
  <c r="H490" i="1"/>
  <c r="H498" i="1"/>
  <c r="H499" i="1"/>
  <c r="H493" i="1"/>
  <c r="H485" i="1"/>
  <c r="H504" i="1"/>
  <c r="H495" i="1"/>
  <c r="H486" i="1"/>
  <c r="H494" i="1"/>
  <c r="H503" i="1"/>
  <c r="H502" i="1"/>
  <c r="H487" i="1"/>
  <c r="H491" i="1"/>
  <c r="H497" i="1"/>
  <c r="H496" i="1"/>
  <c r="H488" i="1"/>
  <c r="H489" i="1"/>
  <c r="H500" i="1"/>
  <c r="H501" i="1"/>
  <c r="H523" i="1"/>
  <c r="H525" i="1"/>
  <c r="H511" i="1"/>
  <c r="H537" i="1"/>
  <c r="H531" i="1"/>
  <c r="H524" i="1"/>
  <c r="H516" i="1"/>
  <c r="H519" i="1"/>
  <c r="H517" i="1"/>
  <c r="H528" i="1"/>
  <c r="H513" i="1"/>
  <c r="H539" i="1"/>
  <c r="H521" i="1"/>
  <c r="H512" i="1"/>
  <c r="H535" i="1"/>
  <c r="H522" i="1"/>
  <c r="H538" i="1"/>
  <c r="H529" i="1"/>
  <c r="H536" i="1"/>
  <c r="H518" i="1"/>
  <c r="H520" i="1"/>
  <c r="H533" i="1"/>
  <c r="H530" i="1"/>
  <c r="H540" i="1"/>
  <c r="H514" i="1"/>
  <c r="H527" i="1"/>
  <c r="H515" i="1"/>
  <c r="H534" i="1"/>
  <c r="H526" i="1"/>
  <c r="H541" i="1"/>
  <c r="H532" i="1"/>
  <c r="H82" i="1"/>
  <c r="H76" i="1"/>
  <c r="H77" i="1"/>
  <c r="H78" i="1"/>
  <c r="H72" i="1"/>
  <c r="H88" i="1"/>
  <c r="H83" i="1"/>
  <c r="H79" i="1"/>
  <c r="H68" i="1"/>
  <c r="H69" i="1"/>
  <c r="H67" i="1"/>
  <c r="H87" i="1"/>
  <c r="H75" i="1"/>
  <c r="H70" i="1"/>
  <c r="H81" i="1"/>
  <c r="H86" i="1"/>
  <c r="H71" i="1"/>
  <c r="H89" i="1"/>
  <c r="H84" i="1"/>
  <c r="H85" i="1"/>
  <c r="H74" i="1"/>
  <c r="H80" i="1"/>
  <c r="H73" i="1"/>
  <c r="H99" i="1"/>
  <c r="H100" i="1"/>
  <c r="H101" i="1"/>
  <c r="H102" i="1"/>
  <c r="H112" i="1"/>
  <c r="H117" i="1"/>
  <c r="H116" i="1"/>
  <c r="H98" i="1"/>
  <c r="H105" i="1"/>
  <c r="H111" i="1"/>
  <c r="H107" i="1"/>
  <c r="H94" i="1"/>
  <c r="H108" i="1"/>
  <c r="H113" i="1"/>
  <c r="H96" i="1"/>
  <c r="H97" i="1"/>
  <c r="H110" i="1"/>
  <c r="H120" i="1"/>
  <c r="H104" i="1"/>
  <c r="H119" i="1"/>
  <c r="H93" i="1"/>
  <c r="H118" i="1"/>
  <c r="H103" i="1"/>
  <c r="H109" i="1"/>
  <c r="H114" i="1"/>
  <c r="H106" i="1"/>
  <c r="H95" i="1"/>
  <c r="H115" i="1"/>
  <c r="H127" i="1"/>
  <c r="H132" i="1"/>
  <c r="H129" i="1"/>
  <c r="H123" i="1"/>
  <c r="H126" i="1"/>
  <c r="H124" i="1"/>
  <c r="H128" i="1"/>
  <c r="H130" i="1"/>
  <c r="H121" i="1"/>
  <c r="H122" i="1"/>
  <c r="H131" i="1"/>
  <c r="H125" i="1"/>
  <c r="H163" i="1"/>
  <c r="H139" i="1"/>
  <c r="H148" i="1"/>
  <c r="H140" i="1"/>
  <c r="H141" i="1"/>
  <c r="H142" i="1"/>
  <c r="H137" i="1"/>
  <c r="H156" i="1"/>
  <c r="H143" i="1"/>
  <c r="H138" i="1"/>
  <c r="H149" i="1"/>
  <c r="H151" i="1"/>
  <c r="H146" i="1"/>
  <c r="H160" i="1"/>
  <c r="H158" i="1"/>
  <c r="H162" i="1"/>
  <c r="H147" i="1"/>
  <c r="H152" i="1"/>
  <c r="H154" i="1"/>
  <c r="H155" i="1"/>
  <c r="H144" i="1"/>
  <c r="H145" i="1"/>
  <c r="H157" i="1"/>
  <c r="H150" i="1"/>
  <c r="H153" i="1"/>
  <c r="H159" i="1"/>
  <c r="H161" i="1"/>
  <c r="H164" i="1"/>
  <c r="H170" i="1"/>
  <c r="H166" i="1"/>
  <c r="H169" i="1"/>
  <c r="H167" i="1"/>
  <c r="H168" i="1"/>
  <c r="H171" i="1"/>
  <c r="H175" i="1"/>
  <c r="H174" i="1"/>
  <c r="H172" i="1"/>
  <c r="H165" i="1"/>
  <c r="H173" i="1"/>
  <c r="H187" i="1"/>
  <c r="H190" i="1"/>
  <c r="H189" i="1"/>
  <c r="H188" i="1"/>
  <c r="H191" i="1"/>
  <c r="H180" i="1"/>
  <c r="H185" i="1"/>
  <c r="H176" i="1"/>
  <c r="H186" i="1"/>
  <c r="H195" i="1"/>
  <c r="H178" i="1"/>
  <c r="H184" i="1"/>
  <c r="H181" i="1"/>
  <c r="H179" i="1"/>
  <c r="H183" i="1"/>
  <c r="H177" i="1"/>
  <c r="H182" i="1"/>
  <c r="H193" i="1"/>
  <c r="H192" i="1"/>
  <c r="H194" i="1"/>
  <c r="H198" i="1"/>
  <c r="H199" i="1"/>
  <c r="H200" i="1"/>
  <c r="H201" i="1"/>
  <c r="H204" i="1"/>
  <c r="H203" i="1"/>
  <c r="H219" i="1"/>
  <c r="H224" i="1"/>
  <c r="H229" i="1"/>
  <c r="H225" i="1"/>
  <c r="H213" i="1"/>
  <c r="H226" i="1"/>
  <c r="H215" i="1"/>
  <c r="H217" i="1"/>
  <c r="H227" i="1"/>
  <c r="H220" i="1"/>
  <c r="H218" i="1"/>
  <c r="H214" i="1"/>
  <c r="H230" i="1"/>
  <c r="H222" i="1"/>
  <c r="H212" i="1"/>
  <c r="H221" i="1"/>
  <c r="H216" i="1"/>
  <c r="H231" i="1"/>
  <c r="H223" i="1"/>
  <c r="H228" i="1"/>
  <c r="H281" i="1"/>
  <c r="H269" i="1"/>
  <c r="H285" i="1"/>
  <c r="H275" i="1"/>
  <c r="H278" i="1"/>
  <c r="H279" i="1"/>
  <c r="H274" i="1"/>
  <c r="H265" i="1"/>
  <c r="H270" i="1"/>
  <c r="H268" i="1"/>
  <c r="H267" i="1"/>
  <c r="H266" i="1"/>
  <c r="H280" i="1"/>
  <c r="H276" i="1"/>
  <c r="H284" i="1"/>
  <c r="H273" i="1"/>
  <c r="H287" i="1"/>
  <c r="H289" i="1"/>
  <c r="H283" i="1"/>
  <c r="H272" i="1"/>
  <c r="H277" i="1"/>
  <c r="H271" i="1"/>
  <c r="H288" i="1"/>
  <c r="H282" i="1"/>
  <c r="H286" i="1"/>
  <c r="H505" i="1"/>
  <c r="H342" i="1"/>
  <c r="H508" i="1"/>
  <c r="H507" i="1"/>
  <c r="H506" i="1"/>
  <c r="H548" i="1"/>
  <c r="H544" i="1"/>
  <c r="H545" i="1"/>
  <c r="H546" i="1"/>
  <c r="H547" i="1"/>
  <c r="H135" i="1"/>
  <c r="Q20" i="3" l="1"/>
  <c r="R10" i="3"/>
  <c r="S12" i="3"/>
  <c r="R20" i="3"/>
  <c r="R18" i="3"/>
  <c r="S40" i="3"/>
  <c r="S18" i="3"/>
  <c r="S30" i="3"/>
  <c r="S26" i="3"/>
  <c r="S20" i="3"/>
  <c r="X20" i="3" s="1"/>
  <c r="S38" i="3"/>
  <c r="Q5" i="3"/>
  <c r="S34" i="3"/>
  <c r="S32" i="3"/>
  <c r="S28" i="3"/>
  <c r="R14" i="3"/>
  <c r="S24" i="3"/>
  <c r="S36" i="3"/>
  <c r="S9" i="3"/>
  <c r="R16" i="3"/>
  <c r="S14" i="3"/>
  <c r="S42" i="3"/>
  <c r="S22" i="3"/>
  <c r="S10" i="3"/>
  <c r="T23" i="3"/>
  <c r="T25" i="3"/>
  <c r="T27" i="3"/>
  <c r="T29" i="3"/>
  <c r="T31" i="3"/>
  <c r="T33" i="3"/>
  <c r="T35" i="3"/>
  <c r="T37" i="3"/>
  <c r="T39" i="3"/>
  <c r="T41" i="3"/>
  <c r="T10" i="3"/>
  <c r="T12" i="3"/>
  <c r="T14" i="3"/>
  <c r="T16" i="3"/>
  <c r="T18" i="3"/>
  <c r="T20" i="3"/>
  <c r="T22" i="3"/>
  <c r="T24" i="3"/>
  <c r="T26" i="3"/>
  <c r="T28" i="3"/>
  <c r="T30" i="3"/>
  <c r="T32" i="3"/>
  <c r="T34" i="3"/>
  <c r="T36" i="3"/>
  <c r="T38" i="3"/>
  <c r="T40" i="3"/>
  <c r="T42" i="3"/>
  <c r="R40" i="3"/>
  <c r="R38" i="3"/>
  <c r="R34" i="3"/>
  <c r="R32" i="3"/>
  <c r="R28" i="3"/>
  <c r="R26" i="3"/>
  <c r="R24" i="3"/>
  <c r="R12" i="3"/>
  <c r="Q38" i="3"/>
  <c r="P5" i="3"/>
  <c r="R42" i="3"/>
  <c r="R36" i="3"/>
  <c r="R30" i="3"/>
  <c r="R22" i="3"/>
  <c r="Q30" i="3"/>
  <c r="Q28" i="3"/>
  <c r="Q18" i="3"/>
  <c r="T5" i="3"/>
  <c r="P42" i="3"/>
  <c r="P40" i="3"/>
  <c r="P38" i="3"/>
  <c r="P36" i="3"/>
  <c r="P34" i="3"/>
  <c r="P32" i="3"/>
  <c r="P30" i="3"/>
  <c r="P28" i="3"/>
  <c r="P26" i="3"/>
  <c r="P24" i="3"/>
  <c r="P22" i="3"/>
  <c r="P20" i="3"/>
  <c r="P18" i="3"/>
  <c r="P16" i="3"/>
  <c r="P14" i="3"/>
  <c r="P12" i="3"/>
  <c r="P10" i="3"/>
  <c r="S5" i="3"/>
  <c r="Q36" i="3"/>
  <c r="Q24" i="3"/>
  <c r="Q16" i="3"/>
  <c r="T21" i="3"/>
  <c r="T19" i="3"/>
  <c r="T17" i="3"/>
  <c r="T15" i="3"/>
  <c r="T13" i="3"/>
  <c r="T11" i="3"/>
  <c r="T9" i="3"/>
  <c r="Q34" i="3"/>
  <c r="Q26" i="3"/>
  <c r="Q14" i="3"/>
  <c r="S41" i="3"/>
  <c r="S37" i="3"/>
  <c r="S33" i="3"/>
  <c r="S29" i="3"/>
  <c r="S25" i="3"/>
  <c r="S19" i="3"/>
  <c r="S11" i="3"/>
  <c r="Q32" i="3"/>
  <c r="Q22" i="3"/>
  <c r="Q10" i="3"/>
  <c r="S23" i="3"/>
  <c r="R41" i="3"/>
  <c r="R39" i="3"/>
  <c r="R37" i="3"/>
  <c r="R35" i="3"/>
  <c r="R33" i="3"/>
  <c r="R31" i="3"/>
  <c r="R29" i="3"/>
  <c r="R27" i="3"/>
  <c r="R25" i="3"/>
  <c r="R23" i="3"/>
  <c r="R21" i="3"/>
  <c r="R19" i="3"/>
  <c r="R17" i="3"/>
  <c r="R15" i="3"/>
  <c r="R13" i="3"/>
  <c r="R11" i="3"/>
  <c r="R9" i="3"/>
  <c r="Q42" i="3"/>
  <c r="Q12" i="3"/>
  <c r="S39" i="3"/>
  <c r="S35" i="3"/>
  <c r="S31" i="3"/>
  <c r="S27" i="3"/>
  <c r="S21" i="3"/>
  <c r="S17" i="3"/>
  <c r="S15" i="3"/>
  <c r="S13" i="3"/>
  <c r="Q41" i="3"/>
  <c r="Q39" i="3"/>
  <c r="Q37" i="3"/>
  <c r="Q35" i="3"/>
  <c r="Q33" i="3"/>
  <c r="Q31" i="3"/>
  <c r="Q29" i="3"/>
  <c r="Q27" i="3"/>
  <c r="Q25" i="3"/>
  <c r="Q23" i="3"/>
  <c r="Q21" i="3"/>
  <c r="Q19" i="3"/>
  <c r="Q17" i="3"/>
  <c r="Q15" i="3"/>
  <c r="Q13" i="3"/>
  <c r="Q11" i="3"/>
  <c r="Q9" i="3"/>
  <c r="R5" i="3"/>
  <c r="Q40" i="3"/>
  <c r="P41" i="3"/>
  <c r="P39" i="3"/>
  <c r="P37" i="3"/>
  <c r="P35" i="3"/>
  <c r="P33" i="3"/>
  <c r="P31" i="3"/>
  <c r="P29" i="3"/>
  <c r="P27" i="3"/>
  <c r="P25" i="3"/>
  <c r="P23" i="3"/>
  <c r="P21" i="3"/>
  <c r="P19" i="3"/>
  <c r="P17" i="3"/>
  <c r="P15" i="3"/>
  <c r="P13" i="3"/>
  <c r="P11" i="3"/>
  <c r="F19" i="3"/>
  <c r="F18" i="3"/>
  <c r="F16" i="3"/>
  <c r="F20" i="3"/>
  <c r="G16" i="3"/>
  <c r="H16" i="3" s="1"/>
  <c r="G20" i="3"/>
  <c r="G17" i="3"/>
  <c r="H17" i="3" s="1"/>
  <c r="G18" i="3"/>
  <c r="H18" i="3" s="1"/>
  <c r="G19" i="3"/>
  <c r="H19" i="3" s="1"/>
  <c r="Y32" i="3" l="1"/>
  <c r="Y28" i="3"/>
  <c r="Y10" i="3"/>
  <c r="X16" i="3"/>
  <c r="W18" i="3"/>
  <c r="U20" i="3"/>
  <c r="R6" i="3"/>
  <c r="S6" i="3"/>
  <c r="T6" i="3"/>
  <c r="P6" i="3"/>
  <c r="Q6" i="3"/>
  <c r="X14" i="3"/>
  <c r="W14" i="3"/>
  <c r="V38" i="3"/>
  <c r="W16" i="3"/>
  <c r="Y33" i="3"/>
  <c r="V16" i="3"/>
  <c r="W42" i="3"/>
  <c r="V23" i="3"/>
  <c r="Y12" i="3"/>
  <c r="Y30" i="3"/>
  <c r="W20" i="3"/>
  <c r="X29" i="3"/>
  <c r="V36" i="3"/>
  <c r="W11" i="3"/>
  <c r="X35" i="3"/>
  <c r="U17" i="3"/>
  <c r="U37" i="3"/>
  <c r="V27" i="3"/>
  <c r="X18" i="3"/>
  <c r="X31" i="3"/>
  <c r="Y9" i="3"/>
  <c r="W13" i="3"/>
  <c r="W15" i="3"/>
  <c r="X10" i="3"/>
  <c r="U19" i="3"/>
  <c r="U39" i="3"/>
  <c r="V22" i="3"/>
  <c r="V18" i="3"/>
  <c r="W40" i="3"/>
  <c r="X22" i="3"/>
  <c r="U24" i="3"/>
  <c r="U26" i="3"/>
  <c r="V25" i="3"/>
  <c r="U21" i="3"/>
  <c r="U41" i="3"/>
  <c r="U14" i="3"/>
  <c r="U34" i="3"/>
  <c r="X33" i="3"/>
  <c r="Y29" i="3"/>
  <c r="Y11" i="3"/>
  <c r="W37" i="3"/>
  <c r="U10" i="3"/>
  <c r="U30" i="3"/>
  <c r="W12" i="3"/>
  <c r="X12" i="3"/>
  <c r="Y26" i="3"/>
  <c r="Y27" i="3"/>
  <c r="X36" i="3"/>
  <c r="Y31" i="3"/>
  <c r="V10" i="3"/>
  <c r="U28" i="3"/>
  <c r="U23" i="3"/>
  <c r="U25" i="3"/>
  <c r="V31" i="3"/>
  <c r="W19" i="3"/>
  <c r="W39" i="3"/>
  <c r="V32" i="3"/>
  <c r="Y15" i="3"/>
  <c r="U12" i="3"/>
  <c r="U32" i="3"/>
  <c r="W24" i="3"/>
  <c r="Y24" i="3"/>
  <c r="Y25" i="3"/>
  <c r="V9" i="3"/>
  <c r="W17" i="3"/>
  <c r="V13" i="3"/>
  <c r="X13" i="3"/>
  <c r="W21" i="3"/>
  <c r="Y17" i="3"/>
  <c r="V28" i="3"/>
  <c r="X24" i="3"/>
  <c r="W26" i="3"/>
  <c r="Y42" i="3"/>
  <c r="Y22" i="3"/>
  <c r="Y23" i="3"/>
  <c r="W33" i="3"/>
  <c r="X39" i="3"/>
  <c r="W41" i="3"/>
  <c r="U29" i="3"/>
  <c r="V15" i="3"/>
  <c r="V35" i="3"/>
  <c r="X15" i="3"/>
  <c r="V12" i="3"/>
  <c r="W23" i="3"/>
  <c r="V14" i="3"/>
  <c r="Y19" i="3"/>
  <c r="U16" i="3"/>
  <c r="U36" i="3"/>
  <c r="V30" i="3"/>
  <c r="X28" i="3"/>
  <c r="W28" i="3"/>
  <c r="Y40" i="3"/>
  <c r="Y20" i="3"/>
  <c r="Y41" i="3"/>
  <c r="X9" i="3"/>
  <c r="W31" i="3"/>
  <c r="X37" i="3"/>
  <c r="V11" i="3"/>
  <c r="V37" i="3"/>
  <c r="V42" i="3"/>
  <c r="W25" i="3"/>
  <c r="X11" i="3"/>
  <c r="V26" i="3"/>
  <c r="Y21" i="3"/>
  <c r="U18" i="3"/>
  <c r="U38" i="3"/>
  <c r="W22" i="3"/>
  <c r="X32" i="3"/>
  <c r="W32" i="3"/>
  <c r="X26" i="3"/>
  <c r="Y38" i="3"/>
  <c r="Y18" i="3"/>
  <c r="Y39" i="3"/>
  <c r="W10" i="3"/>
  <c r="W35" i="3"/>
  <c r="X41" i="3"/>
  <c r="U31" i="3"/>
  <c r="X17" i="3"/>
  <c r="U13" i="3"/>
  <c r="U33" i="3"/>
  <c r="V40" i="3"/>
  <c r="V19" i="3"/>
  <c r="V39" i="3"/>
  <c r="X21" i="3"/>
  <c r="W27" i="3"/>
  <c r="X19" i="3"/>
  <c r="V34" i="3"/>
  <c r="U40" i="3"/>
  <c r="Z40" i="3" s="1"/>
  <c r="AC40" i="3" s="1"/>
  <c r="W30" i="3"/>
  <c r="X38" i="3"/>
  <c r="W34" i="3"/>
  <c r="X30" i="3"/>
  <c r="Y36" i="3"/>
  <c r="Y16" i="3"/>
  <c r="Y37" i="3"/>
  <c r="V20" i="3"/>
  <c r="X40" i="3"/>
  <c r="X23" i="3"/>
  <c r="V29" i="3"/>
  <c r="Y13" i="3"/>
  <c r="U27" i="3"/>
  <c r="V33" i="3"/>
  <c r="U11" i="3"/>
  <c r="V17" i="3"/>
  <c r="U15" i="3"/>
  <c r="U35" i="3"/>
  <c r="V21" i="3"/>
  <c r="V41" i="3"/>
  <c r="X27" i="3"/>
  <c r="W9" i="3"/>
  <c r="W29" i="3"/>
  <c r="X25" i="3"/>
  <c r="V24" i="3"/>
  <c r="Z24" i="3" s="1"/>
  <c r="AA24" i="3" s="1"/>
  <c r="U22" i="3"/>
  <c r="U42" i="3"/>
  <c r="W36" i="3"/>
  <c r="X42" i="3"/>
  <c r="W38" i="3"/>
  <c r="X34" i="3"/>
  <c r="Y34" i="3"/>
  <c r="Y14" i="3"/>
  <c r="Y35" i="3"/>
  <c r="U9" i="3"/>
  <c r="B5" i="3"/>
  <c r="Z18" i="3" l="1"/>
  <c r="AC18" i="3" s="1"/>
  <c r="R65" i="1"/>
  <c r="R202" i="1"/>
  <c r="R197" i="1"/>
  <c r="R135" i="1"/>
  <c r="R66" i="1"/>
  <c r="Z9" i="3"/>
  <c r="AE9" i="3" s="1"/>
  <c r="Z26" i="3"/>
  <c r="AA26" i="3" s="1"/>
  <c r="AF26" i="3"/>
  <c r="AH24" i="3"/>
  <c r="AF24" i="3"/>
  <c r="Z39" i="3"/>
  <c r="AA39" i="3" s="1"/>
  <c r="Z14" i="3"/>
  <c r="AD14" i="3" s="1"/>
  <c r="Z22" i="3"/>
  <c r="AD22" i="3" s="1"/>
  <c r="Z27" i="3"/>
  <c r="AB27" i="3" s="1"/>
  <c r="Z12" i="3"/>
  <c r="AE12" i="3" s="1"/>
  <c r="Z23" i="3"/>
  <c r="AB23" i="3" s="1"/>
  <c r="AC24" i="3"/>
  <c r="AE19" i="3"/>
  <c r="Z34" i="3"/>
  <c r="AA34" i="3" s="1"/>
  <c r="AB24" i="3"/>
  <c r="AG24" i="3" s="1"/>
  <c r="Z16" i="3"/>
  <c r="AA16" i="3" s="1"/>
  <c r="Z32" i="3"/>
  <c r="AE32" i="3" s="1"/>
  <c r="Z13" i="3"/>
  <c r="AC13" i="3" s="1"/>
  <c r="AB18" i="3"/>
  <c r="AE27" i="3"/>
  <c r="AE11" i="3"/>
  <c r="AD27" i="3"/>
  <c r="Z33" i="3"/>
  <c r="AE33" i="3" s="1"/>
  <c r="AA18" i="3"/>
  <c r="Z36" i="3"/>
  <c r="AB36" i="3" s="1"/>
  <c r="Z19" i="3"/>
  <c r="AA19" i="3" s="1"/>
  <c r="AE39" i="3"/>
  <c r="Z37" i="3"/>
  <c r="AA37" i="3" s="1"/>
  <c r="AE26" i="3"/>
  <c r="Z29" i="3"/>
  <c r="AD29" i="3" s="1"/>
  <c r="AD40" i="3"/>
  <c r="AB39" i="3"/>
  <c r="AD39" i="3"/>
  <c r="Z25" i="3"/>
  <c r="AB25" i="3" s="1"/>
  <c r="Z11" i="3"/>
  <c r="AC11" i="3" s="1"/>
  <c r="AD18" i="3"/>
  <c r="AE24" i="3"/>
  <c r="Z41" i="3"/>
  <c r="AA41" i="3" s="1"/>
  <c r="Z31" i="3"/>
  <c r="AD31" i="3" s="1"/>
  <c r="Z35" i="3"/>
  <c r="AD35" i="3" s="1"/>
  <c r="Z21" i="3"/>
  <c r="AA21" i="3" s="1"/>
  <c r="Z42" i="3"/>
  <c r="AC42" i="3" s="1"/>
  <c r="Z15" i="3"/>
  <c r="AC15" i="3" s="1"/>
  <c r="Z38" i="3"/>
  <c r="AB38" i="3" s="1"/>
  <c r="Z17" i="3"/>
  <c r="AA17" i="3" s="1"/>
  <c r="AC39" i="3"/>
  <c r="Z30" i="3"/>
  <c r="AE30" i="3" s="1"/>
  <c r="AE40" i="3"/>
  <c r="Z20" i="3"/>
  <c r="AE20" i="3" s="1"/>
  <c r="AE22" i="3"/>
  <c r="AD13" i="3"/>
  <c r="AE25" i="3"/>
  <c r="AA28" i="3"/>
  <c r="AE18" i="3"/>
  <c r="AA40" i="3"/>
  <c r="AB40" i="3"/>
  <c r="Z10" i="3"/>
  <c r="AA10" i="3" s="1"/>
  <c r="Z28" i="3"/>
  <c r="AE28" i="3" s="1"/>
  <c r="AD24" i="3"/>
  <c r="AB9" i="3"/>
  <c r="R463" i="1" l="1"/>
  <c r="R54" i="1"/>
  <c r="R315" i="1"/>
  <c r="R520" i="1"/>
  <c r="R103" i="1"/>
  <c r="R159" i="1"/>
  <c r="R128" i="1"/>
  <c r="R60" i="1"/>
  <c r="R114" i="1"/>
  <c r="R505" i="1"/>
  <c r="R24" i="1"/>
  <c r="R241" i="1"/>
  <c r="R249" i="1" s="1"/>
  <c r="R116" i="1"/>
  <c r="R126" i="1"/>
  <c r="R124" i="1"/>
  <c r="R44" i="1"/>
  <c r="R429" i="1"/>
  <c r="R11" i="1"/>
  <c r="R76" i="1"/>
  <c r="R464" i="1"/>
  <c r="R22" i="1"/>
  <c r="R476" i="1"/>
  <c r="R497" i="1"/>
  <c r="R79" i="1"/>
  <c r="R296" i="1"/>
  <c r="R32" i="1"/>
  <c r="R496" i="1"/>
  <c r="R160" i="1"/>
  <c r="R507" i="1"/>
  <c r="R366" i="1"/>
  <c r="R19" i="1"/>
  <c r="R518" i="1"/>
  <c r="R471" i="1"/>
  <c r="R75" i="1"/>
  <c r="R261" i="1"/>
  <c r="R14" i="1"/>
  <c r="R77" i="1"/>
  <c r="R491" i="1"/>
  <c r="R118" i="1"/>
  <c r="R94" i="1"/>
  <c r="R536" i="1"/>
  <c r="R74" i="1"/>
  <c r="R34" i="1"/>
  <c r="R548" i="1"/>
  <c r="AA9" i="3"/>
  <c r="AG9" i="3" s="1"/>
  <c r="AC9" i="3"/>
  <c r="AH9" i="3" s="1"/>
  <c r="AE23" i="3"/>
  <c r="AA13" i="3"/>
  <c r="AI24" i="3"/>
  <c r="AE14" i="3"/>
  <c r="AD26" i="3"/>
  <c r="AC22" i="3"/>
  <c r="AB14" i="3"/>
  <c r="AA14" i="3"/>
  <c r="AF14" i="3" s="1"/>
  <c r="AJ24" i="3"/>
  <c r="AE17" i="3"/>
  <c r="AD34" i="3"/>
  <c r="AC17" i="3"/>
  <c r="AD9" i="3"/>
  <c r="AC14" i="3"/>
  <c r="AI14" i="3" s="1"/>
  <c r="AE42" i="3"/>
  <c r="AD23" i="3"/>
  <c r="AC26" i="3"/>
  <c r="AA12" i="3"/>
  <c r="AB26" i="3"/>
  <c r="AG26" i="3" s="1"/>
  <c r="AE16" i="3"/>
  <c r="AH16" i="3"/>
  <c r="AF16" i="3"/>
  <c r="AG16" i="3"/>
  <c r="AI16" i="3"/>
  <c r="AF10" i="3"/>
  <c r="AE34" i="3"/>
  <c r="AB34" i="3"/>
  <c r="AC23" i="3"/>
  <c r="AC27" i="3"/>
  <c r="AC36" i="3"/>
  <c r="AF21" i="3"/>
  <c r="AD30" i="3"/>
  <c r="AD28" i="3"/>
  <c r="AJ28" i="3" s="1"/>
  <c r="AF9" i="3"/>
  <c r="AF18" i="3"/>
  <c r="AG18" i="3"/>
  <c r="AH18" i="3"/>
  <c r="AI18" i="3"/>
  <c r="AJ18" i="3"/>
  <c r="AC34" i="3"/>
  <c r="AH34" i="3" s="1"/>
  <c r="AF19" i="3"/>
  <c r="AF13" i="3"/>
  <c r="AE29" i="3"/>
  <c r="AH41" i="3"/>
  <c r="AF41" i="3"/>
  <c r="AC41" i="3"/>
  <c r="AB42" i="3"/>
  <c r="AJ26" i="3"/>
  <c r="AA27" i="3"/>
  <c r="AD41" i="3"/>
  <c r="AA31" i="3"/>
  <c r="AH26" i="3"/>
  <c r="AF34" i="3"/>
  <c r="AG34" i="3"/>
  <c r="AF28" i="3"/>
  <c r="AG28" i="3"/>
  <c r="AF12" i="3"/>
  <c r="AA36" i="3"/>
  <c r="AD36" i="3"/>
  <c r="AB19" i="3"/>
  <c r="AI19" i="3" s="1"/>
  <c r="AA30" i="3"/>
  <c r="AB41" i="3"/>
  <c r="AC19" i="3"/>
  <c r="AC12" i="3"/>
  <c r="AD12" i="3"/>
  <c r="AC28" i="3"/>
  <c r="AE31" i="3"/>
  <c r="AE36" i="3"/>
  <c r="AD42" i="3"/>
  <c r="AB22" i="3"/>
  <c r="AF37" i="3"/>
  <c r="AG14" i="3"/>
  <c r="AD19" i="3"/>
  <c r="AD11" i="3"/>
  <c r="AA23" i="3"/>
  <c r="AA42" i="3"/>
  <c r="AH40" i="3"/>
  <c r="AF40" i="3"/>
  <c r="AG40" i="3"/>
  <c r="AJ40" i="3"/>
  <c r="AI40" i="3"/>
  <c r="AB12" i="3"/>
  <c r="AG12" i="3" s="1"/>
  <c r="AJ17" i="3"/>
  <c r="AI17" i="3"/>
  <c r="AF17" i="3"/>
  <c r="AD25" i="3"/>
  <c r="AC30" i="3"/>
  <c r="AA22" i="3"/>
  <c r="AJ39" i="3"/>
  <c r="AF39" i="3"/>
  <c r="AG39" i="3"/>
  <c r="AH39" i="3"/>
  <c r="AI39" i="3"/>
  <c r="AC29" i="3"/>
  <c r="AA15" i="3"/>
  <c r="AD33" i="3"/>
  <c r="AC31" i="3"/>
  <c r="AD32" i="3"/>
  <c r="AB11" i="3"/>
  <c r="AB37" i="3"/>
  <c r="AG37" i="3" s="1"/>
  <c r="AA29" i="3"/>
  <c r="AB33" i="3"/>
  <c r="AA20" i="3"/>
  <c r="AC20" i="3"/>
  <c r="AD20" i="3"/>
  <c r="AA11" i="3"/>
  <c r="AD38" i="3"/>
  <c r="AE41" i="3"/>
  <c r="AA33" i="3"/>
  <c r="AB21" i="3"/>
  <c r="AI21" i="3" s="1"/>
  <c r="AB20" i="3"/>
  <c r="AE13" i="3"/>
  <c r="AA35" i="3"/>
  <c r="AB29" i="3"/>
  <c r="AD15" i="3"/>
  <c r="AA32" i="3"/>
  <c r="AC10" i="3"/>
  <c r="AD37" i="3"/>
  <c r="AE37" i="3"/>
  <c r="AE15" i="3"/>
  <c r="AB15" i="3"/>
  <c r="AB10" i="3"/>
  <c r="AI10" i="3" s="1"/>
  <c r="AE21" i="3"/>
  <c r="AC21" i="3"/>
  <c r="AB32" i="3"/>
  <c r="AB30" i="3"/>
  <c r="AE38" i="3"/>
  <c r="AD21" i="3"/>
  <c r="AC37" i="3"/>
  <c r="AB35" i="3"/>
  <c r="AC32" i="3"/>
  <c r="AE35" i="3"/>
  <c r="AC25" i="3"/>
  <c r="AC35" i="3"/>
  <c r="AB17" i="3"/>
  <c r="AH17" i="3" s="1"/>
  <c r="AA25" i="3"/>
  <c r="AA38" i="3"/>
  <c r="AB28" i="3"/>
  <c r="AB31" i="3"/>
  <c r="AE10" i="3"/>
  <c r="AD10" i="3"/>
  <c r="AC38" i="3"/>
  <c r="AB13" i="3"/>
  <c r="AJ13" i="3" s="1"/>
  <c r="AD17" i="3"/>
  <c r="AD16" i="3"/>
  <c r="AC16" i="3"/>
  <c r="AB16" i="3"/>
  <c r="AJ16" i="3" s="1"/>
  <c r="AC33" i="3"/>
  <c r="R495" i="1" l="1"/>
  <c r="R457" i="1"/>
  <c r="R167" i="1"/>
  <c r="R524" i="1"/>
  <c r="R163" i="1"/>
  <c r="R276" i="1"/>
  <c r="R187" i="1"/>
  <c r="R177" i="1"/>
  <c r="R207" i="1"/>
  <c r="R138" i="1"/>
  <c r="R150" i="1"/>
  <c r="R504" i="1"/>
  <c r="R168" i="1"/>
  <c r="R396" i="1"/>
  <c r="R516" i="1"/>
  <c r="AI13" i="3"/>
  <c r="R435" i="1"/>
  <c r="R416" i="1"/>
  <c r="R513" i="1"/>
  <c r="R517" i="1"/>
  <c r="R289" i="1"/>
  <c r="R503" i="1"/>
  <c r="R355" i="1"/>
  <c r="R252" i="1"/>
  <c r="R238" i="1"/>
  <c r="R193" i="1"/>
  <c r="R455" i="1"/>
  <c r="R180" i="1"/>
  <c r="R519" i="1"/>
  <c r="R449" i="1"/>
  <c r="R494" i="1"/>
  <c r="R333" i="1"/>
  <c r="R170" i="1"/>
  <c r="R171" i="1"/>
  <c r="R528" i="1"/>
  <c r="R502" i="1"/>
  <c r="R412" i="1"/>
  <c r="AJ14" i="3"/>
  <c r="AH28" i="3"/>
  <c r="AJ37" i="3"/>
  <c r="AI28" i="3"/>
  <c r="AH19" i="3"/>
  <c r="AH14" i="3"/>
  <c r="AJ9" i="3"/>
  <c r="AH12" i="3"/>
  <c r="AG19" i="3"/>
  <c r="AJ19" i="3"/>
  <c r="AI9" i="3"/>
  <c r="R514" i="1"/>
  <c r="R38" i="1"/>
  <c r="R92" i="1" s="1"/>
  <c r="R5" i="1"/>
  <c r="R530" i="1"/>
  <c r="R381" i="1"/>
  <c r="R444" i="1"/>
  <c r="R540" i="1"/>
  <c r="R392" i="1"/>
  <c r="R236" i="1"/>
  <c r="R250" i="1" s="1"/>
  <c r="R133" i="1"/>
  <c r="R6" i="1"/>
  <c r="R16" i="1"/>
  <c r="R62" i="1" s="1"/>
  <c r="R401" i="1"/>
  <c r="R375" i="1"/>
  <c r="R264" i="1"/>
  <c r="R43" i="1"/>
  <c r="R8" i="1"/>
  <c r="R196" i="1" s="1"/>
  <c r="R542" i="1"/>
  <c r="R39" i="1"/>
  <c r="R18" i="1"/>
  <c r="R383" i="1"/>
  <c r="R508" i="1"/>
  <c r="R501" i="1"/>
  <c r="AG13" i="3"/>
  <c r="R146" i="1"/>
  <c r="R166" i="1"/>
  <c r="R434" i="1"/>
  <c r="R493" i="1"/>
  <c r="R531" i="1"/>
  <c r="R537" i="1"/>
  <c r="R131" i="1"/>
  <c r="R437" i="1"/>
  <c r="R148" i="1"/>
  <c r="R164" i="1"/>
  <c r="R267" i="1"/>
  <c r="R485" i="1"/>
  <c r="AH10" i="3"/>
  <c r="R151" i="1" s="1"/>
  <c r="AG17" i="3"/>
  <c r="R407" i="1" s="1"/>
  <c r="AI37" i="3"/>
  <c r="R210" i="1"/>
  <c r="R46" i="1"/>
  <c r="AI41" i="3"/>
  <c r="R198" i="1" s="1"/>
  <c r="R377" i="1"/>
  <c r="AG41" i="3"/>
  <c r="AI26" i="3"/>
  <c r="AJ29" i="3"/>
  <c r="AF29" i="3"/>
  <c r="AG29" i="3"/>
  <c r="AH29" i="3"/>
  <c r="AI29" i="3"/>
  <c r="AG21" i="3"/>
  <c r="AJ21" i="3"/>
  <c r="AH13" i="3"/>
  <c r="AG10" i="3"/>
  <c r="AJ41" i="3"/>
  <c r="AH21" i="3"/>
  <c r="AF42" i="3"/>
  <c r="AG42" i="3"/>
  <c r="AH42" i="3"/>
  <c r="AI42" i="3"/>
  <c r="AJ42" i="3"/>
  <c r="AF30" i="3"/>
  <c r="AG30" i="3"/>
  <c r="AH30" i="3"/>
  <c r="AI30" i="3"/>
  <c r="AJ30" i="3"/>
  <c r="AH32" i="3"/>
  <c r="AF32" i="3"/>
  <c r="AG32" i="3"/>
  <c r="AI32" i="3"/>
  <c r="AJ32" i="3"/>
  <c r="AJ10" i="3"/>
  <c r="AJ25" i="3"/>
  <c r="AH25" i="3"/>
  <c r="AI25" i="3"/>
  <c r="AG25" i="3"/>
  <c r="AF25" i="3"/>
  <c r="AJ35" i="3"/>
  <c r="AH35" i="3"/>
  <c r="AI35" i="3"/>
  <c r="AF35" i="3"/>
  <c r="AG35" i="3"/>
  <c r="AH20" i="3"/>
  <c r="AF20" i="3"/>
  <c r="AG20" i="3"/>
  <c r="AJ20" i="3"/>
  <c r="AI20" i="3"/>
  <c r="AJ12" i="3"/>
  <c r="AJ34" i="3"/>
  <c r="AF22" i="3"/>
  <c r="AG22" i="3"/>
  <c r="AH22" i="3"/>
  <c r="AI22" i="3"/>
  <c r="AJ22" i="3"/>
  <c r="AH37" i="3"/>
  <c r="AI12" i="3"/>
  <c r="AI34" i="3"/>
  <c r="AJ31" i="3"/>
  <c r="AG31" i="3"/>
  <c r="AF31" i="3"/>
  <c r="AH31" i="3"/>
  <c r="AI31" i="3"/>
  <c r="AJ15" i="3"/>
  <c r="AH15" i="3"/>
  <c r="AG15" i="3"/>
  <c r="AI15" i="3"/>
  <c r="AF15" i="3"/>
  <c r="AJ27" i="3"/>
  <c r="AH27" i="3"/>
  <c r="AF27" i="3"/>
  <c r="AG27" i="3"/>
  <c r="AI27" i="3"/>
  <c r="AJ33" i="3"/>
  <c r="AF33" i="3"/>
  <c r="AI33" i="3"/>
  <c r="AG33" i="3"/>
  <c r="AH33" i="3"/>
  <c r="AJ11" i="3"/>
  <c r="AI11" i="3"/>
  <c r="AG11" i="3"/>
  <c r="AH11" i="3"/>
  <c r="R183" i="1" s="1"/>
  <c r="AF11" i="3"/>
  <c r="AJ23" i="3"/>
  <c r="AH23" i="3"/>
  <c r="AF23" i="3"/>
  <c r="AG23" i="3"/>
  <c r="AI23" i="3"/>
  <c r="AF38" i="3"/>
  <c r="AG38" i="3"/>
  <c r="AH38" i="3"/>
  <c r="AJ38" i="3"/>
  <c r="AI38" i="3"/>
  <c r="AH36" i="3"/>
  <c r="AF36" i="3"/>
  <c r="AG36" i="3"/>
  <c r="AI36" i="3"/>
  <c r="AJ36" i="3"/>
  <c r="R139" i="1" l="1"/>
  <c r="R259" i="1"/>
  <c r="R188" i="1"/>
  <c r="R143" i="1"/>
  <c r="R182" i="1"/>
  <c r="R156" i="1"/>
  <c r="R546" i="1"/>
  <c r="R119" i="1"/>
  <c r="R490" i="1"/>
  <c r="R141" i="1"/>
  <c r="R144" i="1"/>
  <c r="R544" i="1"/>
  <c r="R121" i="1"/>
  <c r="R547" i="1"/>
  <c r="R129" i="1"/>
  <c r="R179" i="1"/>
  <c r="R142" i="1"/>
  <c r="R506" i="1"/>
  <c r="R181" i="1"/>
  <c r="R184" i="1"/>
  <c r="R191" i="1"/>
  <c r="R132" i="1"/>
  <c r="R104" i="1"/>
  <c r="R523" i="1"/>
  <c r="R176" i="1"/>
  <c r="R82" i="1"/>
  <c r="R154" i="1"/>
  <c r="R95" i="1"/>
  <c r="R185" i="1"/>
  <c r="R492" i="1"/>
  <c r="R178" i="1"/>
  <c r="R50" i="1"/>
  <c r="R49" i="1"/>
  <c r="R361" i="1"/>
  <c r="R273" i="1"/>
  <c r="R358" i="1"/>
  <c r="R301" i="1"/>
  <c r="R222" i="1"/>
  <c r="R47" i="1"/>
  <c r="R90" i="1" s="1"/>
  <c r="R477" i="1"/>
  <c r="R15" i="1"/>
  <c r="R57" i="1"/>
  <c r="R200" i="1"/>
  <c r="R316" i="1"/>
  <c r="R72" i="1"/>
  <c r="R445" i="1"/>
  <c r="R45" i="1"/>
  <c r="R217" i="1"/>
  <c r="R321" i="1"/>
  <c r="R347" i="1"/>
  <c r="R7" i="1"/>
  <c r="R481" i="1"/>
  <c r="R3" i="1"/>
  <c r="R390" i="1"/>
  <c r="R340" i="1"/>
  <c r="R221" i="1"/>
  <c r="R224" i="1"/>
  <c r="R351" i="1"/>
  <c r="R173" i="1"/>
  <c r="R294" i="1"/>
  <c r="R287" i="1"/>
  <c r="R279" i="1"/>
  <c r="R48" i="1"/>
  <c r="R91" i="1" s="1"/>
  <c r="R37" i="1"/>
  <c r="R414" i="1"/>
  <c r="R368" i="1"/>
  <c r="R295" i="1"/>
  <c r="R314" i="1"/>
  <c r="R339" i="1"/>
  <c r="R423" i="1"/>
  <c r="R229" i="1"/>
  <c r="R341" i="1"/>
  <c r="R220" i="1"/>
  <c r="R468" i="1"/>
  <c r="R272" i="1"/>
  <c r="R541" i="1"/>
  <c r="R204" i="1"/>
  <c r="R292" i="1"/>
  <c r="R88" i="1"/>
  <c r="R532" i="1"/>
  <c r="R282" i="1"/>
  <c r="R96" i="1"/>
  <c r="R17" i="1"/>
  <c r="R63" i="1" s="1"/>
  <c r="R348" i="1"/>
  <c r="R108" i="1"/>
  <c r="R206" i="1"/>
  <c r="R393" i="1"/>
  <c r="R394" i="1"/>
  <c r="R73" i="1"/>
  <c r="R387" i="1"/>
  <c r="R473" i="1"/>
  <c r="R113" i="1"/>
  <c r="R78" i="1"/>
  <c r="R480" i="1"/>
  <c r="R440" i="1"/>
  <c r="R283" i="1"/>
  <c r="R417" i="1"/>
  <c r="R332" i="1"/>
  <c r="R99" i="1"/>
  <c r="R326" i="1"/>
  <c r="R258" i="1"/>
  <c r="R462" i="1"/>
  <c r="R309" i="1"/>
  <c r="R466" i="1"/>
  <c r="R359" i="1"/>
  <c r="R23" i="1"/>
  <c r="R336" i="1"/>
  <c r="R510" i="1" s="1"/>
  <c r="R243" i="1"/>
  <c r="R482" i="1"/>
  <c r="R330" i="1"/>
  <c r="R465" i="1"/>
  <c r="R284" i="1"/>
  <c r="R386" i="1"/>
  <c r="R428" i="1"/>
  <c r="R357" i="1"/>
  <c r="R402" i="1"/>
  <c r="R373" i="1"/>
  <c r="R31" i="1"/>
  <c r="R253" i="1"/>
  <c r="R27" i="1"/>
  <c r="R244" i="1"/>
  <c r="R399" i="1"/>
  <c r="R526" i="1"/>
  <c r="R205" i="1"/>
  <c r="R199" i="1"/>
  <c r="R318" i="1"/>
  <c r="R534" i="1"/>
  <c r="R328" i="1"/>
  <c r="R310" i="1"/>
  <c r="R391" i="1"/>
  <c r="R454" i="1"/>
  <c r="R299" i="1"/>
  <c r="R268" i="1"/>
  <c r="R370" i="1"/>
  <c r="R320" i="1"/>
  <c r="R345" i="1"/>
  <c r="R161" i="1"/>
  <c r="R317" i="1"/>
  <c r="R418" i="1"/>
  <c r="R380" i="1"/>
  <c r="R365" i="1"/>
  <c r="R67" i="1"/>
  <c r="R53" i="1"/>
  <c r="R385" i="1"/>
  <c r="R298" i="1"/>
  <c r="R447" i="1"/>
  <c r="R211" i="1"/>
  <c r="R304" i="1"/>
  <c r="R441" i="1" s="1"/>
  <c r="R486" i="1"/>
  <c r="R266" i="1"/>
  <c r="R84" i="1"/>
  <c r="R319" i="1"/>
  <c r="R432" i="1"/>
  <c r="R12" i="1"/>
  <c r="R322" i="1"/>
  <c r="R509" i="1" s="1"/>
  <c r="R527" i="1"/>
  <c r="R424" i="1"/>
  <c r="R245" i="1"/>
  <c r="R515" i="1"/>
  <c r="R474" i="1"/>
  <c r="R278" i="1"/>
  <c r="R201" i="1"/>
  <c r="R459" i="1"/>
  <c r="R288" i="1"/>
  <c r="R450" i="1"/>
  <c r="R364" i="1"/>
  <c r="R420" i="1"/>
  <c r="R403" i="1"/>
  <c r="R331" i="1"/>
  <c r="R203" i="1"/>
  <c r="R242" i="1"/>
  <c r="R439" i="1"/>
  <c r="R411" i="1"/>
  <c r="R239" i="1"/>
  <c r="R312" i="1" s="1"/>
  <c r="R521" i="1"/>
  <c r="R512" i="1"/>
  <c r="R545" i="1"/>
  <c r="R362" i="1"/>
  <c r="R363" i="1"/>
  <c r="R539" i="1"/>
  <c r="R194" i="1"/>
  <c r="R36" i="1"/>
  <c r="R226" i="1"/>
  <c r="R483" i="1"/>
  <c r="R2" i="1"/>
  <c r="R134" i="1"/>
  <c r="R35" i="1"/>
  <c r="R343" i="1"/>
  <c r="R274" i="1"/>
  <c r="R41" i="1"/>
  <c r="R64" i="1"/>
  <c r="R344" i="1"/>
  <c r="R263" i="1"/>
  <c r="R233" i="1"/>
  <c r="R353" i="1"/>
  <c r="R425" i="1"/>
  <c r="R323" i="1"/>
  <c r="R172" i="1"/>
  <c r="R275" i="1"/>
  <c r="R218" i="1"/>
  <c r="R308" i="1"/>
  <c r="R291" i="1"/>
  <c r="R409" i="1"/>
  <c r="R56" i="1"/>
  <c r="R216" i="1"/>
  <c r="R269" i="1"/>
  <c r="R426" i="1"/>
  <c r="R192" i="1"/>
  <c r="R430" i="1"/>
  <c r="R305" i="1"/>
  <c r="R219" i="1"/>
  <c r="R346" i="1"/>
  <c r="R235" i="1"/>
  <c r="R230" i="1"/>
  <c r="R350" i="1"/>
  <c r="R446" i="1"/>
  <c r="R303" i="1"/>
  <c r="R356" i="1"/>
  <c r="R398" i="1"/>
  <c r="R360" i="1"/>
  <c r="R300" i="1"/>
  <c r="R313" i="1"/>
  <c r="R376" i="1"/>
  <c r="R369" i="1"/>
  <c r="R352" i="1"/>
  <c r="R372" i="1"/>
  <c r="R174" i="1"/>
  <c r="R443" i="1"/>
  <c r="R389" i="1"/>
  <c r="R374" i="1"/>
  <c r="R297" i="1"/>
  <c r="R251" i="1"/>
  <c r="R59" i="1"/>
  <c r="R106" i="1"/>
  <c r="R479" i="1"/>
  <c r="R460" i="1"/>
  <c r="R21" i="1"/>
  <c r="R442" i="1" s="1"/>
  <c r="R371" i="1"/>
  <c r="R110" i="1"/>
  <c r="R61" i="1"/>
  <c r="R109" i="1"/>
  <c r="R101" i="1"/>
  <c r="R58" i="1"/>
  <c r="R117" i="1"/>
  <c r="R487" i="1"/>
  <c r="R448" i="1"/>
  <c r="R388" i="1"/>
  <c r="R338" i="1"/>
  <c r="R111" i="1"/>
  <c r="R127" i="1"/>
  <c r="R349" i="1"/>
  <c r="R451" i="1"/>
  <c r="R30" i="1"/>
  <c r="R395" i="1"/>
  <c r="R105" i="1"/>
  <c r="R538" i="1"/>
  <c r="R529" i="1"/>
  <c r="R379" i="1"/>
  <c r="R20" i="1"/>
  <c r="R98" i="1"/>
  <c r="R115" i="1"/>
  <c r="R26" i="1"/>
  <c r="R247" i="1"/>
  <c r="R87" i="1"/>
  <c r="R406" i="1"/>
  <c r="R93" i="1"/>
  <c r="R422" i="1"/>
  <c r="R231" i="1"/>
  <c r="R212" i="1"/>
  <c r="R86" i="1"/>
  <c r="R293" i="1"/>
  <c r="R384" i="1"/>
  <c r="R215" i="1"/>
  <c r="R248" i="1"/>
  <c r="R397" i="1"/>
  <c r="R83" i="1"/>
  <c r="R209" i="1"/>
  <c r="R232" i="1"/>
  <c r="R335" i="1"/>
  <c r="R225" i="1"/>
  <c r="R10" i="1"/>
  <c r="R456" i="1"/>
  <c r="R286" i="1"/>
  <c r="R228" i="1"/>
  <c r="R213" i="1"/>
  <c r="R70" i="1"/>
  <c r="R145" i="1"/>
  <c r="R246" i="1"/>
  <c r="R452" i="1"/>
  <c r="R208" i="1"/>
  <c r="R290" i="1"/>
  <c r="R223" i="1"/>
  <c r="R306" i="1"/>
  <c r="R472" i="1"/>
  <c r="R484" i="1"/>
  <c r="R55" i="1"/>
  <c r="R102" i="1"/>
  <c r="R71" i="1"/>
  <c r="R227" i="1"/>
  <c r="R52" i="1"/>
  <c r="R214" i="1"/>
  <c r="R277" i="1"/>
  <c r="R51" i="1"/>
  <c r="R136" i="1" s="1"/>
  <c r="R475" i="1"/>
  <c r="R265" i="1"/>
  <c r="R285" i="1"/>
  <c r="R410" i="1"/>
  <c r="R280" i="1"/>
  <c r="R467" i="1"/>
  <c r="R470" i="1"/>
  <c r="R419" i="1"/>
  <c r="R413" i="1"/>
  <c r="R378" i="1"/>
  <c r="R254" i="1"/>
  <c r="R324" i="1"/>
  <c r="R408" i="1"/>
  <c r="R478" i="1"/>
  <c r="R262" i="1"/>
  <c r="R431" i="1"/>
  <c r="R535" i="1"/>
  <c r="R302" i="1"/>
  <c r="R255" i="1"/>
  <c r="R237" i="1"/>
  <c r="R271" i="1"/>
  <c r="R195" i="1"/>
  <c r="R400" i="1"/>
  <c r="R281" i="1"/>
  <c r="R405" i="1"/>
  <c r="R153" i="1"/>
  <c r="R382" i="1"/>
  <c r="R461" i="1"/>
  <c r="R189" i="1"/>
  <c r="R149" i="1"/>
  <c r="R499" i="1"/>
  <c r="R404" i="1"/>
  <c r="R436" i="1"/>
  <c r="R123" i="1"/>
  <c r="R137" i="1"/>
  <c r="R147" i="1"/>
  <c r="R186" i="1"/>
  <c r="R140" i="1"/>
  <c r="R511" i="1"/>
  <c r="R155" i="1"/>
  <c r="R257" i="1"/>
  <c r="R342" i="1" s="1"/>
  <c r="R165" i="1"/>
  <c r="R421" i="1"/>
  <c r="R525" i="1"/>
  <c r="R175" i="1"/>
  <c r="R152" i="1"/>
  <c r="R498" i="1"/>
  <c r="R337" i="1"/>
  <c r="R438" i="1"/>
  <c r="R162" i="1"/>
  <c r="R28" i="1"/>
  <c r="R29" i="1"/>
  <c r="R4" i="1"/>
  <c r="R489" i="1"/>
  <c r="R40" i="1"/>
  <c r="R533" i="1"/>
  <c r="R130" i="1"/>
  <c r="R543" i="1"/>
  <c r="R500" i="1"/>
  <c r="R13" i="1"/>
  <c r="R549" i="1" s="1"/>
  <c r="R42" i="1"/>
  <c r="R33" i="1"/>
  <c r="R158" i="1"/>
  <c r="R488" i="1"/>
  <c r="R125" i="1"/>
  <c r="R100" i="1"/>
  <c r="R256" i="1"/>
  <c r="R307" i="1"/>
  <c r="R325" i="1"/>
  <c r="R329" i="1"/>
  <c r="R107" i="1"/>
  <c r="R311" i="1"/>
  <c r="R120" i="1"/>
  <c r="R334" i="1"/>
  <c r="R25" i="1"/>
  <c r="R69" i="1"/>
  <c r="R260" i="1"/>
  <c r="R433" i="1"/>
  <c r="R458" i="1"/>
  <c r="R427" i="1"/>
  <c r="R9" i="1"/>
  <c r="R80" i="1"/>
  <c r="R270" i="1"/>
  <c r="R240" i="1"/>
  <c r="R68" i="1"/>
  <c r="R522" i="1"/>
  <c r="R415" i="1"/>
  <c r="R112" i="1"/>
  <c r="R327" i="1"/>
  <c r="R81" i="1"/>
  <c r="R354" i="1"/>
  <c r="R367" i="1"/>
  <c r="R469" i="1"/>
  <c r="R453" i="1"/>
  <c r="R97" i="1"/>
  <c r="R169" i="1"/>
  <c r="R89" i="1"/>
  <c r="R190" i="1"/>
  <c r="R122" i="1"/>
  <c r="R85" i="1"/>
  <c r="R157" i="1"/>
  <c r="V3" i="1" l="1"/>
  <c r="V4" i="1"/>
  <c r="V7" i="1"/>
  <c r="V5" i="1"/>
  <c r="V6" i="1"/>
  <c r="W5" i="1" l="1"/>
  <c r="W6" i="1"/>
  <c r="W7" i="1"/>
  <c r="W4" i="1"/>
  <c r="W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tc={8236396A-CB60-5F45-BB53-7F5186BA1EB7}</author>
  </authors>
  <commentList>
    <comment ref="S1" authorId="0" shapeId="0" xr:uid="{8236396A-CB60-5F45-BB53-7F5186BA1EB7}">
      <text>
        <t>[Threaded comment]
Your version of Excel allows you to read this threaded comment; however, any edits to it will get removed if the file is opened in a newer version of Excel. Learn more: https://go.microsoft.com/fwlink/?linkid=870924
Comment:
    Only include fish that were marked in the previous step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tc={F25C586B-AE13-3B4B-B6B2-4985981760A5}</author>
  </authors>
  <commentList>
    <comment ref="A10" authorId="0" shapeId="0" xr:uid="{F25C586B-AE13-3B4B-B6B2-4985981760A5}">
      <text>
        <t>[Threaded comment]
Your version of Excel allows you to read this threaded comment; however, any edits to it will get removed if the file is opened in a newer version of Excel. Learn more: https://go.microsoft.com/fwlink/?linkid=870924
Comment:
    growth efficiency; roughly
e=a[e]*(1-SDA)*E[prey]/E[pred]*pdigest
where
a[e] - assimilation efficiency - 0.8
SDA - specific dynamic action - 0.2
E[prey]=E[pred] - energy density of prey and predator
p[digest] - proportion digested - 0.9
** all from standard bioenergetics functions - van Poorten and Walters 2010</t>
      </text>
    </comment>
  </commentList>
</comments>
</file>

<file path=xl/sharedStrings.xml><?xml version="1.0" encoding="utf-8"?>
<sst xmlns="http://schemas.openxmlformats.org/spreadsheetml/2006/main" count="2810" uniqueCount="151">
  <si>
    <t>Date Caught</t>
  </si>
  <si>
    <t>Length (mm)</t>
  </si>
  <si>
    <t xml:space="preserve">Tag Number </t>
  </si>
  <si>
    <t>Start Time</t>
  </si>
  <si>
    <t>End Time</t>
  </si>
  <si>
    <t>Location</t>
  </si>
  <si>
    <t>Dock 5</t>
  </si>
  <si>
    <t>Main Beach</t>
  </si>
  <si>
    <t>Dock 15</t>
  </si>
  <si>
    <t>Dock 4</t>
  </si>
  <si>
    <t>Time Spent Fishing (h:mm)</t>
  </si>
  <si>
    <t>Logan's house</t>
  </si>
  <si>
    <t>Dock 14</t>
  </si>
  <si>
    <t>Dock 3</t>
  </si>
  <si>
    <t>Dock 2</t>
  </si>
  <si>
    <t>Dock 11</t>
  </si>
  <si>
    <t>Dock 13</t>
  </si>
  <si>
    <t>Dock 12</t>
  </si>
  <si>
    <t>Dock 16</t>
  </si>
  <si>
    <t>Dock 17</t>
  </si>
  <si>
    <t>Dock 18</t>
  </si>
  <si>
    <t>Dock 6</t>
  </si>
  <si>
    <t>Beach Boy</t>
  </si>
  <si>
    <t>Dock 10</t>
  </si>
  <si>
    <t>Dock 21</t>
  </si>
  <si>
    <t>NT</t>
  </si>
  <si>
    <t>Killed</t>
  </si>
  <si>
    <t>Released</t>
  </si>
  <si>
    <t>Dock 7</t>
  </si>
  <si>
    <t xml:space="preserve">Dock 16 </t>
  </si>
  <si>
    <t>Logans</t>
  </si>
  <si>
    <t>Jade Bay</t>
  </si>
  <si>
    <t>Needle Point</t>
  </si>
  <si>
    <t>Rafting Site</t>
  </si>
  <si>
    <t>30 ft</t>
  </si>
  <si>
    <t>20 ft</t>
  </si>
  <si>
    <t>32 ft</t>
  </si>
  <si>
    <t>28 ft</t>
  </si>
  <si>
    <t>25 ft</t>
  </si>
  <si>
    <t>27 ft</t>
  </si>
  <si>
    <t>26 ft</t>
  </si>
  <si>
    <t>37 ft</t>
  </si>
  <si>
    <t>34 ft</t>
  </si>
  <si>
    <t>33 ft</t>
  </si>
  <si>
    <t>50 ft</t>
  </si>
  <si>
    <t>Released/Killed</t>
  </si>
  <si>
    <t>Tagged/Recature/No Tag</t>
  </si>
  <si>
    <t>Tagged</t>
  </si>
  <si>
    <t xml:space="preserve">Angler </t>
  </si>
  <si>
    <t>Nick/Pete</t>
  </si>
  <si>
    <t>Cameron Wells</t>
  </si>
  <si>
    <t>Scott Harris</t>
  </si>
  <si>
    <t>April Lewis</t>
  </si>
  <si>
    <t>King Kamehameha</t>
  </si>
  <si>
    <t>Unknown</t>
  </si>
  <si>
    <t>Tag Colour</t>
  </si>
  <si>
    <t>Green</t>
  </si>
  <si>
    <t>Pink</t>
  </si>
  <si>
    <t>Recapture</t>
  </si>
  <si>
    <t>Kauveh</t>
  </si>
  <si>
    <t>Tristan</t>
  </si>
  <si>
    <t>Mike Petterson</t>
  </si>
  <si>
    <t>Garrett Corrigan</t>
  </si>
  <si>
    <t>Jeff</t>
  </si>
  <si>
    <t>Dexee Decoran</t>
  </si>
  <si>
    <t>Kathy Tull</t>
  </si>
  <si>
    <t>Taylor Spielman</t>
  </si>
  <si>
    <t>Chris Campbell</t>
  </si>
  <si>
    <t>Martin Clingwall</t>
  </si>
  <si>
    <t>Sam Northcott</t>
  </si>
  <si>
    <t>Kauveh Rad</t>
  </si>
  <si>
    <t xml:space="preserve">Green </t>
  </si>
  <si>
    <t>circle tag</t>
  </si>
  <si>
    <t>Main Beach Docks</t>
  </si>
  <si>
    <t>Marina boat launch</t>
  </si>
  <si>
    <t>Dock 8</t>
  </si>
  <si>
    <t>North end of lake</t>
  </si>
  <si>
    <t>South East End</t>
  </si>
  <si>
    <t>New Condos Dock</t>
  </si>
  <si>
    <t>Sunnyside Campground</t>
  </si>
  <si>
    <t>Dock closest to Sweltzer</t>
  </si>
  <si>
    <t>Depth caught</t>
  </si>
  <si>
    <t>NW</t>
  </si>
  <si>
    <t>ND</t>
  </si>
  <si>
    <t>Dock 9</t>
  </si>
  <si>
    <t>Logan's House</t>
  </si>
  <si>
    <t>The rock</t>
  </si>
  <si>
    <t>Spring Bay</t>
  </si>
  <si>
    <t>Dock 1</t>
  </si>
  <si>
    <t>Dock 22</t>
  </si>
  <si>
    <r>
      <t xml:space="preserve">Tagged/Recapture/NT: </t>
    </r>
    <r>
      <rPr>
        <sz val="11"/>
        <color theme="1"/>
        <rFont val="Calibri"/>
        <family val="2"/>
        <scheme val="minor"/>
      </rPr>
      <t>these bass were either (1) tagged with a green (mark-recapture) or pink (acoustic) spaghetti tag, (2) recaptured, or (3) caught without a tag and either released untagged or killed and used for stomachs.</t>
    </r>
  </si>
  <si>
    <r>
      <t xml:space="preserve">Start time - End time - Time Spent Fishing: </t>
    </r>
    <r>
      <rPr>
        <sz val="11"/>
        <color theme="1"/>
        <rFont val="Calibri"/>
        <family val="2"/>
        <scheme val="minor"/>
      </rPr>
      <t>This was challenging data to get from anglers, and only later in the program did I start collecting it from Nick and Pete</t>
    </r>
    <r>
      <rPr>
        <b/>
        <sz val="11"/>
        <color theme="1"/>
        <rFont val="Calibri"/>
        <family val="2"/>
        <scheme val="minor"/>
      </rPr>
      <t>. When sorting the data for CPUE, you may want to separate out Nick/Pete because the are expert anglers and so will have a much lower CPUE</t>
    </r>
  </si>
  <si>
    <r>
      <t xml:space="preserve">Length: </t>
    </r>
    <r>
      <rPr>
        <sz val="11"/>
        <color theme="1"/>
        <rFont val="Calibri"/>
        <family val="2"/>
        <scheme val="minor"/>
      </rPr>
      <t>Total length</t>
    </r>
  </si>
  <si>
    <r>
      <t xml:space="preserve">Killed/Released: </t>
    </r>
    <r>
      <rPr>
        <sz val="11"/>
        <color theme="1"/>
        <rFont val="Calibri"/>
        <family val="2"/>
        <scheme val="minor"/>
      </rPr>
      <t>We used the bass for different purposes. If we wanted to do stomach dissections, then they were killed. The public often re-released bass. Some pink tagged bass were accidentally killed by Nic and Pete because their outer spaghetti tags had fallen off and so when we did our stomach dissections, we found the acoustic tags. This is also something to keep in mind when looking at numbers as some tags may have fallen off OR people may have been pulling the tags out of fish, trying to ruin the project. Therefore, the recapture numbers may have been slightly higher than noted in the data.</t>
    </r>
  </si>
  <si>
    <t>Age</t>
  </si>
  <si>
    <t>Length</t>
  </si>
  <si>
    <t>sd</t>
  </si>
  <si>
    <t>n</t>
  </si>
  <si>
    <t>pred len</t>
  </si>
  <si>
    <t>like</t>
  </si>
  <si>
    <t>Linf</t>
  </si>
  <si>
    <t>K</t>
  </si>
  <si>
    <t>t0</t>
  </si>
  <si>
    <t>Likelihood</t>
  </si>
  <si>
    <t>SE</t>
  </si>
  <si>
    <t>alpha</t>
  </si>
  <si>
    <t>beta</t>
  </si>
  <si>
    <t>e</t>
  </si>
  <si>
    <t>p(a)</t>
  </si>
  <si>
    <t>P(l|1)</t>
  </si>
  <si>
    <t>P(l|2)</t>
  </si>
  <si>
    <t>P(l|3)</t>
  </si>
  <si>
    <t>P(l|4)</t>
  </si>
  <si>
    <t>P(l|5)</t>
  </si>
  <si>
    <t>mean</t>
  </si>
  <si>
    <t>cumul1</t>
  </si>
  <si>
    <t>cumul2</t>
  </si>
  <si>
    <t>cumul3</t>
  </si>
  <si>
    <t>cumul4</t>
  </si>
  <si>
    <t>cumul5</t>
  </si>
  <si>
    <t>Denom</t>
  </si>
  <si>
    <t>P(1|l)</t>
  </si>
  <si>
    <t>P(2|l)</t>
  </si>
  <si>
    <t>P{3|l)</t>
  </si>
  <si>
    <t>P{4|l)</t>
  </si>
  <si>
    <t>P(5|l)</t>
  </si>
  <si>
    <t>length bin</t>
  </si>
  <si>
    <t>age-hat</t>
  </si>
  <si>
    <t>rand</t>
  </si>
  <si>
    <t>Tag Code</t>
  </si>
  <si>
    <t>cumul</t>
  </si>
  <si>
    <t>YearMonth</t>
  </si>
  <si>
    <t>Row Labels</t>
  </si>
  <si>
    <t>2020-5</t>
  </si>
  <si>
    <t>2020-6</t>
  </si>
  <si>
    <t>2020-7</t>
  </si>
  <si>
    <t>2021-5</t>
  </si>
  <si>
    <t>2021-6</t>
  </si>
  <si>
    <t>Grand Total</t>
  </si>
  <si>
    <t>Column Labels</t>
  </si>
  <si>
    <t>Count of age-hat</t>
  </si>
  <si>
    <t>(All)</t>
  </si>
  <si>
    <t>day</t>
  </si>
  <si>
    <t>Include</t>
  </si>
  <si>
    <t>## Can't calculate diet composition because she didn't calculate the proportion of DNA associated with different taxa</t>
  </si>
  <si>
    <t>## incorrect - this assumes all diet is fish (based on ED)</t>
  </si>
  <si>
    <t>e[invert]</t>
  </si>
  <si>
    <t>e[fish]</t>
  </si>
  <si>
    <t>ind invert q</t>
  </si>
  <si>
    <t>ind fish q</t>
  </si>
  <si>
    <t>Assume 18% of bass have sockeye in diet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</si>
</sst>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1009]d/mmm/yy;@"/>
  </numFmts>
  <fonts count="6" x14ac:knownFonts="1">
    <font>
      <sz val="11"/>
      <color theme="1"/>
      <name val="Calibri"/>
      <family val="2"/>
      <scheme val="minor"/>
    </font>
    <font>
      <b/>
      <sz val="11"/>
      <color theme="1"/>
      <name val="Calibri"/>
      <family val="2"/>
      <scheme val="minor"/>
    </font>
    <font>
      <sz val="8"/>
      <name val="Calibri"/>
      <family val="2"/>
      <scheme val="minor"/>
    </font>
    <font>
      <sz val="10"/>
      <color rgb="FF000000"/>
      <name val="Tahoma"/>
      <family val="2"/>
    </font>
    <font>
      <sz val="11"/>
      <color rgb="FFFF0000"/>
      <name val="Calibri"/>
      <family val="2"/>
      <scheme val="minor"/>
    </font>
    <font>
      <sz val="11"/>
      <color rgb="FF00B0F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15" fontId="0" fillId="0" borderId="0" xfId="0" applyNumberFormat="1"/>
    <xf numFmtId="0" fontId="1" fillId="0" borderId="0" xfId="0" applyFont="1"/>
    <xf numFmtId="20" fontId="0" fillId="0" borderId="0" xfId="0" applyNumberFormat="1"/>
    <xf numFmtId="164" fontId="0" fillId="0" borderId="0" xfId="0" applyNumberFormat="1"/>
    <xf numFmtId="1" fontId="0" fillId="0" borderId="0" xfId="0" applyNumberFormat="1"/>
    <xf numFmtId="1" fontId="1" fillId="0" borderId="0" xfId="0" applyNumberFormat="1" applyFont="1"/>
    <xf numFmtId="164" fontId="1" fillId="0" borderId="0" xfId="0" applyNumberFormat="1" applyFont="1"/>
    <xf numFmtId="2" fontId="0" fillId="0" borderId="0" xfId="0" applyNumberFormat="1"/>
    <xf numFmtId="165" fontId="0" fillId="0" borderId="0" xfId="0" applyNumberFormat="1"/>
    <xf numFmtId="165" fontId="0" fillId="0" borderId="0" xfId="0" applyNumberFormat="1" applyFill="1"/>
    <xf numFmtId="1" fontId="0" fillId="0" borderId="0" xfId="0" applyNumberFormat="1" applyFill="1"/>
    <xf numFmtId="0" fontId="0" fillId="0" borderId="0" xfId="0" applyFill="1"/>
    <xf numFmtId="164" fontId="0" fillId="0" borderId="0" xfId="0" applyNumberFormat="1" applyFill="1"/>
    <xf numFmtId="165" fontId="0" fillId="0" borderId="0" xfId="0" applyNumberFormat="1" applyFont="1" applyFill="1"/>
    <xf numFmtId="15" fontId="0" fillId="0" borderId="0" xfId="0" applyNumberFormat="1" applyFill="1"/>
    <xf numFmtId="0" fontId="0" fillId="0" borderId="0" xfId="0" applyFont="1" applyFill="1"/>
    <xf numFmtId="15" fontId="0" fillId="0" borderId="0" xfId="0" applyNumberFormat="1" applyAlignment="1">
      <alignment horizontal="right"/>
    </xf>
    <xf numFmtId="164" fontId="0" fillId="0" borderId="0" xfId="0" applyNumberFormat="1" applyAlignment="1">
      <alignment horizontal="right"/>
    </xf>
    <xf numFmtId="0" fontId="0" fillId="0" borderId="0" xfId="0" applyAlignment="1">
      <alignment horizontal="right"/>
    </xf>
    <xf numFmtId="1" fontId="0" fillId="0" borderId="0" xfId="0" applyNumberFormat="1" applyAlignment="1">
      <alignment horizontal="right"/>
    </xf>
    <xf numFmtId="0" fontId="1" fillId="0" borderId="0" xfId="0" applyFont="1" applyAlignment="1">
      <alignment horizontal="left"/>
    </xf>
    <xf numFmtId="0" fontId="0" fillId="0" borderId="0" xfId="0" applyAlignment="1">
      <alignment horizontal="left"/>
    </xf>
    <xf numFmtId="15" fontId="0" fillId="0" borderId="0" xfId="0" applyNumberFormat="1" applyAlignment="1">
      <alignment horizontal="left"/>
    </xf>
    <xf numFmtId="0" fontId="0" fillId="0" borderId="0" xfId="0" applyFill="1" applyAlignment="1">
      <alignment horizontal="left"/>
    </xf>
    <xf numFmtId="1" fontId="0" fillId="0" borderId="0" xfId="0" applyNumberFormat="1" applyAlignment="1">
      <alignment horizontal="left"/>
    </xf>
    <xf numFmtId="0" fontId="4" fillId="0" borderId="0" xfId="0" applyFont="1" applyFill="1"/>
    <xf numFmtId="0" fontId="5" fillId="0" borderId="0" xfId="0" applyFont="1"/>
    <xf numFmtId="0" fontId="0" fillId="0" borderId="0" xfId="0" applyNumberFormat="1" applyFill="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Data!$L$1</c:f>
              <c:strCache>
                <c:ptCount val="1"/>
                <c:pt idx="0">
                  <c:v>Length (mm)</c:v>
                </c:pt>
              </c:strCache>
            </c:strRef>
          </c:tx>
          <c:spPr>
            <a:ln w="19050" cap="rnd">
              <a:noFill/>
              <a:round/>
            </a:ln>
            <a:effectLst/>
          </c:spPr>
          <c:marker>
            <c:symbol val="circle"/>
            <c:size val="3"/>
            <c:spPr>
              <a:solidFill>
                <a:schemeClr val="accent1"/>
              </a:solidFill>
              <a:ln w="9525">
                <a:solidFill>
                  <a:schemeClr val="accent1"/>
                </a:solidFill>
              </a:ln>
              <a:effectLst/>
            </c:spPr>
          </c:marker>
          <c:xVal>
            <c:numRef>
              <c:f>Data!$C$2:$C$549</c:f>
              <c:numCache>
                <c:formatCode>General</c:formatCode>
                <c:ptCount val="548"/>
                <c:pt idx="0">
                  <c:v>0</c:v>
                </c:pt>
                <c:pt idx="1">
                  <c:v>0</c:v>
                </c:pt>
                <c:pt idx="2">
                  <c:v>0</c:v>
                </c:pt>
                <c:pt idx="3">
                  <c:v>0</c:v>
                </c:pt>
                <c:pt idx="4">
                  <c:v>0</c:v>
                </c:pt>
                <c:pt idx="5">
                  <c:v>0</c:v>
                </c:pt>
                <c:pt idx="6">
                  <c:v>0</c:v>
                </c:pt>
                <c:pt idx="7">
                  <c:v>0</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7</c:v>
                </c:pt>
                <c:pt idx="41">
                  <c:v>7</c:v>
                </c:pt>
                <c:pt idx="42">
                  <c:v>7</c:v>
                </c:pt>
                <c:pt idx="43">
                  <c:v>7</c:v>
                </c:pt>
                <c:pt idx="44">
                  <c:v>7</c:v>
                </c:pt>
                <c:pt idx="45">
                  <c:v>7</c:v>
                </c:pt>
                <c:pt idx="46">
                  <c:v>7</c:v>
                </c:pt>
                <c:pt idx="47">
                  <c:v>7</c:v>
                </c:pt>
                <c:pt idx="48">
                  <c:v>7</c:v>
                </c:pt>
                <c:pt idx="49">
                  <c:v>7</c:v>
                </c:pt>
                <c:pt idx="50">
                  <c:v>7</c:v>
                </c:pt>
                <c:pt idx="51">
                  <c:v>8</c:v>
                </c:pt>
                <c:pt idx="52">
                  <c:v>8</c:v>
                </c:pt>
                <c:pt idx="53">
                  <c:v>8</c:v>
                </c:pt>
                <c:pt idx="54">
                  <c:v>14</c:v>
                </c:pt>
                <c:pt idx="55">
                  <c:v>14</c:v>
                </c:pt>
                <c:pt idx="56">
                  <c:v>14</c:v>
                </c:pt>
                <c:pt idx="57">
                  <c:v>14</c:v>
                </c:pt>
                <c:pt idx="58">
                  <c:v>14</c:v>
                </c:pt>
                <c:pt idx="59">
                  <c:v>14</c:v>
                </c:pt>
                <c:pt idx="60">
                  <c:v>17</c:v>
                </c:pt>
                <c:pt idx="61">
                  <c:v>17</c:v>
                </c:pt>
                <c:pt idx="62">
                  <c:v>17</c:v>
                </c:pt>
                <c:pt idx="63">
                  <c:v>26</c:v>
                </c:pt>
                <c:pt idx="64">
                  <c:v>32</c:v>
                </c:pt>
                <c:pt idx="65">
                  <c:v>44</c:v>
                </c:pt>
                <c:pt idx="66">
                  <c:v>44</c:v>
                </c:pt>
                <c:pt idx="67">
                  <c:v>44</c:v>
                </c:pt>
                <c:pt idx="68">
                  <c:v>44</c:v>
                </c:pt>
                <c:pt idx="69">
                  <c:v>44</c:v>
                </c:pt>
                <c:pt idx="70">
                  <c:v>44</c:v>
                </c:pt>
                <c:pt idx="71">
                  <c:v>44</c:v>
                </c:pt>
                <c:pt idx="72">
                  <c:v>44</c:v>
                </c:pt>
                <c:pt idx="73">
                  <c:v>44</c:v>
                </c:pt>
                <c:pt idx="74">
                  <c:v>44</c:v>
                </c:pt>
                <c:pt idx="75">
                  <c:v>44</c:v>
                </c:pt>
                <c:pt idx="76">
                  <c:v>44</c:v>
                </c:pt>
                <c:pt idx="77">
                  <c:v>44</c:v>
                </c:pt>
                <c:pt idx="78">
                  <c:v>44</c:v>
                </c:pt>
                <c:pt idx="79">
                  <c:v>44</c:v>
                </c:pt>
                <c:pt idx="80">
                  <c:v>44</c:v>
                </c:pt>
                <c:pt idx="81">
                  <c:v>44</c:v>
                </c:pt>
                <c:pt idx="82">
                  <c:v>44</c:v>
                </c:pt>
                <c:pt idx="83">
                  <c:v>44</c:v>
                </c:pt>
                <c:pt idx="84">
                  <c:v>44</c:v>
                </c:pt>
                <c:pt idx="85">
                  <c:v>44</c:v>
                </c:pt>
                <c:pt idx="86">
                  <c:v>44</c:v>
                </c:pt>
                <c:pt idx="87">
                  <c:v>44</c:v>
                </c:pt>
                <c:pt idx="88">
                  <c:v>44</c:v>
                </c:pt>
                <c:pt idx="89">
                  <c:v>44</c:v>
                </c:pt>
                <c:pt idx="90">
                  <c:v>44</c:v>
                </c:pt>
                <c:pt idx="91">
                  <c:v>46</c:v>
                </c:pt>
                <c:pt idx="92">
                  <c:v>46</c:v>
                </c:pt>
                <c:pt idx="93">
                  <c:v>46</c:v>
                </c:pt>
                <c:pt idx="94">
                  <c:v>46</c:v>
                </c:pt>
                <c:pt idx="95">
                  <c:v>46</c:v>
                </c:pt>
                <c:pt idx="96">
                  <c:v>46</c:v>
                </c:pt>
                <c:pt idx="97">
                  <c:v>46</c:v>
                </c:pt>
                <c:pt idx="98">
                  <c:v>46</c:v>
                </c:pt>
                <c:pt idx="99">
                  <c:v>46</c:v>
                </c:pt>
                <c:pt idx="100">
                  <c:v>46</c:v>
                </c:pt>
                <c:pt idx="101">
                  <c:v>46</c:v>
                </c:pt>
                <c:pt idx="102">
                  <c:v>46</c:v>
                </c:pt>
                <c:pt idx="103">
                  <c:v>46</c:v>
                </c:pt>
                <c:pt idx="104">
                  <c:v>46</c:v>
                </c:pt>
                <c:pt idx="105">
                  <c:v>46</c:v>
                </c:pt>
                <c:pt idx="106">
                  <c:v>46</c:v>
                </c:pt>
                <c:pt idx="107">
                  <c:v>46</c:v>
                </c:pt>
                <c:pt idx="108">
                  <c:v>46</c:v>
                </c:pt>
                <c:pt idx="109">
                  <c:v>46</c:v>
                </c:pt>
                <c:pt idx="110">
                  <c:v>46</c:v>
                </c:pt>
                <c:pt idx="111">
                  <c:v>46</c:v>
                </c:pt>
                <c:pt idx="112">
                  <c:v>46</c:v>
                </c:pt>
                <c:pt idx="113">
                  <c:v>46</c:v>
                </c:pt>
                <c:pt idx="114">
                  <c:v>46</c:v>
                </c:pt>
                <c:pt idx="115">
                  <c:v>46</c:v>
                </c:pt>
                <c:pt idx="116">
                  <c:v>46</c:v>
                </c:pt>
                <c:pt idx="117">
                  <c:v>46</c:v>
                </c:pt>
                <c:pt idx="118">
                  <c:v>46</c:v>
                </c:pt>
                <c:pt idx="119">
                  <c:v>51</c:v>
                </c:pt>
                <c:pt idx="120">
                  <c:v>51</c:v>
                </c:pt>
                <c:pt idx="121">
                  <c:v>51</c:v>
                </c:pt>
                <c:pt idx="122">
                  <c:v>51</c:v>
                </c:pt>
                <c:pt idx="123">
                  <c:v>51</c:v>
                </c:pt>
                <c:pt idx="124">
                  <c:v>51</c:v>
                </c:pt>
                <c:pt idx="125">
                  <c:v>51</c:v>
                </c:pt>
                <c:pt idx="126">
                  <c:v>51</c:v>
                </c:pt>
                <c:pt idx="127">
                  <c:v>51</c:v>
                </c:pt>
                <c:pt idx="128">
                  <c:v>51</c:v>
                </c:pt>
                <c:pt idx="129">
                  <c:v>51</c:v>
                </c:pt>
                <c:pt idx="130">
                  <c:v>51</c:v>
                </c:pt>
                <c:pt idx="131">
                  <c:v>51</c:v>
                </c:pt>
                <c:pt idx="132">
                  <c:v>51</c:v>
                </c:pt>
                <c:pt idx="133">
                  <c:v>59</c:v>
                </c:pt>
                <c:pt idx="134">
                  <c:v>69</c:v>
                </c:pt>
                <c:pt idx="135">
                  <c:v>74</c:v>
                </c:pt>
                <c:pt idx="136">
                  <c:v>74</c:v>
                </c:pt>
                <c:pt idx="137">
                  <c:v>74</c:v>
                </c:pt>
                <c:pt idx="138">
                  <c:v>74</c:v>
                </c:pt>
                <c:pt idx="139">
                  <c:v>74</c:v>
                </c:pt>
                <c:pt idx="140">
                  <c:v>74</c:v>
                </c:pt>
                <c:pt idx="141">
                  <c:v>74</c:v>
                </c:pt>
                <c:pt idx="142">
                  <c:v>74</c:v>
                </c:pt>
                <c:pt idx="143">
                  <c:v>74</c:v>
                </c:pt>
                <c:pt idx="144">
                  <c:v>74</c:v>
                </c:pt>
                <c:pt idx="145">
                  <c:v>74</c:v>
                </c:pt>
                <c:pt idx="146">
                  <c:v>74</c:v>
                </c:pt>
                <c:pt idx="147">
                  <c:v>74</c:v>
                </c:pt>
                <c:pt idx="148">
                  <c:v>74</c:v>
                </c:pt>
                <c:pt idx="149">
                  <c:v>74</c:v>
                </c:pt>
                <c:pt idx="150">
                  <c:v>74</c:v>
                </c:pt>
                <c:pt idx="151">
                  <c:v>74</c:v>
                </c:pt>
                <c:pt idx="152">
                  <c:v>74</c:v>
                </c:pt>
                <c:pt idx="153">
                  <c:v>74</c:v>
                </c:pt>
                <c:pt idx="154">
                  <c:v>74</c:v>
                </c:pt>
                <c:pt idx="155">
                  <c:v>74</c:v>
                </c:pt>
                <c:pt idx="156">
                  <c:v>74</c:v>
                </c:pt>
                <c:pt idx="157">
                  <c:v>74</c:v>
                </c:pt>
                <c:pt idx="158">
                  <c:v>74</c:v>
                </c:pt>
                <c:pt idx="159">
                  <c:v>74</c:v>
                </c:pt>
                <c:pt idx="160">
                  <c:v>74</c:v>
                </c:pt>
                <c:pt idx="161">
                  <c:v>74</c:v>
                </c:pt>
                <c:pt idx="162">
                  <c:v>86</c:v>
                </c:pt>
                <c:pt idx="163">
                  <c:v>86</c:v>
                </c:pt>
                <c:pt idx="164">
                  <c:v>86</c:v>
                </c:pt>
                <c:pt idx="165">
                  <c:v>86</c:v>
                </c:pt>
                <c:pt idx="166">
                  <c:v>86</c:v>
                </c:pt>
                <c:pt idx="167">
                  <c:v>86</c:v>
                </c:pt>
                <c:pt idx="168">
                  <c:v>86</c:v>
                </c:pt>
                <c:pt idx="169">
                  <c:v>86</c:v>
                </c:pt>
                <c:pt idx="170">
                  <c:v>86</c:v>
                </c:pt>
                <c:pt idx="171">
                  <c:v>86</c:v>
                </c:pt>
                <c:pt idx="172">
                  <c:v>86</c:v>
                </c:pt>
                <c:pt idx="173">
                  <c:v>86</c:v>
                </c:pt>
                <c:pt idx="174">
                  <c:v>108</c:v>
                </c:pt>
                <c:pt idx="175">
                  <c:v>108</c:v>
                </c:pt>
                <c:pt idx="176">
                  <c:v>108</c:v>
                </c:pt>
                <c:pt idx="177">
                  <c:v>108</c:v>
                </c:pt>
                <c:pt idx="178">
                  <c:v>108</c:v>
                </c:pt>
                <c:pt idx="179">
                  <c:v>108</c:v>
                </c:pt>
                <c:pt idx="180">
                  <c:v>108</c:v>
                </c:pt>
                <c:pt idx="181">
                  <c:v>108</c:v>
                </c:pt>
                <c:pt idx="182">
                  <c:v>108</c:v>
                </c:pt>
                <c:pt idx="183">
                  <c:v>108</c:v>
                </c:pt>
                <c:pt idx="184">
                  <c:v>108</c:v>
                </c:pt>
                <c:pt idx="185">
                  <c:v>108</c:v>
                </c:pt>
                <c:pt idx="186">
                  <c:v>108</c:v>
                </c:pt>
                <c:pt idx="187">
                  <c:v>108</c:v>
                </c:pt>
                <c:pt idx="188">
                  <c:v>108</c:v>
                </c:pt>
                <c:pt idx="189">
                  <c:v>108</c:v>
                </c:pt>
                <c:pt idx="190">
                  <c:v>108</c:v>
                </c:pt>
                <c:pt idx="191">
                  <c:v>108</c:v>
                </c:pt>
                <c:pt idx="192">
                  <c:v>108</c:v>
                </c:pt>
                <c:pt idx="193">
                  <c:v>108</c:v>
                </c:pt>
                <c:pt idx="194">
                  <c:v>308</c:v>
                </c:pt>
                <c:pt idx="195">
                  <c:v>326</c:v>
                </c:pt>
                <c:pt idx="196">
                  <c:v>338</c:v>
                </c:pt>
                <c:pt idx="197">
                  <c:v>338</c:v>
                </c:pt>
                <c:pt idx="198">
                  <c:v>338</c:v>
                </c:pt>
                <c:pt idx="199">
                  <c:v>338</c:v>
                </c:pt>
                <c:pt idx="200">
                  <c:v>338</c:v>
                </c:pt>
                <c:pt idx="201">
                  <c:v>339</c:v>
                </c:pt>
                <c:pt idx="202">
                  <c:v>339</c:v>
                </c:pt>
                <c:pt idx="203">
                  <c:v>341</c:v>
                </c:pt>
                <c:pt idx="204">
                  <c:v>341</c:v>
                </c:pt>
                <c:pt idx="205">
                  <c:v>341</c:v>
                </c:pt>
                <c:pt idx="206">
                  <c:v>341</c:v>
                </c:pt>
                <c:pt idx="207">
                  <c:v>341</c:v>
                </c:pt>
                <c:pt idx="208">
                  <c:v>341</c:v>
                </c:pt>
                <c:pt idx="209">
                  <c:v>346</c:v>
                </c:pt>
                <c:pt idx="210">
                  <c:v>352</c:v>
                </c:pt>
                <c:pt idx="211">
                  <c:v>352</c:v>
                </c:pt>
                <c:pt idx="212">
                  <c:v>352</c:v>
                </c:pt>
                <c:pt idx="213">
                  <c:v>352</c:v>
                </c:pt>
                <c:pt idx="214">
                  <c:v>352</c:v>
                </c:pt>
                <c:pt idx="215">
                  <c:v>352</c:v>
                </c:pt>
                <c:pt idx="216">
                  <c:v>352</c:v>
                </c:pt>
                <c:pt idx="217">
                  <c:v>352</c:v>
                </c:pt>
                <c:pt idx="218">
                  <c:v>352</c:v>
                </c:pt>
                <c:pt idx="219">
                  <c:v>352</c:v>
                </c:pt>
                <c:pt idx="220">
                  <c:v>352</c:v>
                </c:pt>
                <c:pt idx="221">
                  <c:v>352</c:v>
                </c:pt>
                <c:pt idx="222">
                  <c:v>352</c:v>
                </c:pt>
                <c:pt idx="223">
                  <c:v>352</c:v>
                </c:pt>
                <c:pt idx="224">
                  <c:v>352</c:v>
                </c:pt>
                <c:pt idx="225">
                  <c:v>352</c:v>
                </c:pt>
                <c:pt idx="226">
                  <c:v>352</c:v>
                </c:pt>
                <c:pt idx="227">
                  <c:v>352</c:v>
                </c:pt>
                <c:pt idx="228">
                  <c:v>352</c:v>
                </c:pt>
                <c:pt idx="229">
                  <c:v>352</c:v>
                </c:pt>
                <c:pt idx="230">
                  <c:v>352</c:v>
                </c:pt>
                <c:pt idx="231">
                  <c:v>352</c:v>
                </c:pt>
                <c:pt idx="232">
                  <c:v>352</c:v>
                </c:pt>
                <c:pt idx="233">
                  <c:v>352</c:v>
                </c:pt>
                <c:pt idx="234">
                  <c:v>352</c:v>
                </c:pt>
                <c:pt idx="235">
                  <c:v>352</c:v>
                </c:pt>
                <c:pt idx="236">
                  <c:v>352</c:v>
                </c:pt>
                <c:pt idx="237">
                  <c:v>352</c:v>
                </c:pt>
                <c:pt idx="238">
                  <c:v>352</c:v>
                </c:pt>
                <c:pt idx="239">
                  <c:v>352</c:v>
                </c:pt>
                <c:pt idx="240">
                  <c:v>352</c:v>
                </c:pt>
                <c:pt idx="241">
                  <c:v>352</c:v>
                </c:pt>
                <c:pt idx="242">
                  <c:v>352</c:v>
                </c:pt>
                <c:pt idx="243">
                  <c:v>353</c:v>
                </c:pt>
                <c:pt idx="244">
                  <c:v>353</c:v>
                </c:pt>
                <c:pt idx="245">
                  <c:v>353</c:v>
                </c:pt>
                <c:pt idx="246">
                  <c:v>353</c:v>
                </c:pt>
                <c:pt idx="247">
                  <c:v>353</c:v>
                </c:pt>
                <c:pt idx="248">
                  <c:v>354</c:v>
                </c:pt>
                <c:pt idx="249">
                  <c:v>354</c:v>
                </c:pt>
                <c:pt idx="250">
                  <c:v>354</c:v>
                </c:pt>
                <c:pt idx="251">
                  <c:v>354</c:v>
                </c:pt>
                <c:pt idx="252">
                  <c:v>354</c:v>
                </c:pt>
                <c:pt idx="253">
                  <c:v>354</c:v>
                </c:pt>
                <c:pt idx="254">
                  <c:v>354</c:v>
                </c:pt>
                <c:pt idx="255">
                  <c:v>354</c:v>
                </c:pt>
                <c:pt idx="256">
                  <c:v>354</c:v>
                </c:pt>
                <c:pt idx="257">
                  <c:v>354</c:v>
                </c:pt>
                <c:pt idx="258">
                  <c:v>354</c:v>
                </c:pt>
                <c:pt idx="259">
                  <c:v>354</c:v>
                </c:pt>
                <c:pt idx="260">
                  <c:v>354</c:v>
                </c:pt>
                <c:pt idx="261">
                  <c:v>354</c:v>
                </c:pt>
                <c:pt idx="262">
                  <c:v>354</c:v>
                </c:pt>
                <c:pt idx="263">
                  <c:v>359</c:v>
                </c:pt>
                <c:pt idx="264">
                  <c:v>359</c:v>
                </c:pt>
                <c:pt idx="265">
                  <c:v>359</c:v>
                </c:pt>
                <c:pt idx="266">
                  <c:v>359</c:v>
                </c:pt>
                <c:pt idx="267">
                  <c:v>359</c:v>
                </c:pt>
                <c:pt idx="268">
                  <c:v>359</c:v>
                </c:pt>
                <c:pt idx="269">
                  <c:v>359</c:v>
                </c:pt>
                <c:pt idx="270">
                  <c:v>359</c:v>
                </c:pt>
                <c:pt idx="271">
                  <c:v>359</c:v>
                </c:pt>
                <c:pt idx="272">
                  <c:v>359</c:v>
                </c:pt>
                <c:pt idx="273">
                  <c:v>359</c:v>
                </c:pt>
                <c:pt idx="274">
                  <c:v>359</c:v>
                </c:pt>
                <c:pt idx="275">
                  <c:v>359</c:v>
                </c:pt>
                <c:pt idx="276">
                  <c:v>359</c:v>
                </c:pt>
                <c:pt idx="277">
                  <c:v>359</c:v>
                </c:pt>
                <c:pt idx="278">
                  <c:v>359</c:v>
                </c:pt>
                <c:pt idx="279">
                  <c:v>359</c:v>
                </c:pt>
                <c:pt idx="280">
                  <c:v>359</c:v>
                </c:pt>
                <c:pt idx="281">
                  <c:v>359</c:v>
                </c:pt>
                <c:pt idx="282">
                  <c:v>359</c:v>
                </c:pt>
                <c:pt idx="283">
                  <c:v>359</c:v>
                </c:pt>
                <c:pt idx="284">
                  <c:v>359</c:v>
                </c:pt>
                <c:pt idx="285">
                  <c:v>359</c:v>
                </c:pt>
                <c:pt idx="286">
                  <c:v>359</c:v>
                </c:pt>
                <c:pt idx="287">
                  <c:v>359</c:v>
                </c:pt>
                <c:pt idx="288">
                  <c:v>359</c:v>
                </c:pt>
                <c:pt idx="289">
                  <c:v>361</c:v>
                </c:pt>
                <c:pt idx="290">
                  <c:v>361</c:v>
                </c:pt>
                <c:pt idx="291">
                  <c:v>361</c:v>
                </c:pt>
                <c:pt idx="292">
                  <c:v>361</c:v>
                </c:pt>
                <c:pt idx="293">
                  <c:v>361</c:v>
                </c:pt>
                <c:pt idx="294">
                  <c:v>361</c:v>
                </c:pt>
                <c:pt idx="295">
                  <c:v>361</c:v>
                </c:pt>
                <c:pt idx="296">
                  <c:v>361</c:v>
                </c:pt>
                <c:pt idx="297">
                  <c:v>361</c:v>
                </c:pt>
                <c:pt idx="298">
                  <c:v>361</c:v>
                </c:pt>
                <c:pt idx="299">
                  <c:v>361</c:v>
                </c:pt>
                <c:pt idx="300">
                  <c:v>361</c:v>
                </c:pt>
                <c:pt idx="301">
                  <c:v>361</c:v>
                </c:pt>
                <c:pt idx="302">
                  <c:v>361</c:v>
                </c:pt>
                <c:pt idx="303">
                  <c:v>361</c:v>
                </c:pt>
                <c:pt idx="304">
                  <c:v>361</c:v>
                </c:pt>
                <c:pt idx="305">
                  <c:v>361</c:v>
                </c:pt>
                <c:pt idx="306">
                  <c:v>361</c:v>
                </c:pt>
                <c:pt idx="307">
                  <c:v>361</c:v>
                </c:pt>
                <c:pt idx="308">
                  <c:v>361</c:v>
                </c:pt>
                <c:pt idx="309">
                  <c:v>361</c:v>
                </c:pt>
                <c:pt idx="310">
                  <c:v>363</c:v>
                </c:pt>
                <c:pt idx="311">
                  <c:v>366</c:v>
                </c:pt>
                <c:pt idx="312">
                  <c:v>366</c:v>
                </c:pt>
                <c:pt idx="313">
                  <c:v>366</c:v>
                </c:pt>
                <c:pt idx="314">
                  <c:v>366</c:v>
                </c:pt>
                <c:pt idx="315">
                  <c:v>366</c:v>
                </c:pt>
                <c:pt idx="316">
                  <c:v>366</c:v>
                </c:pt>
                <c:pt idx="317">
                  <c:v>366</c:v>
                </c:pt>
                <c:pt idx="318">
                  <c:v>366</c:v>
                </c:pt>
                <c:pt idx="319">
                  <c:v>366</c:v>
                </c:pt>
                <c:pt idx="320">
                  <c:v>366</c:v>
                </c:pt>
                <c:pt idx="321">
                  <c:v>366</c:v>
                </c:pt>
                <c:pt idx="322">
                  <c:v>366</c:v>
                </c:pt>
                <c:pt idx="323">
                  <c:v>366</c:v>
                </c:pt>
                <c:pt idx="324">
                  <c:v>366</c:v>
                </c:pt>
                <c:pt idx="325">
                  <c:v>366</c:v>
                </c:pt>
                <c:pt idx="326">
                  <c:v>366</c:v>
                </c:pt>
                <c:pt idx="327">
                  <c:v>366</c:v>
                </c:pt>
                <c:pt idx="328">
                  <c:v>366</c:v>
                </c:pt>
                <c:pt idx="329">
                  <c:v>366</c:v>
                </c:pt>
                <c:pt idx="330">
                  <c:v>366</c:v>
                </c:pt>
                <c:pt idx="331">
                  <c:v>366</c:v>
                </c:pt>
                <c:pt idx="332">
                  <c:v>366</c:v>
                </c:pt>
                <c:pt idx="333">
                  <c:v>366</c:v>
                </c:pt>
                <c:pt idx="334">
                  <c:v>366</c:v>
                </c:pt>
                <c:pt idx="335">
                  <c:v>366</c:v>
                </c:pt>
                <c:pt idx="336">
                  <c:v>366</c:v>
                </c:pt>
                <c:pt idx="337">
                  <c:v>367</c:v>
                </c:pt>
                <c:pt idx="338">
                  <c:v>367</c:v>
                </c:pt>
                <c:pt idx="339">
                  <c:v>367</c:v>
                </c:pt>
                <c:pt idx="340">
                  <c:v>369</c:v>
                </c:pt>
                <c:pt idx="341">
                  <c:v>374</c:v>
                </c:pt>
                <c:pt idx="342">
                  <c:v>374</c:v>
                </c:pt>
                <c:pt idx="343">
                  <c:v>374</c:v>
                </c:pt>
                <c:pt idx="344">
                  <c:v>374</c:v>
                </c:pt>
                <c:pt idx="345">
                  <c:v>374</c:v>
                </c:pt>
                <c:pt idx="346">
                  <c:v>374</c:v>
                </c:pt>
                <c:pt idx="347">
                  <c:v>374</c:v>
                </c:pt>
                <c:pt idx="348">
                  <c:v>374</c:v>
                </c:pt>
                <c:pt idx="349">
                  <c:v>374</c:v>
                </c:pt>
                <c:pt idx="350">
                  <c:v>374</c:v>
                </c:pt>
                <c:pt idx="351">
                  <c:v>374</c:v>
                </c:pt>
                <c:pt idx="352">
                  <c:v>374</c:v>
                </c:pt>
                <c:pt idx="353">
                  <c:v>374</c:v>
                </c:pt>
                <c:pt idx="354">
                  <c:v>374</c:v>
                </c:pt>
                <c:pt idx="355">
                  <c:v>374</c:v>
                </c:pt>
                <c:pt idx="356">
                  <c:v>374</c:v>
                </c:pt>
                <c:pt idx="357">
                  <c:v>374</c:v>
                </c:pt>
                <c:pt idx="358">
                  <c:v>374</c:v>
                </c:pt>
                <c:pt idx="359">
                  <c:v>374</c:v>
                </c:pt>
                <c:pt idx="360">
                  <c:v>374</c:v>
                </c:pt>
                <c:pt idx="361">
                  <c:v>374</c:v>
                </c:pt>
                <c:pt idx="362">
                  <c:v>374</c:v>
                </c:pt>
                <c:pt idx="363">
                  <c:v>374</c:v>
                </c:pt>
                <c:pt idx="364">
                  <c:v>374</c:v>
                </c:pt>
                <c:pt idx="365">
                  <c:v>374</c:v>
                </c:pt>
                <c:pt idx="366">
                  <c:v>374</c:v>
                </c:pt>
                <c:pt idx="367">
                  <c:v>374</c:v>
                </c:pt>
                <c:pt idx="368">
                  <c:v>374</c:v>
                </c:pt>
                <c:pt idx="369">
                  <c:v>374</c:v>
                </c:pt>
                <c:pt idx="370">
                  <c:v>374</c:v>
                </c:pt>
                <c:pt idx="371">
                  <c:v>374</c:v>
                </c:pt>
                <c:pt idx="372">
                  <c:v>374</c:v>
                </c:pt>
                <c:pt idx="373">
                  <c:v>374</c:v>
                </c:pt>
                <c:pt idx="374">
                  <c:v>374</c:v>
                </c:pt>
                <c:pt idx="375">
                  <c:v>374</c:v>
                </c:pt>
                <c:pt idx="376">
                  <c:v>374</c:v>
                </c:pt>
                <c:pt idx="377">
                  <c:v>374</c:v>
                </c:pt>
                <c:pt idx="378">
                  <c:v>376</c:v>
                </c:pt>
                <c:pt idx="379">
                  <c:v>379</c:v>
                </c:pt>
                <c:pt idx="380">
                  <c:v>379</c:v>
                </c:pt>
                <c:pt idx="381">
                  <c:v>379</c:v>
                </c:pt>
                <c:pt idx="382">
                  <c:v>379</c:v>
                </c:pt>
                <c:pt idx="383">
                  <c:v>379</c:v>
                </c:pt>
                <c:pt idx="384">
                  <c:v>379</c:v>
                </c:pt>
                <c:pt idx="385">
                  <c:v>379</c:v>
                </c:pt>
                <c:pt idx="386">
                  <c:v>379</c:v>
                </c:pt>
                <c:pt idx="387">
                  <c:v>379</c:v>
                </c:pt>
                <c:pt idx="388">
                  <c:v>379</c:v>
                </c:pt>
                <c:pt idx="389">
                  <c:v>379</c:v>
                </c:pt>
                <c:pt idx="390">
                  <c:v>379</c:v>
                </c:pt>
                <c:pt idx="391">
                  <c:v>379</c:v>
                </c:pt>
                <c:pt idx="392">
                  <c:v>379</c:v>
                </c:pt>
                <c:pt idx="393">
                  <c:v>379</c:v>
                </c:pt>
                <c:pt idx="394">
                  <c:v>379</c:v>
                </c:pt>
                <c:pt idx="395">
                  <c:v>379</c:v>
                </c:pt>
                <c:pt idx="396">
                  <c:v>379</c:v>
                </c:pt>
                <c:pt idx="397">
                  <c:v>379</c:v>
                </c:pt>
                <c:pt idx="398">
                  <c:v>379</c:v>
                </c:pt>
                <c:pt idx="399">
                  <c:v>379</c:v>
                </c:pt>
                <c:pt idx="400">
                  <c:v>379</c:v>
                </c:pt>
                <c:pt idx="401">
                  <c:v>379</c:v>
                </c:pt>
                <c:pt idx="402">
                  <c:v>379</c:v>
                </c:pt>
                <c:pt idx="403">
                  <c:v>379</c:v>
                </c:pt>
                <c:pt idx="404">
                  <c:v>379</c:v>
                </c:pt>
                <c:pt idx="405">
                  <c:v>379</c:v>
                </c:pt>
                <c:pt idx="406">
                  <c:v>379</c:v>
                </c:pt>
                <c:pt idx="407">
                  <c:v>379</c:v>
                </c:pt>
                <c:pt idx="408">
                  <c:v>379</c:v>
                </c:pt>
                <c:pt idx="409">
                  <c:v>382</c:v>
                </c:pt>
                <c:pt idx="410">
                  <c:v>382</c:v>
                </c:pt>
                <c:pt idx="411">
                  <c:v>382</c:v>
                </c:pt>
                <c:pt idx="412">
                  <c:v>382</c:v>
                </c:pt>
                <c:pt idx="413">
                  <c:v>382</c:v>
                </c:pt>
                <c:pt idx="414">
                  <c:v>382</c:v>
                </c:pt>
                <c:pt idx="415">
                  <c:v>382</c:v>
                </c:pt>
                <c:pt idx="416">
                  <c:v>382</c:v>
                </c:pt>
                <c:pt idx="417">
                  <c:v>382</c:v>
                </c:pt>
                <c:pt idx="418">
                  <c:v>382</c:v>
                </c:pt>
                <c:pt idx="419">
                  <c:v>382</c:v>
                </c:pt>
                <c:pt idx="420">
                  <c:v>382</c:v>
                </c:pt>
                <c:pt idx="421">
                  <c:v>382</c:v>
                </c:pt>
                <c:pt idx="422">
                  <c:v>382</c:v>
                </c:pt>
                <c:pt idx="423">
                  <c:v>382</c:v>
                </c:pt>
                <c:pt idx="424">
                  <c:v>382</c:v>
                </c:pt>
                <c:pt idx="425">
                  <c:v>382</c:v>
                </c:pt>
                <c:pt idx="426">
                  <c:v>382</c:v>
                </c:pt>
                <c:pt idx="427">
                  <c:v>382</c:v>
                </c:pt>
                <c:pt idx="428">
                  <c:v>382</c:v>
                </c:pt>
                <c:pt idx="429">
                  <c:v>382</c:v>
                </c:pt>
                <c:pt idx="430">
                  <c:v>382</c:v>
                </c:pt>
                <c:pt idx="431">
                  <c:v>382</c:v>
                </c:pt>
                <c:pt idx="432">
                  <c:v>382</c:v>
                </c:pt>
                <c:pt idx="433">
                  <c:v>382</c:v>
                </c:pt>
                <c:pt idx="434">
                  <c:v>382</c:v>
                </c:pt>
                <c:pt idx="435">
                  <c:v>382</c:v>
                </c:pt>
                <c:pt idx="436">
                  <c:v>382</c:v>
                </c:pt>
                <c:pt idx="437">
                  <c:v>382</c:v>
                </c:pt>
                <c:pt idx="438">
                  <c:v>382</c:v>
                </c:pt>
                <c:pt idx="439">
                  <c:v>386</c:v>
                </c:pt>
                <c:pt idx="440">
                  <c:v>386</c:v>
                </c:pt>
                <c:pt idx="441">
                  <c:v>388</c:v>
                </c:pt>
                <c:pt idx="442">
                  <c:v>388</c:v>
                </c:pt>
                <c:pt idx="443">
                  <c:v>388</c:v>
                </c:pt>
                <c:pt idx="444">
                  <c:v>388</c:v>
                </c:pt>
                <c:pt idx="445">
                  <c:v>388</c:v>
                </c:pt>
                <c:pt idx="446">
                  <c:v>393</c:v>
                </c:pt>
                <c:pt idx="447">
                  <c:v>401</c:v>
                </c:pt>
                <c:pt idx="448">
                  <c:v>401</c:v>
                </c:pt>
                <c:pt idx="449">
                  <c:v>401</c:v>
                </c:pt>
                <c:pt idx="450">
                  <c:v>401</c:v>
                </c:pt>
                <c:pt idx="451">
                  <c:v>401</c:v>
                </c:pt>
                <c:pt idx="452">
                  <c:v>401</c:v>
                </c:pt>
                <c:pt idx="453">
                  <c:v>401</c:v>
                </c:pt>
                <c:pt idx="454">
                  <c:v>401</c:v>
                </c:pt>
                <c:pt idx="455">
                  <c:v>401</c:v>
                </c:pt>
                <c:pt idx="456">
                  <c:v>401</c:v>
                </c:pt>
                <c:pt idx="457">
                  <c:v>401</c:v>
                </c:pt>
                <c:pt idx="458">
                  <c:v>401</c:v>
                </c:pt>
                <c:pt idx="459">
                  <c:v>401</c:v>
                </c:pt>
                <c:pt idx="460">
                  <c:v>421</c:v>
                </c:pt>
                <c:pt idx="461">
                  <c:v>421</c:v>
                </c:pt>
                <c:pt idx="462">
                  <c:v>421</c:v>
                </c:pt>
                <c:pt idx="463">
                  <c:v>421</c:v>
                </c:pt>
                <c:pt idx="464">
                  <c:v>421</c:v>
                </c:pt>
                <c:pt idx="465">
                  <c:v>421</c:v>
                </c:pt>
                <c:pt idx="466">
                  <c:v>421</c:v>
                </c:pt>
                <c:pt idx="467">
                  <c:v>421</c:v>
                </c:pt>
                <c:pt idx="468">
                  <c:v>421</c:v>
                </c:pt>
                <c:pt idx="469">
                  <c:v>421</c:v>
                </c:pt>
                <c:pt idx="470">
                  <c:v>421</c:v>
                </c:pt>
                <c:pt idx="471">
                  <c:v>421</c:v>
                </c:pt>
                <c:pt idx="472">
                  <c:v>421</c:v>
                </c:pt>
                <c:pt idx="473">
                  <c:v>421</c:v>
                </c:pt>
                <c:pt idx="474">
                  <c:v>421</c:v>
                </c:pt>
                <c:pt idx="475">
                  <c:v>421</c:v>
                </c:pt>
                <c:pt idx="476">
                  <c:v>421</c:v>
                </c:pt>
                <c:pt idx="477">
                  <c:v>421</c:v>
                </c:pt>
                <c:pt idx="478">
                  <c:v>421</c:v>
                </c:pt>
                <c:pt idx="479">
                  <c:v>421</c:v>
                </c:pt>
                <c:pt idx="480">
                  <c:v>421</c:v>
                </c:pt>
                <c:pt idx="481">
                  <c:v>421</c:v>
                </c:pt>
                <c:pt idx="482">
                  <c:v>421</c:v>
                </c:pt>
                <c:pt idx="483">
                  <c:v>435</c:v>
                </c:pt>
                <c:pt idx="484">
                  <c:v>435</c:v>
                </c:pt>
                <c:pt idx="485">
                  <c:v>435</c:v>
                </c:pt>
                <c:pt idx="486">
                  <c:v>435</c:v>
                </c:pt>
                <c:pt idx="487">
                  <c:v>435</c:v>
                </c:pt>
                <c:pt idx="488">
                  <c:v>435</c:v>
                </c:pt>
                <c:pt idx="489">
                  <c:v>435</c:v>
                </c:pt>
                <c:pt idx="490">
                  <c:v>435</c:v>
                </c:pt>
                <c:pt idx="491">
                  <c:v>435</c:v>
                </c:pt>
                <c:pt idx="492">
                  <c:v>435</c:v>
                </c:pt>
                <c:pt idx="493">
                  <c:v>435</c:v>
                </c:pt>
                <c:pt idx="494">
                  <c:v>435</c:v>
                </c:pt>
                <c:pt idx="495">
                  <c:v>435</c:v>
                </c:pt>
                <c:pt idx="496">
                  <c:v>435</c:v>
                </c:pt>
                <c:pt idx="497">
                  <c:v>435</c:v>
                </c:pt>
                <c:pt idx="498">
                  <c:v>435</c:v>
                </c:pt>
                <c:pt idx="499">
                  <c:v>435</c:v>
                </c:pt>
                <c:pt idx="500">
                  <c:v>435</c:v>
                </c:pt>
                <c:pt idx="501">
                  <c:v>435</c:v>
                </c:pt>
                <c:pt idx="502">
                  <c:v>435</c:v>
                </c:pt>
                <c:pt idx="503">
                  <c:v>435</c:v>
                </c:pt>
                <c:pt idx="504">
                  <c:v>438</c:v>
                </c:pt>
                <c:pt idx="505">
                  <c:v>438</c:v>
                </c:pt>
                <c:pt idx="506">
                  <c:v>438</c:v>
                </c:pt>
                <c:pt idx="507">
                  <c:v>450</c:v>
                </c:pt>
                <c:pt idx="508">
                  <c:v>450</c:v>
                </c:pt>
                <c:pt idx="509">
                  <c:v>459</c:v>
                </c:pt>
                <c:pt idx="510">
                  <c:v>459</c:v>
                </c:pt>
                <c:pt idx="511">
                  <c:v>459</c:v>
                </c:pt>
                <c:pt idx="512">
                  <c:v>459</c:v>
                </c:pt>
                <c:pt idx="513">
                  <c:v>459</c:v>
                </c:pt>
                <c:pt idx="514">
                  <c:v>459</c:v>
                </c:pt>
                <c:pt idx="515">
                  <c:v>459</c:v>
                </c:pt>
                <c:pt idx="516">
                  <c:v>459</c:v>
                </c:pt>
                <c:pt idx="517">
                  <c:v>459</c:v>
                </c:pt>
                <c:pt idx="518">
                  <c:v>459</c:v>
                </c:pt>
                <c:pt idx="519">
                  <c:v>459</c:v>
                </c:pt>
                <c:pt idx="520">
                  <c:v>459</c:v>
                </c:pt>
                <c:pt idx="521">
                  <c:v>459</c:v>
                </c:pt>
                <c:pt idx="522">
                  <c:v>459</c:v>
                </c:pt>
                <c:pt idx="523">
                  <c:v>459</c:v>
                </c:pt>
                <c:pt idx="524">
                  <c:v>459</c:v>
                </c:pt>
                <c:pt idx="525">
                  <c:v>459</c:v>
                </c:pt>
                <c:pt idx="526">
                  <c:v>459</c:v>
                </c:pt>
                <c:pt idx="527">
                  <c:v>459</c:v>
                </c:pt>
                <c:pt idx="528">
                  <c:v>459</c:v>
                </c:pt>
                <c:pt idx="529">
                  <c:v>459</c:v>
                </c:pt>
                <c:pt idx="530">
                  <c:v>459</c:v>
                </c:pt>
                <c:pt idx="531">
                  <c:v>459</c:v>
                </c:pt>
                <c:pt idx="532">
                  <c:v>459</c:v>
                </c:pt>
                <c:pt idx="533">
                  <c:v>459</c:v>
                </c:pt>
                <c:pt idx="534">
                  <c:v>459</c:v>
                </c:pt>
                <c:pt idx="535">
                  <c:v>459</c:v>
                </c:pt>
                <c:pt idx="536">
                  <c:v>459</c:v>
                </c:pt>
                <c:pt idx="537">
                  <c:v>459</c:v>
                </c:pt>
                <c:pt idx="538">
                  <c:v>459</c:v>
                </c:pt>
                <c:pt idx="539">
                  <c:v>459</c:v>
                </c:pt>
                <c:pt idx="540">
                  <c:v>459</c:v>
                </c:pt>
                <c:pt idx="541">
                  <c:v>459</c:v>
                </c:pt>
                <c:pt idx="542">
                  <c:v>474</c:v>
                </c:pt>
                <c:pt idx="543">
                  <c:v>474</c:v>
                </c:pt>
                <c:pt idx="544">
                  <c:v>474</c:v>
                </c:pt>
                <c:pt idx="545">
                  <c:v>474</c:v>
                </c:pt>
                <c:pt idx="546">
                  <c:v>474</c:v>
                </c:pt>
                <c:pt idx="547">
                  <c:v>0</c:v>
                </c:pt>
              </c:numCache>
            </c:numRef>
          </c:xVal>
          <c:yVal>
            <c:numRef>
              <c:f>Data!$L$2:$L$549</c:f>
              <c:numCache>
                <c:formatCode>General</c:formatCode>
                <c:ptCount val="548"/>
                <c:pt idx="0">
                  <c:v>343</c:v>
                </c:pt>
                <c:pt idx="1">
                  <c:v>319</c:v>
                </c:pt>
                <c:pt idx="2">
                  <c:v>256</c:v>
                </c:pt>
                <c:pt idx="3">
                  <c:v>270</c:v>
                </c:pt>
                <c:pt idx="4">
                  <c:v>269</c:v>
                </c:pt>
                <c:pt idx="5">
                  <c:v>315</c:v>
                </c:pt>
                <c:pt idx="6">
                  <c:v>268</c:v>
                </c:pt>
                <c:pt idx="7" formatCode="0">
                  <c:v>233</c:v>
                </c:pt>
                <c:pt idx="8">
                  <c:v>305</c:v>
                </c:pt>
                <c:pt idx="9">
                  <c:v>250</c:v>
                </c:pt>
                <c:pt idx="10">
                  <c:v>280</c:v>
                </c:pt>
                <c:pt idx="11">
                  <c:v>263</c:v>
                </c:pt>
                <c:pt idx="12">
                  <c:v>250</c:v>
                </c:pt>
                <c:pt idx="13">
                  <c:v>323</c:v>
                </c:pt>
                <c:pt idx="14">
                  <c:v>270</c:v>
                </c:pt>
                <c:pt idx="15">
                  <c:v>330</c:v>
                </c:pt>
                <c:pt idx="16">
                  <c:v>270</c:v>
                </c:pt>
                <c:pt idx="17">
                  <c:v>245</c:v>
                </c:pt>
                <c:pt idx="18">
                  <c:v>244</c:v>
                </c:pt>
                <c:pt idx="19">
                  <c:v>242</c:v>
                </c:pt>
                <c:pt idx="20">
                  <c:v>247</c:v>
                </c:pt>
                <c:pt idx="21">
                  <c:v>222</c:v>
                </c:pt>
                <c:pt idx="22">
                  <c:v>252</c:v>
                </c:pt>
                <c:pt idx="23">
                  <c:v>232</c:v>
                </c:pt>
                <c:pt idx="24">
                  <c:v>236</c:v>
                </c:pt>
                <c:pt idx="25">
                  <c:v>220</c:v>
                </c:pt>
                <c:pt idx="26">
                  <c:v>260</c:v>
                </c:pt>
                <c:pt idx="27">
                  <c:v>262</c:v>
                </c:pt>
                <c:pt idx="28">
                  <c:v>236</c:v>
                </c:pt>
                <c:pt idx="29">
                  <c:v>222</c:v>
                </c:pt>
                <c:pt idx="30">
                  <c:v>250</c:v>
                </c:pt>
                <c:pt idx="31">
                  <c:v>257</c:v>
                </c:pt>
                <c:pt idx="32">
                  <c:v>250</c:v>
                </c:pt>
                <c:pt idx="33">
                  <c:v>335</c:v>
                </c:pt>
                <c:pt idx="34">
                  <c:v>339</c:v>
                </c:pt>
                <c:pt idx="35">
                  <c:v>332</c:v>
                </c:pt>
                <c:pt idx="36">
                  <c:v>265</c:v>
                </c:pt>
                <c:pt idx="37">
                  <c:v>269</c:v>
                </c:pt>
                <c:pt idx="38">
                  <c:v>256</c:v>
                </c:pt>
                <c:pt idx="39">
                  <c:v>342</c:v>
                </c:pt>
                <c:pt idx="40">
                  <c:v>264</c:v>
                </c:pt>
                <c:pt idx="41">
                  <c:v>270</c:v>
                </c:pt>
                <c:pt idx="42">
                  <c:v>250</c:v>
                </c:pt>
                <c:pt idx="43">
                  <c:v>317</c:v>
                </c:pt>
                <c:pt idx="44">
                  <c:v>412</c:v>
                </c:pt>
                <c:pt idx="45">
                  <c:v>320</c:v>
                </c:pt>
                <c:pt idx="46">
                  <c:v>425</c:v>
                </c:pt>
                <c:pt idx="47">
                  <c:v>318</c:v>
                </c:pt>
                <c:pt idx="48">
                  <c:v>315</c:v>
                </c:pt>
                <c:pt idx="49">
                  <c:v>305</c:v>
                </c:pt>
                <c:pt idx="50">
                  <c:v>310</c:v>
                </c:pt>
                <c:pt idx="51">
                  <c:v>292</c:v>
                </c:pt>
                <c:pt idx="52">
                  <c:v>249</c:v>
                </c:pt>
                <c:pt idx="53">
                  <c:v>310</c:v>
                </c:pt>
                <c:pt idx="54">
                  <c:v>303</c:v>
                </c:pt>
                <c:pt idx="55">
                  <c:v>323</c:v>
                </c:pt>
                <c:pt idx="56" formatCode="0">
                  <c:v>240</c:v>
                </c:pt>
                <c:pt idx="57" formatCode="0">
                  <c:v>242</c:v>
                </c:pt>
                <c:pt idx="58" formatCode="0">
                  <c:v>250</c:v>
                </c:pt>
                <c:pt idx="59" formatCode="0">
                  <c:v>236</c:v>
                </c:pt>
                <c:pt idx="60">
                  <c:v>270</c:v>
                </c:pt>
                <c:pt idx="61">
                  <c:v>330</c:v>
                </c:pt>
                <c:pt idx="62" formatCode="0">
                  <c:v>335</c:v>
                </c:pt>
                <c:pt idx="65">
                  <c:v>287</c:v>
                </c:pt>
                <c:pt idx="66">
                  <c:v>230</c:v>
                </c:pt>
                <c:pt idx="67">
                  <c:v>225</c:v>
                </c:pt>
                <c:pt idx="68">
                  <c:v>313</c:v>
                </c:pt>
                <c:pt idx="69">
                  <c:v>310</c:v>
                </c:pt>
                <c:pt idx="70">
                  <c:v>323</c:v>
                </c:pt>
                <c:pt idx="71">
                  <c:v>220</c:v>
                </c:pt>
                <c:pt idx="72">
                  <c:v>250</c:v>
                </c:pt>
                <c:pt idx="73">
                  <c:v>252</c:v>
                </c:pt>
                <c:pt idx="74">
                  <c:v>250</c:v>
                </c:pt>
                <c:pt idx="75">
                  <c:v>245</c:v>
                </c:pt>
                <c:pt idx="76">
                  <c:v>220</c:v>
                </c:pt>
                <c:pt idx="77">
                  <c:v>250</c:v>
                </c:pt>
                <c:pt idx="78">
                  <c:v>225</c:v>
                </c:pt>
                <c:pt idx="79">
                  <c:v>226</c:v>
                </c:pt>
                <c:pt idx="80">
                  <c:v>144</c:v>
                </c:pt>
                <c:pt idx="81">
                  <c:v>310</c:v>
                </c:pt>
                <c:pt idx="82">
                  <c:v>280</c:v>
                </c:pt>
                <c:pt idx="83">
                  <c:v>131</c:v>
                </c:pt>
                <c:pt idx="84">
                  <c:v>308</c:v>
                </c:pt>
                <c:pt idx="85">
                  <c:v>236</c:v>
                </c:pt>
                <c:pt idx="86">
                  <c:v>325</c:v>
                </c:pt>
                <c:pt idx="87">
                  <c:v>130</c:v>
                </c:pt>
                <c:pt idx="88">
                  <c:v>320</c:v>
                </c:pt>
                <c:pt idx="89">
                  <c:v>425</c:v>
                </c:pt>
                <c:pt idx="90">
                  <c:v>265</c:v>
                </c:pt>
                <c:pt idx="91">
                  <c:v>236</c:v>
                </c:pt>
                <c:pt idx="92">
                  <c:v>250</c:v>
                </c:pt>
                <c:pt idx="93">
                  <c:v>140</c:v>
                </c:pt>
                <c:pt idx="94">
                  <c:v>331</c:v>
                </c:pt>
                <c:pt idx="95">
                  <c:v>133</c:v>
                </c:pt>
                <c:pt idx="96">
                  <c:v>235</c:v>
                </c:pt>
                <c:pt idx="97">
                  <c:v>222</c:v>
                </c:pt>
                <c:pt idx="98">
                  <c:v>225</c:v>
                </c:pt>
                <c:pt idx="99">
                  <c:v>240</c:v>
                </c:pt>
                <c:pt idx="100">
                  <c:v>310</c:v>
                </c:pt>
                <c:pt idx="101">
                  <c:v>254</c:v>
                </c:pt>
                <c:pt idx="102">
                  <c:v>140</c:v>
                </c:pt>
                <c:pt idx="103">
                  <c:v>235</c:v>
                </c:pt>
                <c:pt idx="104">
                  <c:v>236</c:v>
                </c:pt>
                <c:pt idx="105">
                  <c:v>231</c:v>
                </c:pt>
                <c:pt idx="106">
                  <c:v>217</c:v>
                </c:pt>
                <c:pt idx="107">
                  <c:v>242</c:v>
                </c:pt>
                <c:pt idx="108">
                  <c:v>238</c:v>
                </c:pt>
                <c:pt idx="109">
                  <c:v>237</c:v>
                </c:pt>
                <c:pt idx="110">
                  <c:v>231</c:v>
                </c:pt>
                <c:pt idx="111">
                  <c:v>215</c:v>
                </c:pt>
                <c:pt idx="112">
                  <c:v>246</c:v>
                </c:pt>
                <c:pt idx="113">
                  <c:v>244</c:v>
                </c:pt>
                <c:pt idx="114">
                  <c:v>250</c:v>
                </c:pt>
                <c:pt idx="115">
                  <c:v>237</c:v>
                </c:pt>
                <c:pt idx="116">
                  <c:v>247</c:v>
                </c:pt>
                <c:pt idx="117">
                  <c:v>147</c:v>
                </c:pt>
                <c:pt idx="118">
                  <c:v>233</c:v>
                </c:pt>
                <c:pt idx="119">
                  <c:v>145</c:v>
                </c:pt>
                <c:pt idx="120">
                  <c:v>132</c:v>
                </c:pt>
                <c:pt idx="121">
                  <c:v>161</c:v>
                </c:pt>
                <c:pt idx="122">
                  <c:v>250</c:v>
                </c:pt>
                <c:pt idx="123">
                  <c:v>255</c:v>
                </c:pt>
                <c:pt idx="124">
                  <c:v>245</c:v>
                </c:pt>
                <c:pt idx="125">
                  <c:v>238</c:v>
                </c:pt>
                <c:pt idx="126">
                  <c:v>253</c:v>
                </c:pt>
                <c:pt idx="127">
                  <c:v>145</c:v>
                </c:pt>
                <c:pt idx="128">
                  <c:v>262</c:v>
                </c:pt>
                <c:pt idx="129">
                  <c:v>167</c:v>
                </c:pt>
                <c:pt idx="130">
                  <c:v>151</c:v>
                </c:pt>
                <c:pt idx="131">
                  <c:v>270</c:v>
                </c:pt>
                <c:pt idx="132">
                  <c:v>340</c:v>
                </c:pt>
                <c:pt idx="134">
                  <c:v>305</c:v>
                </c:pt>
                <c:pt idx="135">
                  <c:v>155</c:v>
                </c:pt>
                <c:pt idx="136">
                  <c:v>180</c:v>
                </c:pt>
                <c:pt idx="137">
                  <c:v>152</c:v>
                </c:pt>
                <c:pt idx="138">
                  <c:v>164</c:v>
                </c:pt>
                <c:pt idx="139">
                  <c:v>149</c:v>
                </c:pt>
                <c:pt idx="140">
                  <c:v>153</c:v>
                </c:pt>
                <c:pt idx="141">
                  <c:v>147</c:v>
                </c:pt>
                <c:pt idx="142">
                  <c:v>145</c:v>
                </c:pt>
                <c:pt idx="143">
                  <c:v>308</c:v>
                </c:pt>
                <c:pt idx="144">
                  <c:v>168</c:v>
                </c:pt>
                <c:pt idx="145">
                  <c:v>160</c:v>
                </c:pt>
                <c:pt idx="146">
                  <c:v>172</c:v>
                </c:pt>
                <c:pt idx="147">
                  <c:v>161</c:v>
                </c:pt>
                <c:pt idx="148">
                  <c:v>175</c:v>
                </c:pt>
                <c:pt idx="149">
                  <c:v>110</c:v>
                </c:pt>
                <c:pt idx="150">
                  <c:v>155</c:v>
                </c:pt>
                <c:pt idx="151">
                  <c:v>390</c:v>
                </c:pt>
                <c:pt idx="152">
                  <c:v>144</c:v>
                </c:pt>
                <c:pt idx="153">
                  <c:v>155</c:v>
                </c:pt>
                <c:pt idx="154">
                  <c:v>153</c:v>
                </c:pt>
                <c:pt idx="155">
                  <c:v>131</c:v>
                </c:pt>
                <c:pt idx="156">
                  <c:v>262</c:v>
                </c:pt>
                <c:pt idx="157">
                  <c:v>250</c:v>
                </c:pt>
                <c:pt idx="158">
                  <c:v>250</c:v>
                </c:pt>
                <c:pt idx="159">
                  <c:v>293</c:v>
                </c:pt>
                <c:pt idx="160">
                  <c:v>162</c:v>
                </c:pt>
                <c:pt idx="161">
                  <c:v>183</c:v>
                </c:pt>
                <c:pt idx="162">
                  <c:v>170</c:v>
                </c:pt>
                <c:pt idx="163">
                  <c:v>160</c:v>
                </c:pt>
                <c:pt idx="164">
                  <c:v>167</c:v>
                </c:pt>
                <c:pt idx="165">
                  <c:v>181</c:v>
                </c:pt>
                <c:pt idx="166">
                  <c:v>178</c:v>
                </c:pt>
                <c:pt idx="167">
                  <c:v>125</c:v>
                </c:pt>
                <c:pt idx="168">
                  <c:v>191</c:v>
                </c:pt>
                <c:pt idx="169">
                  <c:v>185</c:v>
                </c:pt>
                <c:pt idx="170">
                  <c:v>302</c:v>
                </c:pt>
                <c:pt idx="171">
                  <c:v>358</c:v>
                </c:pt>
                <c:pt idx="172">
                  <c:v>302</c:v>
                </c:pt>
                <c:pt idx="173">
                  <c:v>155</c:v>
                </c:pt>
                <c:pt idx="174">
                  <c:v>143</c:v>
                </c:pt>
                <c:pt idx="175">
                  <c:v>175</c:v>
                </c:pt>
                <c:pt idx="176">
                  <c:v>141</c:v>
                </c:pt>
                <c:pt idx="177">
                  <c:v>150</c:v>
                </c:pt>
                <c:pt idx="178">
                  <c:v>187</c:v>
                </c:pt>
                <c:pt idx="179">
                  <c:v>147</c:v>
                </c:pt>
                <c:pt idx="180">
                  <c:v>150</c:v>
                </c:pt>
                <c:pt idx="181">
                  <c:v>115</c:v>
                </c:pt>
                <c:pt idx="182">
                  <c:v>150</c:v>
                </c:pt>
                <c:pt idx="183">
                  <c:v>136</c:v>
                </c:pt>
                <c:pt idx="184">
                  <c:v>155</c:v>
                </c:pt>
                <c:pt idx="185">
                  <c:v>175</c:v>
                </c:pt>
                <c:pt idx="186">
                  <c:v>147</c:v>
                </c:pt>
                <c:pt idx="187">
                  <c:v>156</c:v>
                </c:pt>
                <c:pt idx="188">
                  <c:v>127</c:v>
                </c:pt>
                <c:pt idx="189">
                  <c:v>148</c:v>
                </c:pt>
                <c:pt idx="190">
                  <c:v>302</c:v>
                </c:pt>
                <c:pt idx="191">
                  <c:v>185</c:v>
                </c:pt>
                <c:pt idx="192">
                  <c:v>200</c:v>
                </c:pt>
                <c:pt idx="193">
                  <c:v>205</c:v>
                </c:pt>
                <c:pt idx="194">
                  <c:v>268</c:v>
                </c:pt>
                <c:pt idx="196">
                  <c:v>418</c:v>
                </c:pt>
                <c:pt idx="197">
                  <c:v>289</c:v>
                </c:pt>
                <c:pt idx="198">
                  <c:v>320</c:v>
                </c:pt>
                <c:pt idx="199">
                  <c:v>277</c:v>
                </c:pt>
                <c:pt idx="201">
                  <c:v>202</c:v>
                </c:pt>
                <c:pt idx="202">
                  <c:v>328</c:v>
                </c:pt>
                <c:pt idx="203">
                  <c:v>290</c:v>
                </c:pt>
                <c:pt idx="204">
                  <c:v>220</c:v>
                </c:pt>
                <c:pt idx="205">
                  <c:v>175</c:v>
                </c:pt>
                <c:pt idx="206">
                  <c:v>310</c:v>
                </c:pt>
                <c:pt idx="207">
                  <c:v>310</c:v>
                </c:pt>
                <c:pt idx="208">
                  <c:v>406</c:v>
                </c:pt>
                <c:pt idx="209" formatCode="0">
                  <c:v>285</c:v>
                </c:pt>
                <c:pt idx="210">
                  <c:v>305</c:v>
                </c:pt>
                <c:pt idx="211">
                  <c:v>310</c:v>
                </c:pt>
                <c:pt idx="212">
                  <c:v>310</c:v>
                </c:pt>
                <c:pt idx="213">
                  <c:v>310</c:v>
                </c:pt>
                <c:pt idx="214">
                  <c:v>300</c:v>
                </c:pt>
                <c:pt idx="215">
                  <c:v>322</c:v>
                </c:pt>
                <c:pt idx="216">
                  <c:v>300</c:v>
                </c:pt>
                <c:pt idx="217">
                  <c:v>295</c:v>
                </c:pt>
                <c:pt idx="218">
                  <c:v>325</c:v>
                </c:pt>
                <c:pt idx="219">
                  <c:v>320</c:v>
                </c:pt>
                <c:pt idx="220">
                  <c:v>315</c:v>
                </c:pt>
                <c:pt idx="221">
                  <c:v>310</c:v>
                </c:pt>
                <c:pt idx="222">
                  <c:v>318</c:v>
                </c:pt>
                <c:pt idx="223">
                  <c:v>310</c:v>
                </c:pt>
                <c:pt idx="224">
                  <c:v>343</c:v>
                </c:pt>
                <c:pt idx="225">
                  <c:v>310</c:v>
                </c:pt>
                <c:pt idx="226">
                  <c:v>308</c:v>
                </c:pt>
                <c:pt idx="227">
                  <c:v>333</c:v>
                </c:pt>
                <c:pt idx="228">
                  <c:v>295</c:v>
                </c:pt>
                <c:pt idx="229">
                  <c:v>305</c:v>
                </c:pt>
                <c:pt idx="230">
                  <c:v>305</c:v>
                </c:pt>
                <c:pt idx="231">
                  <c:v>375</c:v>
                </c:pt>
                <c:pt idx="232">
                  <c:v>440</c:v>
                </c:pt>
                <c:pt idx="233">
                  <c:v>300</c:v>
                </c:pt>
                <c:pt idx="234" formatCode="0">
                  <c:v>270</c:v>
                </c:pt>
                <c:pt idx="235" formatCode="0">
                  <c:v>210</c:v>
                </c:pt>
                <c:pt idx="236" formatCode="0">
                  <c:v>190</c:v>
                </c:pt>
                <c:pt idx="237" formatCode="0">
                  <c:v>200</c:v>
                </c:pt>
                <c:pt idx="238" formatCode="0">
                  <c:v>230</c:v>
                </c:pt>
                <c:pt idx="239" formatCode="0">
                  <c:v>250</c:v>
                </c:pt>
                <c:pt idx="240" formatCode="0">
                  <c:v>200</c:v>
                </c:pt>
                <c:pt idx="241" formatCode="0">
                  <c:v>220</c:v>
                </c:pt>
                <c:pt idx="242" formatCode="0">
                  <c:v>220</c:v>
                </c:pt>
                <c:pt idx="243">
                  <c:v>280</c:v>
                </c:pt>
                <c:pt idx="244">
                  <c:v>310</c:v>
                </c:pt>
                <c:pt idx="245">
                  <c:v>240</c:v>
                </c:pt>
                <c:pt idx="246">
                  <c:v>310</c:v>
                </c:pt>
                <c:pt idx="247">
                  <c:v>250</c:v>
                </c:pt>
                <c:pt idx="248">
                  <c:v>270</c:v>
                </c:pt>
                <c:pt idx="249" formatCode="0">
                  <c:v>180</c:v>
                </c:pt>
                <c:pt idx="250" formatCode="0">
                  <c:v>190</c:v>
                </c:pt>
                <c:pt idx="251" formatCode="0">
                  <c:v>220</c:v>
                </c:pt>
                <c:pt idx="252" formatCode="0">
                  <c:v>210</c:v>
                </c:pt>
                <c:pt idx="253" formatCode="0">
                  <c:v>210</c:v>
                </c:pt>
                <c:pt idx="254" formatCode="0">
                  <c:v>230</c:v>
                </c:pt>
                <c:pt idx="255" formatCode="0">
                  <c:v>160</c:v>
                </c:pt>
                <c:pt idx="256" formatCode="0">
                  <c:v>220</c:v>
                </c:pt>
                <c:pt idx="257" formatCode="0">
                  <c:v>150</c:v>
                </c:pt>
                <c:pt idx="258" formatCode="0">
                  <c:v>230</c:v>
                </c:pt>
                <c:pt idx="259" formatCode="0">
                  <c:v>245</c:v>
                </c:pt>
                <c:pt idx="260" formatCode="0">
                  <c:v>210</c:v>
                </c:pt>
                <c:pt idx="261" formatCode="0">
                  <c:v>380</c:v>
                </c:pt>
                <c:pt idx="262" formatCode="0">
                  <c:v>270</c:v>
                </c:pt>
                <c:pt idx="263">
                  <c:v>310</c:v>
                </c:pt>
                <c:pt idx="264">
                  <c:v>177</c:v>
                </c:pt>
                <c:pt idx="265">
                  <c:v>168</c:v>
                </c:pt>
                <c:pt idx="266">
                  <c:v>290</c:v>
                </c:pt>
                <c:pt idx="267">
                  <c:v>295</c:v>
                </c:pt>
                <c:pt idx="268">
                  <c:v>226</c:v>
                </c:pt>
                <c:pt idx="269">
                  <c:v>212</c:v>
                </c:pt>
                <c:pt idx="270">
                  <c:v>325</c:v>
                </c:pt>
                <c:pt idx="271">
                  <c:v>317</c:v>
                </c:pt>
                <c:pt idx="272">
                  <c:v>343</c:v>
                </c:pt>
                <c:pt idx="273">
                  <c:v>303</c:v>
                </c:pt>
                <c:pt idx="274">
                  <c:v>183</c:v>
                </c:pt>
                <c:pt idx="275">
                  <c:v>308</c:v>
                </c:pt>
                <c:pt idx="276">
                  <c:v>275</c:v>
                </c:pt>
                <c:pt idx="277">
                  <c:v>184</c:v>
                </c:pt>
                <c:pt idx="278">
                  <c:v>213</c:v>
                </c:pt>
                <c:pt idx="279">
                  <c:v>209</c:v>
                </c:pt>
                <c:pt idx="280">
                  <c:v>333</c:v>
                </c:pt>
                <c:pt idx="281">
                  <c:v>215</c:v>
                </c:pt>
                <c:pt idx="282">
                  <c:v>224</c:v>
                </c:pt>
                <c:pt idx="283">
                  <c:v>368</c:v>
                </c:pt>
                <c:pt idx="284">
                  <c:v>312</c:v>
                </c:pt>
                <c:pt idx="285">
                  <c:v>357</c:v>
                </c:pt>
                <c:pt idx="286">
                  <c:v>280</c:v>
                </c:pt>
                <c:pt idx="287">
                  <c:v>190</c:v>
                </c:pt>
                <c:pt idx="288">
                  <c:v>310</c:v>
                </c:pt>
                <c:pt idx="289">
                  <c:v>295</c:v>
                </c:pt>
                <c:pt idx="290">
                  <c:v>325</c:v>
                </c:pt>
                <c:pt idx="291">
                  <c:v>310</c:v>
                </c:pt>
                <c:pt idx="292">
                  <c:v>355</c:v>
                </c:pt>
                <c:pt idx="293" formatCode="0">
                  <c:v>330</c:v>
                </c:pt>
                <c:pt idx="294" formatCode="0">
                  <c:v>250</c:v>
                </c:pt>
                <c:pt idx="295" formatCode="0">
                  <c:v>300</c:v>
                </c:pt>
                <c:pt idx="296" formatCode="0">
                  <c:v>285</c:v>
                </c:pt>
                <c:pt idx="297" formatCode="0">
                  <c:v>290</c:v>
                </c:pt>
                <c:pt idx="298" formatCode="0">
                  <c:v>295</c:v>
                </c:pt>
                <c:pt idx="299" formatCode="0">
                  <c:v>320</c:v>
                </c:pt>
                <c:pt idx="300" formatCode="0">
                  <c:v>210</c:v>
                </c:pt>
                <c:pt idx="301" formatCode="0">
                  <c:v>300</c:v>
                </c:pt>
                <c:pt idx="302" formatCode="0">
                  <c:v>290</c:v>
                </c:pt>
                <c:pt idx="303" formatCode="0">
                  <c:v>295</c:v>
                </c:pt>
                <c:pt idx="304" formatCode="0">
                  <c:v>305</c:v>
                </c:pt>
                <c:pt idx="305" formatCode="0">
                  <c:v>230</c:v>
                </c:pt>
                <c:pt idx="306" formatCode="0">
                  <c:v>295</c:v>
                </c:pt>
                <c:pt idx="307" formatCode="0">
                  <c:v>220</c:v>
                </c:pt>
                <c:pt idx="308" formatCode="0">
                  <c:v>290</c:v>
                </c:pt>
                <c:pt idx="309" formatCode="0">
                  <c:v>230</c:v>
                </c:pt>
                <c:pt idx="310">
                  <c:v>200</c:v>
                </c:pt>
                <c:pt idx="311">
                  <c:v>300</c:v>
                </c:pt>
                <c:pt idx="312">
                  <c:v>330</c:v>
                </c:pt>
                <c:pt idx="313">
                  <c:v>250</c:v>
                </c:pt>
                <c:pt idx="314">
                  <c:v>320</c:v>
                </c:pt>
                <c:pt idx="315">
                  <c:v>290</c:v>
                </c:pt>
                <c:pt idx="316">
                  <c:v>290</c:v>
                </c:pt>
                <c:pt idx="317">
                  <c:v>281</c:v>
                </c:pt>
                <c:pt idx="318">
                  <c:v>287</c:v>
                </c:pt>
                <c:pt idx="319">
                  <c:v>320</c:v>
                </c:pt>
                <c:pt idx="320">
                  <c:v>275</c:v>
                </c:pt>
                <c:pt idx="321">
                  <c:v>380</c:v>
                </c:pt>
                <c:pt idx="322" formatCode="0">
                  <c:v>210</c:v>
                </c:pt>
                <c:pt idx="323" formatCode="0">
                  <c:v>230</c:v>
                </c:pt>
                <c:pt idx="324" formatCode="0">
                  <c:v>220</c:v>
                </c:pt>
                <c:pt idx="325" formatCode="0">
                  <c:v>230</c:v>
                </c:pt>
                <c:pt idx="326" formatCode="0">
                  <c:v>290</c:v>
                </c:pt>
                <c:pt idx="327" formatCode="0">
                  <c:v>225</c:v>
                </c:pt>
                <c:pt idx="328" formatCode="0">
                  <c:v>220</c:v>
                </c:pt>
                <c:pt idx="329" formatCode="0">
                  <c:v>200</c:v>
                </c:pt>
                <c:pt idx="330" formatCode="0">
                  <c:v>220</c:v>
                </c:pt>
                <c:pt idx="331" formatCode="0">
                  <c:v>190</c:v>
                </c:pt>
                <c:pt idx="332" formatCode="0">
                  <c:v>230</c:v>
                </c:pt>
                <c:pt idx="333" formatCode="0">
                  <c:v>305</c:v>
                </c:pt>
                <c:pt idx="334" formatCode="0">
                  <c:v>220</c:v>
                </c:pt>
                <c:pt idx="335" formatCode="0">
                  <c:v>160</c:v>
                </c:pt>
                <c:pt idx="336" formatCode="0">
                  <c:v>240</c:v>
                </c:pt>
                <c:pt idx="337">
                  <c:v>330</c:v>
                </c:pt>
                <c:pt idx="338">
                  <c:v>315</c:v>
                </c:pt>
                <c:pt idx="339">
                  <c:v>330</c:v>
                </c:pt>
                <c:pt idx="340">
                  <c:v>160</c:v>
                </c:pt>
                <c:pt idx="341">
                  <c:v>340</c:v>
                </c:pt>
                <c:pt idx="342">
                  <c:v>340</c:v>
                </c:pt>
                <c:pt idx="343">
                  <c:v>290</c:v>
                </c:pt>
                <c:pt idx="344">
                  <c:v>300</c:v>
                </c:pt>
                <c:pt idx="345">
                  <c:v>320</c:v>
                </c:pt>
                <c:pt idx="346">
                  <c:v>330</c:v>
                </c:pt>
                <c:pt idx="347">
                  <c:v>235</c:v>
                </c:pt>
                <c:pt idx="348">
                  <c:v>300</c:v>
                </c:pt>
                <c:pt idx="349">
                  <c:v>320</c:v>
                </c:pt>
                <c:pt idx="350">
                  <c:v>300</c:v>
                </c:pt>
                <c:pt idx="351">
                  <c:v>380</c:v>
                </c:pt>
                <c:pt idx="352">
                  <c:v>230</c:v>
                </c:pt>
                <c:pt idx="353" formatCode="0">
                  <c:v>190</c:v>
                </c:pt>
                <c:pt idx="354" formatCode="0">
                  <c:v>295</c:v>
                </c:pt>
                <c:pt idx="355" formatCode="0">
                  <c:v>220</c:v>
                </c:pt>
                <c:pt idx="356" formatCode="0">
                  <c:v>320</c:v>
                </c:pt>
                <c:pt idx="357" formatCode="0">
                  <c:v>220</c:v>
                </c:pt>
                <c:pt idx="358" formatCode="0">
                  <c:v>295</c:v>
                </c:pt>
                <c:pt idx="359" formatCode="0">
                  <c:v>315</c:v>
                </c:pt>
                <c:pt idx="360" formatCode="0">
                  <c:v>200</c:v>
                </c:pt>
                <c:pt idx="361" formatCode="0">
                  <c:v>200</c:v>
                </c:pt>
                <c:pt idx="362" formatCode="0">
                  <c:v>195</c:v>
                </c:pt>
                <c:pt idx="363" formatCode="0">
                  <c:v>290</c:v>
                </c:pt>
                <c:pt idx="364" formatCode="0">
                  <c:v>250</c:v>
                </c:pt>
                <c:pt idx="365" formatCode="0">
                  <c:v>230</c:v>
                </c:pt>
                <c:pt idx="366" formatCode="0">
                  <c:v>330</c:v>
                </c:pt>
                <c:pt idx="367" formatCode="0">
                  <c:v>295</c:v>
                </c:pt>
                <c:pt idx="368" formatCode="0">
                  <c:v>285</c:v>
                </c:pt>
                <c:pt idx="369" formatCode="0">
                  <c:v>235</c:v>
                </c:pt>
                <c:pt idx="370" formatCode="0">
                  <c:v>300</c:v>
                </c:pt>
                <c:pt idx="371" formatCode="0">
                  <c:v>220</c:v>
                </c:pt>
                <c:pt idx="372" formatCode="0">
                  <c:v>300</c:v>
                </c:pt>
                <c:pt idx="373" formatCode="0">
                  <c:v>270</c:v>
                </c:pt>
                <c:pt idx="374" formatCode="0">
                  <c:v>300</c:v>
                </c:pt>
                <c:pt idx="375" formatCode="0">
                  <c:v>350</c:v>
                </c:pt>
                <c:pt idx="376" formatCode="0">
                  <c:v>205</c:v>
                </c:pt>
                <c:pt idx="377" formatCode="0">
                  <c:v>235</c:v>
                </c:pt>
                <c:pt idx="378">
                  <c:v>290</c:v>
                </c:pt>
                <c:pt idx="379">
                  <c:v>270</c:v>
                </c:pt>
                <c:pt idx="380">
                  <c:v>390</c:v>
                </c:pt>
                <c:pt idx="381">
                  <c:v>270</c:v>
                </c:pt>
                <c:pt idx="382">
                  <c:v>310</c:v>
                </c:pt>
                <c:pt idx="383">
                  <c:v>290</c:v>
                </c:pt>
                <c:pt idx="384">
                  <c:v>220</c:v>
                </c:pt>
                <c:pt idx="385">
                  <c:v>220</c:v>
                </c:pt>
                <c:pt idx="386">
                  <c:v>240</c:v>
                </c:pt>
                <c:pt idx="387">
                  <c:v>300</c:v>
                </c:pt>
                <c:pt idx="388">
                  <c:v>320</c:v>
                </c:pt>
                <c:pt idx="389">
                  <c:v>290</c:v>
                </c:pt>
                <c:pt idx="390">
                  <c:v>270</c:v>
                </c:pt>
                <c:pt idx="391">
                  <c:v>224</c:v>
                </c:pt>
                <c:pt idx="392" formatCode="0">
                  <c:v>220</c:v>
                </c:pt>
                <c:pt idx="393" formatCode="0">
                  <c:v>235</c:v>
                </c:pt>
                <c:pt idx="394" formatCode="0">
                  <c:v>180</c:v>
                </c:pt>
                <c:pt idx="395" formatCode="0">
                  <c:v>305</c:v>
                </c:pt>
                <c:pt idx="396" formatCode="0">
                  <c:v>300</c:v>
                </c:pt>
                <c:pt idx="397" formatCode="0">
                  <c:v>220</c:v>
                </c:pt>
                <c:pt idx="398" formatCode="0">
                  <c:v>210</c:v>
                </c:pt>
                <c:pt idx="399" formatCode="0">
                  <c:v>270</c:v>
                </c:pt>
                <c:pt idx="400" formatCode="0">
                  <c:v>220</c:v>
                </c:pt>
                <c:pt idx="401" formatCode="0">
                  <c:v>195</c:v>
                </c:pt>
                <c:pt idx="402" formatCode="0">
                  <c:v>160</c:v>
                </c:pt>
                <c:pt idx="403" formatCode="0">
                  <c:v>210</c:v>
                </c:pt>
                <c:pt idx="404" formatCode="0">
                  <c:v>240</c:v>
                </c:pt>
                <c:pt idx="405" formatCode="0">
                  <c:v>180</c:v>
                </c:pt>
                <c:pt idx="406" formatCode="0">
                  <c:v>210</c:v>
                </c:pt>
                <c:pt idx="407" formatCode="0">
                  <c:v>300</c:v>
                </c:pt>
                <c:pt idx="408" formatCode="0">
                  <c:v>210</c:v>
                </c:pt>
                <c:pt idx="409" formatCode="0">
                  <c:v>200</c:v>
                </c:pt>
                <c:pt idx="410" formatCode="0">
                  <c:v>185</c:v>
                </c:pt>
                <c:pt idx="411" formatCode="0">
                  <c:v>210</c:v>
                </c:pt>
                <c:pt idx="412" formatCode="0">
                  <c:v>330</c:v>
                </c:pt>
                <c:pt idx="413" formatCode="0">
                  <c:v>230</c:v>
                </c:pt>
                <c:pt idx="414" formatCode="0">
                  <c:v>190</c:v>
                </c:pt>
                <c:pt idx="415" formatCode="0">
                  <c:v>220</c:v>
                </c:pt>
                <c:pt idx="416" formatCode="0">
                  <c:v>290</c:v>
                </c:pt>
                <c:pt idx="417" formatCode="0">
                  <c:v>205</c:v>
                </c:pt>
                <c:pt idx="418" formatCode="0">
                  <c:v>200</c:v>
                </c:pt>
                <c:pt idx="419" formatCode="0">
                  <c:v>160</c:v>
                </c:pt>
                <c:pt idx="420" formatCode="0">
                  <c:v>305</c:v>
                </c:pt>
                <c:pt idx="421">
                  <c:v>325</c:v>
                </c:pt>
                <c:pt idx="422">
                  <c:v>280</c:v>
                </c:pt>
                <c:pt idx="423">
                  <c:v>380</c:v>
                </c:pt>
                <c:pt idx="424">
                  <c:v>300</c:v>
                </c:pt>
                <c:pt idx="425">
                  <c:v>230</c:v>
                </c:pt>
                <c:pt idx="426">
                  <c:v>220</c:v>
                </c:pt>
                <c:pt idx="427">
                  <c:v>245</c:v>
                </c:pt>
                <c:pt idx="428">
                  <c:v>300</c:v>
                </c:pt>
                <c:pt idx="429">
                  <c:v>210</c:v>
                </c:pt>
                <c:pt idx="430">
                  <c:v>280</c:v>
                </c:pt>
                <c:pt idx="431">
                  <c:v>230</c:v>
                </c:pt>
                <c:pt idx="432" formatCode="0">
                  <c:v>170</c:v>
                </c:pt>
                <c:pt idx="433" formatCode="0">
                  <c:v>190</c:v>
                </c:pt>
                <c:pt idx="434" formatCode="0">
                  <c:v>160</c:v>
                </c:pt>
                <c:pt idx="435" formatCode="0">
                  <c:v>165</c:v>
                </c:pt>
                <c:pt idx="436" formatCode="0">
                  <c:v>160</c:v>
                </c:pt>
                <c:pt idx="437" formatCode="0">
                  <c:v>200</c:v>
                </c:pt>
                <c:pt idx="438" formatCode="0">
                  <c:v>220</c:v>
                </c:pt>
                <c:pt idx="439">
                  <c:v>290</c:v>
                </c:pt>
                <c:pt idx="440">
                  <c:v>242</c:v>
                </c:pt>
                <c:pt idx="441">
                  <c:v>300</c:v>
                </c:pt>
                <c:pt idx="442">
                  <c:v>265</c:v>
                </c:pt>
                <c:pt idx="443">
                  <c:v>320</c:v>
                </c:pt>
                <c:pt idx="444">
                  <c:v>295</c:v>
                </c:pt>
                <c:pt idx="445">
                  <c:v>290</c:v>
                </c:pt>
                <c:pt idx="446">
                  <c:v>240</c:v>
                </c:pt>
                <c:pt idx="447" formatCode="0">
                  <c:v>185</c:v>
                </c:pt>
                <c:pt idx="448" formatCode="0">
                  <c:v>280</c:v>
                </c:pt>
                <c:pt idx="449" formatCode="0">
                  <c:v>240</c:v>
                </c:pt>
                <c:pt idx="450" formatCode="0">
                  <c:v>310</c:v>
                </c:pt>
                <c:pt idx="451" formatCode="0">
                  <c:v>230</c:v>
                </c:pt>
                <c:pt idx="452" formatCode="0">
                  <c:v>290</c:v>
                </c:pt>
                <c:pt idx="453" formatCode="0">
                  <c:v>190</c:v>
                </c:pt>
                <c:pt idx="454" formatCode="0">
                  <c:v>310</c:v>
                </c:pt>
                <c:pt idx="455" formatCode="0">
                  <c:v>180</c:v>
                </c:pt>
                <c:pt idx="456" formatCode="0">
                  <c:v>225</c:v>
                </c:pt>
                <c:pt idx="457" formatCode="0">
                  <c:v>280</c:v>
                </c:pt>
                <c:pt idx="458" formatCode="0">
                  <c:v>240</c:v>
                </c:pt>
                <c:pt idx="459">
                  <c:v>390</c:v>
                </c:pt>
                <c:pt idx="460" formatCode="0">
                  <c:v>220</c:v>
                </c:pt>
                <c:pt idx="461" formatCode="0">
                  <c:v>250</c:v>
                </c:pt>
                <c:pt idx="462" formatCode="0">
                  <c:v>250</c:v>
                </c:pt>
                <c:pt idx="463" formatCode="0">
                  <c:v>220</c:v>
                </c:pt>
                <c:pt idx="464" formatCode="0">
                  <c:v>220</c:v>
                </c:pt>
                <c:pt idx="465" formatCode="0">
                  <c:v>210</c:v>
                </c:pt>
                <c:pt idx="466" formatCode="0">
                  <c:v>330</c:v>
                </c:pt>
                <c:pt idx="467" formatCode="0">
                  <c:v>230</c:v>
                </c:pt>
                <c:pt idx="468" formatCode="0">
                  <c:v>210</c:v>
                </c:pt>
                <c:pt idx="469" formatCode="0">
                  <c:v>250</c:v>
                </c:pt>
                <c:pt idx="470" formatCode="0">
                  <c:v>310</c:v>
                </c:pt>
                <c:pt idx="471" formatCode="0">
                  <c:v>220</c:v>
                </c:pt>
                <c:pt idx="472" formatCode="0">
                  <c:v>280</c:v>
                </c:pt>
                <c:pt idx="473" formatCode="0">
                  <c:v>305</c:v>
                </c:pt>
                <c:pt idx="474" formatCode="0">
                  <c:v>250</c:v>
                </c:pt>
                <c:pt idx="475" formatCode="0">
                  <c:v>320</c:v>
                </c:pt>
                <c:pt idx="476" formatCode="0">
                  <c:v>210</c:v>
                </c:pt>
                <c:pt idx="477" formatCode="0">
                  <c:v>240</c:v>
                </c:pt>
                <c:pt idx="478" formatCode="0">
                  <c:v>220</c:v>
                </c:pt>
                <c:pt idx="479" formatCode="0">
                  <c:v>320</c:v>
                </c:pt>
                <c:pt idx="480" formatCode="0">
                  <c:v>220</c:v>
                </c:pt>
                <c:pt idx="481" formatCode="0">
                  <c:v>335</c:v>
                </c:pt>
                <c:pt idx="482">
                  <c:v>310</c:v>
                </c:pt>
                <c:pt idx="483" formatCode="0">
                  <c:v>170</c:v>
                </c:pt>
                <c:pt idx="484" formatCode="0">
                  <c:v>180</c:v>
                </c:pt>
                <c:pt idx="485" formatCode="0">
                  <c:v>240</c:v>
                </c:pt>
                <c:pt idx="486" formatCode="0">
                  <c:v>260</c:v>
                </c:pt>
                <c:pt idx="487" formatCode="0">
                  <c:v>260</c:v>
                </c:pt>
                <c:pt idx="488" formatCode="0">
                  <c:v>150</c:v>
                </c:pt>
                <c:pt idx="489" formatCode="0">
                  <c:v>245</c:v>
                </c:pt>
                <c:pt idx="490" formatCode="0">
                  <c:v>140</c:v>
                </c:pt>
                <c:pt idx="491" formatCode="0">
                  <c:v>165</c:v>
                </c:pt>
                <c:pt idx="492" formatCode="0">
                  <c:v>190</c:v>
                </c:pt>
                <c:pt idx="493" formatCode="0">
                  <c:v>180</c:v>
                </c:pt>
                <c:pt idx="494" formatCode="0">
                  <c:v>250</c:v>
                </c:pt>
                <c:pt idx="495" formatCode="0">
                  <c:v>250</c:v>
                </c:pt>
                <c:pt idx="496" formatCode="0">
                  <c:v>160</c:v>
                </c:pt>
                <c:pt idx="497" formatCode="0">
                  <c:v>160</c:v>
                </c:pt>
                <c:pt idx="498" formatCode="0">
                  <c:v>260</c:v>
                </c:pt>
                <c:pt idx="499" formatCode="0">
                  <c:v>270</c:v>
                </c:pt>
                <c:pt idx="500" formatCode="0">
                  <c:v>190</c:v>
                </c:pt>
                <c:pt idx="501" formatCode="0">
                  <c:v>190</c:v>
                </c:pt>
                <c:pt idx="502" formatCode="0">
                  <c:v>180</c:v>
                </c:pt>
                <c:pt idx="503">
                  <c:v>250</c:v>
                </c:pt>
                <c:pt idx="504" formatCode="0">
                  <c:v>152</c:v>
                </c:pt>
                <c:pt idx="505" formatCode="0">
                  <c:v>254</c:v>
                </c:pt>
                <c:pt idx="506" formatCode="0">
                  <c:v>267</c:v>
                </c:pt>
                <c:pt idx="507">
                  <c:v>275</c:v>
                </c:pt>
                <c:pt idx="508">
                  <c:v>220</c:v>
                </c:pt>
                <c:pt idx="509" formatCode="0">
                  <c:v>160</c:v>
                </c:pt>
                <c:pt idx="510" formatCode="0">
                  <c:v>200</c:v>
                </c:pt>
                <c:pt idx="511" formatCode="0">
                  <c:v>190</c:v>
                </c:pt>
                <c:pt idx="512" formatCode="0">
                  <c:v>270</c:v>
                </c:pt>
                <c:pt idx="513" formatCode="0">
                  <c:v>280</c:v>
                </c:pt>
                <c:pt idx="514" formatCode="0">
                  <c:v>180</c:v>
                </c:pt>
                <c:pt idx="515" formatCode="0">
                  <c:v>190</c:v>
                </c:pt>
                <c:pt idx="516" formatCode="0">
                  <c:v>250</c:v>
                </c:pt>
                <c:pt idx="517" formatCode="0">
                  <c:v>190</c:v>
                </c:pt>
                <c:pt idx="518" formatCode="0">
                  <c:v>250</c:v>
                </c:pt>
                <c:pt idx="519" formatCode="0">
                  <c:v>200</c:v>
                </c:pt>
                <c:pt idx="520" formatCode="0">
                  <c:v>230</c:v>
                </c:pt>
                <c:pt idx="521" formatCode="0">
                  <c:v>140</c:v>
                </c:pt>
                <c:pt idx="522" formatCode="0">
                  <c:v>180</c:v>
                </c:pt>
                <c:pt idx="523" formatCode="0">
                  <c:v>160</c:v>
                </c:pt>
                <c:pt idx="524" formatCode="0">
                  <c:v>290</c:v>
                </c:pt>
                <c:pt idx="525" formatCode="0">
                  <c:v>280</c:v>
                </c:pt>
                <c:pt idx="526" formatCode="0">
                  <c:v>190</c:v>
                </c:pt>
                <c:pt idx="527" formatCode="0">
                  <c:v>240</c:v>
                </c:pt>
                <c:pt idx="528" formatCode="0">
                  <c:v>270</c:v>
                </c:pt>
                <c:pt idx="529" formatCode="0">
                  <c:v>170</c:v>
                </c:pt>
                <c:pt idx="530" formatCode="0">
                  <c:v>330</c:v>
                </c:pt>
                <c:pt idx="531" formatCode="0">
                  <c:v>260</c:v>
                </c:pt>
                <c:pt idx="532" formatCode="0">
                  <c:v>290</c:v>
                </c:pt>
                <c:pt idx="533" formatCode="0">
                  <c:v>210</c:v>
                </c:pt>
                <c:pt idx="534" formatCode="0">
                  <c:v>250</c:v>
                </c:pt>
                <c:pt idx="535" formatCode="0">
                  <c:v>170</c:v>
                </c:pt>
                <c:pt idx="536" formatCode="0">
                  <c:v>240</c:v>
                </c:pt>
                <c:pt idx="537" formatCode="0">
                  <c:v>200</c:v>
                </c:pt>
                <c:pt idx="538" formatCode="0">
                  <c:v>270</c:v>
                </c:pt>
                <c:pt idx="539" formatCode="0">
                  <c:v>330</c:v>
                </c:pt>
                <c:pt idx="540">
                  <c:v>270</c:v>
                </c:pt>
                <c:pt idx="541">
                  <c:v>260</c:v>
                </c:pt>
                <c:pt idx="542">
                  <c:v>152</c:v>
                </c:pt>
                <c:pt idx="543">
                  <c:v>203</c:v>
                </c:pt>
                <c:pt idx="544">
                  <c:v>152</c:v>
                </c:pt>
                <c:pt idx="545">
                  <c:v>152</c:v>
                </c:pt>
                <c:pt idx="546" formatCode="0">
                  <c:v>254</c:v>
                </c:pt>
                <c:pt idx="547">
                  <c:v>263</c:v>
                </c:pt>
              </c:numCache>
            </c:numRef>
          </c:yVal>
          <c:smooth val="0"/>
          <c:extLst>
            <c:ext xmlns:c16="http://schemas.microsoft.com/office/drawing/2014/chart" uri="{C3380CC4-5D6E-409C-BE32-E72D297353CC}">
              <c16:uniqueId val="{00000000-6DBC-5948-B543-579B557D5B8A}"/>
            </c:ext>
          </c:extLst>
        </c:ser>
        <c:dLbls>
          <c:showLegendKey val="0"/>
          <c:showVal val="0"/>
          <c:showCatName val="0"/>
          <c:showSerName val="0"/>
          <c:showPercent val="0"/>
          <c:showBubbleSize val="0"/>
        </c:dLbls>
        <c:axId val="2063621295"/>
        <c:axId val="2063983167"/>
      </c:scatterChart>
      <c:valAx>
        <c:axId val="2063621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83167"/>
        <c:crosses val="autoZero"/>
        <c:crossBetween val="midCat"/>
      </c:valAx>
      <c:valAx>
        <c:axId val="206398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621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'age-length key'!$B$15</c:f>
              <c:strCache>
                <c:ptCount val="1"/>
                <c:pt idx="0">
                  <c:v>Length</c:v>
                </c:pt>
              </c:strCache>
            </c:strRef>
          </c:tx>
          <c:spPr>
            <a:ln w="19050" cap="rnd">
              <a:noFill/>
              <a:round/>
            </a:ln>
            <a:effectLst/>
          </c:spPr>
          <c:marker>
            <c:symbol val="circle"/>
            <c:size val="5"/>
            <c:spPr>
              <a:solidFill>
                <a:schemeClr val="accent1"/>
              </a:solidFill>
              <a:ln w="9525">
                <a:solidFill>
                  <a:schemeClr val="accent1"/>
                </a:solidFill>
              </a:ln>
              <a:effectLst/>
            </c:spPr>
          </c:marker>
          <c:xVal>
            <c:numRef>
              <c:f>'age-length key'!$A$16:$A$20</c:f>
              <c:numCache>
                <c:formatCode>General</c:formatCode>
                <c:ptCount val="5"/>
                <c:pt idx="0">
                  <c:v>1</c:v>
                </c:pt>
                <c:pt idx="1">
                  <c:v>2</c:v>
                </c:pt>
                <c:pt idx="2">
                  <c:v>3</c:v>
                </c:pt>
                <c:pt idx="3">
                  <c:v>4</c:v>
                </c:pt>
                <c:pt idx="4">
                  <c:v>5</c:v>
                </c:pt>
              </c:numCache>
            </c:numRef>
          </c:xVal>
          <c:yVal>
            <c:numRef>
              <c:f>'age-length key'!$B$16:$B$20</c:f>
              <c:numCache>
                <c:formatCode>General</c:formatCode>
                <c:ptCount val="5"/>
                <c:pt idx="0">
                  <c:v>150.44</c:v>
                </c:pt>
                <c:pt idx="1">
                  <c:v>224.69</c:v>
                </c:pt>
                <c:pt idx="2">
                  <c:v>295.06</c:v>
                </c:pt>
                <c:pt idx="3">
                  <c:v>377.29</c:v>
                </c:pt>
                <c:pt idx="4">
                  <c:v>440</c:v>
                </c:pt>
              </c:numCache>
            </c:numRef>
          </c:yVal>
          <c:smooth val="0"/>
          <c:extLst>
            <c:ext xmlns:c16="http://schemas.microsoft.com/office/drawing/2014/chart" uri="{C3380CC4-5D6E-409C-BE32-E72D297353CC}">
              <c16:uniqueId val="{00000000-A6E5-3047-8FAA-317C73441647}"/>
            </c:ext>
          </c:extLst>
        </c:ser>
        <c:ser>
          <c:idx val="1"/>
          <c:order val="1"/>
          <c:tx>
            <c:strRef>
              <c:f>'age-length key'!$G$15</c:f>
              <c:strCache>
                <c:ptCount val="1"/>
                <c:pt idx="0">
                  <c:v>pred len</c:v>
                </c:pt>
              </c:strCache>
            </c:strRef>
          </c:tx>
          <c:spPr>
            <a:ln w="19050" cap="rnd">
              <a:solidFill>
                <a:schemeClr val="accent2"/>
              </a:solidFill>
              <a:round/>
            </a:ln>
            <a:effectLst/>
          </c:spPr>
          <c:marker>
            <c:symbol val="none"/>
          </c:marker>
          <c:xVal>
            <c:numRef>
              <c:f>'age-length key'!$A$16:$A$20</c:f>
              <c:numCache>
                <c:formatCode>General</c:formatCode>
                <c:ptCount val="5"/>
                <c:pt idx="0">
                  <c:v>1</c:v>
                </c:pt>
                <c:pt idx="1">
                  <c:v>2</c:v>
                </c:pt>
                <c:pt idx="2">
                  <c:v>3</c:v>
                </c:pt>
                <c:pt idx="3">
                  <c:v>4</c:v>
                </c:pt>
                <c:pt idx="4">
                  <c:v>5</c:v>
                </c:pt>
              </c:numCache>
            </c:numRef>
          </c:xVal>
          <c:yVal>
            <c:numRef>
              <c:f>'age-length key'!$G$16:$G$20</c:f>
              <c:numCache>
                <c:formatCode>General</c:formatCode>
                <c:ptCount val="5"/>
                <c:pt idx="0">
                  <c:v>142.13180390317288</c:v>
                </c:pt>
                <c:pt idx="1">
                  <c:v>240.54210708825067</c:v>
                </c:pt>
                <c:pt idx="2">
                  <c:v>308.68018390866831</c:v>
                </c:pt>
                <c:pt idx="3">
                  <c:v>355.85814559072463</c:v>
                </c:pt>
                <c:pt idx="4">
                  <c:v>388.52358277850595</c:v>
                </c:pt>
              </c:numCache>
            </c:numRef>
          </c:yVal>
          <c:smooth val="0"/>
          <c:extLst>
            <c:ext xmlns:c16="http://schemas.microsoft.com/office/drawing/2014/chart" uri="{C3380CC4-5D6E-409C-BE32-E72D297353CC}">
              <c16:uniqueId val="{00000001-A6E5-3047-8FAA-317C73441647}"/>
            </c:ext>
          </c:extLst>
        </c:ser>
        <c:dLbls>
          <c:showLegendKey val="0"/>
          <c:showVal val="0"/>
          <c:showCatName val="0"/>
          <c:showSerName val="0"/>
          <c:showPercent val="0"/>
          <c:showBubbleSize val="0"/>
        </c:dLbls>
        <c:axId val="1967016991"/>
        <c:axId val="797701183"/>
      </c:scatterChart>
      <c:valAx>
        <c:axId val="196701699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701183"/>
        <c:crosses val="autoZero"/>
        <c:crossBetween val="midCat"/>
      </c:valAx>
      <c:valAx>
        <c:axId val="79770118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1699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738482</xdr:colOff>
      <xdr:row>10</xdr:row>
      <xdr:rowOff>128882</xdr:rowOff>
    </xdr:from>
    <xdr:to>
      <xdr:col>6</xdr:col>
      <xdr:colOff>823148</xdr:colOff>
      <xdr:row>25</xdr:row>
      <xdr:rowOff>49859</xdr:rowOff>
    </xdr:to>
    <xdr:graphicFrame macro="">
      <xdr:nvGraphicFramePr>
        <xdr:cNvPr id="4" name="Chart 3">
          <a:extLst>
            <a:ext uri="{FF2B5EF4-FFF2-40B4-BE49-F238E27FC236}">
              <a16:creationId xmlns:a16="http://schemas.microsoft.com/office/drawing/2014/main" id="{CB235C4C-04E6-2687-7E33-63420548E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452120</xdr:colOff>
      <xdr:row>21</xdr:row>
      <xdr:rowOff>15240</xdr:rowOff>
    </xdr:from>
    <xdr:to>
      <xdr:col>6</xdr:col>
      <xdr:colOff>86360</xdr:colOff>
      <xdr:row>35</xdr:row>
      <xdr:rowOff>55880</xdr:rowOff>
    </xdr:to>
    <xdr:graphicFrame macro="">
      <xdr:nvGraphicFramePr>
        <xdr:cNvPr id="2" name="Chart 1">
          <a:extLst>
            <a:ext uri="{FF2B5EF4-FFF2-40B4-BE49-F238E27FC236}">
              <a16:creationId xmlns:a16="http://schemas.microsoft.com/office/drawing/2014/main" id="{FDF61CDD-6EA0-513C-5967-67A55AAAE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rett Van Poorten" id="{457EB12E-1F1F-BE4D-9D40-F1A99FB7653B}" userId="S::bvanpoor@sfu.ca::1c0c9738-d908-4b28-b97d-9629fc841c59"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Van Poorten" refreshedDate="44881.936986921297" createdVersion="8" refreshedVersion="8" minRefreshableVersion="3" recordCount="548" xr:uid="{DC7FD12E-017B-6240-936B-4E4185F9921C}">
  <cacheSource type="worksheet">
    <worksheetSource ref="A1:R549" sheet="Data"/>
  </cacheSource>
  <cacheFields count="17">
    <cacheField name="Date Caught" numFmtId="0">
      <sharedItems containsDate="1" containsMixedTypes="1" minDate="2020-05-25T00:00:00" maxDate="2021-09-12T00:00:00"/>
    </cacheField>
    <cacheField name="YearMonth" numFmtId="0">
      <sharedItems count="13">
        <s v="2020-5"/>
        <s v="2020-6"/>
        <s v="2020-7"/>
        <s v="2020-8"/>
        <s v="2020-9"/>
        <s v="2021-3"/>
        <s v="2021-4"/>
        <s v="2021-5"/>
        <s v="2021-6"/>
        <s v="2021-7"/>
        <s v="2021-8"/>
        <s v="2021-9"/>
        <e v="#VALUE!"/>
      </sharedItems>
    </cacheField>
    <cacheField name="Tagged/Recature/No Tag" numFmtId="0">
      <sharedItems count="3">
        <s v="NT"/>
        <s v="Tagged"/>
        <s v="Recapture"/>
      </sharedItems>
    </cacheField>
    <cacheField name="Angler " numFmtId="0">
      <sharedItems count="18">
        <s v="Nick/Pete"/>
        <s v="Cameron Wells"/>
        <s v="Scott Harris"/>
        <s v="April Lewis"/>
        <s v="King Kamehameha"/>
        <s v="Martin Clingwall"/>
        <s v="Sam Northcott"/>
        <s v="Kauveh Rad"/>
        <s v="Kauveh"/>
        <s v="Tristan"/>
        <s v="Mike Petterson"/>
        <s v="Unknown"/>
        <s v="Garrett Corrigan"/>
        <s v="Jeff"/>
        <s v="Dexee Decoran"/>
        <s v="Taylor Spielman"/>
        <s v="Kathy Tull"/>
        <s v="Chris Campbell"/>
      </sharedItems>
    </cacheField>
    <cacheField name="Start Time" numFmtId="0">
      <sharedItems containsNonDate="0" containsDate="1" containsString="0" containsBlank="1" minDate="1899-12-30T01:15:00" maxDate="1899-12-30T16:45:00"/>
    </cacheField>
    <cacheField name="End Time" numFmtId="0">
      <sharedItems containsNonDate="0" containsDate="1" containsString="0" containsBlank="1" minDate="1899-12-30T01:16:00" maxDate="1900-01-02T16:09:00"/>
    </cacheField>
    <cacheField name="Time Spent Fishing (h:mm)" numFmtId="20">
      <sharedItems containsNonDate="0" containsDate="1" containsString="0" containsBlank="1" minDate="1899-12-30T00:00:00" maxDate="1900-01-02T08:09:00"/>
    </cacheField>
    <cacheField name="Tag Number " numFmtId="0">
      <sharedItems containsMixedTypes="1" containsNumber="1" containsInteger="1" minValue="1" maxValue="223"/>
    </cacheField>
    <cacheField name="Tag Colour" numFmtId="0">
      <sharedItems containsBlank="1"/>
    </cacheField>
    <cacheField name="Tag Code" numFmtId="0">
      <sharedItems containsBlank="1"/>
    </cacheField>
    <cacheField name="Length (mm)" numFmtId="0">
      <sharedItems containsString="0" containsBlank="1" containsNumber="1" containsInteger="1" minValue="110" maxValue="440"/>
    </cacheField>
    <cacheField name="Location" numFmtId="0">
      <sharedItems containsBlank="1"/>
    </cacheField>
    <cacheField name="Released/Killed" numFmtId="0">
      <sharedItems count="2">
        <s v="Killed"/>
        <s v="Released"/>
      </sharedItems>
    </cacheField>
    <cacheField name="Depth caught" numFmtId="0">
      <sharedItems containsBlank="1"/>
    </cacheField>
    <cacheField name="rand" numFmtId="0">
      <sharedItems containsString="0" containsBlank="1" containsNumber="1" minValue="1.7616329722859119E-3" maxValue="0.99967723386347163"/>
    </cacheField>
    <cacheField name="length bin" numFmtId="0">
      <sharedItems containsString="0" containsBlank="1" containsNumber="1" containsInteger="1" minValue="-9" maxValue="35"/>
    </cacheField>
    <cacheField name="age-hat" numFmtId="0">
      <sharedItems containsSemiMixedTypes="0" containsString="0" containsNumber="1" containsInteger="1" minValue="1" maxValue="4" count="4">
        <n v="3"/>
        <n v="2"/>
        <n v="4"/>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d v="2020-05-25T00:00:00"/>
    <x v="0"/>
    <x v="0"/>
    <x v="0"/>
    <m/>
    <d v="1899-12-30T10:30:00"/>
    <m/>
    <s v="NT"/>
    <m/>
    <m/>
    <n v="343"/>
    <m/>
    <x v="0"/>
    <m/>
    <n v="0.24257829889775176"/>
    <n v="25"/>
    <x v="0"/>
  </r>
  <r>
    <d v="2020-05-25T00:00:00"/>
    <x v="0"/>
    <x v="0"/>
    <x v="0"/>
    <m/>
    <d v="1899-12-30T11:00:00"/>
    <m/>
    <s v="NT"/>
    <m/>
    <m/>
    <n v="319"/>
    <m/>
    <x v="0"/>
    <m/>
    <n v="1.3469574513598146E-2"/>
    <n v="23"/>
    <x v="0"/>
  </r>
  <r>
    <d v="2020-05-25T00:00:00"/>
    <x v="0"/>
    <x v="0"/>
    <x v="0"/>
    <m/>
    <d v="1899-12-30T13:15:00"/>
    <m/>
    <s v="NT"/>
    <m/>
    <m/>
    <n v="256"/>
    <m/>
    <x v="0"/>
    <m/>
    <n v="0.38313885004405812"/>
    <n v="17"/>
    <x v="0"/>
  </r>
  <r>
    <d v="2020-05-25T00:00:00"/>
    <x v="0"/>
    <x v="0"/>
    <x v="0"/>
    <m/>
    <d v="1899-12-30T13:30:00"/>
    <m/>
    <s v="NT"/>
    <m/>
    <m/>
    <n v="270"/>
    <m/>
    <x v="0"/>
    <m/>
    <n v="0.41465269048449244"/>
    <n v="18"/>
    <x v="0"/>
  </r>
  <r>
    <d v="2020-05-25T00:00:00"/>
    <x v="0"/>
    <x v="0"/>
    <x v="0"/>
    <m/>
    <d v="1899-12-30T13:30:00"/>
    <m/>
    <s v="NT"/>
    <m/>
    <m/>
    <n v="269"/>
    <m/>
    <x v="0"/>
    <m/>
    <n v="6.7768972864266933E-2"/>
    <n v="18"/>
    <x v="1"/>
  </r>
  <r>
    <d v="2020-05-25T00:00:00"/>
    <x v="0"/>
    <x v="1"/>
    <x v="0"/>
    <m/>
    <m/>
    <m/>
    <n v="1"/>
    <s v="Pink"/>
    <s v="Pink1"/>
    <n v="315"/>
    <s v="NW"/>
    <x v="1"/>
    <m/>
    <n v="0.99312692973442696"/>
    <n v="23"/>
    <x v="2"/>
  </r>
  <r>
    <d v="2020-05-25T00:00:00"/>
    <x v="0"/>
    <x v="1"/>
    <x v="0"/>
    <m/>
    <m/>
    <m/>
    <n v="2"/>
    <s v="Pink"/>
    <s v="Pink2"/>
    <n v="268"/>
    <s v="NW"/>
    <x v="1"/>
    <m/>
    <n v="0.48430804651431181"/>
    <n v="18"/>
    <x v="0"/>
  </r>
  <r>
    <d v="2020-05-25T00:00:00"/>
    <x v="0"/>
    <x v="1"/>
    <x v="0"/>
    <m/>
    <m/>
    <m/>
    <n v="43"/>
    <s v="Green"/>
    <s v="Green43"/>
    <n v="233"/>
    <m/>
    <x v="1"/>
    <m/>
    <n v="0.76533776603887682"/>
    <n v="14"/>
    <x v="1"/>
  </r>
  <r>
    <d v="2020-05-26T00:00:00"/>
    <x v="0"/>
    <x v="1"/>
    <x v="0"/>
    <m/>
    <m/>
    <m/>
    <n v="3"/>
    <s v="Pink"/>
    <s v="Pink3"/>
    <n v="305"/>
    <s v="NW"/>
    <x v="1"/>
    <m/>
    <n v="3.1833815403205255E-2"/>
    <n v="22"/>
    <x v="0"/>
  </r>
  <r>
    <d v="2020-05-26T00:00:00"/>
    <x v="0"/>
    <x v="1"/>
    <x v="0"/>
    <m/>
    <m/>
    <m/>
    <n v="4"/>
    <s v="Pink"/>
    <s v="Pink4"/>
    <n v="250"/>
    <s v="NW"/>
    <x v="1"/>
    <m/>
    <n v="3.0935481670748201E-2"/>
    <n v="16"/>
    <x v="1"/>
  </r>
  <r>
    <d v="2020-05-26T00:00:00"/>
    <x v="0"/>
    <x v="1"/>
    <x v="0"/>
    <m/>
    <m/>
    <m/>
    <n v="5"/>
    <s v="Pink"/>
    <s v="Pink5"/>
    <n v="280"/>
    <s v="NW"/>
    <x v="1"/>
    <m/>
    <n v="0.93264044026501502"/>
    <n v="19"/>
    <x v="0"/>
  </r>
  <r>
    <d v="2020-05-26T00:00:00"/>
    <x v="0"/>
    <x v="1"/>
    <x v="0"/>
    <m/>
    <m/>
    <m/>
    <n v="6"/>
    <s v="Pink"/>
    <s v="Pink6"/>
    <n v="263"/>
    <s v="NW"/>
    <x v="1"/>
    <m/>
    <n v="0.88787953410664555"/>
    <n v="17"/>
    <x v="0"/>
  </r>
  <r>
    <d v="2020-05-26T00:00:00"/>
    <x v="0"/>
    <x v="1"/>
    <x v="0"/>
    <m/>
    <m/>
    <m/>
    <n v="7"/>
    <s v="Pink"/>
    <s v="Pink7"/>
    <n v="250"/>
    <s v="NW"/>
    <x v="1"/>
    <m/>
    <n v="0.5913297303911903"/>
    <n v="16"/>
    <x v="1"/>
  </r>
  <r>
    <d v="2020-05-26T00:00:00"/>
    <x v="0"/>
    <x v="1"/>
    <x v="0"/>
    <m/>
    <m/>
    <m/>
    <n v="8"/>
    <s v="Pink"/>
    <s v="Pink8"/>
    <n v="323"/>
    <s v="NW"/>
    <x v="1"/>
    <m/>
    <n v="0.47877868473472945"/>
    <n v="23"/>
    <x v="0"/>
  </r>
  <r>
    <d v="2020-05-26T00:00:00"/>
    <x v="0"/>
    <x v="1"/>
    <x v="0"/>
    <m/>
    <m/>
    <m/>
    <n v="9"/>
    <s v="Pink"/>
    <s v="Pink9"/>
    <n v="270"/>
    <s v="NW"/>
    <x v="1"/>
    <m/>
    <n v="0.83335433659765601"/>
    <n v="18"/>
    <x v="0"/>
  </r>
  <r>
    <d v="2020-05-26T00:00:00"/>
    <x v="0"/>
    <x v="1"/>
    <x v="0"/>
    <m/>
    <m/>
    <m/>
    <n v="10"/>
    <s v="Pink"/>
    <s v="Pink10"/>
    <n v="330"/>
    <s v="NW"/>
    <x v="1"/>
    <m/>
    <n v="0.18633519680534266"/>
    <n v="24"/>
    <x v="0"/>
  </r>
  <r>
    <d v="2020-05-26T00:00:00"/>
    <x v="0"/>
    <x v="1"/>
    <x v="0"/>
    <m/>
    <m/>
    <m/>
    <n v="11"/>
    <s v="Pink"/>
    <s v="Pink11"/>
    <n v="270"/>
    <s v="NW"/>
    <x v="1"/>
    <m/>
    <n v="0.73565270739405075"/>
    <n v="18"/>
    <x v="0"/>
  </r>
  <r>
    <d v="2020-05-26T00:00:00"/>
    <x v="0"/>
    <x v="1"/>
    <x v="0"/>
    <m/>
    <m/>
    <m/>
    <n v="12"/>
    <s v="Pink"/>
    <s v="Pink12"/>
    <n v="245"/>
    <s v="NW"/>
    <x v="1"/>
    <m/>
    <n v="0.11505317181118446"/>
    <n v="16"/>
    <x v="1"/>
  </r>
  <r>
    <d v="2020-05-26T00:00:00"/>
    <x v="0"/>
    <x v="1"/>
    <x v="0"/>
    <m/>
    <m/>
    <m/>
    <n v="13"/>
    <s v="Pink"/>
    <s v="Pink13"/>
    <n v="244"/>
    <s v="NW"/>
    <x v="1"/>
    <m/>
    <n v="0.35560411138255338"/>
    <n v="15"/>
    <x v="1"/>
  </r>
  <r>
    <d v="2020-05-26T00:00:00"/>
    <x v="0"/>
    <x v="1"/>
    <x v="0"/>
    <m/>
    <m/>
    <m/>
    <n v="14"/>
    <s v="Pink"/>
    <s v="Pink14"/>
    <n v="242"/>
    <s v="NW"/>
    <x v="1"/>
    <m/>
    <n v="0.63830000657509078"/>
    <n v="15"/>
    <x v="1"/>
  </r>
  <r>
    <d v="2020-05-27T00:00:00"/>
    <x v="0"/>
    <x v="0"/>
    <x v="0"/>
    <m/>
    <m/>
    <m/>
    <s v="NT"/>
    <m/>
    <m/>
    <n v="247"/>
    <m/>
    <x v="0"/>
    <m/>
    <n v="0.90821050755130617"/>
    <n v="16"/>
    <x v="0"/>
  </r>
  <r>
    <d v="2020-05-27T00:00:00"/>
    <x v="0"/>
    <x v="0"/>
    <x v="0"/>
    <m/>
    <m/>
    <m/>
    <s v="NT"/>
    <m/>
    <m/>
    <n v="222"/>
    <m/>
    <x v="0"/>
    <m/>
    <n v="0.29400041480269301"/>
    <n v="13"/>
    <x v="1"/>
  </r>
  <r>
    <d v="2020-05-27T00:00:00"/>
    <x v="0"/>
    <x v="0"/>
    <x v="0"/>
    <m/>
    <m/>
    <m/>
    <s v="NT"/>
    <m/>
    <m/>
    <n v="252"/>
    <m/>
    <x v="0"/>
    <m/>
    <n v="0.26497158886164968"/>
    <n v="16"/>
    <x v="1"/>
  </r>
  <r>
    <d v="2020-05-27T00:00:00"/>
    <x v="0"/>
    <x v="0"/>
    <x v="0"/>
    <m/>
    <m/>
    <m/>
    <s v="NT"/>
    <m/>
    <m/>
    <n v="232"/>
    <m/>
    <x v="0"/>
    <m/>
    <n v="0.37749399774591158"/>
    <n v="14"/>
    <x v="1"/>
  </r>
  <r>
    <d v="2020-05-27T00:00:00"/>
    <x v="0"/>
    <x v="0"/>
    <x v="0"/>
    <m/>
    <m/>
    <m/>
    <s v="NT"/>
    <m/>
    <m/>
    <n v="236"/>
    <m/>
    <x v="0"/>
    <m/>
    <n v="0.54162011553608813"/>
    <n v="15"/>
    <x v="1"/>
  </r>
  <r>
    <d v="2020-05-27T00:00:00"/>
    <x v="0"/>
    <x v="0"/>
    <x v="0"/>
    <m/>
    <m/>
    <m/>
    <s v="NT"/>
    <m/>
    <m/>
    <n v="220"/>
    <m/>
    <x v="0"/>
    <m/>
    <n v="9.2818150340029104E-3"/>
    <n v="13"/>
    <x v="1"/>
  </r>
  <r>
    <d v="2020-05-27T00:00:00"/>
    <x v="0"/>
    <x v="0"/>
    <x v="0"/>
    <m/>
    <m/>
    <m/>
    <s v="NT"/>
    <m/>
    <m/>
    <n v="260"/>
    <m/>
    <x v="0"/>
    <m/>
    <n v="0.99946527648692263"/>
    <n v="17"/>
    <x v="2"/>
  </r>
  <r>
    <d v="2020-05-27T00:00:00"/>
    <x v="0"/>
    <x v="0"/>
    <x v="0"/>
    <m/>
    <m/>
    <m/>
    <s v="NT"/>
    <m/>
    <m/>
    <n v="262"/>
    <m/>
    <x v="0"/>
    <m/>
    <n v="1.2901915708976759E-2"/>
    <n v="17"/>
    <x v="1"/>
  </r>
  <r>
    <d v="2020-05-27T00:00:00"/>
    <x v="0"/>
    <x v="0"/>
    <x v="0"/>
    <m/>
    <m/>
    <m/>
    <s v="NT"/>
    <m/>
    <m/>
    <n v="236"/>
    <m/>
    <x v="0"/>
    <m/>
    <n v="0.84249732077238026"/>
    <n v="15"/>
    <x v="0"/>
  </r>
  <r>
    <d v="2020-05-27T00:00:00"/>
    <x v="0"/>
    <x v="0"/>
    <x v="0"/>
    <m/>
    <m/>
    <m/>
    <s v="NT"/>
    <m/>
    <m/>
    <n v="222"/>
    <m/>
    <x v="0"/>
    <m/>
    <n v="0.85247022139489192"/>
    <n v="13"/>
    <x v="1"/>
  </r>
  <r>
    <d v="2020-05-27T00:00:00"/>
    <x v="0"/>
    <x v="0"/>
    <x v="0"/>
    <m/>
    <m/>
    <m/>
    <s v="NT"/>
    <m/>
    <m/>
    <n v="250"/>
    <m/>
    <x v="0"/>
    <m/>
    <n v="0.46701098394906659"/>
    <n v="16"/>
    <x v="1"/>
  </r>
  <r>
    <d v="2020-05-27T00:00:00"/>
    <x v="0"/>
    <x v="0"/>
    <x v="0"/>
    <m/>
    <m/>
    <m/>
    <s v="NT"/>
    <m/>
    <m/>
    <n v="257"/>
    <m/>
    <x v="0"/>
    <m/>
    <n v="5.3607231962311652E-2"/>
    <n v="17"/>
    <x v="1"/>
  </r>
  <r>
    <d v="2020-05-27T00:00:00"/>
    <x v="0"/>
    <x v="0"/>
    <x v="0"/>
    <m/>
    <m/>
    <m/>
    <s v="NT"/>
    <m/>
    <m/>
    <n v="250"/>
    <m/>
    <x v="0"/>
    <m/>
    <n v="0.97674759057199001"/>
    <n v="16"/>
    <x v="0"/>
  </r>
  <r>
    <d v="2020-05-27T00:00:00"/>
    <x v="0"/>
    <x v="1"/>
    <x v="0"/>
    <m/>
    <m/>
    <m/>
    <n v="15"/>
    <s v="Pink"/>
    <s v="Pink15"/>
    <n v="335"/>
    <s v="NW"/>
    <x v="1"/>
    <m/>
    <n v="0.19675474343670288"/>
    <n v="25"/>
    <x v="0"/>
  </r>
  <r>
    <d v="2020-05-27T00:00:00"/>
    <x v="0"/>
    <x v="1"/>
    <x v="0"/>
    <m/>
    <m/>
    <m/>
    <n v="16"/>
    <s v="Pink"/>
    <s v="Pink16"/>
    <n v="339"/>
    <s v="NW"/>
    <x v="1"/>
    <m/>
    <n v="0.85697294066519147"/>
    <n v="25"/>
    <x v="2"/>
  </r>
  <r>
    <d v="2020-05-27T00:00:00"/>
    <x v="0"/>
    <x v="1"/>
    <x v="0"/>
    <m/>
    <m/>
    <m/>
    <n v="17"/>
    <s v="Pink"/>
    <s v="Pink17"/>
    <n v="332"/>
    <s v="NW"/>
    <x v="1"/>
    <m/>
    <n v="0.1442137598731619"/>
    <n v="24"/>
    <x v="0"/>
  </r>
  <r>
    <d v="2020-05-27T00:00:00"/>
    <x v="0"/>
    <x v="1"/>
    <x v="0"/>
    <m/>
    <m/>
    <m/>
    <n v="18"/>
    <s v="Pink"/>
    <s v="Pink18"/>
    <n v="265"/>
    <s v="NW"/>
    <x v="1"/>
    <m/>
    <n v="0.80066218823225344"/>
    <n v="18"/>
    <x v="0"/>
  </r>
  <r>
    <d v="2020-05-27T00:00:00"/>
    <x v="0"/>
    <x v="1"/>
    <x v="0"/>
    <m/>
    <m/>
    <m/>
    <n v="19"/>
    <s v="Pink"/>
    <s v="Pink19"/>
    <n v="269"/>
    <s v="NW"/>
    <x v="1"/>
    <m/>
    <n v="0.72939761948278059"/>
    <n v="18"/>
    <x v="0"/>
  </r>
  <r>
    <d v="2020-05-27T00:00:00"/>
    <x v="0"/>
    <x v="1"/>
    <x v="0"/>
    <m/>
    <m/>
    <m/>
    <n v="20"/>
    <s v="Pink"/>
    <s v="Pink20"/>
    <n v="256"/>
    <s v="NW"/>
    <x v="1"/>
    <m/>
    <n v="0.98579064709404052"/>
    <n v="17"/>
    <x v="0"/>
  </r>
  <r>
    <d v="2020-05-27T00:00:00"/>
    <x v="0"/>
    <x v="1"/>
    <x v="0"/>
    <m/>
    <m/>
    <m/>
    <n v="21"/>
    <s v="Pink"/>
    <s v="Pink21"/>
    <n v="342"/>
    <s v="NW"/>
    <x v="1"/>
    <m/>
    <n v="0.18340570953833205"/>
    <n v="25"/>
    <x v="0"/>
  </r>
  <r>
    <d v="2020-06-01T00:00:00"/>
    <x v="1"/>
    <x v="0"/>
    <x v="0"/>
    <m/>
    <m/>
    <m/>
    <s v="NT"/>
    <m/>
    <m/>
    <n v="264"/>
    <m/>
    <x v="0"/>
    <m/>
    <n v="0.49976021074678761"/>
    <n v="17"/>
    <x v="0"/>
  </r>
  <r>
    <d v="2020-06-01T00:00:00"/>
    <x v="1"/>
    <x v="0"/>
    <x v="0"/>
    <m/>
    <m/>
    <m/>
    <s v="NT"/>
    <m/>
    <m/>
    <n v="270"/>
    <m/>
    <x v="0"/>
    <m/>
    <n v="0.46986202125896792"/>
    <n v="18"/>
    <x v="0"/>
  </r>
  <r>
    <d v="2020-06-01T00:00:00"/>
    <x v="1"/>
    <x v="0"/>
    <x v="0"/>
    <m/>
    <m/>
    <m/>
    <s v="NT"/>
    <m/>
    <m/>
    <n v="250"/>
    <m/>
    <x v="0"/>
    <m/>
    <n v="0.9709912994741422"/>
    <n v="16"/>
    <x v="0"/>
  </r>
  <r>
    <d v="2020-06-01T00:00:00"/>
    <x v="1"/>
    <x v="1"/>
    <x v="0"/>
    <m/>
    <m/>
    <m/>
    <n v="22"/>
    <s v="Pink"/>
    <s v="Pink22"/>
    <n v="317"/>
    <s v="NW"/>
    <x v="1"/>
    <m/>
    <n v="0.4507702619073774"/>
    <n v="23"/>
    <x v="0"/>
  </r>
  <r>
    <d v="2020-06-01T00:00:00"/>
    <x v="1"/>
    <x v="1"/>
    <x v="0"/>
    <m/>
    <m/>
    <m/>
    <n v="23"/>
    <s v="Pink"/>
    <s v="Pink23"/>
    <n v="412"/>
    <s v="NW"/>
    <x v="1"/>
    <m/>
    <n v="9.57918772919997E-2"/>
    <n v="32"/>
    <x v="2"/>
  </r>
  <r>
    <d v="2020-06-01T00:00:00"/>
    <x v="1"/>
    <x v="1"/>
    <x v="0"/>
    <m/>
    <m/>
    <m/>
    <n v="24"/>
    <s v="Pink"/>
    <s v="Pink24"/>
    <n v="320"/>
    <s v="NW"/>
    <x v="1"/>
    <m/>
    <n v="0.97408164663896046"/>
    <n v="23"/>
    <x v="2"/>
  </r>
  <r>
    <d v="2020-06-01T00:00:00"/>
    <x v="1"/>
    <x v="1"/>
    <x v="0"/>
    <m/>
    <m/>
    <m/>
    <n v="25"/>
    <s v="Pink"/>
    <s v="Pink25"/>
    <n v="425"/>
    <s v="NW"/>
    <x v="1"/>
    <m/>
    <n v="0.39023506100766131"/>
    <n v="34"/>
    <x v="2"/>
  </r>
  <r>
    <d v="2020-06-01T00:00:00"/>
    <x v="1"/>
    <x v="1"/>
    <x v="0"/>
    <m/>
    <m/>
    <m/>
    <n v="26"/>
    <s v="Pink"/>
    <s v="Pink26"/>
    <n v="318"/>
    <s v="NW"/>
    <x v="1"/>
    <m/>
    <n v="0.68067035576359847"/>
    <n v="23"/>
    <x v="0"/>
  </r>
  <r>
    <d v="2020-06-01T00:00:00"/>
    <x v="1"/>
    <x v="1"/>
    <x v="0"/>
    <m/>
    <m/>
    <m/>
    <n v="27"/>
    <s v="Pink"/>
    <s v="Pink27"/>
    <n v="315"/>
    <s v="NW"/>
    <x v="1"/>
    <m/>
    <n v="2.666931880017245E-2"/>
    <n v="23"/>
    <x v="0"/>
  </r>
  <r>
    <d v="2020-06-01T00:00:00"/>
    <x v="1"/>
    <x v="1"/>
    <x v="0"/>
    <m/>
    <m/>
    <m/>
    <n v="28"/>
    <s v="Pink"/>
    <s v="Pink28"/>
    <n v="305"/>
    <s v="NW"/>
    <x v="1"/>
    <m/>
    <n v="0.2312410744983894"/>
    <n v="22"/>
    <x v="0"/>
  </r>
  <r>
    <d v="2020-06-01T00:00:00"/>
    <x v="1"/>
    <x v="1"/>
    <x v="0"/>
    <m/>
    <m/>
    <m/>
    <n v="29"/>
    <s v="Pink"/>
    <s v="Pink29"/>
    <n v="310"/>
    <s v="NW"/>
    <x v="1"/>
    <m/>
    <n v="0.46873909443092493"/>
    <n v="22"/>
    <x v="0"/>
  </r>
  <r>
    <d v="2020-06-02T00:00:00"/>
    <x v="1"/>
    <x v="0"/>
    <x v="0"/>
    <m/>
    <m/>
    <m/>
    <s v="NT"/>
    <m/>
    <m/>
    <n v="292"/>
    <m/>
    <x v="0"/>
    <m/>
    <n v="9.7960100554842555E-2"/>
    <n v="20"/>
    <x v="0"/>
  </r>
  <r>
    <d v="2020-06-02T00:00:00"/>
    <x v="1"/>
    <x v="0"/>
    <x v="0"/>
    <m/>
    <m/>
    <m/>
    <s v="NT"/>
    <m/>
    <m/>
    <n v="249"/>
    <m/>
    <x v="0"/>
    <m/>
    <n v="0.41541002523871606"/>
    <n v="16"/>
    <x v="1"/>
  </r>
  <r>
    <d v="2020-06-02T00:00:00"/>
    <x v="1"/>
    <x v="1"/>
    <x v="0"/>
    <m/>
    <m/>
    <m/>
    <n v="30"/>
    <s v="Pink"/>
    <s v="Pink30"/>
    <n v="310"/>
    <s v="NW"/>
    <x v="1"/>
    <m/>
    <n v="0.79629418710074118"/>
    <n v="22"/>
    <x v="0"/>
  </r>
  <r>
    <d v="2020-06-08T00:00:00"/>
    <x v="1"/>
    <x v="0"/>
    <x v="0"/>
    <m/>
    <m/>
    <m/>
    <s v="NT"/>
    <m/>
    <m/>
    <n v="303"/>
    <m/>
    <x v="0"/>
    <m/>
    <n v="0.31640260215681165"/>
    <n v="21"/>
    <x v="0"/>
  </r>
  <r>
    <d v="2020-06-08T00:00:00"/>
    <x v="1"/>
    <x v="0"/>
    <x v="0"/>
    <m/>
    <m/>
    <m/>
    <s v="NT"/>
    <m/>
    <m/>
    <n v="323"/>
    <m/>
    <x v="0"/>
    <m/>
    <n v="0.77853444953380824"/>
    <n v="23"/>
    <x v="0"/>
  </r>
  <r>
    <d v="2020-06-08T00:00:00"/>
    <x v="1"/>
    <x v="1"/>
    <x v="0"/>
    <m/>
    <m/>
    <m/>
    <n v="44"/>
    <s v="Green"/>
    <s v="Green44"/>
    <n v="240"/>
    <m/>
    <x v="1"/>
    <m/>
    <n v="0.82849331471533205"/>
    <n v="15"/>
    <x v="0"/>
  </r>
  <r>
    <d v="2020-06-08T00:00:00"/>
    <x v="1"/>
    <x v="1"/>
    <x v="0"/>
    <m/>
    <m/>
    <m/>
    <n v="45"/>
    <s v="Green"/>
    <s v="Green45"/>
    <n v="242"/>
    <m/>
    <x v="1"/>
    <m/>
    <n v="0.48714042058547047"/>
    <n v="15"/>
    <x v="1"/>
  </r>
  <r>
    <d v="2020-06-08T00:00:00"/>
    <x v="1"/>
    <x v="1"/>
    <x v="0"/>
    <m/>
    <m/>
    <m/>
    <n v="46"/>
    <s v="Green"/>
    <s v="Green46"/>
    <n v="250"/>
    <m/>
    <x v="1"/>
    <m/>
    <n v="0.36904878000218833"/>
    <n v="16"/>
    <x v="1"/>
  </r>
  <r>
    <d v="2020-06-08T00:00:00"/>
    <x v="1"/>
    <x v="1"/>
    <x v="0"/>
    <m/>
    <m/>
    <m/>
    <n v="47"/>
    <s v="Green"/>
    <s v="Green47"/>
    <n v="236"/>
    <m/>
    <x v="1"/>
    <m/>
    <n v="0.60284549677877008"/>
    <n v="15"/>
    <x v="1"/>
  </r>
  <r>
    <d v="2020-06-11T00:00:00"/>
    <x v="1"/>
    <x v="2"/>
    <x v="0"/>
    <m/>
    <m/>
    <m/>
    <n v="9"/>
    <s v="Pink"/>
    <s v="Pink9"/>
    <n v="270"/>
    <m/>
    <x v="1"/>
    <m/>
    <n v="2.4264360789332706E-2"/>
    <n v="18"/>
    <x v="0"/>
  </r>
  <r>
    <d v="2020-06-11T00:00:00"/>
    <x v="1"/>
    <x v="2"/>
    <x v="0"/>
    <m/>
    <m/>
    <m/>
    <n v="10"/>
    <s v="Pink"/>
    <s v="Pink10"/>
    <n v="330"/>
    <m/>
    <x v="1"/>
    <m/>
    <n v="0.81111178631480396"/>
    <n v="24"/>
    <x v="0"/>
  </r>
  <r>
    <d v="2020-06-11T00:00:00"/>
    <x v="1"/>
    <x v="1"/>
    <x v="0"/>
    <m/>
    <m/>
    <m/>
    <n v="48"/>
    <s v="Green"/>
    <s v="Green48"/>
    <n v="335"/>
    <m/>
    <x v="1"/>
    <m/>
    <n v="0.35579259291095316"/>
    <n v="25"/>
    <x v="0"/>
  </r>
  <r>
    <d v="2020-06-20T00:00:00"/>
    <x v="1"/>
    <x v="0"/>
    <x v="1"/>
    <m/>
    <m/>
    <m/>
    <s v="NT"/>
    <m/>
    <m/>
    <m/>
    <m/>
    <x v="1"/>
    <m/>
    <n v="0.80610905438946046"/>
    <n v="-9"/>
    <x v="1"/>
  </r>
  <r>
    <d v="2020-06-26T00:00:00"/>
    <x v="1"/>
    <x v="0"/>
    <x v="2"/>
    <m/>
    <m/>
    <m/>
    <s v="NT"/>
    <m/>
    <m/>
    <m/>
    <m/>
    <x v="1"/>
    <m/>
    <n v="0.27487712366267902"/>
    <n v="-9"/>
    <x v="3"/>
  </r>
  <r>
    <d v="2020-07-08T00:00:00"/>
    <x v="2"/>
    <x v="0"/>
    <x v="0"/>
    <d v="1899-12-30T10:11:00"/>
    <d v="1899-12-30T10:12:00"/>
    <d v="1899-12-30T00:01:00"/>
    <s v="NT"/>
    <m/>
    <m/>
    <n v="287"/>
    <s v="Dock 13"/>
    <x v="0"/>
    <m/>
    <n v="0.85981739864676143"/>
    <n v="20"/>
    <x v="0"/>
  </r>
  <r>
    <d v="2020-07-08T00:00:00"/>
    <x v="2"/>
    <x v="0"/>
    <x v="0"/>
    <d v="1899-12-30T10:07:00"/>
    <d v="1899-12-30T10:09:00"/>
    <d v="1899-12-30T00:02:00"/>
    <s v="NT"/>
    <m/>
    <m/>
    <n v="230"/>
    <s v="Dock 13"/>
    <x v="0"/>
    <m/>
    <n v="0.95101905611856796"/>
    <n v="14"/>
    <x v="0"/>
  </r>
  <r>
    <d v="2020-07-08T00:00:00"/>
    <x v="2"/>
    <x v="0"/>
    <x v="0"/>
    <d v="1899-12-30T10:09:00"/>
    <d v="1899-12-30T10:11:00"/>
    <d v="1899-12-30T00:02:00"/>
    <s v="NT"/>
    <m/>
    <m/>
    <n v="225"/>
    <s v="Dock 13"/>
    <x v="0"/>
    <m/>
    <n v="0.77727618477180427"/>
    <n v="14"/>
    <x v="1"/>
  </r>
  <r>
    <d v="2020-07-08T00:00:00"/>
    <x v="2"/>
    <x v="0"/>
    <x v="0"/>
    <d v="1899-12-30T10:45:00"/>
    <d v="1899-12-30T10:47:00"/>
    <d v="1899-12-30T00:02:00"/>
    <s v="NT"/>
    <m/>
    <m/>
    <n v="313"/>
    <s v="Dock 14"/>
    <x v="0"/>
    <m/>
    <n v="0.68083745971361054"/>
    <n v="22"/>
    <x v="0"/>
  </r>
  <r>
    <d v="2020-07-08T00:00:00"/>
    <x v="2"/>
    <x v="0"/>
    <x v="0"/>
    <d v="1899-12-30T11:35:00"/>
    <d v="1899-12-30T11:37:00"/>
    <d v="1899-12-30T00:02:00"/>
    <s v="NT"/>
    <m/>
    <m/>
    <n v="310"/>
    <s v="Dock 15"/>
    <x v="0"/>
    <m/>
    <n v="0.83518540665283114"/>
    <n v="22"/>
    <x v="0"/>
  </r>
  <r>
    <d v="2020-07-08T00:00:00"/>
    <x v="2"/>
    <x v="0"/>
    <x v="0"/>
    <d v="1899-12-30T09:12:00"/>
    <d v="1899-12-30T09:16:00"/>
    <d v="1899-12-30T00:04:00"/>
    <s v="NT"/>
    <m/>
    <m/>
    <n v="323"/>
    <s v="Dock 10"/>
    <x v="0"/>
    <m/>
    <n v="0.96112961413391385"/>
    <n v="23"/>
    <x v="2"/>
  </r>
  <r>
    <d v="2020-07-08T00:00:00"/>
    <x v="2"/>
    <x v="0"/>
    <x v="0"/>
    <d v="1899-12-30T12:55:00"/>
    <d v="1899-12-30T13:00:00"/>
    <d v="1899-12-30T00:05:00"/>
    <s v="NT"/>
    <m/>
    <m/>
    <n v="220"/>
    <s v="Dock 5"/>
    <x v="0"/>
    <m/>
    <n v="0.7054247486895997"/>
    <n v="13"/>
    <x v="1"/>
  </r>
  <r>
    <d v="2020-07-08T00:00:00"/>
    <x v="2"/>
    <x v="0"/>
    <x v="0"/>
    <d v="1899-12-30T12:36:00"/>
    <d v="1899-12-30T12:42:00"/>
    <d v="1899-12-30T00:06:00"/>
    <s v="NT"/>
    <m/>
    <m/>
    <n v="250"/>
    <s v="Dock 5"/>
    <x v="0"/>
    <m/>
    <n v="7.3751226101886128E-2"/>
    <n v="16"/>
    <x v="1"/>
  </r>
  <r>
    <d v="2020-07-08T00:00:00"/>
    <x v="2"/>
    <x v="0"/>
    <x v="0"/>
    <d v="1899-12-30T10:35:00"/>
    <d v="1899-12-30T10:42:00"/>
    <d v="1899-12-30T00:07:00"/>
    <s v="NT"/>
    <m/>
    <m/>
    <n v="252"/>
    <s v="Dock 14"/>
    <x v="0"/>
    <m/>
    <n v="0.53685709440003015"/>
    <n v="16"/>
    <x v="1"/>
  </r>
  <r>
    <d v="2020-07-08T00:00:00"/>
    <x v="2"/>
    <x v="0"/>
    <x v="0"/>
    <d v="1899-12-30T08:15:00"/>
    <d v="1899-12-30T08:25:00"/>
    <d v="1899-12-30T00:10:00"/>
    <s v="NT"/>
    <m/>
    <m/>
    <n v="250"/>
    <s v="Dock 9"/>
    <x v="0"/>
    <m/>
    <n v="0.95718558130654763"/>
    <n v="16"/>
    <x v="0"/>
  </r>
  <r>
    <d v="2020-07-08T00:00:00"/>
    <x v="2"/>
    <x v="0"/>
    <x v="0"/>
    <d v="1899-12-30T08:25:00"/>
    <d v="1899-12-30T08:36:00"/>
    <d v="1899-12-30T00:11:00"/>
    <s v="NT"/>
    <m/>
    <m/>
    <n v="245"/>
    <s v="Dock 9"/>
    <x v="0"/>
    <m/>
    <n v="0.41806501914656957"/>
    <n v="16"/>
    <x v="1"/>
  </r>
  <r>
    <d v="2020-07-08T00:00:00"/>
    <x v="2"/>
    <x v="0"/>
    <x v="0"/>
    <d v="1899-12-30T08:25:00"/>
    <d v="1899-12-30T08:36:00"/>
    <d v="1899-12-30T00:11:00"/>
    <s v="NT"/>
    <m/>
    <m/>
    <n v="220"/>
    <s v="Dock 9"/>
    <x v="0"/>
    <m/>
    <n v="0.41877679639438947"/>
    <n v="13"/>
    <x v="1"/>
  </r>
  <r>
    <d v="2020-07-08T00:00:00"/>
    <x v="2"/>
    <x v="0"/>
    <x v="0"/>
    <d v="1899-12-30T09:55:00"/>
    <d v="1899-12-30T10:07:00"/>
    <d v="1899-12-30T00:12:00"/>
    <s v="NT"/>
    <m/>
    <m/>
    <n v="250"/>
    <s v="Dock 13"/>
    <x v="0"/>
    <m/>
    <n v="0.38161700050421848"/>
    <n v="16"/>
    <x v="1"/>
  </r>
  <r>
    <d v="2020-07-08T00:00:00"/>
    <x v="2"/>
    <x v="0"/>
    <x v="0"/>
    <d v="1899-12-30T12:42:00"/>
    <d v="1899-12-30T12:55:00"/>
    <d v="1899-12-30T00:13:00"/>
    <s v="NT"/>
    <m/>
    <m/>
    <n v="225"/>
    <s v="Dock 5"/>
    <x v="0"/>
    <m/>
    <n v="0.83692747440046045"/>
    <n v="14"/>
    <x v="1"/>
  </r>
  <r>
    <d v="2020-07-08T00:00:00"/>
    <x v="2"/>
    <x v="0"/>
    <x v="0"/>
    <d v="1899-12-30T10:47:00"/>
    <d v="1899-12-30T11:02:00"/>
    <d v="1899-12-30T00:15:00"/>
    <s v="NT"/>
    <m/>
    <m/>
    <n v="226"/>
    <s v="Dock 15"/>
    <x v="0"/>
    <m/>
    <n v="0.24006224853920854"/>
    <n v="14"/>
    <x v="1"/>
  </r>
  <r>
    <d v="2020-07-08T00:00:00"/>
    <x v="2"/>
    <x v="0"/>
    <x v="0"/>
    <d v="1899-12-30T08:00:00"/>
    <d v="1899-12-30T08:15:00"/>
    <d v="1899-12-30T00:15:00"/>
    <s v="NT"/>
    <m/>
    <m/>
    <n v="144"/>
    <s v="Dock 9"/>
    <x v="0"/>
    <m/>
    <n v="0.72621119847810423"/>
    <n v="5"/>
    <x v="3"/>
  </r>
  <r>
    <d v="2020-07-08T00:00:00"/>
    <x v="2"/>
    <x v="0"/>
    <x v="0"/>
    <d v="1899-12-30T09:40:00"/>
    <d v="1899-12-30T09:55:00"/>
    <d v="1899-12-30T00:15:00"/>
    <s v="NT"/>
    <m/>
    <m/>
    <n v="310"/>
    <s v="Dock 12"/>
    <x v="0"/>
    <m/>
    <n v="0.43161282149684282"/>
    <n v="22"/>
    <x v="0"/>
  </r>
  <r>
    <d v="2020-07-08T00:00:00"/>
    <x v="2"/>
    <x v="0"/>
    <x v="0"/>
    <d v="1899-12-30T12:05:00"/>
    <d v="1899-12-30T12:20:00"/>
    <d v="1899-12-30T00:15:00"/>
    <s v="NT"/>
    <m/>
    <m/>
    <n v="280"/>
    <s v="Dock 6"/>
    <x v="0"/>
    <m/>
    <n v="0.11669089743713425"/>
    <n v="19"/>
    <x v="0"/>
  </r>
  <r>
    <d v="2020-07-08T00:00:00"/>
    <x v="2"/>
    <x v="0"/>
    <x v="0"/>
    <d v="1899-12-30T12:20:00"/>
    <d v="1899-12-30T12:36:00"/>
    <d v="1899-12-30T00:16:00"/>
    <s v="NT"/>
    <m/>
    <m/>
    <n v="131"/>
    <s v="Dock 5"/>
    <x v="0"/>
    <m/>
    <n v="0.22391322591524257"/>
    <n v="4"/>
    <x v="3"/>
  </r>
  <r>
    <d v="2020-07-08T00:00:00"/>
    <x v="2"/>
    <x v="0"/>
    <x v="0"/>
    <d v="1899-12-30T11:02:00"/>
    <d v="1899-12-30T11:19:00"/>
    <d v="1899-12-30T00:17:00"/>
    <s v="NT"/>
    <m/>
    <m/>
    <n v="308"/>
    <s v="Dock 15"/>
    <x v="0"/>
    <m/>
    <n v="0.30958795748166179"/>
    <n v="22"/>
    <x v="0"/>
  </r>
  <r>
    <d v="2020-07-08T00:00:00"/>
    <x v="2"/>
    <x v="0"/>
    <x v="0"/>
    <d v="1899-12-30T10:14:00"/>
    <d v="1899-12-30T10:35:00"/>
    <d v="1899-12-30T00:21:00"/>
    <s v="NT"/>
    <m/>
    <m/>
    <n v="236"/>
    <s v="Dock 14"/>
    <x v="0"/>
    <m/>
    <n v="0.24480139428973263"/>
    <n v="15"/>
    <x v="1"/>
  </r>
  <r>
    <d v="2020-07-08T00:00:00"/>
    <x v="2"/>
    <x v="0"/>
    <x v="0"/>
    <d v="1899-12-30T09:16:00"/>
    <d v="1899-12-30T09:40:00"/>
    <d v="1899-12-30T00:24:00"/>
    <s v="NT"/>
    <m/>
    <m/>
    <n v="325"/>
    <s v="Dock 11"/>
    <x v="0"/>
    <m/>
    <n v="0.3770338275362895"/>
    <n v="24"/>
    <x v="0"/>
  </r>
  <r>
    <d v="2020-07-08T00:00:00"/>
    <x v="2"/>
    <x v="0"/>
    <x v="0"/>
    <d v="1899-12-30T11:37:00"/>
    <d v="1899-12-30T12:05:00"/>
    <d v="1899-12-30T00:28:00"/>
    <s v="NT"/>
    <m/>
    <m/>
    <n v="130"/>
    <s v="Dock 6"/>
    <x v="0"/>
    <m/>
    <n v="0.80753940241762412"/>
    <n v="4"/>
    <x v="3"/>
  </r>
  <r>
    <d v="2020-07-08T00:00:00"/>
    <x v="2"/>
    <x v="2"/>
    <x v="0"/>
    <d v="1899-12-30T11:03:00"/>
    <d v="1899-12-30T11:06:00"/>
    <d v="1899-12-30T00:03:00"/>
    <n v="24"/>
    <s v="Pink"/>
    <s v="Pink24"/>
    <n v="320"/>
    <m/>
    <x v="0"/>
    <m/>
    <n v="0.31473643300809734"/>
    <n v="23"/>
    <x v="2"/>
  </r>
  <r>
    <d v="2020-07-08T00:00:00"/>
    <x v="2"/>
    <x v="2"/>
    <x v="0"/>
    <d v="1899-12-30T10:50:00"/>
    <d v="1899-12-30T11:00:00"/>
    <d v="1899-12-30T00:10:00"/>
    <n v="25"/>
    <s v="Pink"/>
    <s v="Pink25"/>
    <n v="425"/>
    <m/>
    <x v="0"/>
    <m/>
    <n v="0.77522956709155322"/>
    <n v="34"/>
    <x v="2"/>
  </r>
  <r>
    <d v="2020-07-08T00:00:00"/>
    <x v="2"/>
    <x v="2"/>
    <x v="0"/>
    <d v="1899-12-30T10:21:00"/>
    <d v="1899-12-30T10:36:00"/>
    <d v="1899-12-30T00:15:00"/>
    <n v="18"/>
    <s v="Pink"/>
    <s v="Pink18"/>
    <n v="265"/>
    <m/>
    <x v="0"/>
    <m/>
    <n v="0.28333410773581552"/>
    <n v="18"/>
    <x v="0"/>
  </r>
  <r>
    <d v="2020-07-10T00:00:00"/>
    <x v="2"/>
    <x v="0"/>
    <x v="0"/>
    <d v="1899-12-30T12:10:00"/>
    <d v="1899-12-30T12:11:00"/>
    <d v="1899-12-30T00:01:00"/>
    <s v="NT"/>
    <m/>
    <m/>
    <n v="236"/>
    <s v="Dock 5"/>
    <x v="0"/>
    <m/>
    <n v="0.99634871585124574"/>
    <n v="15"/>
    <x v="0"/>
  </r>
  <r>
    <d v="2020-07-10T00:00:00"/>
    <x v="2"/>
    <x v="0"/>
    <x v="0"/>
    <d v="1899-12-30T09:30:00"/>
    <d v="1899-12-30T09:32:00"/>
    <d v="1899-12-30T00:02:00"/>
    <s v="NT"/>
    <m/>
    <m/>
    <n v="250"/>
    <s v="Dock 15"/>
    <x v="0"/>
    <m/>
    <n v="0.63286731188784695"/>
    <n v="16"/>
    <x v="0"/>
  </r>
  <r>
    <d v="2020-07-10T00:00:00"/>
    <x v="2"/>
    <x v="0"/>
    <x v="0"/>
    <d v="1899-12-30T13:12:00"/>
    <d v="1899-12-30T13:14:00"/>
    <d v="1899-12-30T00:02:00"/>
    <s v="NT"/>
    <m/>
    <m/>
    <n v="140"/>
    <s v="Dock 3"/>
    <x v="0"/>
    <m/>
    <n v="0.60091089904350736"/>
    <n v="5"/>
    <x v="3"/>
  </r>
  <r>
    <d v="2020-07-10T00:00:00"/>
    <x v="2"/>
    <x v="0"/>
    <x v="0"/>
    <d v="1899-12-30T09:58:00"/>
    <d v="1899-12-30T10:02:00"/>
    <d v="1899-12-30T00:04:00"/>
    <s v="NT"/>
    <m/>
    <m/>
    <n v="331"/>
    <s v="Dock 14"/>
    <x v="0"/>
    <m/>
    <n v="0.50948022422822203"/>
    <n v="24"/>
    <x v="0"/>
  </r>
  <r>
    <d v="2020-07-10T00:00:00"/>
    <x v="2"/>
    <x v="0"/>
    <x v="0"/>
    <d v="1899-12-30T10:02:00"/>
    <d v="1899-12-30T10:06:00"/>
    <d v="1899-12-30T00:04:00"/>
    <s v="NT"/>
    <m/>
    <m/>
    <n v="133"/>
    <s v="Dock 14"/>
    <x v="0"/>
    <m/>
    <n v="0.83412860372761666"/>
    <n v="4"/>
    <x v="3"/>
  </r>
  <r>
    <d v="2020-07-10T00:00:00"/>
    <x v="2"/>
    <x v="0"/>
    <x v="0"/>
    <d v="1899-12-30T08:50:00"/>
    <d v="1899-12-30T08:55:00"/>
    <d v="1899-12-30T00:05:00"/>
    <s v="NT"/>
    <m/>
    <m/>
    <n v="235"/>
    <s v="Dock 16"/>
    <x v="0"/>
    <m/>
    <n v="0.19944285005305096"/>
    <n v="15"/>
    <x v="1"/>
  </r>
  <r>
    <d v="2020-07-10T00:00:00"/>
    <x v="2"/>
    <x v="0"/>
    <x v="0"/>
    <d v="1899-12-30T07:40:00"/>
    <d v="1899-12-30T07:45:00"/>
    <d v="1899-12-30T00:05:00"/>
    <s v="NT"/>
    <m/>
    <m/>
    <n v="222"/>
    <s v="Dock 18"/>
    <x v="0"/>
    <m/>
    <n v="3.5980841627335565E-2"/>
    <n v="13"/>
    <x v="1"/>
  </r>
  <r>
    <d v="2020-07-10T00:00:00"/>
    <x v="2"/>
    <x v="0"/>
    <x v="0"/>
    <d v="1899-12-30T07:45:00"/>
    <d v="1899-12-30T07:50:00"/>
    <d v="1899-12-30T00:05:00"/>
    <s v="NT"/>
    <m/>
    <m/>
    <n v="225"/>
    <s v="Dock 18"/>
    <x v="0"/>
    <m/>
    <n v="0.73000523062888778"/>
    <n v="14"/>
    <x v="1"/>
  </r>
  <r>
    <d v="2020-07-10T00:00:00"/>
    <x v="2"/>
    <x v="0"/>
    <x v="0"/>
    <d v="1899-12-30T07:50:00"/>
    <d v="1899-12-30T07:55:00"/>
    <d v="1899-12-30T00:05:00"/>
    <s v="NT"/>
    <m/>
    <m/>
    <n v="240"/>
    <s v="Dock 18"/>
    <x v="0"/>
    <m/>
    <n v="0.19791117971665748"/>
    <n v="15"/>
    <x v="1"/>
  </r>
  <r>
    <d v="2020-07-10T00:00:00"/>
    <x v="2"/>
    <x v="0"/>
    <x v="0"/>
    <d v="1899-12-30T07:55:00"/>
    <d v="1899-12-30T08:00:00"/>
    <d v="1899-12-30T00:05:00"/>
    <s v="NT"/>
    <m/>
    <m/>
    <n v="310"/>
    <s v="Dock 18"/>
    <x v="0"/>
    <m/>
    <n v="0.29319749786201749"/>
    <n v="22"/>
    <x v="0"/>
  </r>
  <r>
    <d v="2020-07-10T00:00:00"/>
    <x v="2"/>
    <x v="0"/>
    <x v="0"/>
    <d v="1899-12-30T12:30:00"/>
    <d v="1899-12-30T12:35:00"/>
    <d v="1899-12-30T00:05:00"/>
    <s v="NT"/>
    <m/>
    <m/>
    <n v="254"/>
    <s v="Dock 5"/>
    <x v="0"/>
    <m/>
    <n v="0.7703465669277807"/>
    <n v="16"/>
    <x v="0"/>
  </r>
  <r>
    <d v="2020-07-10T00:00:00"/>
    <x v="2"/>
    <x v="0"/>
    <x v="0"/>
    <d v="1899-12-30T11:35:00"/>
    <d v="1899-12-30T11:42:00"/>
    <d v="1899-12-30T00:07:00"/>
    <s v="NT"/>
    <m/>
    <m/>
    <n v="140"/>
    <s v="Dock 6"/>
    <x v="0"/>
    <m/>
    <n v="0.21475035520957333"/>
    <n v="5"/>
    <x v="3"/>
  </r>
  <r>
    <d v="2020-07-10T00:00:00"/>
    <x v="2"/>
    <x v="0"/>
    <x v="0"/>
    <d v="1899-12-30T08:56:00"/>
    <d v="1899-12-30T09:04:00"/>
    <d v="1899-12-30T00:08:00"/>
    <s v="NT"/>
    <m/>
    <m/>
    <n v="235"/>
    <s v="Dock 16"/>
    <x v="0"/>
    <m/>
    <n v="0.30922000729908233"/>
    <n v="15"/>
    <x v="1"/>
  </r>
  <r>
    <d v="2020-07-10T00:00:00"/>
    <x v="2"/>
    <x v="0"/>
    <x v="0"/>
    <d v="1899-12-30T13:03:00"/>
    <d v="1899-12-30T13:12:00"/>
    <d v="1899-12-30T00:09:00"/>
    <s v="NT"/>
    <m/>
    <m/>
    <n v="236"/>
    <s v="Dock 3"/>
    <x v="0"/>
    <m/>
    <n v="6.0662675677175946E-2"/>
    <n v="15"/>
    <x v="1"/>
  </r>
  <r>
    <d v="2020-07-10T00:00:00"/>
    <x v="2"/>
    <x v="0"/>
    <x v="0"/>
    <d v="1899-12-30T09:17:00"/>
    <d v="1899-12-30T09:26:00"/>
    <d v="1899-12-30T00:09:00"/>
    <s v="NT"/>
    <m/>
    <m/>
    <n v="231"/>
    <s v="Dock 15"/>
    <x v="0"/>
    <m/>
    <n v="0.55759010629616212"/>
    <n v="14"/>
    <x v="1"/>
  </r>
  <r>
    <d v="2020-07-10T00:00:00"/>
    <x v="2"/>
    <x v="0"/>
    <x v="0"/>
    <d v="1899-12-30T09:32:00"/>
    <d v="1899-12-30T09:42:00"/>
    <d v="1899-12-30T00:10:00"/>
    <s v="NT"/>
    <m/>
    <m/>
    <n v="217"/>
    <s v="Dock 15"/>
    <x v="0"/>
    <m/>
    <n v="0.41691651959759951"/>
    <n v="13"/>
    <x v="1"/>
  </r>
  <r>
    <d v="2020-07-10T00:00:00"/>
    <x v="2"/>
    <x v="0"/>
    <x v="0"/>
    <d v="1899-12-30T12:35:00"/>
    <d v="1899-12-30T12:47:00"/>
    <d v="1899-12-30T00:12:00"/>
    <s v="NT"/>
    <m/>
    <m/>
    <n v="242"/>
    <s v="Dock 4"/>
    <x v="0"/>
    <m/>
    <n v="0.1159448768552136"/>
    <n v="15"/>
    <x v="1"/>
  </r>
  <r>
    <d v="2020-07-10T00:00:00"/>
    <x v="2"/>
    <x v="0"/>
    <x v="0"/>
    <d v="1899-12-30T10:06:00"/>
    <d v="1899-12-30T10:18:00"/>
    <d v="1899-12-30T00:12:00"/>
    <s v="NT"/>
    <m/>
    <m/>
    <n v="238"/>
    <s v="Dock 14"/>
    <x v="0"/>
    <m/>
    <n v="0.68554530557503235"/>
    <n v="15"/>
    <x v="1"/>
  </r>
  <r>
    <d v="2020-07-10T00:00:00"/>
    <x v="2"/>
    <x v="0"/>
    <x v="0"/>
    <d v="1899-12-30T09:04:00"/>
    <d v="1899-12-30T09:17:00"/>
    <d v="1899-12-30T00:13:00"/>
    <s v="NT"/>
    <m/>
    <m/>
    <n v="237"/>
    <s v="Dock 16 "/>
    <x v="0"/>
    <m/>
    <n v="0.95995079956946461"/>
    <n v="15"/>
    <x v="0"/>
  </r>
  <r>
    <d v="2020-07-10T00:00:00"/>
    <x v="2"/>
    <x v="0"/>
    <x v="0"/>
    <d v="1899-12-30T08:00:00"/>
    <d v="1899-12-30T08:14:00"/>
    <d v="1899-12-30T00:14:00"/>
    <s v="NT"/>
    <m/>
    <m/>
    <n v="231"/>
    <s v="Dock 18"/>
    <x v="0"/>
    <m/>
    <n v="0.89308836399255709"/>
    <n v="14"/>
    <x v="0"/>
  </r>
  <r>
    <d v="2020-07-10T00:00:00"/>
    <x v="2"/>
    <x v="0"/>
    <x v="0"/>
    <d v="1899-12-30T09:42:00"/>
    <d v="1899-12-30T09:58:00"/>
    <d v="1899-12-30T00:16:00"/>
    <s v="NT"/>
    <m/>
    <m/>
    <n v="215"/>
    <s v="Dock 14"/>
    <x v="0"/>
    <m/>
    <n v="0.13613362290716433"/>
    <n v="13"/>
    <x v="1"/>
  </r>
  <r>
    <d v="2020-07-10T00:00:00"/>
    <x v="2"/>
    <x v="0"/>
    <x v="0"/>
    <d v="1899-12-30T12:47:00"/>
    <d v="1899-12-30T13:03:00"/>
    <d v="1899-12-30T00:16:00"/>
    <s v="NT"/>
    <m/>
    <m/>
    <n v="246"/>
    <s v="Dock 3"/>
    <x v="0"/>
    <m/>
    <n v="0.99780020071091136"/>
    <n v="16"/>
    <x v="0"/>
  </r>
  <r>
    <d v="2020-07-10T00:00:00"/>
    <x v="2"/>
    <x v="0"/>
    <x v="0"/>
    <d v="1899-12-30T13:14:00"/>
    <d v="1899-12-30T13:30:00"/>
    <d v="1899-12-30T00:16:00"/>
    <s v="NT"/>
    <m/>
    <m/>
    <n v="244"/>
    <s v="Logan's House"/>
    <x v="0"/>
    <m/>
    <n v="2.7973348287853108E-2"/>
    <n v="15"/>
    <x v="1"/>
  </r>
  <r>
    <d v="2020-07-10T00:00:00"/>
    <x v="2"/>
    <x v="0"/>
    <x v="0"/>
    <d v="1899-12-30T08:33:00"/>
    <d v="1899-12-30T08:50:00"/>
    <d v="1899-12-30T00:17:00"/>
    <s v="NT"/>
    <m/>
    <m/>
    <n v="250"/>
    <s v="Dock 16"/>
    <x v="0"/>
    <m/>
    <n v="0.14806467394720049"/>
    <n v="16"/>
    <x v="1"/>
  </r>
  <r>
    <d v="2020-07-10T00:00:00"/>
    <x v="2"/>
    <x v="0"/>
    <x v="0"/>
    <d v="1899-12-30T08:15:00"/>
    <d v="1899-12-30T08:33:00"/>
    <d v="1899-12-30T00:18:00"/>
    <s v="NT"/>
    <m/>
    <m/>
    <n v="237"/>
    <s v="Dock 17"/>
    <x v="0"/>
    <m/>
    <n v="0.52297503059868466"/>
    <n v="15"/>
    <x v="1"/>
  </r>
  <r>
    <d v="2020-07-10T00:00:00"/>
    <x v="2"/>
    <x v="0"/>
    <x v="0"/>
    <d v="1899-12-30T12:11:00"/>
    <d v="1899-12-30T12:30:00"/>
    <d v="1899-12-30T00:19:00"/>
    <s v="NT"/>
    <m/>
    <m/>
    <n v="247"/>
    <s v="Dock 5"/>
    <x v="0"/>
    <m/>
    <n v="0.64133927209365149"/>
    <n v="16"/>
    <x v="0"/>
  </r>
  <r>
    <d v="2020-07-10T00:00:00"/>
    <x v="2"/>
    <x v="0"/>
    <x v="0"/>
    <d v="1899-12-30T11:45:00"/>
    <d v="1899-12-30T12:10:00"/>
    <d v="1899-12-30T00:25:00"/>
    <s v="NT"/>
    <m/>
    <m/>
    <n v="147"/>
    <s v="Dock 5"/>
    <x v="0"/>
    <m/>
    <n v="0.98914607800037879"/>
    <n v="6"/>
    <x v="1"/>
  </r>
  <r>
    <d v="2020-07-10T00:00:00"/>
    <x v="2"/>
    <x v="0"/>
    <x v="0"/>
    <d v="1899-12-30T10:18:00"/>
    <d v="1899-12-30T11:30:00"/>
    <d v="1899-12-30T01:12:00"/>
    <s v="NT"/>
    <m/>
    <m/>
    <n v="233"/>
    <s v="Dock 6"/>
    <x v="0"/>
    <m/>
    <n v="0.57813295236701745"/>
    <n v="14"/>
    <x v="1"/>
  </r>
  <r>
    <d v="2020-07-15T00:00:00"/>
    <x v="2"/>
    <x v="0"/>
    <x v="0"/>
    <d v="1899-12-30T12:00:00"/>
    <d v="1899-12-30T12:05:00"/>
    <d v="1899-12-30T00:05:00"/>
    <s v="NT"/>
    <m/>
    <m/>
    <n v="145"/>
    <s v="Dock 6"/>
    <x v="0"/>
    <m/>
    <n v="0.68053043246293932"/>
    <n v="6"/>
    <x v="3"/>
  </r>
  <r>
    <d v="2020-07-15T00:00:00"/>
    <x v="2"/>
    <x v="0"/>
    <x v="0"/>
    <d v="1899-12-30T12:05:00"/>
    <d v="1899-12-30T12:10:00"/>
    <d v="1899-12-30T00:05:00"/>
    <s v="NT"/>
    <m/>
    <m/>
    <n v="132"/>
    <s v="Dock 5"/>
    <x v="0"/>
    <m/>
    <n v="0.67497840462018666"/>
    <n v="4"/>
    <x v="3"/>
  </r>
  <r>
    <d v="2020-07-15T00:00:00"/>
    <x v="2"/>
    <x v="0"/>
    <x v="0"/>
    <d v="1899-12-30T10:02:00"/>
    <d v="1899-12-30T10:08:00"/>
    <d v="1899-12-30T00:06:00"/>
    <s v="NT"/>
    <m/>
    <m/>
    <n v="161"/>
    <s v="Dock 4"/>
    <x v="0"/>
    <m/>
    <n v="0.36204645147642422"/>
    <n v="7"/>
    <x v="3"/>
  </r>
  <r>
    <d v="2020-07-15T00:00:00"/>
    <x v="2"/>
    <x v="0"/>
    <x v="0"/>
    <d v="1899-12-30T10:35:00"/>
    <d v="1899-12-30T10:47:00"/>
    <d v="1899-12-30T00:12:00"/>
    <s v="NT"/>
    <m/>
    <m/>
    <n v="250"/>
    <s v="Dock 4"/>
    <x v="0"/>
    <m/>
    <n v="0.91470996426172091"/>
    <n v="16"/>
    <x v="0"/>
  </r>
  <r>
    <d v="2020-07-15T00:00:00"/>
    <x v="2"/>
    <x v="0"/>
    <x v="0"/>
    <d v="1899-12-30T13:06:00"/>
    <d v="1899-12-30T13:20:00"/>
    <d v="1899-12-30T00:14:00"/>
    <s v="NT"/>
    <m/>
    <m/>
    <n v="255"/>
    <s v="The rock"/>
    <x v="0"/>
    <m/>
    <n v="0.53036934674269021"/>
    <n v="17"/>
    <x v="0"/>
  </r>
  <r>
    <d v="2020-07-15T00:00:00"/>
    <x v="2"/>
    <x v="0"/>
    <x v="0"/>
    <d v="1899-12-30T10:08:00"/>
    <d v="1899-12-30T10:32:00"/>
    <d v="1899-12-30T00:24:00"/>
    <s v="NT"/>
    <m/>
    <m/>
    <n v="245"/>
    <s v="Dock 5"/>
    <x v="0"/>
    <m/>
    <n v="0.91761070439480741"/>
    <n v="16"/>
    <x v="0"/>
  </r>
  <r>
    <d v="2020-07-15T00:00:00"/>
    <x v="2"/>
    <x v="0"/>
    <x v="0"/>
    <d v="1899-12-30T06:35:00"/>
    <d v="1899-12-30T07:02:00"/>
    <d v="1899-12-30T00:27:00"/>
    <s v="NT"/>
    <m/>
    <m/>
    <n v="238"/>
    <s v="Dock 10"/>
    <x v="0"/>
    <m/>
    <n v="0.28310876352857273"/>
    <n v="15"/>
    <x v="1"/>
  </r>
  <r>
    <d v="2020-07-15T00:00:00"/>
    <x v="2"/>
    <x v="0"/>
    <x v="0"/>
    <d v="1899-12-30T10:47:00"/>
    <d v="1899-12-30T11:23:00"/>
    <d v="1899-12-30T00:36:00"/>
    <s v="NT"/>
    <m/>
    <m/>
    <n v="253"/>
    <s v="Dock 3"/>
    <x v="0"/>
    <m/>
    <n v="0.20898862472222587"/>
    <n v="16"/>
    <x v="1"/>
  </r>
  <r>
    <d v="2020-07-15T00:00:00"/>
    <x v="2"/>
    <x v="0"/>
    <x v="0"/>
    <d v="1899-12-30T09:25:00"/>
    <d v="1899-12-30T10:02:00"/>
    <d v="1899-12-30T00:37:00"/>
    <s v="NT"/>
    <m/>
    <m/>
    <n v="145"/>
    <s v="Dock 4"/>
    <x v="0"/>
    <m/>
    <n v="0.47181570645040632"/>
    <n v="6"/>
    <x v="3"/>
  </r>
  <r>
    <d v="2020-07-15T00:00:00"/>
    <x v="2"/>
    <x v="0"/>
    <x v="0"/>
    <d v="1899-12-30T11:23:00"/>
    <d v="1899-12-30T12:00:00"/>
    <d v="1899-12-30T00:37:00"/>
    <s v="NT"/>
    <m/>
    <m/>
    <n v="262"/>
    <s v="Dock 5"/>
    <x v="0"/>
    <m/>
    <n v="0.80657831197910868"/>
    <n v="17"/>
    <x v="0"/>
  </r>
  <r>
    <d v="2020-07-15T00:00:00"/>
    <x v="2"/>
    <x v="0"/>
    <x v="0"/>
    <d v="1899-12-30T12:10:00"/>
    <d v="1899-12-30T13:06:00"/>
    <d v="1899-12-30T00:56:00"/>
    <s v="NT"/>
    <m/>
    <m/>
    <n v="167"/>
    <s v="The rock"/>
    <x v="0"/>
    <m/>
    <n v="0.16168943287883394"/>
    <n v="8"/>
    <x v="3"/>
  </r>
  <r>
    <d v="2020-07-15T00:00:00"/>
    <x v="2"/>
    <x v="0"/>
    <x v="0"/>
    <d v="1899-12-30T08:07:00"/>
    <d v="1899-12-30T09:25:00"/>
    <d v="1899-12-30T01:18:00"/>
    <s v="NT"/>
    <m/>
    <m/>
    <n v="151"/>
    <s v="The rock"/>
    <x v="0"/>
    <m/>
    <n v="0.5142983945618842"/>
    <n v="6"/>
    <x v="3"/>
  </r>
  <r>
    <d v="2020-07-15T00:00:00"/>
    <x v="2"/>
    <x v="1"/>
    <x v="0"/>
    <m/>
    <m/>
    <m/>
    <n v="220"/>
    <s v="Pink"/>
    <s v="Pink220"/>
    <n v="270"/>
    <m/>
    <x v="1"/>
    <m/>
    <n v="0.8131174015873659"/>
    <n v="18"/>
    <x v="0"/>
  </r>
  <r>
    <d v="2020-07-15T00:00:00"/>
    <x v="2"/>
    <x v="1"/>
    <x v="0"/>
    <m/>
    <m/>
    <m/>
    <n v="223"/>
    <s v="Pink"/>
    <s v="Pink223"/>
    <n v="340"/>
    <m/>
    <x v="1"/>
    <m/>
    <n v="6.4168478857804315E-2"/>
    <n v="25"/>
    <x v="0"/>
  </r>
  <r>
    <d v="2020-07-23T00:00:00"/>
    <x v="2"/>
    <x v="0"/>
    <x v="3"/>
    <d v="1899-12-30T11:55:00"/>
    <d v="1899-12-30T12:24:00"/>
    <d v="1899-12-30T00:29:00"/>
    <s v="NT"/>
    <m/>
    <m/>
    <m/>
    <m/>
    <x v="1"/>
    <m/>
    <n v="0.47962416311708472"/>
    <n v="-9"/>
    <x v="3"/>
  </r>
  <r>
    <d v="2020-08-02T00:00:00"/>
    <x v="3"/>
    <x v="2"/>
    <x v="4"/>
    <d v="1899-12-30T11:34:00"/>
    <d v="1899-12-30T11:40:00"/>
    <d v="1899-12-30T00:06:00"/>
    <n v="28"/>
    <s v="Pink"/>
    <s v="Pink28"/>
    <n v="305"/>
    <m/>
    <x v="0"/>
    <m/>
    <n v="4.3309508843025896E-2"/>
    <n v="22"/>
    <x v="0"/>
  </r>
  <r>
    <d v="2020-08-07T00:00:00"/>
    <x v="3"/>
    <x v="0"/>
    <x v="0"/>
    <d v="1899-12-30T08:20:00"/>
    <d v="1899-12-30T08:21:00"/>
    <d v="1899-12-30T00:01:00"/>
    <s v="NT"/>
    <m/>
    <m/>
    <n v="155"/>
    <s v="Dock 5"/>
    <x v="0"/>
    <m/>
    <n v="0.90291512473622115"/>
    <n v="7"/>
    <x v="3"/>
  </r>
  <r>
    <d v="2020-08-07T00:00:00"/>
    <x v="3"/>
    <x v="0"/>
    <x v="0"/>
    <d v="1899-12-30T08:30:00"/>
    <d v="1899-12-30T08:31:00"/>
    <d v="1899-12-30T00:01:00"/>
    <s v="NT"/>
    <m/>
    <m/>
    <n v="180"/>
    <s v="Dock 5"/>
    <x v="0"/>
    <m/>
    <n v="0.29450144166802122"/>
    <n v="9"/>
    <x v="3"/>
  </r>
  <r>
    <d v="2020-08-07T00:00:00"/>
    <x v="3"/>
    <x v="0"/>
    <x v="0"/>
    <d v="1899-12-30T08:10:00"/>
    <d v="1899-12-30T08:11:00"/>
    <d v="1899-12-30T00:01:00"/>
    <s v="NT"/>
    <m/>
    <m/>
    <n v="152"/>
    <s v="Dock 5"/>
    <x v="0"/>
    <m/>
    <n v="0.68573011443285747"/>
    <n v="6"/>
    <x v="3"/>
  </r>
  <r>
    <d v="2020-08-07T00:00:00"/>
    <x v="3"/>
    <x v="0"/>
    <x v="0"/>
    <d v="1899-12-30T08:15:00"/>
    <d v="1899-12-30T08:16:00"/>
    <d v="1899-12-30T00:01:00"/>
    <s v="NT"/>
    <m/>
    <m/>
    <n v="164"/>
    <s v="Dock 5"/>
    <x v="0"/>
    <m/>
    <n v="6.6033273034744558E-2"/>
    <n v="7"/>
    <x v="3"/>
  </r>
  <r>
    <d v="2020-08-07T00:00:00"/>
    <x v="3"/>
    <x v="0"/>
    <x v="0"/>
    <d v="1899-12-30T08:16:00"/>
    <d v="1899-12-30T08:18:00"/>
    <d v="1899-12-30T00:02:00"/>
    <s v="NT"/>
    <m/>
    <m/>
    <n v="149"/>
    <s v="Dock 5"/>
    <x v="0"/>
    <m/>
    <n v="0.8212198949517775"/>
    <n v="6"/>
    <x v="3"/>
  </r>
  <r>
    <d v="2020-08-07T00:00:00"/>
    <x v="3"/>
    <x v="0"/>
    <x v="0"/>
    <d v="1899-12-30T08:18:00"/>
    <d v="1899-12-30T08:20:00"/>
    <d v="1899-12-30T00:02:00"/>
    <s v="NT"/>
    <m/>
    <m/>
    <n v="153"/>
    <s v="Dock 5"/>
    <x v="0"/>
    <m/>
    <n v="0.24277445452416987"/>
    <n v="6"/>
    <x v="3"/>
  </r>
  <r>
    <d v="2020-08-07T00:00:00"/>
    <x v="3"/>
    <x v="0"/>
    <x v="0"/>
    <d v="1899-12-30T08:28:00"/>
    <d v="1899-12-30T08:30:00"/>
    <d v="1899-12-30T00:02:00"/>
    <s v="NT"/>
    <m/>
    <m/>
    <n v="147"/>
    <s v="Dock 5"/>
    <x v="0"/>
    <m/>
    <n v="0.31025718772330191"/>
    <n v="6"/>
    <x v="3"/>
  </r>
  <r>
    <d v="2020-08-07T00:00:00"/>
    <x v="3"/>
    <x v="0"/>
    <x v="0"/>
    <d v="1899-12-30T11:05:00"/>
    <d v="1899-12-30T11:07:00"/>
    <d v="1899-12-30T00:02:00"/>
    <s v="NT"/>
    <m/>
    <m/>
    <n v="145"/>
    <s v="Dock 3"/>
    <x v="0"/>
    <m/>
    <n v="0.492554065535103"/>
    <n v="6"/>
    <x v="3"/>
  </r>
  <r>
    <d v="2020-08-07T00:00:00"/>
    <x v="3"/>
    <x v="0"/>
    <x v="0"/>
    <d v="1899-12-30T11:07:00"/>
    <d v="1899-12-30T11:10:00"/>
    <d v="1899-12-30T00:03:00"/>
    <s v="NT"/>
    <m/>
    <m/>
    <n v="308"/>
    <s v="Dock 5"/>
    <x v="0"/>
    <m/>
    <n v="0.3561794484761448"/>
    <n v="22"/>
    <x v="0"/>
  </r>
  <r>
    <d v="2020-08-07T00:00:00"/>
    <x v="3"/>
    <x v="0"/>
    <x v="0"/>
    <d v="1899-12-30T08:40:00"/>
    <d v="1899-12-30T08:43:00"/>
    <d v="1899-12-30T00:03:00"/>
    <s v="NT"/>
    <m/>
    <m/>
    <n v="168"/>
    <s v="Dock 5"/>
    <x v="0"/>
    <m/>
    <n v="0.30799053856543757"/>
    <n v="8"/>
    <x v="3"/>
  </r>
  <r>
    <d v="2020-08-07T00:00:00"/>
    <x v="3"/>
    <x v="0"/>
    <x v="0"/>
    <d v="1899-12-30T10:47:00"/>
    <d v="1899-12-30T10:50:00"/>
    <d v="1899-12-30T00:03:00"/>
    <s v="NT"/>
    <m/>
    <m/>
    <n v="160"/>
    <s v="Dock 7"/>
    <x v="0"/>
    <m/>
    <n v="0.39698166930907486"/>
    <n v="7"/>
    <x v="3"/>
  </r>
  <r>
    <d v="2020-08-07T00:00:00"/>
    <x v="3"/>
    <x v="0"/>
    <x v="0"/>
    <d v="1899-12-30T08:11:00"/>
    <d v="1899-12-30T08:15:00"/>
    <d v="1899-12-30T00:04:00"/>
    <s v="NT"/>
    <m/>
    <m/>
    <n v="172"/>
    <s v="Dock 5"/>
    <x v="0"/>
    <m/>
    <n v="7.091607762077641E-2"/>
    <n v="8"/>
    <x v="3"/>
  </r>
  <r>
    <d v="2020-08-07T00:00:00"/>
    <x v="3"/>
    <x v="0"/>
    <x v="0"/>
    <d v="1899-12-30T08:31:00"/>
    <d v="1899-12-30T08:35:00"/>
    <d v="1899-12-30T00:04:00"/>
    <s v="NT"/>
    <m/>
    <m/>
    <n v="161"/>
    <s v="Dock 5"/>
    <x v="0"/>
    <m/>
    <n v="0.8865165723890609"/>
    <n v="7"/>
    <x v="3"/>
  </r>
  <r>
    <d v="2020-08-07T00:00:00"/>
    <x v="3"/>
    <x v="0"/>
    <x v="0"/>
    <d v="1899-12-30T11:20:00"/>
    <d v="1899-12-30T11:24:00"/>
    <d v="1899-12-30T00:04:00"/>
    <s v="NT"/>
    <m/>
    <m/>
    <n v="175"/>
    <s v="Dock 5"/>
    <x v="0"/>
    <m/>
    <n v="0.6840321429465116"/>
    <n v="9"/>
    <x v="1"/>
  </r>
  <r>
    <d v="2020-08-07T00:00:00"/>
    <x v="3"/>
    <x v="0"/>
    <x v="0"/>
    <d v="1899-12-30T08:35:00"/>
    <d v="1899-12-30T08:40:00"/>
    <d v="1899-12-30T00:05:00"/>
    <s v="NT"/>
    <m/>
    <m/>
    <n v="110"/>
    <s v="Dock 5"/>
    <x v="0"/>
    <m/>
    <n v="0.52822650202001753"/>
    <n v="2"/>
    <x v="3"/>
  </r>
  <r>
    <d v="2020-08-07T00:00:00"/>
    <x v="3"/>
    <x v="0"/>
    <x v="0"/>
    <d v="1899-12-30T10:50:00"/>
    <d v="1899-12-30T10:55:00"/>
    <d v="1899-12-30T00:05:00"/>
    <s v="NT"/>
    <m/>
    <m/>
    <n v="155"/>
    <s v="Dock 7"/>
    <x v="0"/>
    <m/>
    <n v="0.90281945043374756"/>
    <n v="7"/>
    <x v="3"/>
  </r>
  <r>
    <d v="2020-08-07T00:00:00"/>
    <x v="3"/>
    <x v="0"/>
    <x v="0"/>
    <d v="1899-12-30T11:24:00"/>
    <d v="1899-12-30T11:30:00"/>
    <d v="1899-12-30T00:06:00"/>
    <s v="NT"/>
    <m/>
    <m/>
    <n v="390"/>
    <s v="Dock 5"/>
    <x v="0"/>
    <m/>
    <n v="0.68650343999569463"/>
    <n v="30"/>
    <x v="2"/>
  </r>
  <r>
    <d v="2020-08-07T00:00:00"/>
    <x v="3"/>
    <x v="0"/>
    <x v="0"/>
    <d v="1899-12-30T10:55:00"/>
    <d v="1899-12-30T11:02:00"/>
    <d v="1899-12-30T00:07:00"/>
    <s v="NT"/>
    <m/>
    <m/>
    <n v="144"/>
    <s v="Dock 3"/>
    <x v="0"/>
    <m/>
    <n v="6.331600763989427E-2"/>
    <n v="5"/>
    <x v="3"/>
  </r>
  <r>
    <d v="2020-08-07T00:00:00"/>
    <x v="3"/>
    <x v="0"/>
    <x v="0"/>
    <d v="1899-12-30T10:55:00"/>
    <d v="1899-12-30T11:02:00"/>
    <d v="1899-12-30T00:07:00"/>
    <s v="NT"/>
    <m/>
    <m/>
    <n v="155"/>
    <s v="Dock 3"/>
    <x v="0"/>
    <m/>
    <n v="0.15214040370292048"/>
    <n v="7"/>
    <x v="3"/>
  </r>
  <r>
    <d v="2020-08-07T00:00:00"/>
    <x v="3"/>
    <x v="0"/>
    <x v="0"/>
    <d v="1899-12-30T08:21:00"/>
    <d v="1899-12-30T08:28:00"/>
    <d v="1899-12-30T00:07:00"/>
    <s v="NT"/>
    <m/>
    <m/>
    <n v="153"/>
    <s v="Dock 5"/>
    <x v="0"/>
    <m/>
    <n v="2.3765034984687825E-2"/>
    <n v="6"/>
    <x v="3"/>
  </r>
  <r>
    <d v="2020-08-07T00:00:00"/>
    <x v="3"/>
    <x v="0"/>
    <x v="0"/>
    <d v="1899-12-30T11:10:00"/>
    <d v="1899-12-30T11:20:00"/>
    <d v="1899-12-30T00:10:00"/>
    <s v="NT"/>
    <m/>
    <m/>
    <n v="131"/>
    <s v="Dock 5"/>
    <x v="0"/>
    <m/>
    <n v="0.41894298764827798"/>
    <n v="4"/>
    <x v="3"/>
  </r>
  <r>
    <d v="2020-08-07T00:00:00"/>
    <x v="3"/>
    <x v="0"/>
    <x v="0"/>
    <d v="1899-12-30T09:14:00"/>
    <d v="1899-12-30T09:25:00"/>
    <d v="1899-12-30T00:11:00"/>
    <s v="NT"/>
    <m/>
    <m/>
    <n v="262"/>
    <s v="Dock 11"/>
    <x v="0"/>
    <m/>
    <n v="0.17479340460840306"/>
    <n v="17"/>
    <x v="1"/>
  </r>
  <r>
    <d v="2020-08-07T00:00:00"/>
    <x v="3"/>
    <x v="0"/>
    <x v="0"/>
    <d v="1899-12-30T11:30:00"/>
    <d v="1899-12-30T11:42:00"/>
    <d v="1899-12-30T00:12:00"/>
    <s v="NT"/>
    <m/>
    <m/>
    <n v="250"/>
    <s v="Dock 3"/>
    <x v="0"/>
    <m/>
    <n v="0.75275125343015015"/>
    <n v="16"/>
    <x v="0"/>
  </r>
  <r>
    <d v="2020-08-07T00:00:00"/>
    <x v="3"/>
    <x v="0"/>
    <x v="0"/>
    <d v="1899-12-30T08:43:00"/>
    <d v="1899-12-30T09:14:00"/>
    <d v="1899-12-30T00:31:00"/>
    <s v="NT"/>
    <m/>
    <m/>
    <n v="250"/>
    <s v="Dock 10"/>
    <x v="0"/>
    <m/>
    <n v="0.49031640053275805"/>
    <n v="16"/>
    <x v="1"/>
  </r>
  <r>
    <d v="2020-08-07T00:00:00"/>
    <x v="3"/>
    <x v="0"/>
    <x v="0"/>
    <d v="1899-12-30T11:47:00"/>
    <d v="1899-12-30T12:40:00"/>
    <d v="1899-12-30T00:53:00"/>
    <s v="NT"/>
    <m/>
    <m/>
    <n v="293"/>
    <s v="Spring Bay"/>
    <x v="0"/>
    <m/>
    <n v="0.74774375406454496"/>
    <n v="20"/>
    <x v="0"/>
  </r>
  <r>
    <d v="2020-08-07T00:00:00"/>
    <x v="3"/>
    <x v="0"/>
    <x v="0"/>
    <d v="1899-12-30T09:25:00"/>
    <d v="1899-12-30T10:47:00"/>
    <d v="1899-12-30T01:22:00"/>
    <s v="NT"/>
    <m/>
    <m/>
    <n v="162"/>
    <s v="Dock 7"/>
    <x v="0"/>
    <m/>
    <n v="0.32927456280648454"/>
    <n v="7"/>
    <x v="3"/>
  </r>
  <r>
    <d v="2020-08-07T00:00:00"/>
    <x v="3"/>
    <x v="0"/>
    <x v="0"/>
    <d v="1899-12-30T08:00:00"/>
    <d v="1900-01-02T16:09:00"/>
    <d v="1900-01-02T08:09:00"/>
    <s v="NT"/>
    <m/>
    <m/>
    <n v="183"/>
    <s v="Dock 5"/>
    <x v="0"/>
    <m/>
    <n v="0.1175770885858578"/>
    <n v="9"/>
    <x v="3"/>
  </r>
  <r>
    <d v="2020-08-19T00:00:00"/>
    <x v="3"/>
    <x v="0"/>
    <x v="0"/>
    <d v="1899-12-30T08:50:00"/>
    <d v="1899-12-30T08:51:00"/>
    <d v="1899-12-30T00:01:00"/>
    <s v="NT"/>
    <m/>
    <m/>
    <n v="170"/>
    <s v="Dock 5"/>
    <x v="0"/>
    <m/>
    <n v="0.11812786251219355"/>
    <n v="8"/>
    <x v="3"/>
  </r>
  <r>
    <d v="2020-08-19T00:00:00"/>
    <x v="3"/>
    <x v="0"/>
    <x v="0"/>
    <d v="1899-12-30T01:15:00"/>
    <d v="1899-12-30T01:16:00"/>
    <d v="1899-12-30T00:01:00"/>
    <s v="NT"/>
    <m/>
    <m/>
    <n v="160"/>
    <s v="Dock 6"/>
    <x v="0"/>
    <m/>
    <n v="0.37498524243709874"/>
    <n v="7"/>
    <x v="3"/>
  </r>
  <r>
    <d v="2020-08-19T00:00:00"/>
    <x v="3"/>
    <x v="0"/>
    <x v="0"/>
    <d v="1899-12-30T08:55:00"/>
    <d v="1899-12-30T08:56:00"/>
    <d v="1899-12-30T00:01:00"/>
    <s v="NT"/>
    <m/>
    <m/>
    <n v="167"/>
    <s v="Dock 5"/>
    <x v="0"/>
    <m/>
    <n v="0.37696964031875585"/>
    <n v="8"/>
    <x v="3"/>
  </r>
  <r>
    <d v="2020-08-19T00:00:00"/>
    <x v="3"/>
    <x v="0"/>
    <x v="0"/>
    <d v="1899-12-30T08:59:00"/>
    <d v="1899-12-30T09:00:00"/>
    <d v="1899-12-30T00:01:00"/>
    <s v="NT"/>
    <m/>
    <m/>
    <n v="181"/>
    <s v="Dock 5"/>
    <x v="0"/>
    <m/>
    <n v="0.72874483732913842"/>
    <n v="9"/>
    <x v="1"/>
  </r>
  <r>
    <d v="2020-08-19T00:00:00"/>
    <x v="3"/>
    <x v="0"/>
    <x v="0"/>
    <d v="1899-12-30T09:00:00"/>
    <d v="1899-12-30T09:01:00"/>
    <d v="1899-12-30T00:01:00"/>
    <s v="NT"/>
    <m/>
    <m/>
    <n v="178"/>
    <s v="Dock 5"/>
    <x v="0"/>
    <m/>
    <n v="1.4480990830101534E-2"/>
    <n v="9"/>
    <x v="3"/>
  </r>
  <r>
    <d v="2020-08-19T00:00:00"/>
    <x v="3"/>
    <x v="0"/>
    <x v="0"/>
    <d v="1899-12-30T08:56:00"/>
    <d v="1899-12-30T08:58:00"/>
    <d v="1899-12-30T00:02:00"/>
    <s v="NT"/>
    <m/>
    <m/>
    <n v="125"/>
    <s v="Dock 5"/>
    <x v="0"/>
    <m/>
    <n v="0.38201288151648494"/>
    <n v="4"/>
    <x v="3"/>
  </r>
  <r>
    <d v="2020-08-19T00:00:00"/>
    <x v="3"/>
    <x v="0"/>
    <x v="0"/>
    <d v="1899-12-30T08:51:00"/>
    <d v="1899-12-30T08:55:00"/>
    <d v="1899-12-30T00:04:00"/>
    <s v="NT"/>
    <m/>
    <m/>
    <n v="191"/>
    <s v="Dock 5"/>
    <x v="0"/>
    <m/>
    <n v="0.49049964756262471"/>
    <n v="10"/>
    <x v="1"/>
  </r>
  <r>
    <d v="2020-08-19T00:00:00"/>
    <x v="3"/>
    <x v="0"/>
    <x v="0"/>
    <d v="1899-12-30T09:00:00"/>
    <d v="1899-12-30T09:07:00"/>
    <d v="1899-12-30T00:07:00"/>
    <s v="NT"/>
    <m/>
    <m/>
    <n v="185"/>
    <s v="Dock 5"/>
    <x v="0"/>
    <m/>
    <n v="0.82757658503371134"/>
    <n v="10"/>
    <x v="1"/>
  </r>
  <r>
    <d v="2020-08-19T00:00:00"/>
    <x v="3"/>
    <x v="0"/>
    <x v="0"/>
    <d v="1899-12-30T11:18:00"/>
    <d v="1899-12-30T11:27:00"/>
    <d v="1899-12-30T00:09:00"/>
    <s v="NT"/>
    <m/>
    <m/>
    <n v="302"/>
    <s v="Jade Bay"/>
    <x v="0"/>
    <m/>
    <n v="7.9664661586128477E-2"/>
    <n v="21"/>
    <x v="0"/>
  </r>
  <r>
    <d v="2020-08-19T00:00:00"/>
    <x v="3"/>
    <x v="0"/>
    <x v="0"/>
    <d v="1899-12-30T01:16:00"/>
    <d v="1899-12-30T01:32:00"/>
    <d v="1899-12-30T00:16:00"/>
    <s v="NT"/>
    <m/>
    <m/>
    <n v="358"/>
    <s v="Dock 6"/>
    <x v="0"/>
    <m/>
    <n v="0.92396727806141943"/>
    <n v="27"/>
    <x v="2"/>
  </r>
  <r>
    <d v="2020-08-19T00:00:00"/>
    <x v="3"/>
    <x v="0"/>
    <x v="0"/>
    <d v="1899-12-30T10:14:00"/>
    <d v="1899-12-30T11:18:00"/>
    <d v="1899-12-30T01:04:00"/>
    <s v="NT"/>
    <m/>
    <m/>
    <n v="302"/>
    <s v="Jade Bay"/>
    <x v="0"/>
    <m/>
    <n v="0.11804237827567494"/>
    <n v="21"/>
    <x v="0"/>
  </r>
  <r>
    <d v="2020-08-19T00:00:00"/>
    <x v="3"/>
    <x v="0"/>
    <x v="0"/>
    <d v="1899-12-30T09:07:00"/>
    <d v="1899-12-30T10:14:00"/>
    <d v="1899-12-30T01:07:00"/>
    <s v="NT"/>
    <m/>
    <m/>
    <n v="155"/>
    <s v="Dock 2"/>
    <x v="0"/>
    <m/>
    <n v="0.93825167926878283"/>
    <n v="7"/>
    <x v="3"/>
  </r>
  <r>
    <d v="2020-09-10T00:00:00"/>
    <x v="4"/>
    <x v="0"/>
    <x v="0"/>
    <d v="1899-12-30T08:09:00"/>
    <d v="1899-12-30T08:10:00"/>
    <d v="1899-12-30T00:01:00"/>
    <s v="NT"/>
    <m/>
    <m/>
    <n v="143"/>
    <s v="Dock 5"/>
    <x v="0"/>
    <m/>
    <n v="0.19597347043267146"/>
    <n v="5"/>
    <x v="3"/>
  </r>
  <r>
    <d v="2020-09-10T00:00:00"/>
    <x v="4"/>
    <x v="0"/>
    <x v="0"/>
    <d v="1899-12-30T09:31:00"/>
    <d v="1899-12-30T09:32:00"/>
    <d v="1899-12-30T00:01:00"/>
    <s v="NT"/>
    <m/>
    <m/>
    <n v="175"/>
    <s v="Beach Boy"/>
    <x v="0"/>
    <m/>
    <n v="0.72611756190942489"/>
    <n v="9"/>
    <x v="1"/>
  </r>
  <r>
    <d v="2020-09-10T00:00:00"/>
    <x v="4"/>
    <x v="0"/>
    <x v="0"/>
    <d v="1899-12-30T09:22:00"/>
    <d v="1899-12-30T09:23:00"/>
    <d v="1899-12-30T00:01:00"/>
    <s v="NT"/>
    <m/>
    <m/>
    <n v="141"/>
    <s v="Beach Boy"/>
    <x v="0"/>
    <m/>
    <n v="0.85786301170376267"/>
    <n v="5"/>
    <x v="3"/>
  </r>
  <r>
    <d v="2020-09-10T00:00:00"/>
    <x v="4"/>
    <x v="0"/>
    <x v="0"/>
    <d v="1899-12-30T09:28:00"/>
    <d v="1899-12-30T09:29:00"/>
    <d v="1899-12-30T00:01:00"/>
    <s v="NT"/>
    <m/>
    <m/>
    <n v="150"/>
    <s v="Beach Boy"/>
    <x v="0"/>
    <m/>
    <n v="0.1036377051396471"/>
    <n v="6"/>
    <x v="3"/>
  </r>
  <r>
    <d v="2020-09-10T00:00:00"/>
    <x v="4"/>
    <x v="0"/>
    <x v="0"/>
    <d v="1899-12-30T08:04:00"/>
    <d v="1899-12-30T08:06:00"/>
    <d v="1899-12-30T00:02:00"/>
    <s v="NT"/>
    <m/>
    <m/>
    <n v="187"/>
    <s v="Dock 5"/>
    <x v="0"/>
    <m/>
    <n v="0.83891028204882068"/>
    <n v="10"/>
    <x v="1"/>
  </r>
  <r>
    <d v="2020-09-10T00:00:00"/>
    <x v="4"/>
    <x v="0"/>
    <x v="0"/>
    <d v="1899-12-30T09:26:00"/>
    <d v="1899-12-30T09:28:00"/>
    <d v="1899-12-30T00:02:00"/>
    <s v="NT"/>
    <m/>
    <m/>
    <n v="147"/>
    <s v="Beach Boy"/>
    <x v="0"/>
    <m/>
    <n v="0.56511039452865275"/>
    <n v="6"/>
    <x v="3"/>
  </r>
  <r>
    <d v="2020-09-10T00:00:00"/>
    <x v="4"/>
    <x v="0"/>
    <x v="0"/>
    <d v="1899-12-30T09:32:00"/>
    <d v="1899-12-30T09:34:00"/>
    <d v="1899-12-30T00:02:00"/>
    <s v="NT"/>
    <m/>
    <m/>
    <n v="150"/>
    <s v="Beach Boy"/>
    <x v="0"/>
    <m/>
    <n v="0.81040084306634996"/>
    <n v="6"/>
    <x v="3"/>
  </r>
  <r>
    <d v="2020-09-10T00:00:00"/>
    <x v="4"/>
    <x v="0"/>
    <x v="0"/>
    <d v="1899-12-30T09:29:00"/>
    <d v="1899-12-30T09:31:00"/>
    <d v="1899-12-30T00:02:00"/>
    <s v="NT"/>
    <m/>
    <m/>
    <n v="115"/>
    <s v="Beach Boy"/>
    <x v="0"/>
    <m/>
    <n v="0.4069694161447554"/>
    <n v="3"/>
    <x v="3"/>
  </r>
  <r>
    <d v="2020-09-10T00:00:00"/>
    <x v="4"/>
    <x v="0"/>
    <x v="0"/>
    <d v="1899-12-30T09:23:00"/>
    <d v="1899-12-30T09:26:00"/>
    <d v="1899-12-30T00:03:00"/>
    <s v="NT"/>
    <m/>
    <m/>
    <n v="150"/>
    <s v="Beach Boy"/>
    <x v="0"/>
    <m/>
    <n v="0.93497714490395833"/>
    <n v="6"/>
    <x v="3"/>
  </r>
  <r>
    <d v="2020-09-10T00:00:00"/>
    <x v="4"/>
    <x v="0"/>
    <x v="0"/>
    <d v="1899-12-30T08:06:00"/>
    <d v="1899-12-30T08:09:00"/>
    <d v="1899-12-30T00:03:00"/>
    <s v="NT"/>
    <m/>
    <m/>
    <n v="136"/>
    <s v="Dock 5"/>
    <x v="0"/>
    <m/>
    <n v="0.16087440082844087"/>
    <n v="5"/>
    <x v="3"/>
  </r>
  <r>
    <d v="2020-09-10T00:00:00"/>
    <x v="4"/>
    <x v="0"/>
    <x v="0"/>
    <d v="1899-12-30T08:10:00"/>
    <d v="1899-12-30T08:14:00"/>
    <d v="1899-12-30T00:04:00"/>
    <s v="NT"/>
    <m/>
    <m/>
    <n v="155"/>
    <s v="Dock 5"/>
    <x v="0"/>
    <m/>
    <n v="0.8160547236055391"/>
    <n v="7"/>
    <x v="3"/>
  </r>
  <r>
    <d v="2020-09-10T00:00:00"/>
    <x v="4"/>
    <x v="0"/>
    <x v="0"/>
    <d v="1899-12-30T07:30:00"/>
    <d v="1899-12-30T07:35:00"/>
    <d v="1899-12-30T00:05:00"/>
    <s v="NT"/>
    <m/>
    <m/>
    <n v="175"/>
    <s v="Dock 5"/>
    <x v="0"/>
    <m/>
    <n v="0.43173963829490342"/>
    <n v="9"/>
    <x v="3"/>
  </r>
  <r>
    <d v="2020-09-10T00:00:00"/>
    <x v="4"/>
    <x v="0"/>
    <x v="0"/>
    <d v="1899-12-30T07:50:00"/>
    <d v="1899-12-30T07:55:00"/>
    <d v="1899-12-30T00:05:00"/>
    <s v="NT"/>
    <m/>
    <m/>
    <n v="147"/>
    <s v="Dock 5"/>
    <x v="0"/>
    <m/>
    <n v="0.24810082244132683"/>
    <n v="6"/>
    <x v="3"/>
  </r>
  <r>
    <d v="2020-09-10T00:00:00"/>
    <x v="4"/>
    <x v="0"/>
    <x v="0"/>
    <d v="1899-12-30T07:43:00"/>
    <d v="1899-12-30T07:50:00"/>
    <d v="1899-12-30T00:07:00"/>
    <s v="NT"/>
    <m/>
    <m/>
    <n v="156"/>
    <s v="Dock 5"/>
    <x v="0"/>
    <m/>
    <n v="0.83052277138015385"/>
    <n v="7"/>
    <x v="3"/>
  </r>
  <r>
    <d v="2020-09-10T00:00:00"/>
    <x v="4"/>
    <x v="0"/>
    <x v="0"/>
    <d v="1899-12-30T07:35:00"/>
    <d v="1899-12-30T07:43:00"/>
    <d v="1899-12-30T00:08:00"/>
    <s v="NT"/>
    <m/>
    <m/>
    <n v="127"/>
    <s v="Dock 5"/>
    <x v="0"/>
    <m/>
    <n v="0.59621858624565349"/>
    <n v="4"/>
    <x v="3"/>
  </r>
  <r>
    <d v="2020-09-10T00:00:00"/>
    <x v="4"/>
    <x v="0"/>
    <x v="0"/>
    <d v="1899-12-30T07:55:00"/>
    <d v="1899-12-30T08:04:00"/>
    <d v="1899-12-30T00:09:00"/>
    <s v="NT"/>
    <m/>
    <m/>
    <n v="148"/>
    <s v="Dock 5"/>
    <x v="0"/>
    <m/>
    <n v="0.64577903069824871"/>
    <n v="6"/>
    <x v="3"/>
  </r>
  <r>
    <d v="2020-09-10T00:00:00"/>
    <x v="4"/>
    <x v="0"/>
    <x v="0"/>
    <d v="1899-12-30T11:05:00"/>
    <d v="1899-12-30T11:21:00"/>
    <d v="1899-12-30T00:16:00"/>
    <s v="NT"/>
    <m/>
    <m/>
    <n v="302"/>
    <s v="Jade Bay"/>
    <x v="0"/>
    <m/>
    <n v="0.60816894546531552"/>
    <n v="21"/>
    <x v="0"/>
  </r>
  <r>
    <d v="2020-09-10T00:00:00"/>
    <x v="4"/>
    <x v="0"/>
    <x v="0"/>
    <d v="1899-12-30T09:34:00"/>
    <d v="1899-12-30T09:52:00"/>
    <d v="1899-12-30T00:18:00"/>
    <s v="NT"/>
    <m/>
    <m/>
    <n v="185"/>
    <s v="Dock 6"/>
    <x v="0"/>
    <m/>
    <n v="0.49546643555884551"/>
    <n v="10"/>
    <x v="1"/>
  </r>
  <r>
    <d v="2020-09-10T00:00:00"/>
    <x v="4"/>
    <x v="0"/>
    <x v="0"/>
    <d v="1899-12-30T11:21:00"/>
    <d v="1899-12-30T12:10:00"/>
    <d v="1899-12-30T00:49:00"/>
    <s v="NT"/>
    <m/>
    <m/>
    <n v="200"/>
    <s v="Logan's House"/>
    <x v="0"/>
    <m/>
    <n v="0.30438243751618194"/>
    <n v="11"/>
    <x v="1"/>
  </r>
  <r>
    <d v="2020-09-10T00:00:00"/>
    <x v="4"/>
    <x v="0"/>
    <x v="0"/>
    <d v="1899-12-30T08:14:00"/>
    <d v="1899-12-30T09:22:00"/>
    <d v="1899-12-30T01:08:00"/>
    <s v="NT"/>
    <m/>
    <m/>
    <n v="205"/>
    <s v="Beach Boy"/>
    <x v="0"/>
    <m/>
    <n v="0.75562733446975583"/>
    <n v="12"/>
    <x v="1"/>
  </r>
  <r>
    <d v="2021-03-29T00:00:00"/>
    <x v="5"/>
    <x v="2"/>
    <x v="0"/>
    <m/>
    <m/>
    <m/>
    <n v="2"/>
    <s v="Pink"/>
    <s v="Pink2"/>
    <n v="268"/>
    <m/>
    <x v="0"/>
    <m/>
    <n v="0.82861043318575733"/>
    <n v="18"/>
    <x v="0"/>
  </r>
  <r>
    <d v="2021-04-16T00:00:00"/>
    <x v="6"/>
    <x v="0"/>
    <x v="5"/>
    <m/>
    <m/>
    <m/>
    <s v="NT"/>
    <m/>
    <m/>
    <m/>
    <s v="New Condos Dock"/>
    <x v="0"/>
    <m/>
    <n v="0.45555055302360586"/>
    <n v="-9"/>
    <x v="3"/>
  </r>
  <r>
    <d v="2021-04-28T00:00:00"/>
    <x v="6"/>
    <x v="0"/>
    <x v="0"/>
    <d v="1899-12-30T11:43:00"/>
    <d v="1899-12-30T12:11:00"/>
    <d v="1899-12-30T00:28:00"/>
    <s v="NT"/>
    <m/>
    <m/>
    <n v="418"/>
    <s v="Logan's House"/>
    <x v="0"/>
    <m/>
    <n v="0.43814466774377259"/>
    <n v="33"/>
    <x v="2"/>
  </r>
  <r>
    <d v="2021-04-28T00:00:00"/>
    <x v="6"/>
    <x v="0"/>
    <x v="0"/>
    <d v="1899-12-30T09:46:00"/>
    <d v="1899-12-30T10:25:00"/>
    <d v="1899-12-30T00:39:00"/>
    <s v="NT"/>
    <m/>
    <m/>
    <n v="289"/>
    <s v="Dock 5"/>
    <x v="0"/>
    <m/>
    <n v="0.8974307695857392"/>
    <n v="20"/>
    <x v="0"/>
  </r>
  <r>
    <d v="2021-04-28T00:00:00"/>
    <x v="6"/>
    <x v="0"/>
    <x v="0"/>
    <d v="1899-12-30T10:25:00"/>
    <d v="1899-12-30T11:42:00"/>
    <d v="1899-12-30T01:17:00"/>
    <s v="NT"/>
    <m/>
    <m/>
    <n v="320"/>
    <s v="Dock 1"/>
    <x v="0"/>
    <m/>
    <n v="0.11894442751954516"/>
    <n v="23"/>
    <x v="0"/>
  </r>
  <r>
    <d v="2021-04-28T00:00:00"/>
    <x v="6"/>
    <x v="0"/>
    <x v="0"/>
    <d v="1899-12-30T07:50:00"/>
    <d v="1899-12-30T09:45:00"/>
    <d v="1899-12-30T01:55:00"/>
    <s v="NT"/>
    <m/>
    <m/>
    <n v="277"/>
    <s v="Beach Boy"/>
    <x v="0"/>
    <m/>
    <n v="9.8993320995472991E-2"/>
    <n v="19"/>
    <x v="0"/>
  </r>
  <r>
    <d v="2021-04-28T00:00:00"/>
    <x v="6"/>
    <x v="0"/>
    <x v="6"/>
    <m/>
    <m/>
    <m/>
    <s v="NT"/>
    <m/>
    <m/>
    <m/>
    <s v="Sunnyside Campground"/>
    <x v="0"/>
    <m/>
    <n v="0.78074597091448772"/>
    <n v="-9"/>
    <x v="1"/>
  </r>
  <r>
    <d v="2021-04-29T00:00:00"/>
    <x v="6"/>
    <x v="0"/>
    <x v="0"/>
    <d v="1899-12-30T10:00:00"/>
    <d v="1899-12-30T11:05:00"/>
    <d v="1899-12-30T01:05:00"/>
    <s v="NT"/>
    <m/>
    <m/>
    <n v="202"/>
    <s v="Main Beach Docks"/>
    <x v="0"/>
    <m/>
    <n v="0.99753315979499979"/>
    <n v="11"/>
    <x v="0"/>
  </r>
  <r>
    <d v="2021-04-29T00:00:00"/>
    <x v="6"/>
    <x v="0"/>
    <x v="0"/>
    <d v="1899-12-30T08:00:00"/>
    <d v="1899-12-30T10:56:00"/>
    <d v="1899-12-30T02:56:00"/>
    <s v="NT"/>
    <m/>
    <m/>
    <n v="328"/>
    <s v="Dock 2"/>
    <x v="0"/>
    <m/>
    <n v="0.53981667456208571"/>
    <n v="24"/>
    <x v="0"/>
  </r>
  <r>
    <d v="2021-05-01T00:00:00"/>
    <x v="7"/>
    <x v="0"/>
    <x v="7"/>
    <m/>
    <m/>
    <m/>
    <s v="NT"/>
    <m/>
    <m/>
    <n v="290"/>
    <s v="Main Beach Docks"/>
    <x v="0"/>
    <m/>
    <n v="0.69884936497493155"/>
    <n v="20"/>
    <x v="0"/>
  </r>
  <r>
    <d v="2021-05-01T00:00:00"/>
    <x v="7"/>
    <x v="0"/>
    <x v="7"/>
    <m/>
    <m/>
    <m/>
    <s v="NT"/>
    <m/>
    <m/>
    <n v="220"/>
    <s v="Main Beach Docks"/>
    <x v="0"/>
    <m/>
    <n v="0.56127713367402421"/>
    <n v="13"/>
    <x v="1"/>
  </r>
  <r>
    <d v="2021-05-01T00:00:00"/>
    <x v="7"/>
    <x v="0"/>
    <x v="7"/>
    <m/>
    <m/>
    <m/>
    <s v="NT"/>
    <m/>
    <m/>
    <n v="175"/>
    <s v="Main Beach Docks"/>
    <x v="0"/>
    <m/>
    <n v="0.38478565932474362"/>
    <n v="9"/>
    <x v="3"/>
  </r>
  <r>
    <d v="2021-05-01T00:00:00"/>
    <x v="7"/>
    <x v="0"/>
    <x v="7"/>
    <m/>
    <m/>
    <m/>
    <s v="NT"/>
    <m/>
    <m/>
    <n v="310"/>
    <s v="Dock closest to Sweltzer"/>
    <x v="0"/>
    <m/>
    <n v="9.2576270966127638E-2"/>
    <n v="22"/>
    <x v="0"/>
  </r>
  <r>
    <d v="2021-05-01T00:00:00"/>
    <x v="7"/>
    <x v="0"/>
    <x v="7"/>
    <m/>
    <m/>
    <m/>
    <s v="NT"/>
    <m/>
    <m/>
    <n v="310"/>
    <s v="Dock closest to Sweltzer"/>
    <x v="0"/>
    <m/>
    <n v="0.92938612770726259"/>
    <n v="22"/>
    <x v="0"/>
  </r>
  <r>
    <d v="2021-05-01T00:00:00"/>
    <x v="7"/>
    <x v="2"/>
    <x v="8"/>
    <d v="1899-12-30T11:41:00"/>
    <d v="1899-12-30T12:05:00"/>
    <d v="1899-12-30T00:24:00"/>
    <n v="48"/>
    <s v="Green"/>
    <s v="Green48"/>
    <n v="406"/>
    <s v="Main Beach Docks"/>
    <x v="1"/>
    <m/>
    <n v="0.19264837596223147"/>
    <n v="32"/>
    <x v="2"/>
  </r>
  <r>
    <d v="2021-05-06T00:00:00"/>
    <x v="7"/>
    <x v="1"/>
    <x v="0"/>
    <d v="1899-12-30T07:30:00"/>
    <d v="1899-12-30T12:40:00"/>
    <d v="1899-12-30T05:10:00"/>
    <n v="49"/>
    <s v="Green"/>
    <s v="Green49"/>
    <n v="285"/>
    <s v="Logan's House"/>
    <x v="1"/>
    <m/>
    <n v="0.84125479722453966"/>
    <n v="20"/>
    <x v="0"/>
  </r>
  <r>
    <d v="2021-05-12T00:00:00"/>
    <x v="7"/>
    <x v="0"/>
    <x v="0"/>
    <d v="1899-12-30T13:30:00"/>
    <d v="1899-12-30T13:31:00"/>
    <d v="1899-12-30T00:01:00"/>
    <s v="NT"/>
    <m/>
    <m/>
    <n v="305"/>
    <s v="Main Beach Docks"/>
    <x v="0"/>
    <m/>
    <n v="0.96937695283879388"/>
    <n v="22"/>
    <x v="2"/>
  </r>
  <r>
    <d v="2021-05-12T00:00:00"/>
    <x v="7"/>
    <x v="0"/>
    <x v="0"/>
    <d v="1899-12-30T09:02:00"/>
    <d v="1899-12-30T09:04:00"/>
    <d v="1899-12-30T00:02:00"/>
    <s v="NT"/>
    <m/>
    <m/>
    <n v="310"/>
    <s v="Dock 7"/>
    <x v="0"/>
    <m/>
    <n v="0.31844636160807982"/>
    <n v="22"/>
    <x v="0"/>
  </r>
  <r>
    <d v="2021-05-12T00:00:00"/>
    <x v="7"/>
    <x v="0"/>
    <x v="0"/>
    <d v="1899-12-30T14:00:00"/>
    <d v="1899-12-30T14:02:00"/>
    <d v="1899-12-30T00:02:00"/>
    <s v="NT"/>
    <m/>
    <m/>
    <n v="310"/>
    <s v="Main Beach Docks"/>
    <x v="0"/>
    <m/>
    <n v="0.12799954699724891"/>
    <n v="22"/>
    <x v="0"/>
  </r>
  <r>
    <d v="2021-05-12T00:00:00"/>
    <x v="7"/>
    <x v="0"/>
    <x v="0"/>
    <d v="1899-12-30T10:26:00"/>
    <d v="1899-12-30T10:29:00"/>
    <d v="1899-12-30T00:03:00"/>
    <s v="NT"/>
    <m/>
    <m/>
    <n v="310"/>
    <s v="Dock 13"/>
    <x v="0"/>
    <m/>
    <n v="0.2883863827625226"/>
    <n v="22"/>
    <x v="0"/>
  </r>
  <r>
    <d v="2021-05-12T00:00:00"/>
    <x v="7"/>
    <x v="0"/>
    <x v="0"/>
    <d v="1899-12-30T12:34:00"/>
    <d v="1899-12-30T12:37:00"/>
    <d v="1899-12-30T00:03:00"/>
    <s v="NT"/>
    <m/>
    <m/>
    <n v="300"/>
    <s v="Dock 18"/>
    <x v="0"/>
    <m/>
    <n v="0.90993508971758885"/>
    <n v="21"/>
    <x v="0"/>
  </r>
  <r>
    <d v="2021-05-12T00:00:00"/>
    <x v="7"/>
    <x v="0"/>
    <x v="0"/>
    <d v="1899-12-30T10:30:00"/>
    <d v="1899-12-30T10:35:00"/>
    <d v="1899-12-30T00:05:00"/>
    <s v="NT"/>
    <m/>
    <m/>
    <n v="322"/>
    <s v="Dock 13"/>
    <x v="0"/>
    <m/>
    <n v="0.27905288351655605"/>
    <n v="23"/>
    <x v="0"/>
  </r>
  <r>
    <d v="2021-05-12T00:00:00"/>
    <x v="7"/>
    <x v="0"/>
    <x v="0"/>
    <d v="1899-12-30T10:36:00"/>
    <d v="1899-12-30T10:41:00"/>
    <d v="1899-12-30T00:05:00"/>
    <s v="NT"/>
    <m/>
    <m/>
    <n v="300"/>
    <s v="Dock 13"/>
    <x v="0"/>
    <m/>
    <n v="4.181326275775827E-2"/>
    <n v="21"/>
    <x v="0"/>
  </r>
  <r>
    <d v="2021-05-12T00:00:00"/>
    <x v="7"/>
    <x v="0"/>
    <x v="0"/>
    <d v="1899-12-30T08:00:00"/>
    <d v="1899-12-30T08:06:00"/>
    <d v="1899-12-30T00:06:00"/>
    <s v="NT"/>
    <m/>
    <m/>
    <n v="295"/>
    <s v="Dock 4"/>
    <x v="0"/>
    <m/>
    <n v="0.75550716964318754"/>
    <n v="21"/>
    <x v="0"/>
  </r>
  <r>
    <d v="2021-05-12T00:00:00"/>
    <x v="7"/>
    <x v="0"/>
    <x v="0"/>
    <d v="1899-12-30T11:02:00"/>
    <d v="1899-12-30T11:10:00"/>
    <d v="1899-12-30T00:08:00"/>
    <s v="NT"/>
    <m/>
    <m/>
    <n v="325"/>
    <s v="Dock 14"/>
    <x v="0"/>
    <m/>
    <n v="0.80900019305245963"/>
    <n v="24"/>
    <x v="0"/>
  </r>
  <r>
    <d v="2021-05-12T00:00:00"/>
    <x v="7"/>
    <x v="0"/>
    <x v="0"/>
    <d v="1899-12-30T12:47:00"/>
    <d v="1899-12-30T12:55:00"/>
    <d v="1899-12-30T00:08:00"/>
    <s v="NT"/>
    <m/>
    <m/>
    <n v="320"/>
    <s v="Dock 18"/>
    <x v="0"/>
    <m/>
    <n v="0.86624463268846486"/>
    <n v="23"/>
    <x v="0"/>
  </r>
  <r>
    <d v="2021-05-12T00:00:00"/>
    <x v="7"/>
    <x v="0"/>
    <x v="0"/>
    <d v="1899-12-30T13:16:00"/>
    <d v="1899-12-30T13:25:00"/>
    <d v="1899-12-30T00:09:00"/>
    <s v="NT"/>
    <m/>
    <m/>
    <n v="315"/>
    <s v="Main Beach Docks"/>
    <x v="0"/>
    <m/>
    <n v="0.97354159502943116"/>
    <n v="23"/>
    <x v="2"/>
  </r>
  <r>
    <d v="2021-05-12T00:00:00"/>
    <x v="7"/>
    <x v="0"/>
    <x v="0"/>
    <d v="1899-12-30T12:38:00"/>
    <d v="1899-12-30T12:47:00"/>
    <d v="1899-12-30T00:09:00"/>
    <s v="NT"/>
    <m/>
    <m/>
    <n v="310"/>
    <s v="Dock 18"/>
    <x v="0"/>
    <m/>
    <n v="0.31358765965029023"/>
    <n v="22"/>
    <x v="0"/>
  </r>
  <r>
    <d v="2021-05-12T00:00:00"/>
    <x v="7"/>
    <x v="0"/>
    <x v="0"/>
    <d v="1899-12-30T07:46:00"/>
    <d v="1899-12-30T08:00:00"/>
    <d v="1899-12-30T00:14:00"/>
    <s v="NT"/>
    <m/>
    <m/>
    <n v="318"/>
    <s v="Dock 4"/>
    <x v="0"/>
    <m/>
    <n v="0.46779574242783512"/>
    <n v="23"/>
    <x v="0"/>
  </r>
  <r>
    <d v="2021-05-12T00:00:00"/>
    <x v="7"/>
    <x v="0"/>
    <x v="0"/>
    <d v="1899-12-30T09:31:00"/>
    <d v="1899-12-30T09:45:00"/>
    <d v="1899-12-30T00:14:00"/>
    <s v="NT"/>
    <m/>
    <m/>
    <n v="310"/>
    <s v="Dock 10"/>
    <x v="0"/>
    <m/>
    <n v="0.24304298462487897"/>
    <n v="22"/>
    <x v="0"/>
  </r>
  <r>
    <d v="2021-05-12T00:00:00"/>
    <x v="7"/>
    <x v="0"/>
    <x v="0"/>
    <d v="1899-12-30T09:45:00"/>
    <d v="1899-12-30T10:02:00"/>
    <d v="1899-12-30T00:17:00"/>
    <s v="NT"/>
    <m/>
    <m/>
    <n v="343"/>
    <s v="Dock 10"/>
    <x v="0"/>
    <m/>
    <n v="0.82344259034071243"/>
    <n v="25"/>
    <x v="2"/>
  </r>
  <r>
    <d v="2021-05-12T00:00:00"/>
    <x v="7"/>
    <x v="0"/>
    <x v="0"/>
    <d v="1899-12-30T08:40:00"/>
    <d v="1899-12-30T09:00:00"/>
    <d v="1899-12-30T00:20:00"/>
    <s v="NT"/>
    <m/>
    <m/>
    <n v="310"/>
    <s v="Dock 7"/>
    <x v="0"/>
    <m/>
    <n v="0.59961585635301462"/>
    <n v="22"/>
    <x v="0"/>
  </r>
  <r>
    <d v="2021-05-12T00:00:00"/>
    <x v="7"/>
    <x v="0"/>
    <x v="0"/>
    <d v="1899-12-30T12:55:00"/>
    <d v="1899-12-30T13:16:00"/>
    <d v="1899-12-30T00:21:00"/>
    <s v="NT"/>
    <m/>
    <m/>
    <n v="308"/>
    <s v="Main Beach Docks"/>
    <x v="0"/>
    <m/>
    <n v="0.74369772511706578"/>
    <n v="22"/>
    <x v="0"/>
  </r>
  <r>
    <d v="2021-05-12T00:00:00"/>
    <x v="7"/>
    <x v="0"/>
    <x v="0"/>
    <d v="1899-12-30T10:03:00"/>
    <d v="1899-12-30T10:25:00"/>
    <d v="1899-12-30T00:22:00"/>
    <s v="NT"/>
    <m/>
    <m/>
    <n v="333"/>
    <s v="Dock 12"/>
    <x v="0"/>
    <m/>
    <n v="0.32766604252516573"/>
    <n v="24"/>
    <x v="0"/>
  </r>
  <r>
    <d v="2021-05-12T00:00:00"/>
    <x v="7"/>
    <x v="0"/>
    <x v="0"/>
    <d v="1899-12-30T13:31:00"/>
    <d v="1899-12-30T14:00:00"/>
    <d v="1899-12-30T00:29:00"/>
    <s v="NT"/>
    <m/>
    <m/>
    <n v="295"/>
    <s v="Main Beach Docks"/>
    <x v="0"/>
    <m/>
    <n v="8.3176720460493458E-2"/>
    <n v="21"/>
    <x v="0"/>
  </r>
  <r>
    <d v="2021-05-12T00:00:00"/>
    <x v="7"/>
    <x v="0"/>
    <x v="0"/>
    <d v="1899-12-30T12:00:00"/>
    <d v="1899-12-30T12:33:00"/>
    <d v="1899-12-30T00:33:00"/>
    <s v="NT"/>
    <m/>
    <m/>
    <n v="305"/>
    <s v="Dock 18"/>
    <x v="0"/>
    <m/>
    <n v="0.95114077951346565"/>
    <n v="22"/>
    <x v="0"/>
  </r>
  <r>
    <d v="2021-05-12T00:00:00"/>
    <x v="7"/>
    <x v="2"/>
    <x v="0"/>
    <d v="1899-12-30T12:30:00"/>
    <d v="1899-12-30T12:31:00"/>
    <d v="1899-12-30T00:01:00"/>
    <n v="2"/>
    <s v="Pink"/>
    <s v="Pink2"/>
    <n v="305"/>
    <s v="Dock 7"/>
    <x v="1"/>
    <m/>
    <n v="0.82308128281639947"/>
    <n v="22"/>
    <x v="0"/>
  </r>
  <r>
    <d v="2021-05-12T00:00:00"/>
    <x v="7"/>
    <x v="2"/>
    <x v="0"/>
    <d v="1899-12-30T10:57:00"/>
    <d v="1899-12-30T11:01:00"/>
    <d v="1899-12-30T00:04:00"/>
    <n v="10"/>
    <s v="Pink"/>
    <s v="Pink10"/>
    <n v="375"/>
    <s v="Dock 14"/>
    <x v="0"/>
    <m/>
    <n v="0.52712029522616433"/>
    <n v="29"/>
    <x v="2"/>
  </r>
  <r>
    <d v="2021-05-12T00:00:00"/>
    <x v="7"/>
    <x v="2"/>
    <x v="0"/>
    <d v="1899-12-30T10:41:00"/>
    <d v="1899-12-30T10:51:00"/>
    <d v="1899-12-30T00:10:00"/>
    <n v="23"/>
    <s v="Pink"/>
    <s v="Pink23"/>
    <n v="440"/>
    <s v="Dock 4"/>
    <x v="0"/>
    <m/>
    <n v="0.31080186614338395"/>
    <n v="35"/>
    <x v="3"/>
  </r>
  <r>
    <d v="2021-05-12T00:00:00"/>
    <x v="7"/>
    <x v="2"/>
    <x v="0"/>
    <d v="1899-12-30T09:10:00"/>
    <d v="1899-12-30T09:35:00"/>
    <d v="1899-12-30T00:25:00"/>
    <n v="13"/>
    <s v="Pink"/>
    <s v="Pink13"/>
    <n v="300"/>
    <s v="Dock 6"/>
    <x v="0"/>
    <m/>
    <n v="0.64696427185412697"/>
    <n v="21"/>
    <x v="0"/>
  </r>
  <r>
    <d v="2021-05-12T00:00:00"/>
    <x v="7"/>
    <x v="1"/>
    <x v="0"/>
    <d v="1899-12-30T08:07:00"/>
    <d v="1899-12-30T08:08:00"/>
    <d v="1899-12-30T00:01:00"/>
    <n v="53"/>
    <s v="Green"/>
    <s v="Green53"/>
    <n v="270"/>
    <s v="Dock 4"/>
    <x v="1"/>
    <m/>
    <n v="0.52851705231169099"/>
    <n v="18"/>
    <x v="0"/>
  </r>
  <r>
    <d v="2021-05-12T00:00:00"/>
    <x v="7"/>
    <x v="1"/>
    <x v="0"/>
    <d v="1899-12-30T07:45:00"/>
    <d v="1899-12-30T07:46:00"/>
    <d v="1899-12-30T00:01:00"/>
    <n v="52"/>
    <s v="Green"/>
    <s v="Green52"/>
    <n v="210"/>
    <s v="Dock 5"/>
    <x v="1"/>
    <m/>
    <n v="0.78609820259087637"/>
    <n v="12"/>
    <x v="1"/>
  </r>
  <r>
    <d v="2021-05-12T00:00:00"/>
    <x v="7"/>
    <x v="1"/>
    <x v="0"/>
    <d v="1899-12-30T07:42:00"/>
    <d v="1899-12-30T07:44:00"/>
    <d v="1899-12-30T00:02:00"/>
    <n v="51"/>
    <s v="Green"/>
    <s v="Green51"/>
    <n v="190"/>
    <s v="Dock 5"/>
    <x v="1"/>
    <m/>
    <n v="0.95249094485886909"/>
    <n v="10"/>
    <x v="1"/>
  </r>
  <r>
    <d v="2021-05-12T00:00:00"/>
    <x v="7"/>
    <x v="1"/>
    <x v="0"/>
    <d v="1899-12-30T13:25:00"/>
    <d v="1899-12-30T13:30:00"/>
    <d v="1899-12-30T00:05:00"/>
    <n v="58"/>
    <s v="Green"/>
    <s v="Green58"/>
    <n v="200"/>
    <s v="Main Beach"/>
    <x v="1"/>
    <m/>
    <n v="0.51531024301206241"/>
    <n v="11"/>
    <x v="1"/>
  </r>
  <r>
    <d v="2021-05-12T00:00:00"/>
    <x v="7"/>
    <x v="1"/>
    <x v="0"/>
    <d v="1899-12-30T10:51:00"/>
    <d v="1899-12-30T10:57:00"/>
    <d v="1899-12-30T00:06:00"/>
    <n v="56"/>
    <s v="Green"/>
    <s v="Green56"/>
    <n v="230"/>
    <s v="Dock 14"/>
    <x v="1"/>
    <m/>
    <n v="0.81925430373253971"/>
    <n v="14"/>
    <x v="1"/>
  </r>
  <r>
    <d v="2021-05-12T00:00:00"/>
    <x v="7"/>
    <x v="1"/>
    <x v="0"/>
    <d v="1899-12-30T08:08:00"/>
    <d v="1899-12-30T08:17:00"/>
    <d v="1899-12-30T00:09:00"/>
    <n v="54"/>
    <s v="Green"/>
    <s v="Green54"/>
    <n v="250"/>
    <s v="Dock 4"/>
    <x v="1"/>
    <m/>
    <n v="0.20708283279420939"/>
    <n v="16"/>
    <x v="1"/>
  </r>
  <r>
    <d v="2021-05-12T00:00:00"/>
    <x v="7"/>
    <x v="1"/>
    <x v="0"/>
    <d v="1899-12-30T07:30:00"/>
    <d v="1899-12-30T07:40:00"/>
    <d v="1899-12-30T00:10:00"/>
    <n v="50"/>
    <s v="Green"/>
    <s v="Green50"/>
    <n v="200"/>
    <s v="Dock 5"/>
    <x v="1"/>
    <m/>
    <n v="0.44117077227736395"/>
    <n v="11"/>
    <x v="1"/>
  </r>
  <r>
    <d v="2021-05-12T00:00:00"/>
    <x v="7"/>
    <x v="1"/>
    <x v="0"/>
    <d v="1899-12-30T14:02:00"/>
    <d v="1899-12-30T14:15:00"/>
    <d v="1899-12-30T00:13:00"/>
    <n v="62"/>
    <s v="Green"/>
    <s v="Green62"/>
    <n v="220"/>
    <s v="Main Beach"/>
    <x v="1"/>
    <m/>
    <n v="0.7571696656556659"/>
    <n v="13"/>
    <x v="1"/>
  </r>
  <r>
    <d v="2021-05-12T00:00:00"/>
    <x v="7"/>
    <x v="1"/>
    <x v="0"/>
    <d v="1899-12-30T08:17:00"/>
    <d v="1899-12-30T08:36:00"/>
    <d v="1899-12-30T00:19:00"/>
    <n v="55"/>
    <s v="Green"/>
    <s v="Green55"/>
    <n v="220"/>
    <s v="Dock 4"/>
    <x v="1"/>
    <m/>
    <n v="0.75057067477636541"/>
    <n v="13"/>
    <x v="1"/>
  </r>
  <r>
    <d v="2021-05-13T00:00:00"/>
    <x v="7"/>
    <x v="0"/>
    <x v="7"/>
    <m/>
    <m/>
    <m/>
    <s v="NT"/>
    <m/>
    <m/>
    <n v="280"/>
    <s v="Main Beach Docks"/>
    <x v="0"/>
    <m/>
    <n v="0.84133096637266269"/>
    <n v="19"/>
    <x v="0"/>
  </r>
  <r>
    <d v="2021-05-13T00:00:00"/>
    <x v="7"/>
    <x v="0"/>
    <x v="7"/>
    <m/>
    <m/>
    <m/>
    <s v="NT"/>
    <m/>
    <m/>
    <n v="310"/>
    <s v="Main Beach Docks"/>
    <x v="0"/>
    <m/>
    <n v="0.24955182534155987"/>
    <n v="22"/>
    <x v="0"/>
  </r>
  <r>
    <d v="2021-05-13T00:00:00"/>
    <x v="7"/>
    <x v="0"/>
    <x v="7"/>
    <m/>
    <m/>
    <m/>
    <s v="NT"/>
    <m/>
    <m/>
    <n v="240"/>
    <s v="Main Beach Docks"/>
    <x v="0"/>
    <m/>
    <n v="0.21752851559665451"/>
    <n v="15"/>
    <x v="1"/>
  </r>
  <r>
    <d v="2021-05-13T00:00:00"/>
    <x v="7"/>
    <x v="0"/>
    <x v="7"/>
    <m/>
    <m/>
    <m/>
    <s v="NT"/>
    <m/>
    <m/>
    <n v="310"/>
    <s v="Main Beach Docks"/>
    <x v="0"/>
    <m/>
    <n v="1.7616329722859119E-3"/>
    <n v="22"/>
    <x v="1"/>
  </r>
  <r>
    <d v="2021-05-13T00:00:00"/>
    <x v="7"/>
    <x v="2"/>
    <x v="9"/>
    <m/>
    <d v="1899-12-30T11:32:00"/>
    <m/>
    <n v="54"/>
    <s v="Green"/>
    <s v="Green54"/>
    <n v="250"/>
    <s v="Main Beach Docks"/>
    <x v="1"/>
    <m/>
    <n v="0.60776536520932123"/>
    <n v="16"/>
    <x v="1"/>
  </r>
  <r>
    <d v="2021-05-14T00:00:00"/>
    <x v="7"/>
    <x v="2"/>
    <x v="0"/>
    <d v="1899-12-30T10:22:00"/>
    <d v="1899-12-30T10:26:00"/>
    <d v="1899-12-30T00:04:00"/>
    <n v="53"/>
    <s v="Green"/>
    <s v="Green53"/>
    <n v="270"/>
    <s v="Dock 4"/>
    <x v="1"/>
    <m/>
    <n v="0.71249307306133824"/>
    <n v="18"/>
    <x v="0"/>
  </r>
  <r>
    <d v="2021-05-14T00:00:00"/>
    <x v="7"/>
    <x v="1"/>
    <x v="0"/>
    <d v="1899-12-30T08:26:00"/>
    <d v="1899-12-30T08:27:00"/>
    <d v="1899-12-30T00:01:00"/>
    <n v="67"/>
    <s v="Green"/>
    <s v="Green67"/>
    <n v="180"/>
    <s v="Dock 5"/>
    <x v="1"/>
    <m/>
    <n v="0.87107894191103008"/>
    <n v="9"/>
    <x v="1"/>
  </r>
  <r>
    <d v="2021-05-14T00:00:00"/>
    <x v="7"/>
    <x v="1"/>
    <x v="0"/>
    <d v="1899-12-30T09:07:00"/>
    <d v="1899-12-30T09:08:00"/>
    <d v="1899-12-30T00:01:00"/>
    <n v="71"/>
    <s v="Green"/>
    <s v="Green71"/>
    <n v="190"/>
    <s v="Main Beach"/>
    <x v="1"/>
    <m/>
    <n v="0.22377669868235323"/>
    <n v="10"/>
    <x v="1"/>
  </r>
  <r>
    <d v="2021-05-14T00:00:00"/>
    <x v="7"/>
    <x v="1"/>
    <x v="0"/>
    <d v="1899-12-30T08:25:00"/>
    <d v="1899-12-30T08:26:00"/>
    <d v="1899-12-30T00:01:00"/>
    <n v="66"/>
    <s v="Green"/>
    <s v="Green66"/>
    <n v="220"/>
    <s v="Dock 5"/>
    <x v="1"/>
    <m/>
    <n v="1.4974754310666935E-2"/>
    <n v="13"/>
    <x v="1"/>
  </r>
  <r>
    <d v="2021-05-14T00:00:00"/>
    <x v="7"/>
    <x v="1"/>
    <x v="0"/>
    <d v="1899-12-30T09:14:00"/>
    <d v="1899-12-30T09:15:00"/>
    <d v="1899-12-30T00:01:00"/>
    <n v="72"/>
    <s v="Green"/>
    <s v="Green72"/>
    <n v="210"/>
    <s v="Main Beach"/>
    <x v="1"/>
    <m/>
    <n v="0.68069569937917207"/>
    <n v="12"/>
    <x v="1"/>
  </r>
  <r>
    <d v="2021-05-14T00:00:00"/>
    <x v="7"/>
    <x v="1"/>
    <x v="0"/>
    <d v="1899-12-30T09:45:00"/>
    <d v="1899-12-30T09:46:00"/>
    <d v="1899-12-30T00:01:00"/>
    <n v="74"/>
    <s v="Green"/>
    <s v="Green74"/>
    <n v="210"/>
    <s v="Main Beach"/>
    <x v="1"/>
    <m/>
    <n v="0.45261946574441131"/>
    <n v="12"/>
    <x v="1"/>
  </r>
  <r>
    <d v="2021-05-14T00:00:00"/>
    <x v="7"/>
    <x v="1"/>
    <x v="0"/>
    <d v="1899-12-30T08:29:00"/>
    <d v="1899-12-30T08:32:00"/>
    <d v="1899-12-30T00:03:00"/>
    <n v="68"/>
    <s v="Green"/>
    <s v="Green68"/>
    <n v="230"/>
    <s v="Dock 5"/>
    <x v="1"/>
    <m/>
    <n v="0.17536076632112299"/>
    <n v="14"/>
    <x v="1"/>
  </r>
  <r>
    <d v="2021-05-14T00:00:00"/>
    <x v="7"/>
    <x v="1"/>
    <x v="0"/>
    <d v="1899-12-30T07:30:00"/>
    <d v="1899-12-30T07:34:00"/>
    <d v="1899-12-30T00:04:00"/>
    <n v="65"/>
    <s v="Green"/>
    <s v="Green65"/>
    <n v="160"/>
    <s v="Dock 5"/>
    <x v="1"/>
    <m/>
    <n v="0.28839955911431442"/>
    <n v="7"/>
    <x v="3"/>
  </r>
  <r>
    <d v="2021-05-14T00:00:00"/>
    <x v="7"/>
    <x v="1"/>
    <x v="0"/>
    <d v="1899-12-30T08:32:00"/>
    <d v="1899-12-30T08:37:00"/>
    <d v="1899-12-30T00:05:00"/>
    <n v="69"/>
    <s v="Green"/>
    <s v="Green69"/>
    <n v="220"/>
    <s v="Dock 5"/>
    <x v="1"/>
    <m/>
    <n v="0.13139003428229598"/>
    <n v="13"/>
    <x v="1"/>
  </r>
  <r>
    <d v="2021-05-14T00:00:00"/>
    <x v="7"/>
    <x v="1"/>
    <x v="0"/>
    <d v="1899-12-30T07:35:00"/>
    <d v="1899-12-30T07:45:00"/>
    <d v="1899-12-30T00:10:00"/>
    <n v="64"/>
    <s v="Green"/>
    <s v="Green64"/>
    <n v="150"/>
    <s v="Dock 5"/>
    <x v="1"/>
    <m/>
    <n v="0.27230618254854633"/>
    <n v="6"/>
    <x v="3"/>
  </r>
  <r>
    <d v="2021-05-14T00:00:00"/>
    <x v="7"/>
    <x v="1"/>
    <x v="0"/>
    <d v="1899-12-30T08:12:00"/>
    <d v="1899-12-30T08:23:00"/>
    <d v="1899-12-30T00:11:00"/>
    <n v="63"/>
    <s v="Green"/>
    <s v="Green63"/>
    <n v="230"/>
    <s v="Dock 5"/>
    <x v="1"/>
    <m/>
    <n v="0.65001009341795468"/>
    <n v="14"/>
    <x v="1"/>
  </r>
  <r>
    <d v="2021-05-14T00:00:00"/>
    <x v="7"/>
    <x v="1"/>
    <x v="0"/>
    <d v="1899-12-30T09:15:00"/>
    <d v="1899-12-30T09:45:00"/>
    <d v="1899-12-30T00:30:00"/>
    <n v="73"/>
    <s v="Green"/>
    <s v="Green73"/>
    <n v="245"/>
    <s v="Main Beach"/>
    <x v="1"/>
    <m/>
    <n v="0.71964007556421683"/>
    <n v="16"/>
    <x v="0"/>
  </r>
  <r>
    <d v="2021-05-14T00:00:00"/>
    <x v="7"/>
    <x v="1"/>
    <x v="0"/>
    <d v="1899-12-30T08:37:00"/>
    <d v="1899-12-30T09:07:00"/>
    <d v="1899-12-30T00:30:00"/>
    <n v="70"/>
    <s v="Green"/>
    <s v="Green70"/>
    <n v="210"/>
    <s v="Main Beach"/>
    <x v="1"/>
    <m/>
    <n v="0.99075000779272526"/>
    <n v="12"/>
    <x v="0"/>
  </r>
  <r>
    <d v="2021-05-14T00:00:00"/>
    <x v="7"/>
    <x v="1"/>
    <x v="0"/>
    <d v="1899-12-30T10:55:00"/>
    <d v="1899-12-30T11:55:00"/>
    <d v="1899-12-30T01:00:00"/>
    <n v="76"/>
    <s v="Green"/>
    <s v="Green76"/>
    <n v="380"/>
    <s v="Dock 4"/>
    <x v="1"/>
    <m/>
    <n v="0.53538097233296422"/>
    <n v="29"/>
    <x v="2"/>
  </r>
  <r>
    <d v="2021-05-14T00:00:00"/>
    <x v="7"/>
    <x v="1"/>
    <x v="0"/>
    <d v="1899-12-30T09:46:00"/>
    <d v="1899-12-30T10:55:00"/>
    <d v="1899-12-30T01:09:00"/>
    <n v="75"/>
    <s v="Green"/>
    <s v="Green75"/>
    <n v="270"/>
    <s v="Dock 15"/>
    <x v="1"/>
    <m/>
    <n v="0.14800200012885129"/>
    <n v="18"/>
    <x v="1"/>
  </r>
  <r>
    <d v="2021-05-19T00:00:00"/>
    <x v="7"/>
    <x v="0"/>
    <x v="0"/>
    <d v="1899-12-30T07:20:00"/>
    <d v="1899-12-30T07:21:00"/>
    <d v="1899-12-30T00:01:00"/>
    <s v="NT"/>
    <m/>
    <m/>
    <n v="310"/>
    <s v="Dock 5"/>
    <x v="0"/>
    <m/>
    <n v="0.4696161656033323"/>
    <n v="22"/>
    <x v="0"/>
  </r>
  <r>
    <d v="2021-05-19T00:00:00"/>
    <x v="7"/>
    <x v="0"/>
    <x v="0"/>
    <d v="1899-12-30T07:54:00"/>
    <d v="1899-12-30T07:55:00"/>
    <d v="1899-12-30T00:01:00"/>
    <s v="NT"/>
    <m/>
    <m/>
    <n v="177"/>
    <s v="Dock 5"/>
    <x v="0"/>
    <m/>
    <n v="0.83889529520594297"/>
    <n v="9"/>
    <x v="1"/>
  </r>
  <r>
    <d v="2021-05-19T00:00:00"/>
    <x v="7"/>
    <x v="0"/>
    <x v="0"/>
    <d v="1899-12-30T08:00:00"/>
    <d v="1899-12-30T08:01:00"/>
    <d v="1899-12-30T00:01:00"/>
    <s v="NT"/>
    <m/>
    <m/>
    <n v="168"/>
    <s v="Dock 5"/>
    <x v="0"/>
    <m/>
    <n v="0.31322652628329889"/>
    <n v="8"/>
    <x v="3"/>
  </r>
  <r>
    <d v="2021-05-19T00:00:00"/>
    <x v="7"/>
    <x v="0"/>
    <x v="0"/>
    <d v="1899-12-30T09:31:00"/>
    <d v="1899-12-30T09:33:00"/>
    <d v="1899-12-30T00:02:00"/>
    <s v="NT"/>
    <m/>
    <m/>
    <n v="290"/>
    <s v="Beach Boy"/>
    <x v="0"/>
    <m/>
    <n v="0.39822724340400995"/>
    <n v="20"/>
    <x v="0"/>
  </r>
  <r>
    <d v="2021-05-19T00:00:00"/>
    <x v="7"/>
    <x v="0"/>
    <x v="0"/>
    <d v="1899-12-30T08:41:00"/>
    <d v="1899-12-30T08:44:00"/>
    <d v="1899-12-30T00:03:00"/>
    <s v="NT"/>
    <m/>
    <m/>
    <n v="295"/>
    <s v="Dock 6"/>
    <x v="0"/>
    <m/>
    <n v="5.2798911953716963E-3"/>
    <n v="21"/>
    <x v="1"/>
  </r>
  <r>
    <d v="2021-05-19T00:00:00"/>
    <x v="7"/>
    <x v="0"/>
    <x v="0"/>
    <d v="1899-12-30T09:26:00"/>
    <d v="1899-12-30T09:30:00"/>
    <d v="1899-12-30T00:04:00"/>
    <s v="NT"/>
    <m/>
    <m/>
    <n v="226"/>
    <s v="Beach Boy"/>
    <x v="0"/>
    <m/>
    <n v="0.73913132061210052"/>
    <n v="14"/>
    <x v="1"/>
  </r>
  <r>
    <d v="2021-05-19T00:00:00"/>
    <x v="7"/>
    <x v="0"/>
    <x v="0"/>
    <d v="1899-12-30T13:02:00"/>
    <d v="1899-12-30T13:06:00"/>
    <d v="1899-12-30T00:04:00"/>
    <s v="NT"/>
    <m/>
    <m/>
    <n v="212"/>
    <s v="Dock 22"/>
    <x v="0"/>
    <m/>
    <n v="0.58010552757424561"/>
    <n v="12"/>
    <x v="1"/>
  </r>
  <r>
    <d v="2021-05-19T00:00:00"/>
    <x v="7"/>
    <x v="0"/>
    <x v="0"/>
    <d v="1899-12-30T11:12:00"/>
    <d v="1899-12-30T11:16:00"/>
    <d v="1899-12-30T00:04:00"/>
    <s v="NT"/>
    <m/>
    <m/>
    <n v="325"/>
    <s v="Dock 15"/>
    <x v="0"/>
    <m/>
    <n v="0.83360194034576507"/>
    <n v="24"/>
    <x v="0"/>
  </r>
  <r>
    <d v="2021-05-19T00:00:00"/>
    <x v="7"/>
    <x v="0"/>
    <x v="0"/>
    <d v="1899-12-30T09:35:00"/>
    <d v="1899-12-30T09:40:00"/>
    <d v="1899-12-30T00:05:00"/>
    <s v="NT"/>
    <m/>
    <m/>
    <n v="317"/>
    <s v="Beach Boy"/>
    <x v="0"/>
    <m/>
    <n v="0.34781139127342559"/>
    <n v="23"/>
    <x v="0"/>
  </r>
  <r>
    <d v="2021-05-19T00:00:00"/>
    <x v="7"/>
    <x v="0"/>
    <x v="0"/>
    <d v="1899-12-30T09:04:00"/>
    <d v="1899-12-30T09:10:00"/>
    <d v="1899-12-30T00:06:00"/>
    <s v="NT"/>
    <m/>
    <m/>
    <n v="343"/>
    <s v="Beach Boy"/>
    <x v="0"/>
    <m/>
    <n v="0.66605313246420261"/>
    <n v="25"/>
    <x v="0"/>
  </r>
  <r>
    <d v="2021-05-19T00:00:00"/>
    <x v="7"/>
    <x v="0"/>
    <x v="0"/>
    <d v="1899-12-30T08:56:00"/>
    <d v="1899-12-30T09:03:00"/>
    <d v="1899-12-30T00:07:00"/>
    <s v="NT"/>
    <m/>
    <m/>
    <n v="303"/>
    <s v="Dock 6"/>
    <x v="0"/>
    <m/>
    <n v="0.35499732585390903"/>
    <n v="21"/>
    <x v="0"/>
  </r>
  <r>
    <d v="2021-05-19T00:00:00"/>
    <x v="7"/>
    <x v="0"/>
    <x v="0"/>
    <d v="1899-12-30T07:21:00"/>
    <d v="1899-12-30T07:29:00"/>
    <d v="1899-12-30T00:08:00"/>
    <s v="NT"/>
    <m/>
    <m/>
    <n v="183"/>
    <s v="Dock 5"/>
    <x v="0"/>
    <m/>
    <n v="0.44005562664943543"/>
    <n v="9"/>
    <x v="3"/>
  </r>
  <r>
    <d v="2021-05-19T00:00:00"/>
    <x v="7"/>
    <x v="0"/>
    <x v="0"/>
    <d v="1899-12-30T11:43:00"/>
    <d v="1899-12-30T11:52:00"/>
    <d v="1899-12-30T00:09:00"/>
    <s v="NT"/>
    <m/>
    <m/>
    <n v="308"/>
    <s v="Dock 16"/>
    <x v="0"/>
    <m/>
    <n v="1.4917097061368217E-2"/>
    <n v="22"/>
    <x v="0"/>
  </r>
  <r>
    <d v="2021-05-19T00:00:00"/>
    <x v="7"/>
    <x v="0"/>
    <x v="0"/>
    <d v="1899-12-30T08:45:00"/>
    <d v="1899-12-30T08:55:00"/>
    <d v="1899-12-30T00:10:00"/>
    <s v="NT"/>
    <m/>
    <m/>
    <n v="275"/>
    <s v="Dock 6"/>
    <x v="0"/>
    <m/>
    <n v="0.71165031041561178"/>
    <n v="19"/>
    <x v="0"/>
  </r>
  <r>
    <d v="2021-05-19T00:00:00"/>
    <x v="7"/>
    <x v="0"/>
    <x v="0"/>
    <d v="1899-12-30T07:43:00"/>
    <d v="1899-12-30T07:53:00"/>
    <d v="1899-12-30T00:10:00"/>
    <s v="NT"/>
    <m/>
    <m/>
    <n v="184"/>
    <s v="Dock 5"/>
    <x v="0"/>
    <m/>
    <n v="0.70676715518663036"/>
    <n v="9"/>
    <x v="1"/>
  </r>
  <r>
    <d v="2021-05-19T00:00:00"/>
    <x v="7"/>
    <x v="0"/>
    <x v="0"/>
    <d v="1899-12-30T08:30:00"/>
    <d v="1899-12-30T08:40:00"/>
    <d v="1899-12-30T00:10:00"/>
    <s v="NT"/>
    <m/>
    <m/>
    <n v="213"/>
    <s v="Dock 6"/>
    <x v="0"/>
    <m/>
    <n v="0.63557722169699948"/>
    <n v="12"/>
    <x v="1"/>
  </r>
  <r>
    <d v="2021-05-19T00:00:00"/>
    <x v="7"/>
    <x v="0"/>
    <x v="0"/>
    <d v="1899-12-30T07:30:00"/>
    <d v="1899-12-30T07:42:00"/>
    <d v="1899-12-30T00:12:00"/>
    <s v="NT"/>
    <m/>
    <m/>
    <n v="209"/>
    <s v="Dock 5"/>
    <x v="0"/>
    <m/>
    <n v="0.1463650614704774"/>
    <n v="12"/>
    <x v="1"/>
  </r>
  <r>
    <d v="2021-05-19T00:00:00"/>
    <x v="7"/>
    <x v="0"/>
    <x v="0"/>
    <d v="1899-12-30T11:30:00"/>
    <d v="1899-12-30T11:43:00"/>
    <d v="1899-12-30T00:13:00"/>
    <s v="NT"/>
    <m/>
    <m/>
    <n v="333"/>
    <s v="Dock 16"/>
    <x v="0"/>
    <m/>
    <n v="0.95758813431374179"/>
    <n v="24"/>
    <x v="2"/>
  </r>
  <r>
    <d v="2021-05-19T00:00:00"/>
    <x v="7"/>
    <x v="0"/>
    <x v="0"/>
    <d v="1899-12-30T11:16:00"/>
    <d v="1899-12-30T11:30:00"/>
    <d v="1899-12-30T00:14:00"/>
    <s v="NT"/>
    <m/>
    <m/>
    <n v="215"/>
    <s v="Dock 14"/>
    <x v="0"/>
    <m/>
    <n v="0.18377341105778394"/>
    <n v="13"/>
    <x v="1"/>
  </r>
  <r>
    <d v="2021-05-19T00:00:00"/>
    <x v="7"/>
    <x v="0"/>
    <x v="0"/>
    <d v="1899-12-30T09:40:00"/>
    <d v="1899-12-30T09:55:00"/>
    <d v="1899-12-30T00:15:00"/>
    <s v="NT"/>
    <m/>
    <m/>
    <n v="224"/>
    <s v="Dock 10"/>
    <x v="0"/>
    <m/>
    <n v="0.67971964817481101"/>
    <n v="13"/>
    <x v="1"/>
  </r>
  <r>
    <d v="2021-05-19T00:00:00"/>
    <x v="7"/>
    <x v="0"/>
    <x v="0"/>
    <d v="1899-12-30T08:02:00"/>
    <d v="1899-12-30T08:29:00"/>
    <d v="1899-12-30T00:27:00"/>
    <s v="NT"/>
    <m/>
    <m/>
    <n v="368"/>
    <s v="Dock 6"/>
    <x v="0"/>
    <m/>
    <n v="4.8126874048321916E-2"/>
    <n v="28"/>
    <x v="0"/>
  </r>
  <r>
    <d v="2021-05-19T00:00:00"/>
    <x v="7"/>
    <x v="0"/>
    <x v="0"/>
    <d v="1899-12-30T11:52:00"/>
    <d v="1899-12-30T12:20:00"/>
    <d v="1899-12-30T00:28:00"/>
    <s v="NT"/>
    <m/>
    <m/>
    <n v="312"/>
    <s v="Dock 17"/>
    <x v="0"/>
    <m/>
    <n v="0.86837213014642345"/>
    <n v="22"/>
    <x v="0"/>
  </r>
  <r>
    <d v="2021-05-19T00:00:00"/>
    <x v="7"/>
    <x v="0"/>
    <x v="0"/>
    <d v="1899-12-30T09:56:00"/>
    <d v="1899-12-30T10:28:00"/>
    <d v="1899-12-30T00:32:00"/>
    <s v="NT"/>
    <m/>
    <m/>
    <n v="357"/>
    <s v="Dock 13"/>
    <x v="0"/>
    <m/>
    <n v="0.73039137093834172"/>
    <n v="27"/>
    <x v="2"/>
  </r>
  <r>
    <d v="2021-05-19T00:00:00"/>
    <x v="7"/>
    <x v="0"/>
    <x v="0"/>
    <d v="1899-12-30T12:21:00"/>
    <d v="1899-12-30T13:02:00"/>
    <d v="1899-12-30T00:41:00"/>
    <s v="NT"/>
    <m/>
    <m/>
    <n v="280"/>
    <s v="Dock 22"/>
    <x v="0"/>
    <m/>
    <n v="0.68777136071015676"/>
    <n v="19"/>
    <x v="0"/>
  </r>
  <r>
    <d v="2021-05-19T00:00:00"/>
    <x v="7"/>
    <x v="0"/>
    <x v="0"/>
    <d v="1899-12-30T10:28:00"/>
    <d v="1899-12-30T11:12:00"/>
    <d v="1899-12-30T00:44:00"/>
    <s v="NT"/>
    <m/>
    <m/>
    <n v="190"/>
    <s v="Dock 15"/>
    <x v="0"/>
    <m/>
    <n v="0.37325945560506518"/>
    <n v="10"/>
    <x v="1"/>
  </r>
  <r>
    <d v="2021-05-19T00:00:00"/>
    <x v="7"/>
    <x v="2"/>
    <x v="0"/>
    <d v="1899-12-30T12:46:00"/>
    <d v="1899-12-30T12:51:00"/>
    <d v="1899-12-30T00:05:00"/>
    <n v="2"/>
    <s v="Pink"/>
    <s v="Pink2"/>
    <n v="310"/>
    <s v="Beach Boy"/>
    <x v="1"/>
    <m/>
    <n v="0.37167035433075873"/>
    <n v="22"/>
    <x v="0"/>
  </r>
  <r>
    <d v="2021-05-21T00:00:00"/>
    <x v="7"/>
    <x v="2"/>
    <x v="0"/>
    <d v="1899-12-30T10:30:00"/>
    <d v="1899-12-30T10:31:00"/>
    <d v="1899-12-30T00:01:00"/>
    <n v="85"/>
    <s v="Green"/>
    <s v="Green85"/>
    <n v="295"/>
    <s v="Dock 15"/>
    <x v="1"/>
    <m/>
    <n v="0.66364523706196121"/>
    <n v="21"/>
    <x v="0"/>
  </r>
  <r>
    <d v="2021-05-21T00:00:00"/>
    <x v="7"/>
    <x v="1"/>
    <x v="0"/>
    <m/>
    <m/>
    <m/>
    <n v="31"/>
    <s v="Pink"/>
    <s v="Pink31"/>
    <n v="325"/>
    <s v="Dock 3"/>
    <x v="1"/>
    <m/>
    <n v="0.88549930038186686"/>
    <n v="24"/>
    <x v="2"/>
  </r>
  <r>
    <d v="2021-05-21T00:00:00"/>
    <x v="7"/>
    <x v="1"/>
    <x v="0"/>
    <m/>
    <m/>
    <m/>
    <n v="33"/>
    <s v="Pink"/>
    <s v="Pink33"/>
    <n v="310"/>
    <s v="Dock 3"/>
    <x v="1"/>
    <m/>
    <n v="0.58674151803680763"/>
    <n v="22"/>
    <x v="0"/>
  </r>
  <r>
    <d v="2021-05-21T00:00:00"/>
    <x v="7"/>
    <x v="1"/>
    <x v="0"/>
    <m/>
    <m/>
    <m/>
    <n v="34"/>
    <s v="Pink"/>
    <s v="Pink34"/>
    <n v="355"/>
    <s v="Dock 4"/>
    <x v="1"/>
    <m/>
    <n v="0.36469364462638909"/>
    <n v="27"/>
    <x v="0"/>
  </r>
  <r>
    <d v="2021-05-21T00:00:00"/>
    <x v="7"/>
    <x v="1"/>
    <x v="0"/>
    <d v="1899-12-30T10:09:00"/>
    <d v="1899-12-30T10:10:00"/>
    <d v="1899-12-30T00:01:00"/>
    <n v="78"/>
    <s v="Green"/>
    <s v="Green78"/>
    <n v="330"/>
    <s v="Dock 11"/>
    <x v="1"/>
    <m/>
    <n v="0.40608523572147137"/>
    <n v="24"/>
    <x v="0"/>
  </r>
  <r>
    <d v="2021-05-21T00:00:00"/>
    <x v="7"/>
    <x v="1"/>
    <x v="0"/>
    <d v="1899-12-30T10:54:00"/>
    <d v="1899-12-30T10:55:00"/>
    <d v="1899-12-30T00:01:00"/>
    <n v="82"/>
    <s v="Green"/>
    <s v="Green82"/>
    <n v="250"/>
    <s v="Dock 13"/>
    <x v="1"/>
    <m/>
    <n v="7.4556770769207165E-2"/>
    <n v="16"/>
    <x v="1"/>
  </r>
  <r>
    <d v="2021-05-21T00:00:00"/>
    <x v="7"/>
    <x v="1"/>
    <x v="0"/>
    <d v="1899-12-30T11:40:00"/>
    <d v="1899-12-30T11:42:00"/>
    <d v="1899-12-30T00:02:00"/>
    <n v="86"/>
    <s v="Green"/>
    <s v="Green86"/>
    <n v="300"/>
    <s v="Dock 15"/>
    <x v="1"/>
    <m/>
    <n v="7.5646318064837861E-2"/>
    <n v="21"/>
    <x v="0"/>
  </r>
  <r>
    <d v="2021-05-21T00:00:00"/>
    <x v="7"/>
    <x v="1"/>
    <x v="0"/>
    <d v="1899-12-30T12:26:00"/>
    <d v="1899-12-30T12:29:00"/>
    <d v="1899-12-30T00:03:00"/>
    <n v="91"/>
    <s v="Green"/>
    <s v="Green91"/>
    <n v="285"/>
    <s v="Dock 18"/>
    <x v="1"/>
    <m/>
    <n v="0.38766771572999087"/>
    <n v="20"/>
    <x v="0"/>
  </r>
  <r>
    <d v="2021-05-21T00:00:00"/>
    <x v="7"/>
    <x v="1"/>
    <x v="0"/>
    <d v="1899-12-30T11:43:00"/>
    <d v="1899-12-30T11:46:00"/>
    <d v="1899-12-30T00:03:00"/>
    <n v="87"/>
    <s v="Green"/>
    <s v="Green87"/>
    <n v="290"/>
    <s v="Dock 15"/>
    <x v="1"/>
    <m/>
    <n v="0.53129827395607632"/>
    <n v="20"/>
    <x v="0"/>
  </r>
  <r>
    <d v="2021-05-21T00:00:00"/>
    <x v="7"/>
    <x v="1"/>
    <x v="0"/>
    <d v="1899-12-30T10:50:00"/>
    <d v="1899-12-30T10:54:00"/>
    <d v="1899-12-30T00:04:00"/>
    <n v="81"/>
    <s v="Green"/>
    <s v="Green81"/>
    <n v="295"/>
    <s v="Dock 13"/>
    <x v="1"/>
    <m/>
    <n v="0.53009037977554385"/>
    <n v="21"/>
    <x v="0"/>
  </r>
  <r>
    <d v="2021-05-21T00:00:00"/>
    <x v="7"/>
    <x v="1"/>
    <x v="0"/>
    <d v="1899-12-30T08:10:00"/>
    <d v="1899-12-30T08:14:00"/>
    <d v="1899-12-30T00:04:00"/>
    <n v="118"/>
    <s v="Green"/>
    <s v="Green118"/>
    <n v="320"/>
    <s v="Dock 3"/>
    <x v="1"/>
    <m/>
    <n v="0.22901288756589075"/>
    <n v="23"/>
    <x v="0"/>
  </r>
  <r>
    <d v="2021-05-21T00:00:00"/>
    <x v="7"/>
    <x v="1"/>
    <x v="0"/>
    <d v="1899-12-30T10:45:00"/>
    <d v="1899-12-30T10:50:00"/>
    <d v="1899-12-30T00:05:00"/>
    <n v="80"/>
    <s v="Green"/>
    <s v="Green80"/>
    <n v="210"/>
    <s v="Dock 13"/>
    <x v="1"/>
    <m/>
    <n v="1.9601319925673922E-2"/>
    <n v="12"/>
    <x v="1"/>
  </r>
  <r>
    <d v="2021-05-21T00:00:00"/>
    <x v="7"/>
    <x v="1"/>
    <x v="0"/>
    <d v="1899-12-30T11:21:00"/>
    <d v="1899-12-30T11:26:00"/>
    <d v="1899-12-30T00:05:00"/>
    <n v="84"/>
    <s v="Green"/>
    <s v="Green84"/>
    <n v="300"/>
    <s v="Dock 12"/>
    <x v="1"/>
    <m/>
    <n v="0.43938399080158397"/>
    <n v="21"/>
    <x v="0"/>
  </r>
  <r>
    <d v="2021-05-21T00:00:00"/>
    <x v="7"/>
    <x v="1"/>
    <x v="0"/>
    <d v="1899-12-30T08:48:00"/>
    <d v="1899-12-30T08:54:00"/>
    <d v="1899-12-30T00:06:00"/>
    <n v="116"/>
    <s v="Green"/>
    <s v="Green116"/>
    <n v="290"/>
    <s v="Dock 2"/>
    <x v="1"/>
    <m/>
    <n v="0.72673340222180516"/>
    <n v="20"/>
    <x v="0"/>
  </r>
  <r>
    <d v="2021-05-21T00:00:00"/>
    <x v="7"/>
    <x v="1"/>
    <x v="0"/>
    <d v="1899-12-30T11:27:00"/>
    <d v="1899-12-30T11:34:00"/>
    <d v="1899-12-30T00:07:00"/>
    <n v="85"/>
    <s v="Green"/>
    <s v="Green85"/>
    <n v="295"/>
    <s v="Dock 15"/>
    <x v="1"/>
    <m/>
    <n v="0.20829114187894907"/>
    <n v="21"/>
    <x v="0"/>
  </r>
  <r>
    <d v="2021-05-21T00:00:00"/>
    <x v="7"/>
    <x v="1"/>
    <x v="0"/>
    <d v="1899-12-30T12:17:00"/>
    <d v="1899-12-30T12:25:00"/>
    <d v="1899-12-30T00:08:00"/>
    <n v="90"/>
    <s v="Green"/>
    <s v="Green90"/>
    <n v="305"/>
    <s v="Dock 18"/>
    <x v="1"/>
    <m/>
    <n v="0.74922155949716529"/>
    <n v="22"/>
    <x v="0"/>
  </r>
  <r>
    <d v="2021-05-21T00:00:00"/>
    <x v="7"/>
    <x v="1"/>
    <x v="0"/>
    <d v="1899-12-30T08:37:00"/>
    <d v="1899-12-30T08:47:00"/>
    <d v="1899-12-30T00:10:00"/>
    <n v="77"/>
    <s v="Green"/>
    <s v="Green77"/>
    <n v="230"/>
    <s v="Dock 3"/>
    <x v="1"/>
    <m/>
    <n v="0.16675046885700454"/>
    <n v="14"/>
    <x v="1"/>
  </r>
  <r>
    <d v="2021-05-21T00:00:00"/>
    <x v="7"/>
    <x v="1"/>
    <x v="0"/>
    <d v="1899-12-30T12:03:00"/>
    <d v="1899-12-30T12:16:00"/>
    <d v="1899-12-30T00:13:00"/>
    <n v="89"/>
    <s v="Green"/>
    <s v="Green89"/>
    <n v="295"/>
    <s v="Dock 17"/>
    <x v="1"/>
    <m/>
    <n v="0.57513007967506069"/>
    <n v="21"/>
    <x v="0"/>
  </r>
  <r>
    <d v="2021-05-21T00:00:00"/>
    <x v="7"/>
    <x v="1"/>
    <x v="0"/>
    <d v="1899-12-30T11:46:00"/>
    <d v="1899-12-30T12:02:00"/>
    <d v="1899-12-30T00:16:00"/>
    <n v="88"/>
    <s v="Green"/>
    <s v="Green88"/>
    <n v="220"/>
    <s v="Dock 16"/>
    <x v="1"/>
    <m/>
    <n v="0.21124909874575637"/>
    <n v="13"/>
    <x v="1"/>
  </r>
  <r>
    <d v="2021-05-21T00:00:00"/>
    <x v="7"/>
    <x v="1"/>
    <x v="0"/>
    <d v="1899-12-30T10:55:00"/>
    <d v="1899-12-30T11:20:00"/>
    <d v="1899-12-30T00:25:00"/>
    <n v="83"/>
    <s v="Green"/>
    <s v="Green83"/>
    <n v="290"/>
    <s v="Dock 12"/>
    <x v="1"/>
    <m/>
    <n v="0.46360261992719148"/>
    <n v="20"/>
    <x v="0"/>
  </r>
  <r>
    <d v="2021-05-21T00:00:00"/>
    <x v="7"/>
    <x v="1"/>
    <x v="0"/>
    <d v="1899-12-30T10:10:00"/>
    <d v="1899-12-30T10:45:00"/>
    <d v="1899-12-30T00:35:00"/>
    <n v="79"/>
    <s v="Green"/>
    <s v="Green79"/>
    <n v="230"/>
    <s v="Dock 13"/>
    <x v="1"/>
    <m/>
    <n v="0.7692331163069388"/>
    <n v="14"/>
    <x v="1"/>
  </r>
  <r>
    <d v="2021-05-23T00:00:00"/>
    <x v="7"/>
    <x v="2"/>
    <x v="10"/>
    <d v="1899-12-30T10:50:00"/>
    <d v="1899-12-30T11:02:00"/>
    <d v="1899-12-30T00:12:00"/>
    <n v="58"/>
    <s v="Green"/>
    <s v="Green58"/>
    <n v="200"/>
    <m/>
    <x v="0"/>
    <m/>
    <n v="0.50098577071958494"/>
    <n v="11"/>
    <x v="1"/>
  </r>
  <r>
    <d v="2021-05-26T00:00:00"/>
    <x v="7"/>
    <x v="2"/>
    <x v="0"/>
    <d v="1899-12-30T09:45:00"/>
    <d v="1899-12-30T09:46:00"/>
    <d v="1899-12-30T00:01:00"/>
    <n v="84"/>
    <s v="Green"/>
    <s v="Green84"/>
    <n v="300"/>
    <s v="Dock 10"/>
    <x v="1"/>
    <m/>
    <n v="6.7848484063450468E-2"/>
    <n v="21"/>
    <x v="0"/>
  </r>
  <r>
    <d v="2021-05-26T00:00:00"/>
    <x v="7"/>
    <x v="2"/>
    <x v="0"/>
    <d v="1899-12-30T09:25:00"/>
    <d v="1899-12-30T09:28:00"/>
    <d v="1899-12-30T00:03:00"/>
    <n v="34"/>
    <s v="Pink"/>
    <s v="Pink34"/>
    <n v="330"/>
    <s v="Dock 2"/>
    <x v="1"/>
    <m/>
    <n v="0.32947165441209064"/>
    <n v="24"/>
    <x v="0"/>
  </r>
  <r>
    <d v="2021-05-26T00:00:00"/>
    <x v="7"/>
    <x v="2"/>
    <x v="0"/>
    <d v="1899-12-30T07:41:00"/>
    <d v="1899-12-30T07:48:00"/>
    <d v="1899-12-30T00:07:00"/>
    <n v="82"/>
    <s v="Green"/>
    <s v="Green82"/>
    <n v="250"/>
    <s v="Dock 13"/>
    <x v="1"/>
    <m/>
    <n v="0.43009570400700703"/>
    <n v="16"/>
    <x v="1"/>
  </r>
  <r>
    <d v="2021-05-26T00:00:00"/>
    <x v="7"/>
    <x v="2"/>
    <x v="0"/>
    <d v="1899-12-30T08:48:00"/>
    <d v="1899-12-30T09:24:00"/>
    <d v="1899-12-30T00:36:00"/>
    <n v="11"/>
    <s v="Pink"/>
    <s v="Pink11"/>
    <n v="320"/>
    <s v="Dock 4"/>
    <x v="1"/>
    <m/>
    <n v="0.6184972457673853"/>
    <n v="23"/>
    <x v="0"/>
  </r>
  <r>
    <d v="2021-05-26T00:00:00"/>
    <x v="7"/>
    <x v="2"/>
    <x v="0"/>
    <d v="1899-12-30T12:35:00"/>
    <d v="1899-12-30T13:45:00"/>
    <d v="1899-12-30T01:10:00"/>
    <n v="83"/>
    <s v="Green"/>
    <s v="Green83"/>
    <n v="290"/>
    <s v="Dock 10"/>
    <x v="1"/>
    <m/>
    <n v="8.3209612445537748E-2"/>
    <n v="20"/>
    <x v="0"/>
  </r>
  <r>
    <d v="2021-05-26T00:00:00"/>
    <x v="7"/>
    <x v="2"/>
    <x v="0"/>
    <d v="1899-12-30T09:05:00"/>
    <d v="1899-12-30T11:05:00"/>
    <d v="1899-12-30T02:00:00"/>
    <n v="116"/>
    <s v="Green"/>
    <s v="Green116"/>
    <n v="290"/>
    <s v="Dock 2"/>
    <x v="1"/>
    <m/>
    <n v="0.5039563721529936"/>
    <n v="20"/>
    <x v="0"/>
  </r>
  <r>
    <d v="2021-05-26T00:00:00"/>
    <x v="7"/>
    <x v="1"/>
    <x v="0"/>
    <m/>
    <m/>
    <m/>
    <n v="36"/>
    <s v="Pink"/>
    <s v="Pink36"/>
    <n v="281"/>
    <s v="Dock 5"/>
    <x v="1"/>
    <m/>
    <n v="0.99474677536391964"/>
    <n v="19"/>
    <x v="0"/>
  </r>
  <r>
    <d v="2021-05-26T00:00:00"/>
    <x v="7"/>
    <x v="1"/>
    <x v="0"/>
    <m/>
    <m/>
    <m/>
    <n v="37"/>
    <s v="Pink"/>
    <s v="Pink37"/>
    <n v="287"/>
    <s v="Dock 5"/>
    <x v="1"/>
    <m/>
    <n v="0.70905354139816645"/>
    <n v="20"/>
    <x v="0"/>
  </r>
  <r>
    <d v="2021-05-26T00:00:00"/>
    <x v="7"/>
    <x v="1"/>
    <x v="0"/>
    <m/>
    <m/>
    <m/>
    <n v="38"/>
    <s v="Pink"/>
    <s v="Pink38"/>
    <n v="320"/>
    <s v="Dock 6"/>
    <x v="1"/>
    <m/>
    <n v="6.2870278983782182E-2"/>
    <n v="23"/>
    <x v="0"/>
  </r>
  <r>
    <d v="2021-05-26T00:00:00"/>
    <x v="7"/>
    <x v="1"/>
    <x v="0"/>
    <m/>
    <m/>
    <m/>
    <n v="39"/>
    <s v="Pink"/>
    <s v="Pink39"/>
    <n v="275"/>
    <s v="Beach Boy"/>
    <x v="1"/>
    <m/>
    <n v="0.66077888042702293"/>
    <n v="19"/>
    <x v="0"/>
  </r>
  <r>
    <d v="2021-05-26T00:00:00"/>
    <x v="7"/>
    <x v="1"/>
    <x v="0"/>
    <m/>
    <m/>
    <m/>
    <n v="40"/>
    <s v="Pink"/>
    <s v="Pink40"/>
    <n v="380"/>
    <s v="Dock 10"/>
    <x v="1"/>
    <m/>
    <n v="0.56176693856798432"/>
    <n v="29"/>
    <x v="2"/>
  </r>
  <r>
    <d v="2021-05-26T00:00:00"/>
    <x v="7"/>
    <x v="1"/>
    <x v="0"/>
    <d v="1899-12-30T09:16:00"/>
    <d v="1899-12-30T09:17:00"/>
    <d v="1899-12-30T00:01:00"/>
    <n v="97"/>
    <s v="Green"/>
    <s v="Green97"/>
    <n v="210"/>
    <s v="Beach Boy"/>
    <x v="1"/>
    <m/>
    <n v="0.61693651211305356"/>
    <n v="12"/>
    <x v="1"/>
  </r>
  <r>
    <d v="2021-05-26T00:00:00"/>
    <x v="7"/>
    <x v="1"/>
    <x v="0"/>
    <d v="1899-12-30T08:15:00"/>
    <d v="1899-12-30T08:17:00"/>
    <d v="1899-12-30T00:02:00"/>
    <n v="93"/>
    <s v="Green"/>
    <s v="Green93"/>
    <n v="230"/>
    <s v="Dock 6"/>
    <x v="1"/>
    <m/>
    <n v="0.85195908409168897"/>
    <n v="14"/>
    <x v="1"/>
  </r>
  <r>
    <d v="2021-05-26T00:00:00"/>
    <x v="7"/>
    <x v="1"/>
    <x v="0"/>
    <d v="1899-12-30T08:18:00"/>
    <d v="1899-12-30T08:20:00"/>
    <d v="1899-12-30T00:02:00"/>
    <n v="94"/>
    <s v="Green"/>
    <s v="Green94"/>
    <n v="220"/>
    <s v="Dock 6"/>
    <x v="1"/>
    <m/>
    <n v="0.87632632901720997"/>
    <n v="13"/>
    <x v="1"/>
  </r>
  <r>
    <d v="2021-05-26T00:00:00"/>
    <x v="7"/>
    <x v="1"/>
    <x v="0"/>
    <d v="1899-12-30T08:32:00"/>
    <d v="1899-12-30T08:34:00"/>
    <d v="1899-12-30T00:02:00"/>
    <n v="95"/>
    <s v="Green"/>
    <s v="Green95"/>
    <n v="230"/>
    <s v="Dock 6"/>
    <x v="1"/>
    <m/>
    <n v="0.4166117922480273"/>
    <n v="14"/>
    <x v="1"/>
  </r>
  <r>
    <d v="2021-05-26T00:00:00"/>
    <x v="7"/>
    <x v="1"/>
    <x v="0"/>
    <d v="1899-12-30T12:15:00"/>
    <d v="1899-12-30T12:21:00"/>
    <d v="1899-12-30T00:06:00"/>
    <n v="104"/>
    <s v="Green"/>
    <s v="Green104"/>
    <n v="290"/>
    <s v="Dock 2"/>
    <x v="1"/>
    <m/>
    <n v="0.99439231259487215"/>
    <n v="20"/>
    <x v="2"/>
  </r>
  <r>
    <d v="2021-05-26T00:00:00"/>
    <x v="7"/>
    <x v="1"/>
    <x v="0"/>
    <d v="1899-12-30T09:18:00"/>
    <d v="1899-12-30T09:25:00"/>
    <d v="1899-12-30T00:07:00"/>
    <n v="98"/>
    <s v="Green"/>
    <s v="Green98"/>
    <n v="225"/>
    <s v="Beach Boy"/>
    <x v="1"/>
    <m/>
    <n v="0.75159778201561322"/>
    <n v="14"/>
    <x v="1"/>
  </r>
  <r>
    <d v="2021-05-26T00:00:00"/>
    <x v="7"/>
    <x v="1"/>
    <x v="0"/>
    <d v="1899-12-30T12:48:00"/>
    <d v="1899-12-30T12:55:00"/>
    <d v="1899-12-30T00:07:00"/>
    <n v="106"/>
    <s v="Green"/>
    <s v="Green106"/>
    <n v="220"/>
    <s v="Dock 2"/>
    <x v="1"/>
    <m/>
    <n v="0.10392233641069491"/>
    <n v="13"/>
    <x v="1"/>
  </r>
  <r>
    <d v="2021-05-26T00:00:00"/>
    <x v="7"/>
    <x v="1"/>
    <x v="0"/>
    <d v="1899-12-30T09:41:00"/>
    <d v="1899-12-30T09:50:00"/>
    <d v="1899-12-30T00:09:00"/>
    <n v="99"/>
    <s v="Green"/>
    <s v="Green99"/>
    <n v="200"/>
    <s v="Dock 10"/>
    <x v="1"/>
    <m/>
    <n v="0.62270805454939049"/>
    <n v="11"/>
    <x v="1"/>
  </r>
  <r>
    <d v="2021-05-26T00:00:00"/>
    <x v="7"/>
    <x v="1"/>
    <x v="0"/>
    <d v="1899-12-30T09:51:00"/>
    <d v="1899-12-30T10:00:00"/>
    <d v="1899-12-30T00:09:00"/>
    <n v="100"/>
    <s v="Green"/>
    <s v="Green100"/>
    <n v="220"/>
    <s v="Dock 11"/>
    <x v="1"/>
    <m/>
    <n v="0.8542728116057221"/>
    <n v="13"/>
    <x v="1"/>
  </r>
  <r>
    <d v="2021-05-26T00:00:00"/>
    <x v="7"/>
    <x v="1"/>
    <x v="0"/>
    <d v="1899-12-30T10:02:00"/>
    <d v="1899-12-30T10:15:00"/>
    <d v="1899-12-30T00:13:00"/>
    <n v="101"/>
    <s v="Green"/>
    <s v="Green101"/>
    <n v="190"/>
    <s v="Dock 12"/>
    <x v="1"/>
    <m/>
    <n v="0.76314465737116743"/>
    <n v="10"/>
    <x v="1"/>
  </r>
  <r>
    <d v="2021-05-26T00:00:00"/>
    <x v="7"/>
    <x v="1"/>
    <x v="0"/>
    <d v="1899-12-30T10:36:00"/>
    <d v="1899-12-30T10:50:00"/>
    <d v="1899-12-30T00:14:00"/>
    <n v="102"/>
    <s v="Green"/>
    <s v="Green102"/>
    <n v="230"/>
    <s v="Dock 14"/>
    <x v="1"/>
    <m/>
    <n v="0.17225643721048553"/>
    <n v="14"/>
    <x v="1"/>
  </r>
  <r>
    <d v="2021-05-26T00:00:00"/>
    <x v="7"/>
    <x v="1"/>
    <x v="0"/>
    <d v="1899-12-30T12:21:00"/>
    <d v="1899-12-30T12:48:00"/>
    <d v="1899-12-30T00:27:00"/>
    <n v="105"/>
    <s v="Green"/>
    <s v="Green105"/>
    <n v="305"/>
    <s v="Dock 2"/>
    <x v="1"/>
    <m/>
    <n v="0.11394019663051712"/>
    <n v="22"/>
    <x v="0"/>
  </r>
  <r>
    <d v="2021-05-26T00:00:00"/>
    <x v="7"/>
    <x v="1"/>
    <x v="0"/>
    <d v="1899-12-30T11:07:00"/>
    <d v="1899-12-30T11:41:00"/>
    <d v="1899-12-30T00:34:00"/>
    <n v="103"/>
    <s v="Green"/>
    <s v="Green103"/>
    <n v="220"/>
    <s v="Logan's house"/>
    <x v="1"/>
    <m/>
    <n v="0.9928847691011079"/>
    <n v="13"/>
    <x v="0"/>
  </r>
  <r>
    <d v="2021-05-26T00:00:00"/>
    <x v="7"/>
    <x v="1"/>
    <x v="0"/>
    <d v="1899-12-30T07:39:00"/>
    <d v="1899-12-30T08:14:00"/>
    <d v="1899-12-30T00:35:00"/>
    <n v="92"/>
    <s v="Green"/>
    <s v="Green92"/>
    <n v="160"/>
    <s v="Dock 6"/>
    <x v="1"/>
    <m/>
    <n v="0.41431428231965484"/>
    <n v="7"/>
    <x v="3"/>
  </r>
  <r>
    <d v="2021-05-26T00:00:00"/>
    <x v="7"/>
    <x v="1"/>
    <x v="0"/>
    <d v="1899-12-30T08:35:00"/>
    <d v="1899-12-30T09:12:00"/>
    <d v="1899-12-30T00:37:00"/>
    <n v="96"/>
    <s v="Green"/>
    <s v="Green96"/>
    <n v="240"/>
    <s v="Beach Boy"/>
    <x v="1"/>
    <m/>
    <n v="0.38014294643893043"/>
    <n v="15"/>
    <x v="1"/>
  </r>
  <r>
    <d v="2021-05-27T00:00:00"/>
    <x v="7"/>
    <x v="1"/>
    <x v="0"/>
    <m/>
    <m/>
    <m/>
    <s v="circle tag"/>
    <s v="Pink"/>
    <s v="Pinkcircle tag"/>
    <n v="330"/>
    <s v="Dock 18"/>
    <x v="1"/>
    <m/>
    <n v="6.2500799103873225E-2"/>
    <n v="24"/>
    <x v="0"/>
  </r>
  <r>
    <d v="2021-05-27T00:00:00"/>
    <x v="7"/>
    <x v="1"/>
    <x v="0"/>
    <m/>
    <m/>
    <m/>
    <s v="circle tag"/>
    <s v="Pink"/>
    <s v="Pinkcircle tag"/>
    <n v="315"/>
    <s v="Dock 16"/>
    <x v="1"/>
    <m/>
    <n v="0.45093053879725309"/>
    <n v="23"/>
    <x v="0"/>
  </r>
  <r>
    <d v="2021-05-27T00:00:00"/>
    <x v="7"/>
    <x v="1"/>
    <x v="0"/>
    <m/>
    <m/>
    <m/>
    <s v="circle tag"/>
    <s v="Pink"/>
    <s v="Pinkcircle tag"/>
    <n v="330"/>
    <s v="Dock 3"/>
    <x v="1"/>
    <m/>
    <n v="0.78956556543221956"/>
    <n v="24"/>
    <x v="0"/>
  </r>
  <r>
    <d v="2021-05-29T00:00:00"/>
    <x v="7"/>
    <x v="2"/>
    <x v="11"/>
    <d v="1899-12-30T10:34:00"/>
    <d v="1899-12-30T10:54:00"/>
    <d v="1899-12-30T00:20:00"/>
    <n v="65"/>
    <s v="Green"/>
    <s v="Green65"/>
    <n v="160"/>
    <s v="Marina boat launch"/>
    <x v="0"/>
    <m/>
    <n v="0.22845821931420743"/>
    <n v="7"/>
    <x v="3"/>
  </r>
  <r>
    <d v="2021-06-03T00:00:00"/>
    <x v="8"/>
    <x v="2"/>
    <x v="0"/>
    <m/>
    <m/>
    <m/>
    <s v="circle tag"/>
    <s v="Pink"/>
    <s v="Pinkcircle tag"/>
    <n v="340"/>
    <s v="Dock 4"/>
    <x v="1"/>
    <m/>
    <n v="0.69729201388419237"/>
    <n v="25"/>
    <x v="0"/>
  </r>
  <r>
    <d v="2021-06-03T00:00:00"/>
    <x v="8"/>
    <x v="2"/>
    <x v="0"/>
    <d v="1899-12-30T11:41:00"/>
    <d v="1899-12-30T11:48:00"/>
    <d v="1899-12-30T00:07:00"/>
    <s v="circle tag"/>
    <s v="Pink"/>
    <s v="Pinkcircle tag"/>
    <n v="340"/>
    <s v="Dock 18"/>
    <x v="1"/>
    <m/>
    <n v="0.38687735162064307"/>
    <n v="25"/>
    <x v="0"/>
  </r>
  <r>
    <d v="2021-06-03T00:00:00"/>
    <x v="8"/>
    <x v="2"/>
    <x v="0"/>
    <d v="1899-12-30T12:32:00"/>
    <d v="1899-12-30T12:40:00"/>
    <d v="1899-12-30T00:08:00"/>
    <n v="105"/>
    <s v="Green"/>
    <s v="Green105"/>
    <n v="290"/>
    <s v="Dock 4"/>
    <x v="1"/>
    <m/>
    <n v="0.24764868814854357"/>
    <n v="20"/>
    <x v="0"/>
  </r>
  <r>
    <d v="2021-06-03T00:00:00"/>
    <x v="8"/>
    <x v="2"/>
    <x v="0"/>
    <d v="1899-12-30T11:58:00"/>
    <d v="1899-12-30T12:09:00"/>
    <d v="1899-12-30T00:11:00"/>
    <n v="84"/>
    <s v="Green"/>
    <s v="Green84"/>
    <n v="300"/>
    <s v="Dock 16"/>
    <x v="1"/>
    <m/>
    <n v="0.23150171257159752"/>
    <n v="21"/>
    <x v="0"/>
  </r>
  <r>
    <d v="2021-06-03T00:00:00"/>
    <x v="8"/>
    <x v="2"/>
    <x v="0"/>
    <d v="1899-12-30T09:43:00"/>
    <d v="1899-12-30T09:54:00"/>
    <d v="1899-12-30T00:11:00"/>
    <n v="11"/>
    <s v="Pink"/>
    <s v="Pink11"/>
    <n v="320"/>
    <s v="Dock 4"/>
    <x v="1"/>
    <m/>
    <n v="0.84928319083959014"/>
    <n v="23"/>
    <x v="0"/>
  </r>
  <r>
    <d v="2021-06-03T00:00:00"/>
    <x v="8"/>
    <x v="2"/>
    <x v="0"/>
    <d v="1899-12-30T11:48:00"/>
    <d v="1899-12-30T12:01:00"/>
    <d v="1899-12-30T00:13:00"/>
    <n v="31"/>
    <s v="Pink"/>
    <s v="Pink31"/>
    <n v="330"/>
    <s v="Dock 4"/>
    <x v="1"/>
    <m/>
    <n v="0.90258844099128077"/>
    <n v="24"/>
    <x v="2"/>
  </r>
  <r>
    <d v="2021-06-03T00:00:00"/>
    <x v="8"/>
    <x v="2"/>
    <x v="0"/>
    <d v="1899-12-30T12:41:00"/>
    <d v="1899-12-30T12:54:00"/>
    <d v="1899-12-30T00:13:00"/>
    <n v="112"/>
    <s v="Green"/>
    <s v="Green112"/>
    <n v="235"/>
    <s v="Dock 11"/>
    <x v="1"/>
    <m/>
    <n v="0.80392774045650273"/>
    <n v="15"/>
    <x v="0"/>
  </r>
  <r>
    <d v="2021-06-03T00:00:00"/>
    <x v="8"/>
    <x v="2"/>
    <x v="0"/>
    <d v="1899-12-30T11:41:00"/>
    <d v="1899-12-30T11:57:00"/>
    <d v="1899-12-30T00:16:00"/>
    <n v="83"/>
    <s v="Green"/>
    <s v="Green83"/>
    <n v="300"/>
    <s v="Dock 16"/>
    <x v="1"/>
    <m/>
    <n v="0.61353385244195058"/>
    <n v="21"/>
    <x v="0"/>
  </r>
  <r>
    <d v="2021-06-03T00:00:00"/>
    <x v="8"/>
    <x v="2"/>
    <x v="0"/>
    <d v="1899-12-30T09:05:00"/>
    <d v="1899-12-30T09:22:00"/>
    <d v="1899-12-30T00:17:00"/>
    <n v="34"/>
    <s v="Pink"/>
    <s v="Pink34"/>
    <n v="320"/>
    <s v="Dock 3"/>
    <x v="1"/>
    <m/>
    <n v="0.66345799186427989"/>
    <n v="23"/>
    <x v="0"/>
  </r>
  <r>
    <d v="2021-06-03T00:00:00"/>
    <x v="8"/>
    <x v="2"/>
    <x v="0"/>
    <d v="1899-12-30T08:23:00"/>
    <d v="1899-12-30T08:47:00"/>
    <d v="1899-12-30T00:24:00"/>
    <n v="85"/>
    <s v="Green"/>
    <s v="Green85"/>
    <n v="300"/>
    <s v="Dock 16"/>
    <x v="1"/>
    <m/>
    <n v="0.73846926295127224"/>
    <n v="21"/>
    <x v="0"/>
  </r>
  <r>
    <d v="2021-06-03T00:00:00"/>
    <x v="8"/>
    <x v="2"/>
    <x v="0"/>
    <d v="1899-12-30T08:53:00"/>
    <d v="1899-12-30T09:18:00"/>
    <d v="1899-12-30T00:25:00"/>
    <n v="40"/>
    <s v="Pink"/>
    <s v="Pink40"/>
    <n v="380"/>
    <s v="Dock 10"/>
    <x v="1"/>
    <m/>
    <n v="0.45290242203180792"/>
    <n v="29"/>
    <x v="2"/>
  </r>
  <r>
    <d v="2021-06-03T00:00:00"/>
    <x v="8"/>
    <x v="2"/>
    <x v="0"/>
    <d v="1899-12-30T10:07:00"/>
    <d v="1899-12-30T10:33:00"/>
    <d v="1899-12-30T00:26:00"/>
    <n v="95"/>
    <s v="Green"/>
    <s v="Green95"/>
    <n v="230"/>
    <s v="Dock 6"/>
    <x v="1"/>
    <m/>
    <n v="0.93100708859553893"/>
    <n v="14"/>
    <x v="0"/>
  </r>
  <r>
    <d v="2021-06-03T00:00:00"/>
    <x v="8"/>
    <x v="1"/>
    <x v="0"/>
    <d v="1899-12-30T12:11:00"/>
    <d v="1899-12-30T12:12:00"/>
    <d v="1899-12-30T00:01:00"/>
    <n v="129"/>
    <s v="Green"/>
    <s v="Green129"/>
    <n v="190"/>
    <s v="Dock 21"/>
    <x v="1"/>
    <m/>
    <n v="0.43613802522241046"/>
    <n v="10"/>
    <x v="1"/>
  </r>
  <r>
    <d v="2021-06-03T00:00:00"/>
    <x v="8"/>
    <x v="1"/>
    <x v="0"/>
    <d v="1899-12-30T10:32:00"/>
    <d v="1899-12-30T10:34:00"/>
    <d v="1899-12-30T00:02:00"/>
    <n v="121"/>
    <s v="Green"/>
    <s v="Green121"/>
    <n v="295"/>
    <s v="Dock 16"/>
    <x v="1"/>
    <m/>
    <n v="0.17178991305259517"/>
    <n v="21"/>
    <x v="0"/>
  </r>
  <r>
    <d v="2021-06-03T00:00:00"/>
    <x v="8"/>
    <x v="1"/>
    <x v="0"/>
    <d v="1899-12-30T11:05:00"/>
    <d v="1899-12-30T11:07:00"/>
    <d v="1899-12-30T00:02:00"/>
    <n v="123"/>
    <s v="Green"/>
    <s v="Green123"/>
    <n v="220"/>
    <s v="Dock 16"/>
    <x v="1"/>
    <m/>
    <n v="0.27306867496719056"/>
    <n v="13"/>
    <x v="1"/>
  </r>
  <r>
    <d v="2021-06-03T00:00:00"/>
    <x v="8"/>
    <x v="1"/>
    <x v="0"/>
    <d v="1899-12-30T10:08:00"/>
    <d v="1899-12-30T10:11:00"/>
    <d v="1899-12-30T00:03:00"/>
    <n v="115"/>
    <s v="Green"/>
    <s v="Green115"/>
    <n v="320"/>
    <s v="Dock 14"/>
    <x v="1"/>
    <m/>
    <n v="0.46522017357182699"/>
    <n v="23"/>
    <x v="0"/>
  </r>
  <r>
    <d v="2021-06-03T00:00:00"/>
    <x v="8"/>
    <x v="1"/>
    <x v="0"/>
    <d v="1899-12-30T12:31:00"/>
    <d v="1899-12-30T12:34:00"/>
    <d v="1899-12-30T00:03:00"/>
    <n v="131"/>
    <s v="Green"/>
    <s v="Green131"/>
    <n v="220"/>
    <s v="Dock 4"/>
    <x v="1"/>
    <m/>
    <n v="0.95545722169590053"/>
    <n v="13"/>
    <x v="0"/>
  </r>
  <r>
    <d v="2021-06-03T00:00:00"/>
    <x v="8"/>
    <x v="1"/>
    <x v="0"/>
    <d v="1899-12-30T13:21:00"/>
    <d v="1899-12-30T13:24:00"/>
    <d v="1899-12-30T00:03:00"/>
    <n v="135"/>
    <s v="Green"/>
    <s v="Green135"/>
    <n v="295"/>
    <s v="Dock 3"/>
    <x v="1"/>
    <m/>
    <n v="0.36952504300024597"/>
    <n v="21"/>
    <x v="0"/>
  </r>
  <r>
    <d v="2021-06-03T00:00:00"/>
    <x v="8"/>
    <x v="1"/>
    <x v="0"/>
    <d v="1899-12-30T09:46:00"/>
    <d v="1899-12-30T09:50:00"/>
    <d v="1899-12-30T00:04:00"/>
    <n v="113"/>
    <s v="Green"/>
    <s v="Green113"/>
    <n v="315"/>
    <s v="Dock 12"/>
    <x v="1"/>
    <m/>
    <n v="0.60739770513372393"/>
    <n v="23"/>
    <x v="0"/>
  </r>
  <r>
    <d v="2021-06-03T00:00:00"/>
    <x v="8"/>
    <x v="1"/>
    <x v="0"/>
    <d v="1899-12-30T11:26:00"/>
    <d v="1899-12-30T11:30:00"/>
    <d v="1899-12-30T00:04:00"/>
    <n v="126"/>
    <s v="Green"/>
    <s v="Green126"/>
    <n v="200"/>
    <s v="Dock 18"/>
    <x v="1"/>
    <m/>
    <n v="0.53323018249740362"/>
    <n v="11"/>
    <x v="1"/>
  </r>
  <r>
    <d v="2021-06-03T00:00:00"/>
    <x v="8"/>
    <x v="1"/>
    <x v="0"/>
    <d v="1899-12-30T13:16:00"/>
    <d v="1899-12-30T13:20:00"/>
    <d v="1899-12-30T00:04:00"/>
    <n v="134"/>
    <s v="Green"/>
    <s v="Green134"/>
    <n v="200"/>
    <s v="Dock 3"/>
    <x v="1"/>
    <m/>
    <n v="0.99967723386347163"/>
    <n v="11"/>
    <x v="0"/>
  </r>
  <r>
    <d v="2021-06-03T00:00:00"/>
    <x v="8"/>
    <x v="1"/>
    <x v="0"/>
    <d v="1899-12-30T12:12:00"/>
    <d v="1899-12-30T12:16:00"/>
    <d v="1899-12-30T00:04:00"/>
    <n v="130"/>
    <s v="Green"/>
    <s v="Green130"/>
    <n v="195"/>
    <s v="Dock 21"/>
    <x v="1"/>
    <m/>
    <n v="0.57526954336802916"/>
    <n v="11"/>
    <x v="1"/>
  </r>
  <r>
    <d v="2021-06-03T00:00:00"/>
    <x v="8"/>
    <x v="1"/>
    <x v="0"/>
    <d v="1899-12-30T11:36:00"/>
    <d v="1899-12-30T11:41:00"/>
    <d v="1899-12-30T00:05:00"/>
    <n v="127"/>
    <s v="Green"/>
    <s v="Green127"/>
    <n v="290"/>
    <s v="Dock 18"/>
    <x v="1"/>
    <m/>
    <n v="0.55521538646668911"/>
    <n v="20"/>
    <x v="0"/>
  </r>
  <r>
    <d v="2021-06-03T00:00:00"/>
    <x v="8"/>
    <x v="1"/>
    <x v="0"/>
    <d v="1899-12-30T13:06:00"/>
    <d v="1899-12-30T13:12:00"/>
    <d v="1899-12-30T00:06:00"/>
    <n v="133"/>
    <s v="Green"/>
    <s v="Green133"/>
    <n v="250"/>
    <s v="Dock 3"/>
    <x v="1"/>
    <m/>
    <n v="0.50500034564407559"/>
    <n v="16"/>
    <x v="1"/>
  </r>
  <r>
    <d v="2021-06-03T00:00:00"/>
    <x v="8"/>
    <x v="1"/>
    <x v="0"/>
    <d v="1899-12-30T08:38:00"/>
    <d v="1899-12-30T08:45:00"/>
    <d v="1899-12-30T00:07:00"/>
    <n v="110"/>
    <s v="Green"/>
    <s v="Green110"/>
    <n v="230"/>
    <s v="Beach Boy"/>
    <x v="1"/>
    <m/>
    <n v="0.54080923997834751"/>
    <n v="14"/>
    <x v="1"/>
  </r>
  <r>
    <d v="2021-06-03T00:00:00"/>
    <x v="8"/>
    <x v="1"/>
    <x v="0"/>
    <d v="1899-12-30T10:15:00"/>
    <d v="1899-12-30T10:22:00"/>
    <d v="1899-12-30T00:07:00"/>
    <n v="120"/>
    <s v="Green"/>
    <s v="Green120"/>
    <n v="330"/>
    <s v="Dock 15"/>
    <x v="1"/>
    <m/>
    <n v="0.3808963160872908"/>
    <n v="24"/>
    <x v="0"/>
  </r>
  <r>
    <d v="2021-06-03T00:00:00"/>
    <x v="8"/>
    <x v="1"/>
    <x v="0"/>
    <d v="1899-12-30T11:08:00"/>
    <d v="1899-12-30T11:15:00"/>
    <d v="1899-12-30T00:07:00"/>
    <n v="124"/>
    <s v="Green"/>
    <s v="Green124"/>
    <n v="295"/>
    <s v="Dock 16"/>
    <x v="1"/>
    <m/>
    <n v="0.72438447909633841"/>
    <n v="21"/>
    <x v="0"/>
  </r>
  <r>
    <d v="2021-06-03T00:00:00"/>
    <x v="8"/>
    <x v="1"/>
    <x v="0"/>
    <d v="1899-12-30T11:17:00"/>
    <d v="1899-12-30T11:25:00"/>
    <d v="1899-12-30T00:08:00"/>
    <n v="125"/>
    <s v="Green"/>
    <s v="Green125"/>
    <n v="285"/>
    <s v="Dock 18"/>
    <x v="1"/>
    <m/>
    <n v="0.72994017215908513"/>
    <n v="20"/>
    <x v="0"/>
  </r>
  <r>
    <d v="2021-06-03T00:00:00"/>
    <x v="8"/>
    <x v="1"/>
    <x v="0"/>
    <d v="1899-12-30T09:36:00"/>
    <d v="1899-12-30T09:45:00"/>
    <d v="1899-12-30T00:09:00"/>
    <n v="112"/>
    <s v="Green"/>
    <s v="Green112"/>
    <n v="235"/>
    <s v="Dock 11"/>
    <x v="1"/>
    <m/>
    <n v="0.10447347774378651"/>
    <n v="15"/>
    <x v="1"/>
  </r>
  <r>
    <d v="2021-06-03T00:00:00"/>
    <x v="8"/>
    <x v="1"/>
    <x v="0"/>
    <d v="1899-12-30T07:30:00"/>
    <d v="1899-12-30T07:40:00"/>
    <d v="1899-12-30T00:10:00"/>
    <n v="108"/>
    <s v="Green"/>
    <s v="Green108"/>
    <n v="300"/>
    <s v="Dock 5"/>
    <x v="1"/>
    <m/>
    <n v="0.88574043981998252"/>
    <n v="21"/>
    <x v="0"/>
  </r>
  <r>
    <d v="2021-06-03T00:00:00"/>
    <x v="8"/>
    <x v="1"/>
    <x v="0"/>
    <d v="1899-12-30T12:55:00"/>
    <d v="1899-12-30T13:05:00"/>
    <d v="1899-12-30T00:10:00"/>
    <n v="132"/>
    <s v="Green"/>
    <s v="Green132"/>
    <n v="220"/>
    <s v="Dock 3"/>
    <x v="1"/>
    <m/>
    <n v="0.63957205444554432"/>
    <n v="13"/>
    <x v="1"/>
  </r>
  <r>
    <d v="2021-06-03T00:00:00"/>
    <x v="8"/>
    <x v="1"/>
    <x v="0"/>
    <d v="1899-12-30T10:35:00"/>
    <d v="1899-12-30T10:50:00"/>
    <d v="1899-12-30T00:15:00"/>
    <n v="122"/>
    <s v="Green"/>
    <s v="Green122"/>
    <n v="300"/>
    <s v="Dock 16"/>
    <x v="1"/>
    <m/>
    <n v="0.2875190662627663"/>
    <n v="21"/>
    <x v="0"/>
  </r>
  <r>
    <d v="2021-06-03T00:00:00"/>
    <x v="8"/>
    <x v="1"/>
    <x v="0"/>
    <d v="1899-12-30T09:50:00"/>
    <d v="1899-12-30T10:07:00"/>
    <d v="1899-12-30T00:17:00"/>
    <n v="114"/>
    <s v="Green"/>
    <s v="Green114"/>
    <n v="270"/>
    <s v="Dock 14"/>
    <x v="1"/>
    <m/>
    <n v="0.33294667831293617"/>
    <n v="18"/>
    <x v="0"/>
  </r>
  <r>
    <d v="2021-06-03T00:00:00"/>
    <x v="8"/>
    <x v="1"/>
    <x v="0"/>
    <d v="1899-12-30T08:21:00"/>
    <d v="1899-12-30T08:38:00"/>
    <d v="1899-12-30T00:17:00"/>
    <n v="109"/>
    <s v="Green"/>
    <s v="Green109"/>
    <n v="300"/>
    <s v="Beach Boy"/>
    <x v="1"/>
    <m/>
    <n v="0.83482240551841558"/>
    <n v="21"/>
    <x v="0"/>
  </r>
  <r>
    <d v="2021-06-03T00:00:00"/>
    <x v="8"/>
    <x v="1"/>
    <x v="0"/>
    <d v="1899-12-30T08:45:00"/>
    <d v="1899-12-30T09:06:00"/>
    <d v="1899-12-30T00:21:00"/>
    <n v="111"/>
    <s v="Green"/>
    <s v="Green111"/>
    <n v="350"/>
    <s v="Beach Boy"/>
    <x v="1"/>
    <m/>
    <n v="0.86016954801053258"/>
    <n v="26"/>
    <x v="2"/>
  </r>
  <r>
    <d v="2021-06-03T00:00:00"/>
    <x v="8"/>
    <x v="1"/>
    <x v="0"/>
    <d v="1899-12-30T11:42:00"/>
    <d v="1899-12-30T12:07:00"/>
    <d v="1899-12-30T00:25:00"/>
    <n v="128"/>
    <s v="Green"/>
    <s v="Green128"/>
    <n v="205"/>
    <s v="Dock 21"/>
    <x v="1"/>
    <m/>
    <n v="0.8695934130202948"/>
    <n v="12"/>
    <x v="1"/>
  </r>
  <r>
    <d v="2021-06-03T00:00:00"/>
    <x v="8"/>
    <x v="1"/>
    <x v="0"/>
    <d v="1899-12-30T13:25:00"/>
    <d v="1899-12-30T13:50:00"/>
    <d v="1899-12-30T00:25:00"/>
    <n v="136"/>
    <s v="Green"/>
    <s v="Green136"/>
    <n v="235"/>
    <s v="Dock 3"/>
    <x v="1"/>
    <m/>
    <n v="0.25649263209500006"/>
    <n v="15"/>
    <x v="1"/>
  </r>
  <r>
    <d v="2021-06-05T00:00:00"/>
    <x v="8"/>
    <x v="2"/>
    <x v="12"/>
    <d v="1899-12-30T07:47:00"/>
    <d v="1899-12-30T07:49:00"/>
    <d v="1899-12-30T00:02:00"/>
    <n v="127"/>
    <s v="Green"/>
    <s v="Green127"/>
    <n v="290"/>
    <s v="Dock 2"/>
    <x v="0"/>
    <m/>
    <n v="0.87166762066617032"/>
    <n v="20"/>
    <x v="0"/>
  </r>
  <r>
    <d v="2021-06-08T00:00:00"/>
    <x v="8"/>
    <x v="2"/>
    <x v="0"/>
    <m/>
    <m/>
    <m/>
    <n v="39"/>
    <s v="Pink"/>
    <s v="Pink39"/>
    <n v="270"/>
    <s v="Beach Boy"/>
    <x v="1"/>
    <m/>
    <n v="0.11770053632450315"/>
    <n v="18"/>
    <x v="1"/>
  </r>
  <r>
    <d v="2021-06-08T00:00:00"/>
    <x v="8"/>
    <x v="2"/>
    <x v="0"/>
    <m/>
    <m/>
    <m/>
    <n v="40"/>
    <s v="Pink"/>
    <s v="Pink40"/>
    <n v="390"/>
    <s v="Dock 10"/>
    <x v="1"/>
    <m/>
    <n v="0.19291400592444186"/>
    <n v="30"/>
    <x v="2"/>
  </r>
  <r>
    <d v="2021-06-08T00:00:00"/>
    <x v="8"/>
    <x v="2"/>
    <x v="0"/>
    <d v="1899-12-30T11:37:00"/>
    <d v="1899-12-30T11:40:00"/>
    <d v="1899-12-30T00:03:00"/>
    <n v="14"/>
    <s v="Pink"/>
    <s v="Pink14"/>
    <n v="270"/>
    <s v="Dock 14"/>
    <x v="1"/>
    <m/>
    <n v="0.30569757209424747"/>
    <n v="18"/>
    <x v="0"/>
  </r>
  <r>
    <d v="2021-06-08T00:00:00"/>
    <x v="8"/>
    <x v="2"/>
    <x v="0"/>
    <d v="1899-12-30T12:02:00"/>
    <d v="1899-12-30T12:05:00"/>
    <d v="1899-12-30T00:03:00"/>
    <n v="90"/>
    <s v="Green"/>
    <s v="Green90"/>
    <n v="310"/>
    <s v="Dock 17"/>
    <x v="1"/>
    <m/>
    <n v="0.85909418801734883"/>
    <n v="22"/>
    <x v="0"/>
  </r>
  <r>
    <d v="2021-06-08T00:00:00"/>
    <x v="8"/>
    <x v="2"/>
    <x v="0"/>
    <d v="1899-12-30T07:40:00"/>
    <d v="1899-12-30T07:43:00"/>
    <d v="1899-12-30T00:03:00"/>
    <n v="135"/>
    <s v="Green"/>
    <s v="Green135"/>
    <n v="290"/>
    <s v="Dock 3"/>
    <x v="1"/>
    <m/>
    <n v="0.79601800758206198"/>
    <n v="20"/>
    <x v="0"/>
  </r>
  <r>
    <d v="2021-06-08T00:00:00"/>
    <x v="8"/>
    <x v="2"/>
    <x v="0"/>
    <d v="1899-12-30T09:57:00"/>
    <d v="1899-12-30T10:00:00"/>
    <d v="1899-12-30T00:03:00"/>
    <n v="131"/>
    <s v="Green"/>
    <s v="Green131"/>
    <n v="220"/>
    <s v="Dock 4"/>
    <x v="1"/>
    <m/>
    <n v="0.67465343171481673"/>
    <n v="13"/>
    <x v="1"/>
  </r>
  <r>
    <d v="2021-06-08T00:00:00"/>
    <x v="8"/>
    <x v="2"/>
    <x v="0"/>
    <d v="1899-12-30T11:40:00"/>
    <d v="1899-12-30T11:44:00"/>
    <d v="1899-12-30T00:04:00"/>
    <n v="151"/>
    <s v="Green"/>
    <s v="Green151"/>
    <n v="220"/>
    <s v="Dock 18"/>
    <x v="1"/>
    <m/>
    <n v="0.90022683092403544"/>
    <n v="13"/>
    <x v="1"/>
  </r>
  <r>
    <d v="2021-06-08T00:00:00"/>
    <x v="8"/>
    <x v="2"/>
    <x v="0"/>
    <d v="1899-12-30T07:56:00"/>
    <d v="1899-12-30T08:02:00"/>
    <d v="1899-12-30T00:06:00"/>
    <n v="136"/>
    <s v="Green"/>
    <s v="Green136"/>
    <n v="240"/>
    <s v="Dock 5"/>
    <x v="1"/>
    <m/>
    <n v="0.11234734026358804"/>
    <n v="15"/>
    <x v="1"/>
  </r>
  <r>
    <d v="2021-06-08T00:00:00"/>
    <x v="8"/>
    <x v="2"/>
    <x v="0"/>
    <d v="1899-12-30T09:45:00"/>
    <d v="1899-12-30T09:55:00"/>
    <d v="1899-12-30T00:10:00"/>
    <n v="150"/>
    <s v="Green"/>
    <s v="Green150"/>
    <n v="300"/>
    <s v="Dock 16"/>
    <x v="1"/>
    <m/>
    <n v="0.2217478101243022"/>
    <n v="21"/>
    <x v="0"/>
  </r>
  <r>
    <d v="2021-06-08T00:00:00"/>
    <x v="8"/>
    <x v="2"/>
    <x v="0"/>
    <d v="1899-12-30T09:23:00"/>
    <d v="1899-12-30T09:35:00"/>
    <d v="1899-12-30T00:12:00"/>
    <n v="113"/>
    <s v="Green"/>
    <s v="Green113"/>
    <n v="320"/>
    <s v="Dock 13"/>
    <x v="1"/>
    <m/>
    <n v="0.9154447591469832"/>
    <n v="23"/>
    <x v="0"/>
  </r>
  <r>
    <d v="2021-06-08T00:00:00"/>
    <x v="8"/>
    <x v="2"/>
    <x v="0"/>
    <d v="1899-12-30T12:18:00"/>
    <d v="1899-12-30T12:31:00"/>
    <d v="1899-12-30T00:13:00"/>
    <n v="89"/>
    <s v="Green"/>
    <s v="Green89"/>
    <n v="290"/>
    <s v="Dock 17"/>
    <x v="1"/>
    <m/>
    <n v="0.88006698334592715"/>
    <n v="20"/>
    <x v="0"/>
  </r>
  <r>
    <d v="2021-06-08T00:00:00"/>
    <x v="8"/>
    <x v="2"/>
    <x v="0"/>
    <d v="1899-12-30T16:45:00"/>
    <d v="1899-12-30T17:00:00"/>
    <d v="1899-12-30T00:15:00"/>
    <n v="39"/>
    <s v="Pink"/>
    <s v="Pink39"/>
    <n v="270"/>
    <s v="Beach Boy"/>
    <x v="1"/>
    <m/>
    <n v="0.28578909499840305"/>
    <n v="18"/>
    <x v="0"/>
  </r>
  <r>
    <d v="2021-06-08T00:00:00"/>
    <x v="8"/>
    <x v="2"/>
    <x v="0"/>
    <d v="1899-12-30T10:37:00"/>
    <d v="1899-12-30T11:06:00"/>
    <d v="1899-12-30T00:29:00"/>
    <n v="95"/>
    <s v="Green"/>
    <s v="Green95"/>
    <n v="224"/>
    <s v="Dock 7"/>
    <x v="1"/>
    <m/>
    <n v="0.25731963815974057"/>
    <n v="13"/>
    <x v="1"/>
  </r>
  <r>
    <d v="2021-06-08T00:00:00"/>
    <x v="8"/>
    <x v="1"/>
    <x v="0"/>
    <d v="1899-12-30T10:06:00"/>
    <d v="1899-12-30T10:06:00"/>
    <d v="1899-12-30T00:00:00"/>
    <n v="148"/>
    <s v="Green"/>
    <s v="Green148"/>
    <n v="220"/>
    <s v="Dock 10"/>
    <x v="1"/>
    <m/>
    <n v="0.77115855075938555"/>
    <n v="13"/>
    <x v="1"/>
  </r>
  <r>
    <d v="2021-06-08T00:00:00"/>
    <x v="8"/>
    <x v="1"/>
    <x v="0"/>
    <d v="1899-12-30T07:50:00"/>
    <d v="1899-12-30T07:52:00"/>
    <d v="1899-12-30T00:02:00"/>
    <n v="139"/>
    <s v="Green"/>
    <s v="Green139"/>
    <n v="235"/>
    <s v="Dock 5"/>
    <x v="1"/>
    <m/>
    <n v="0.86176261299371837"/>
    <n v="15"/>
    <x v="0"/>
  </r>
  <r>
    <d v="2021-06-08T00:00:00"/>
    <x v="8"/>
    <x v="1"/>
    <x v="0"/>
    <d v="1899-12-30T08:07:00"/>
    <d v="1899-12-30T08:09:00"/>
    <d v="1899-12-30T00:02:00"/>
    <n v="142"/>
    <s v="Green"/>
    <s v="Green142"/>
    <n v="180"/>
    <s v="Dock 5"/>
    <x v="1"/>
    <m/>
    <n v="0.64423658542532314"/>
    <n v="9"/>
    <x v="1"/>
  </r>
  <r>
    <d v="2021-06-08T00:00:00"/>
    <x v="8"/>
    <x v="1"/>
    <x v="0"/>
    <d v="1899-12-30T09:29:00"/>
    <d v="1899-12-30T09:31:00"/>
    <d v="1899-12-30T00:02:00"/>
    <n v="145"/>
    <s v="Green"/>
    <s v="Green145"/>
    <n v="305"/>
    <s v="Beach Boy"/>
    <x v="1"/>
    <m/>
    <n v="0.68429124340614822"/>
    <n v="22"/>
    <x v="0"/>
  </r>
  <r>
    <d v="2021-06-08T00:00:00"/>
    <x v="8"/>
    <x v="1"/>
    <x v="0"/>
    <d v="1899-12-30T07:53:00"/>
    <d v="1899-12-30T07:56:00"/>
    <d v="1899-12-30T00:03:00"/>
    <n v="140"/>
    <s v="Green"/>
    <s v="Green140"/>
    <n v="300"/>
    <s v="Dock 5"/>
    <x v="1"/>
    <m/>
    <n v="0.88292792713405932"/>
    <n v="21"/>
    <x v="0"/>
  </r>
  <r>
    <d v="2021-06-08T00:00:00"/>
    <x v="8"/>
    <x v="1"/>
    <x v="0"/>
    <d v="1899-12-30T12:55:00"/>
    <d v="1899-12-30T12:58:00"/>
    <d v="1899-12-30T00:03:00"/>
    <n v="152"/>
    <s v="Green"/>
    <s v="Green152"/>
    <n v="220"/>
    <s v="Dock 3"/>
    <x v="1"/>
    <m/>
    <n v="0.36967134213525399"/>
    <n v="13"/>
    <x v="1"/>
  </r>
  <r>
    <d v="2021-06-08T00:00:00"/>
    <x v="8"/>
    <x v="1"/>
    <x v="0"/>
    <d v="1899-12-30T08:10:00"/>
    <d v="1899-12-30T08:13:00"/>
    <d v="1899-12-30T00:03:00"/>
    <n v="143"/>
    <s v="Green"/>
    <s v="Green143"/>
    <n v="210"/>
    <s v="Dock 5"/>
    <x v="1"/>
    <m/>
    <n v="6.6247267213765185E-2"/>
    <n v="12"/>
    <x v="1"/>
  </r>
  <r>
    <d v="2021-06-08T00:00:00"/>
    <x v="8"/>
    <x v="1"/>
    <x v="0"/>
    <d v="1899-12-30T07:32:00"/>
    <d v="1899-12-30T07:36:00"/>
    <d v="1899-12-30T00:04:00"/>
    <n v="119"/>
    <s v="Green"/>
    <s v="Green119"/>
    <n v="270"/>
    <s v="Dock 5"/>
    <x v="1"/>
    <m/>
    <n v="0.41782006175155756"/>
    <n v="18"/>
    <x v="0"/>
  </r>
  <r>
    <d v="2021-06-08T00:00:00"/>
    <x v="8"/>
    <x v="1"/>
    <x v="0"/>
    <d v="1899-12-30T12:10:00"/>
    <d v="1899-12-30T12:17:00"/>
    <d v="1899-12-30T00:07:00"/>
    <n v="151"/>
    <s v="Green"/>
    <s v="Green151"/>
    <n v="220"/>
    <s v="Dock 18"/>
    <x v="1"/>
    <m/>
    <n v="0.30177785842762228"/>
    <n v="13"/>
    <x v="1"/>
  </r>
  <r>
    <d v="2021-06-08T00:00:00"/>
    <x v="8"/>
    <x v="1"/>
    <x v="0"/>
    <d v="1899-12-30T08:14:00"/>
    <d v="1899-12-30T08:22:00"/>
    <d v="1899-12-30T00:08:00"/>
    <n v="144"/>
    <s v="Green"/>
    <s v="Green144"/>
    <n v="195"/>
    <s v="Dock 5"/>
    <x v="1"/>
    <m/>
    <n v="0.98046659304782124"/>
    <n v="11"/>
    <x v="1"/>
  </r>
  <r>
    <d v="2021-06-08T00:00:00"/>
    <x v="8"/>
    <x v="1"/>
    <x v="0"/>
    <d v="1899-12-30T07:37:00"/>
    <d v="1899-12-30T07:46:00"/>
    <d v="1899-12-30T00:09:00"/>
    <n v="138"/>
    <s v="Green"/>
    <s v="Green138"/>
    <n v="160"/>
    <s v="Dock 5"/>
    <x v="1"/>
    <m/>
    <n v="0.70202935473156602"/>
    <n v="7"/>
    <x v="3"/>
  </r>
  <r>
    <d v="2021-06-08T00:00:00"/>
    <x v="8"/>
    <x v="1"/>
    <x v="0"/>
    <d v="1899-12-30T07:57:00"/>
    <d v="1899-12-30T08:06:00"/>
    <d v="1899-12-30T00:09:00"/>
    <n v="141"/>
    <s v="Green"/>
    <s v="Green141"/>
    <n v="210"/>
    <s v="Dock 5"/>
    <x v="1"/>
    <m/>
    <n v="7.3649734292947563E-3"/>
    <n v="12"/>
    <x v="1"/>
  </r>
  <r>
    <d v="2021-06-08T00:00:00"/>
    <x v="8"/>
    <x v="1"/>
    <x v="0"/>
    <d v="1899-12-30T09:32:00"/>
    <d v="1899-12-30T09:42:00"/>
    <d v="1899-12-30T00:10:00"/>
    <n v="146"/>
    <s v="Green"/>
    <s v="Green146"/>
    <n v="240"/>
    <s v="Beach Boy"/>
    <x v="1"/>
    <m/>
    <n v="0.78310842615696996"/>
    <n v="15"/>
    <x v="1"/>
  </r>
  <r>
    <d v="2021-06-08T00:00:00"/>
    <x v="8"/>
    <x v="1"/>
    <x v="0"/>
    <d v="1899-12-30T09:55:00"/>
    <d v="1899-12-30T10:06:00"/>
    <d v="1899-12-30T00:11:00"/>
    <n v="147"/>
    <s v="Green"/>
    <s v="Green147"/>
    <n v="180"/>
    <s v="Dock 10"/>
    <x v="1"/>
    <m/>
    <n v="0.703318420193772"/>
    <n v="9"/>
    <x v="1"/>
  </r>
  <r>
    <d v="2021-06-08T00:00:00"/>
    <x v="8"/>
    <x v="1"/>
    <x v="0"/>
    <d v="1899-12-30T12:59:00"/>
    <d v="1899-12-30T13:13:00"/>
    <d v="1899-12-30T00:14:00"/>
    <n v="153"/>
    <s v="Green"/>
    <s v="Green153"/>
    <n v="210"/>
    <s v="Dock 2"/>
    <x v="1"/>
    <m/>
    <n v="0.67268819672646385"/>
    <n v="12"/>
    <x v="1"/>
  </r>
  <r>
    <d v="2021-06-08T00:00:00"/>
    <x v="8"/>
    <x v="1"/>
    <x v="0"/>
    <d v="1899-12-30T11:21:00"/>
    <d v="1899-12-30T11:36:00"/>
    <d v="1899-12-30T00:15:00"/>
    <n v="150"/>
    <s v="Green"/>
    <s v="Green150"/>
    <n v="300"/>
    <s v="Dock 16"/>
    <x v="1"/>
    <m/>
    <n v="0.87052238167753559"/>
    <n v="21"/>
    <x v="0"/>
  </r>
  <r>
    <d v="2021-06-08T00:00:00"/>
    <x v="8"/>
    <x v="1"/>
    <x v="0"/>
    <d v="1899-12-30T10:55:00"/>
    <d v="1899-12-30T11:19:00"/>
    <d v="1899-12-30T00:24:00"/>
    <n v="149"/>
    <s v="Green"/>
    <s v="Green149"/>
    <n v="210"/>
    <s v="Dock 15"/>
    <x v="1"/>
    <m/>
    <n v="0.86966885433982544"/>
    <n v="12"/>
    <x v="1"/>
  </r>
  <r>
    <d v="2021-06-11T00:00:00"/>
    <x v="8"/>
    <x v="0"/>
    <x v="0"/>
    <d v="1899-12-30T09:35:00"/>
    <d v="1899-12-30T09:36:00"/>
    <d v="1899-12-30T00:01:00"/>
    <s v="NT"/>
    <m/>
    <m/>
    <n v="200"/>
    <s v="Beach Boy"/>
    <x v="0"/>
    <m/>
    <n v="0.52443488944528383"/>
    <n v="11"/>
    <x v="1"/>
  </r>
  <r>
    <d v="2021-06-11T00:00:00"/>
    <x v="8"/>
    <x v="0"/>
    <x v="0"/>
    <d v="1899-12-30T09:55:00"/>
    <d v="1899-12-30T09:57:00"/>
    <d v="1899-12-30T00:02:00"/>
    <s v="NT"/>
    <m/>
    <m/>
    <n v="185"/>
    <s v="Dock 10"/>
    <x v="0"/>
    <m/>
    <n v="0.17718690688590841"/>
    <n v="10"/>
    <x v="1"/>
  </r>
  <r>
    <d v="2021-06-11T00:00:00"/>
    <x v="8"/>
    <x v="0"/>
    <x v="0"/>
    <d v="1899-12-30T09:42:00"/>
    <d v="1899-12-30T09:45:00"/>
    <d v="1899-12-30T00:03:00"/>
    <s v="NT"/>
    <m/>
    <m/>
    <n v="210"/>
    <s v="Dock 11"/>
    <x v="0"/>
    <m/>
    <n v="0.98034403146260607"/>
    <n v="12"/>
    <x v="0"/>
  </r>
  <r>
    <d v="2021-06-11T00:00:00"/>
    <x v="8"/>
    <x v="0"/>
    <x v="0"/>
    <d v="1899-12-30T12:06:00"/>
    <d v="1899-12-30T12:10:00"/>
    <d v="1899-12-30T00:04:00"/>
    <s v="NT"/>
    <m/>
    <m/>
    <n v="330"/>
    <s v="Dock 4"/>
    <x v="0"/>
    <m/>
    <n v="0.64213679202000462"/>
    <n v="24"/>
    <x v="0"/>
  </r>
  <r>
    <d v="2021-06-11T00:00:00"/>
    <x v="8"/>
    <x v="0"/>
    <x v="0"/>
    <d v="1899-12-30T10:00:00"/>
    <d v="1899-12-30T10:05:00"/>
    <d v="1899-12-30T00:05:00"/>
    <s v="NT"/>
    <m/>
    <m/>
    <n v="230"/>
    <s v="Dock 10"/>
    <x v="0"/>
    <m/>
    <n v="0.39306348021750498"/>
    <n v="14"/>
    <x v="1"/>
  </r>
  <r>
    <d v="2021-06-11T00:00:00"/>
    <x v="8"/>
    <x v="0"/>
    <x v="0"/>
    <d v="1899-12-30T10:05:00"/>
    <d v="1899-12-30T10:11:00"/>
    <d v="1899-12-30T00:06:00"/>
    <s v="NT"/>
    <m/>
    <m/>
    <n v="190"/>
    <s v="Dock 12"/>
    <x v="0"/>
    <m/>
    <n v="0.21791201560660825"/>
    <n v="10"/>
    <x v="1"/>
  </r>
  <r>
    <d v="2021-06-11T00:00:00"/>
    <x v="8"/>
    <x v="0"/>
    <x v="0"/>
    <d v="1899-12-30T09:36:00"/>
    <d v="1899-12-30T09:42:00"/>
    <d v="1899-12-30T00:06:00"/>
    <s v="NT"/>
    <m/>
    <m/>
    <n v="220"/>
    <s v="Dock 11"/>
    <x v="0"/>
    <m/>
    <n v="0.44724630026484202"/>
    <n v="13"/>
    <x v="1"/>
  </r>
  <r>
    <d v="2021-06-11T00:00:00"/>
    <x v="8"/>
    <x v="0"/>
    <x v="0"/>
    <d v="1899-12-30T10:25:00"/>
    <d v="1899-12-30T10:36:00"/>
    <d v="1899-12-30T00:11:00"/>
    <s v="NT"/>
    <m/>
    <m/>
    <n v="290"/>
    <s v="Dock 12"/>
    <x v="0"/>
    <m/>
    <n v="0.8685685511997755"/>
    <n v="20"/>
    <x v="0"/>
  </r>
  <r>
    <d v="2021-06-11T00:00:00"/>
    <x v="8"/>
    <x v="0"/>
    <x v="0"/>
    <d v="1899-12-30T08:35:00"/>
    <d v="1899-12-30T08:47:00"/>
    <d v="1899-12-30T00:12:00"/>
    <s v="NT"/>
    <m/>
    <m/>
    <n v="205"/>
    <s v="Beach Boy"/>
    <x v="0"/>
    <m/>
    <n v="3.1640014625918124E-2"/>
    <n v="12"/>
    <x v="1"/>
  </r>
  <r>
    <d v="2021-06-11T00:00:00"/>
    <x v="8"/>
    <x v="0"/>
    <x v="0"/>
    <d v="1899-12-30T12:18:00"/>
    <d v="1899-12-30T12:31:00"/>
    <d v="1899-12-30T00:13:00"/>
    <s v="NT"/>
    <m/>
    <m/>
    <n v="200"/>
    <s v="Dock 3"/>
    <x v="0"/>
    <m/>
    <n v="0.77372581780595973"/>
    <n v="11"/>
    <x v="1"/>
  </r>
  <r>
    <d v="2021-06-11T00:00:00"/>
    <x v="8"/>
    <x v="0"/>
    <x v="0"/>
    <d v="1899-12-30T08:47:00"/>
    <d v="1899-12-30T09:04:00"/>
    <d v="1899-12-30T00:17:00"/>
    <s v="NT"/>
    <m/>
    <m/>
    <n v="160"/>
    <s v="Beach Boy"/>
    <x v="0"/>
    <m/>
    <n v="9.8198647656570492E-3"/>
    <n v="7"/>
    <x v="3"/>
  </r>
  <r>
    <d v="2021-06-11T00:00:00"/>
    <x v="8"/>
    <x v="0"/>
    <x v="0"/>
    <d v="1899-12-30T11:07:00"/>
    <d v="1899-12-30T11:47:00"/>
    <d v="1899-12-30T00:40:00"/>
    <s v="NT"/>
    <m/>
    <m/>
    <n v="305"/>
    <s v="Dock 17"/>
    <x v="0"/>
    <m/>
    <n v="4.246711639802303E-2"/>
    <n v="22"/>
    <x v="0"/>
  </r>
  <r>
    <d v="2021-06-11T00:00:00"/>
    <x v="8"/>
    <x v="2"/>
    <x v="0"/>
    <m/>
    <m/>
    <m/>
    <n v="31"/>
    <s v="Pink"/>
    <s v="Pink31"/>
    <n v="325"/>
    <s v="Dock 4"/>
    <x v="1"/>
    <m/>
    <n v="0.74482530157306481"/>
    <n v="24"/>
    <x v="0"/>
  </r>
  <r>
    <d v="2021-06-11T00:00:00"/>
    <x v="8"/>
    <x v="2"/>
    <x v="0"/>
    <m/>
    <m/>
    <m/>
    <n v="39"/>
    <s v="Pink"/>
    <s v="Pink39"/>
    <n v="280"/>
    <s v="Beach Boy"/>
    <x v="1"/>
    <m/>
    <n v="0.27884353849983007"/>
    <n v="19"/>
    <x v="0"/>
  </r>
  <r>
    <d v="2021-06-11T00:00:00"/>
    <x v="8"/>
    <x v="2"/>
    <x v="0"/>
    <m/>
    <m/>
    <m/>
    <n v="76"/>
    <s v="Green"/>
    <s v="Green76"/>
    <n v="380"/>
    <s v="Dock 4"/>
    <x v="0"/>
    <m/>
    <n v="0.52335156664408355"/>
    <n v="29"/>
    <x v="2"/>
  </r>
  <r>
    <d v="2021-06-11T00:00:00"/>
    <x v="8"/>
    <x v="2"/>
    <x v="0"/>
    <m/>
    <m/>
    <m/>
    <n v="84"/>
    <s v="Green"/>
    <s v="Green84"/>
    <n v="300"/>
    <s v="Dock 13"/>
    <x v="0"/>
    <m/>
    <n v="0.96978058711149762"/>
    <n v="21"/>
    <x v="0"/>
  </r>
  <r>
    <d v="2021-06-11T00:00:00"/>
    <x v="8"/>
    <x v="2"/>
    <x v="0"/>
    <m/>
    <m/>
    <m/>
    <n v="98"/>
    <s v="Green"/>
    <s v="Green98"/>
    <n v="230"/>
    <s v="Beach Boy"/>
    <x v="0"/>
    <m/>
    <n v="0.10232758293968047"/>
    <n v="14"/>
    <x v="1"/>
  </r>
  <r>
    <d v="2021-06-11T00:00:00"/>
    <x v="8"/>
    <x v="2"/>
    <x v="0"/>
    <m/>
    <m/>
    <m/>
    <n v="100"/>
    <s v="Green"/>
    <s v="Green100"/>
    <n v="220"/>
    <s v="Dock 10"/>
    <x v="0"/>
    <m/>
    <n v="0.81968646720968485"/>
    <n v="13"/>
    <x v="1"/>
  </r>
  <r>
    <d v="2021-06-11T00:00:00"/>
    <x v="8"/>
    <x v="2"/>
    <x v="0"/>
    <m/>
    <m/>
    <m/>
    <n v="136"/>
    <s v="Green"/>
    <s v="Green136"/>
    <n v="245"/>
    <s v="Dock 5"/>
    <x v="0"/>
    <m/>
    <n v="0.47045439317377952"/>
    <n v="16"/>
    <x v="1"/>
  </r>
  <r>
    <d v="2021-06-11T00:00:00"/>
    <x v="8"/>
    <x v="2"/>
    <x v="0"/>
    <d v="1899-12-30T12:06:00"/>
    <d v="1899-12-30T12:14:00"/>
    <d v="1899-12-30T00:08:00"/>
    <n v="81"/>
    <s v="Green "/>
    <s v="Green 81"/>
    <n v="300"/>
    <s v="Dock 12"/>
    <x v="0"/>
    <m/>
    <n v="0.92698607171279657"/>
    <n v="21"/>
    <x v="0"/>
  </r>
  <r>
    <d v="2021-06-11T00:00:00"/>
    <x v="8"/>
    <x v="2"/>
    <x v="0"/>
    <d v="1899-12-30T12:17:00"/>
    <d v="1899-12-30T12:29:00"/>
    <d v="1899-12-30T00:12:00"/>
    <n v="152"/>
    <s v="Green "/>
    <s v="Green 152"/>
    <n v="210"/>
    <s v="Dock 3"/>
    <x v="0"/>
    <m/>
    <n v="0.85490727697261948"/>
    <n v="12"/>
    <x v="1"/>
  </r>
  <r>
    <d v="2021-06-11T00:00:00"/>
    <x v="8"/>
    <x v="2"/>
    <x v="0"/>
    <d v="1899-12-30T10:30:00"/>
    <d v="1899-12-30T11:00:00"/>
    <d v="1899-12-30T00:30:00"/>
    <n v="139"/>
    <s v="Green"/>
    <s v="Green139"/>
    <n v="280"/>
    <s v="Dock 5"/>
    <x v="0"/>
    <m/>
    <n v="0.42660407881559992"/>
    <n v="19"/>
    <x v="0"/>
  </r>
  <r>
    <d v="2021-06-11T00:00:00"/>
    <x v="8"/>
    <x v="2"/>
    <x v="0"/>
    <d v="1899-12-30T10:00:00"/>
    <d v="1899-12-30T10:30:00"/>
    <d v="1899-12-30T00:30:00"/>
    <n v="148"/>
    <s v="Green"/>
    <s v="Green148"/>
    <n v="230"/>
    <s v="Dock 10"/>
    <x v="0"/>
    <m/>
    <n v="0.93475265378819439"/>
    <n v="14"/>
    <x v="0"/>
  </r>
  <r>
    <d v="2021-06-11T00:00:00"/>
    <x v="8"/>
    <x v="1"/>
    <x v="0"/>
    <d v="1899-12-30T08:08:00"/>
    <d v="1899-12-30T08:10:00"/>
    <d v="1899-12-30T00:02:00"/>
    <n v="157"/>
    <s v="Green"/>
    <s v="Green157"/>
    <n v="170"/>
    <s v="Dock 5"/>
    <x v="1"/>
    <m/>
    <n v="0.38785221818268867"/>
    <n v="8"/>
    <x v="3"/>
  </r>
  <r>
    <d v="2021-06-11T00:00:00"/>
    <x v="8"/>
    <x v="1"/>
    <x v="0"/>
    <d v="1899-12-30T07:44:00"/>
    <d v="1899-12-30T07:47:00"/>
    <d v="1899-12-30T00:03:00"/>
    <n v="154"/>
    <s v="Green"/>
    <s v="Green154"/>
    <n v="190"/>
    <s v="Dock 5"/>
    <x v="1"/>
    <m/>
    <n v="0.63223099644865421"/>
    <n v="10"/>
    <x v="1"/>
  </r>
  <r>
    <d v="2021-06-11T00:00:00"/>
    <x v="8"/>
    <x v="1"/>
    <x v="0"/>
    <d v="1899-12-30T08:11:00"/>
    <d v="1899-12-30T08:15:00"/>
    <d v="1899-12-30T00:04:00"/>
    <n v="158"/>
    <s v="Green"/>
    <s v="Green158"/>
    <n v="160"/>
    <s v="Dock 5"/>
    <x v="1"/>
    <m/>
    <n v="0.90635731253137686"/>
    <n v="7"/>
    <x v="3"/>
  </r>
  <r>
    <d v="2021-06-11T00:00:00"/>
    <x v="8"/>
    <x v="1"/>
    <x v="0"/>
    <d v="1899-12-30T08:16:00"/>
    <d v="1899-12-30T08:20:00"/>
    <d v="1899-12-30T00:04:00"/>
    <n v="159"/>
    <s v="Green"/>
    <s v="Green159"/>
    <n v="165"/>
    <s v="Dock 5"/>
    <x v="1"/>
    <m/>
    <n v="0.14735171485103282"/>
    <n v="8"/>
    <x v="3"/>
  </r>
  <r>
    <d v="2021-06-11T00:00:00"/>
    <x v="8"/>
    <x v="1"/>
    <x v="0"/>
    <d v="1899-12-30T07:48:00"/>
    <d v="1899-12-30T07:53:00"/>
    <d v="1899-12-30T00:05:00"/>
    <n v="155"/>
    <s v="Green"/>
    <s v="Green155"/>
    <n v="160"/>
    <s v="Dock 5"/>
    <x v="1"/>
    <m/>
    <n v="0.54027150130843349"/>
    <n v="7"/>
    <x v="3"/>
  </r>
  <r>
    <d v="2021-06-11T00:00:00"/>
    <x v="8"/>
    <x v="1"/>
    <x v="0"/>
    <d v="1899-12-30T08:02:00"/>
    <d v="1899-12-30T08:07:00"/>
    <d v="1899-12-30T00:05:00"/>
    <n v="156"/>
    <s v="Green"/>
    <s v="Green156"/>
    <n v="200"/>
    <s v="Dock 5"/>
    <x v="1"/>
    <m/>
    <n v="0.34312249084148672"/>
    <n v="11"/>
    <x v="1"/>
  </r>
  <r>
    <d v="2021-06-11T00:00:00"/>
    <x v="8"/>
    <x v="1"/>
    <x v="0"/>
    <d v="1899-12-30T08:20:00"/>
    <d v="1899-12-30T08:35:00"/>
    <d v="1899-12-30T00:15:00"/>
    <n v="160"/>
    <s v="Green"/>
    <s v="Green160"/>
    <n v="220"/>
    <s v="Dock 5"/>
    <x v="1"/>
    <m/>
    <n v="0.85970357286730015"/>
    <n v="13"/>
    <x v="1"/>
  </r>
  <r>
    <d v="2021-06-15T00:00:00"/>
    <x v="8"/>
    <x v="2"/>
    <x v="13"/>
    <d v="1899-12-30T08:30:00"/>
    <d v="1899-12-30T09:15:00"/>
    <d v="1899-12-30T00:45:00"/>
    <n v="116"/>
    <s v="Green"/>
    <s v="Green116"/>
    <n v="290"/>
    <s v="Dock 8"/>
    <x v="0"/>
    <m/>
    <n v="3.7949180713831063E-2"/>
    <n v="20"/>
    <x v="0"/>
  </r>
  <r>
    <d v="2021-06-15T00:00:00"/>
    <x v="8"/>
    <x v="2"/>
    <x v="11"/>
    <m/>
    <m/>
    <m/>
    <n v="14"/>
    <s v="Pink"/>
    <s v="Pink14"/>
    <n v="242"/>
    <m/>
    <x v="0"/>
    <m/>
    <n v="0.81188025735871883"/>
    <n v="15"/>
    <x v="1"/>
  </r>
  <r>
    <d v="2021-06-17T00:00:00"/>
    <x v="8"/>
    <x v="2"/>
    <x v="0"/>
    <m/>
    <m/>
    <m/>
    <n v="105"/>
    <s v="Green"/>
    <s v="Green105"/>
    <n v="300"/>
    <s v="Dock 14"/>
    <x v="0"/>
    <m/>
    <n v="0.27148542798659087"/>
    <n v="21"/>
    <x v="0"/>
  </r>
  <r>
    <d v="2021-06-17T00:00:00"/>
    <x v="8"/>
    <x v="2"/>
    <x v="0"/>
    <d v="1899-12-30T10:53:00"/>
    <d v="1899-12-30T11:01:00"/>
    <d v="1899-12-30T00:08:00"/>
    <n v="119"/>
    <s v="Green"/>
    <s v="Green119"/>
    <n v="265"/>
    <s v="Dock 10"/>
    <x v="0"/>
    <m/>
    <n v="0.85558817063252823"/>
    <n v="18"/>
    <x v="0"/>
  </r>
  <r>
    <d v="2021-06-17T00:00:00"/>
    <x v="8"/>
    <x v="2"/>
    <x v="0"/>
    <d v="1899-12-30T12:18:00"/>
    <d v="1899-12-30T12:27:00"/>
    <d v="1899-12-30T00:09:00"/>
    <n v="120"/>
    <s v="Green"/>
    <s v="Green120"/>
    <n v="320"/>
    <s v="Dock 7"/>
    <x v="0"/>
    <m/>
    <n v="0.87038382090180355"/>
    <n v="23"/>
    <x v="0"/>
  </r>
  <r>
    <d v="2021-06-17T00:00:00"/>
    <x v="8"/>
    <x v="2"/>
    <x v="0"/>
    <d v="1899-12-30T10:12:00"/>
    <d v="1899-12-30T10:24:00"/>
    <d v="1899-12-30T00:12:00"/>
    <n v="145"/>
    <s v="Green"/>
    <s v="Green145"/>
    <n v="295"/>
    <s v="Dock 6"/>
    <x v="0"/>
    <m/>
    <n v="0.54087789661291885"/>
    <n v="21"/>
    <x v="0"/>
  </r>
  <r>
    <d v="2021-06-17T00:00:00"/>
    <x v="8"/>
    <x v="2"/>
    <x v="0"/>
    <d v="1899-12-30T10:00:00"/>
    <d v="1899-12-30T11:00:00"/>
    <d v="1899-12-30T01:00:00"/>
    <n v="140"/>
    <s v="Green"/>
    <s v="Green140"/>
    <n v="290"/>
    <s v="Dock 14"/>
    <x v="0"/>
    <m/>
    <n v="0.53480837332774345"/>
    <n v="20"/>
    <x v="0"/>
  </r>
  <r>
    <d v="2021-06-22T00:00:00"/>
    <x v="8"/>
    <x v="2"/>
    <x v="14"/>
    <d v="1899-12-30T12:11:00"/>
    <d v="1899-12-30T12:17:00"/>
    <d v="1899-12-30T00:06:00"/>
    <n v="115"/>
    <s v="Green"/>
    <s v="Green115"/>
    <n v="240"/>
    <s v="North end of lake"/>
    <x v="0"/>
    <m/>
    <n v="0.52433051938392716"/>
    <n v="15"/>
    <x v="1"/>
  </r>
  <r>
    <d v="2021-06-30T00:00:00"/>
    <x v="8"/>
    <x v="0"/>
    <x v="0"/>
    <d v="1899-12-30T08:26:00"/>
    <d v="1899-12-30T08:31:00"/>
    <d v="1899-12-30T00:05:00"/>
    <s v="NT"/>
    <m/>
    <m/>
    <n v="185"/>
    <s v="Dock 6"/>
    <x v="0"/>
    <m/>
    <n v="0.42303928566306798"/>
    <n v="10"/>
    <x v="1"/>
  </r>
  <r>
    <d v="2021-06-30T00:00:00"/>
    <x v="8"/>
    <x v="0"/>
    <x v="0"/>
    <d v="1899-12-30T08:32:00"/>
    <d v="1899-12-30T08:39:00"/>
    <d v="1899-12-30T00:07:00"/>
    <s v="NT"/>
    <m/>
    <m/>
    <n v="280"/>
    <s v="Dock 6"/>
    <x v="0"/>
    <m/>
    <n v="2.1274139183235421E-2"/>
    <n v="19"/>
    <x v="1"/>
  </r>
  <r>
    <d v="2021-06-30T00:00:00"/>
    <x v="8"/>
    <x v="0"/>
    <x v="0"/>
    <d v="1899-12-30T08:40:00"/>
    <d v="1899-12-30T08:52:00"/>
    <d v="1899-12-30T00:12:00"/>
    <s v="NT"/>
    <m/>
    <m/>
    <n v="240"/>
    <s v="Dock 7"/>
    <x v="0"/>
    <m/>
    <n v="0.55445725263769607"/>
    <n v="15"/>
    <x v="1"/>
  </r>
  <r>
    <d v="2021-06-30T00:00:00"/>
    <x v="8"/>
    <x v="0"/>
    <x v="0"/>
    <d v="1899-12-30T07:51:00"/>
    <d v="1899-12-30T08:05:00"/>
    <d v="1899-12-30T00:14:00"/>
    <s v="NT"/>
    <m/>
    <m/>
    <n v="310"/>
    <s v="Dock 5"/>
    <x v="0"/>
    <m/>
    <n v="0.763045081758427"/>
    <n v="22"/>
    <x v="0"/>
  </r>
  <r>
    <d v="2021-06-30T00:00:00"/>
    <x v="8"/>
    <x v="0"/>
    <x v="0"/>
    <d v="1899-12-30T11:03:00"/>
    <d v="1899-12-30T11:18:00"/>
    <d v="1899-12-30T00:15:00"/>
    <s v="NT"/>
    <m/>
    <m/>
    <n v="230"/>
    <s v="Dock 16"/>
    <x v="0"/>
    <m/>
    <n v="0.49868911388269116"/>
    <n v="14"/>
    <x v="1"/>
  </r>
  <r>
    <d v="2021-06-30T00:00:00"/>
    <x v="8"/>
    <x v="0"/>
    <x v="0"/>
    <d v="1899-12-30T09:19:00"/>
    <d v="1899-12-30T09:36:00"/>
    <d v="1899-12-30T00:17:00"/>
    <s v="NT"/>
    <m/>
    <m/>
    <n v="290"/>
    <s v="Dock 12"/>
    <x v="0"/>
    <m/>
    <n v="0.4679370263907765"/>
    <n v="20"/>
    <x v="0"/>
  </r>
  <r>
    <d v="2021-06-30T00:00:00"/>
    <x v="8"/>
    <x v="0"/>
    <x v="0"/>
    <d v="1899-12-30T08:06:00"/>
    <d v="1899-12-30T08:25:00"/>
    <d v="1899-12-30T00:19:00"/>
    <s v="NT"/>
    <m/>
    <m/>
    <n v="190"/>
    <s v="Dock 5"/>
    <x v="0"/>
    <m/>
    <n v="0.61760254978090645"/>
    <n v="10"/>
    <x v="1"/>
  </r>
  <r>
    <d v="2021-06-30T00:00:00"/>
    <x v="8"/>
    <x v="0"/>
    <x v="0"/>
    <d v="1899-12-30T10:39:00"/>
    <d v="1899-12-30T11:02:00"/>
    <d v="1899-12-30T00:23:00"/>
    <s v="NT"/>
    <m/>
    <m/>
    <n v="310"/>
    <s v="Dock 15"/>
    <x v="0"/>
    <m/>
    <n v="4.6054167694437396E-2"/>
    <n v="22"/>
    <x v="0"/>
  </r>
  <r>
    <d v="2021-06-30T00:00:00"/>
    <x v="8"/>
    <x v="0"/>
    <x v="0"/>
    <d v="1899-12-30T07:25:00"/>
    <d v="1899-12-30T07:50:00"/>
    <d v="1899-12-30T00:25:00"/>
    <s v="NT"/>
    <m/>
    <m/>
    <n v="180"/>
    <s v="Dock 5"/>
    <x v="0"/>
    <m/>
    <n v="3.2396440409308502E-2"/>
    <n v="9"/>
    <x v="3"/>
  </r>
  <r>
    <d v="2021-06-30T00:00:00"/>
    <x v="8"/>
    <x v="0"/>
    <x v="0"/>
    <d v="1899-12-30T09:37:00"/>
    <d v="1899-12-30T10:07:00"/>
    <d v="1899-12-30T00:30:00"/>
    <s v="NT"/>
    <m/>
    <m/>
    <n v="225"/>
    <s v="Dock 14"/>
    <x v="0"/>
    <m/>
    <n v="0.48697395924803522"/>
    <n v="14"/>
    <x v="1"/>
  </r>
  <r>
    <d v="2021-06-30T00:00:00"/>
    <x v="8"/>
    <x v="0"/>
    <x v="0"/>
    <d v="1899-12-30T10:08:00"/>
    <d v="1899-12-30T10:38:00"/>
    <d v="1899-12-30T00:30:00"/>
    <s v="NT"/>
    <m/>
    <m/>
    <n v="280"/>
    <s v="Dock 14"/>
    <x v="0"/>
    <m/>
    <n v="0.57133308172753694"/>
    <n v="19"/>
    <x v="0"/>
  </r>
  <r>
    <d v="2021-06-30T00:00:00"/>
    <x v="8"/>
    <x v="0"/>
    <x v="0"/>
    <d v="1899-12-30T11:19:00"/>
    <d v="1899-12-30T11:51:00"/>
    <d v="1899-12-30T00:32:00"/>
    <s v="NT"/>
    <m/>
    <m/>
    <n v="240"/>
    <s v="Dock 16 "/>
    <x v="0"/>
    <m/>
    <n v="0.39510459471266002"/>
    <n v="15"/>
    <x v="1"/>
  </r>
  <r>
    <d v="2021-06-30T00:00:00"/>
    <x v="8"/>
    <x v="2"/>
    <x v="0"/>
    <m/>
    <m/>
    <m/>
    <n v="40"/>
    <s v="Pink"/>
    <s v="Pink40"/>
    <n v="390"/>
    <s v="Dock 10"/>
    <x v="1"/>
    <m/>
    <n v="0.52292333567651139"/>
    <n v="30"/>
    <x v="2"/>
  </r>
  <r>
    <d v="2021-07-20T00:00:00"/>
    <x v="9"/>
    <x v="0"/>
    <x v="0"/>
    <d v="1899-12-30T13:03:00"/>
    <d v="1899-12-30T13:04:00"/>
    <d v="1899-12-30T00:01:00"/>
    <s v="NT"/>
    <m/>
    <m/>
    <n v="220"/>
    <s v="Logans"/>
    <x v="0"/>
    <m/>
    <n v="0.77250271512777668"/>
    <n v="13"/>
    <x v="1"/>
  </r>
  <r>
    <d v="2021-07-20T00:00:00"/>
    <x v="9"/>
    <x v="0"/>
    <x v="0"/>
    <d v="1899-12-30T13:01:00"/>
    <d v="1899-12-30T13:02:00"/>
    <d v="1899-12-30T00:01:00"/>
    <s v="NT"/>
    <m/>
    <m/>
    <n v="250"/>
    <s v="Logans"/>
    <x v="0"/>
    <m/>
    <n v="0.45313315254316344"/>
    <n v="16"/>
    <x v="1"/>
  </r>
  <r>
    <d v="2021-07-20T00:00:00"/>
    <x v="9"/>
    <x v="0"/>
    <x v="0"/>
    <d v="1899-12-30T12:15:00"/>
    <d v="1899-12-30T12:16:00"/>
    <d v="1899-12-30T00:01:00"/>
    <s v="NT"/>
    <m/>
    <m/>
    <n v="250"/>
    <s v="Dock 2"/>
    <x v="0"/>
    <m/>
    <n v="0.80889479294833488"/>
    <n v="16"/>
    <x v="0"/>
  </r>
  <r>
    <d v="2021-07-20T00:00:00"/>
    <x v="9"/>
    <x v="0"/>
    <x v="0"/>
    <d v="1899-12-30T08:15:00"/>
    <d v="1899-12-30T08:17:00"/>
    <d v="1899-12-30T00:02:00"/>
    <s v="NT"/>
    <m/>
    <m/>
    <n v="220"/>
    <s v="Beach Boy"/>
    <x v="0"/>
    <m/>
    <n v="9.4785082663775E-2"/>
    <n v="13"/>
    <x v="1"/>
  </r>
  <r>
    <d v="2021-07-20T00:00:00"/>
    <x v="9"/>
    <x v="0"/>
    <x v="0"/>
    <d v="1899-12-30T09:18:00"/>
    <d v="1899-12-30T09:20:00"/>
    <d v="1899-12-30T00:02:00"/>
    <s v="NT"/>
    <m/>
    <m/>
    <n v="220"/>
    <s v="Dock 14"/>
    <x v="0"/>
    <m/>
    <n v="5.2884330066332745E-2"/>
    <n v="13"/>
    <x v="1"/>
  </r>
  <r>
    <d v="2021-07-20T00:00:00"/>
    <x v="9"/>
    <x v="0"/>
    <x v="0"/>
    <d v="1899-12-30T13:25:00"/>
    <d v="1899-12-30T13:28:00"/>
    <d v="1899-12-30T00:03:00"/>
    <s v="NT"/>
    <m/>
    <m/>
    <n v="210"/>
    <s v="Logans"/>
    <x v="0"/>
    <m/>
    <n v="0.82693542485448324"/>
    <n v="12"/>
    <x v="1"/>
  </r>
  <r>
    <d v="2021-07-20T00:00:00"/>
    <x v="9"/>
    <x v="0"/>
    <x v="0"/>
    <d v="1899-12-30T12:12:00"/>
    <d v="1899-12-30T12:15:00"/>
    <d v="1899-12-30T00:03:00"/>
    <s v="NT"/>
    <m/>
    <m/>
    <n v="330"/>
    <s v="Dock 2"/>
    <x v="0"/>
    <m/>
    <n v="0.30368552929893394"/>
    <n v="24"/>
    <x v="0"/>
  </r>
  <r>
    <d v="2021-07-20T00:00:00"/>
    <x v="9"/>
    <x v="0"/>
    <x v="0"/>
    <d v="1899-12-30T12:17:00"/>
    <d v="1899-12-30T12:20:00"/>
    <d v="1899-12-30T00:03:00"/>
    <s v="NT"/>
    <m/>
    <m/>
    <n v="230"/>
    <s v="Dock 2"/>
    <x v="0"/>
    <m/>
    <n v="4.2690927182645971E-2"/>
    <n v="14"/>
    <x v="1"/>
  </r>
  <r>
    <d v="2021-07-20T00:00:00"/>
    <x v="9"/>
    <x v="0"/>
    <x v="0"/>
    <d v="1899-12-30T13:30:00"/>
    <d v="1899-12-30T13:35:00"/>
    <d v="1899-12-30T00:05:00"/>
    <s v="NT"/>
    <m/>
    <m/>
    <n v="210"/>
    <s v="Logans"/>
    <x v="0"/>
    <m/>
    <n v="0.50641315873079618"/>
    <n v="12"/>
    <x v="1"/>
  </r>
  <r>
    <d v="2021-07-20T00:00:00"/>
    <x v="9"/>
    <x v="0"/>
    <x v="0"/>
    <d v="1899-12-30T09:33:00"/>
    <d v="1899-12-30T09:40:00"/>
    <d v="1899-12-30T00:07:00"/>
    <s v="NT"/>
    <m/>
    <m/>
    <n v="250"/>
    <s v="Dock 15"/>
    <x v="0"/>
    <m/>
    <n v="0.285958788490835"/>
    <n v="16"/>
    <x v="1"/>
  </r>
  <r>
    <d v="2021-07-20T00:00:00"/>
    <x v="9"/>
    <x v="0"/>
    <x v="0"/>
    <d v="1899-12-30T11:41:00"/>
    <d v="1899-12-30T11:48:00"/>
    <d v="1899-12-30T00:07:00"/>
    <s v="NT"/>
    <m/>
    <m/>
    <n v="310"/>
    <s v="Dock 2"/>
    <x v="0"/>
    <m/>
    <n v="0.10935816546406511"/>
    <n v="22"/>
    <x v="0"/>
  </r>
  <r>
    <d v="2021-07-20T00:00:00"/>
    <x v="9"/>
    <x v="0"/>
    <x v="0"/>
    <d v="1899-12-30T09:20:00"/>
    <d v="1899-12-30T09:32:00"/>
    <d v="1899-12-30T00:12:00"/>
    <s v="NT"/>
    <m/>
    <m/>
    <n v="220"/>
    <s v="Dock 15"/>
    <x v="0"/>
    <m/>
    <n v="0.98268695454238308"/>
    <n v="13"/>
    <x v="0"/>
  </r>
  <r>
    <d v="2021-07-20T00:00:00"/>
    <x v="9"/>
    <x v="0"/>
    <x v="0"/>
    <d v="1899-12-30T12:48:00"/>
    <d v="1899-12-30T13:00:00"/>
    <d v="1899-12-30T00:12:00"/>
    <s v="NT"/>
    <m/>
    <m/>
    <n v="280"/>
    <s v="Logans"/>
    <x v="0"/>
    <m/>
    <n v="1.9644993832169562E-2"/>
    <n v="19"/>
    <x v="1"/>
  </r>
  <r>
    <d v="2021-07-20T00:00:00"/>
    <x v="9"/>
    <x v="0"/>
    <x v="0"/>
    <d v="1899-12-30T08:18:00"/>
    <d v="1899-12-30T08:32:00"/>
    <d v="1899-12-30T00:14:00"/>
    <s v="NT"/>
    <m/>
    <m/>
    <n v="305"/>
    <s v="Beach Boy"/>
    <x v="0"/>
    <m/>
    <n v="0.17341133727385258"/>
    <n v="22"/>
    <x v="0"/>
  </r>
  <r>
    <d v="2021-07-20T00:00:00"/>
    <x v="9"/>
    <x v="0"/>
    <x v="0"/>
    <d v="1899-12-30T10:21:00"/>
    <d v="1899-12-30T10:35:00"/>
    <d v="1899-12-30T00:14:00"/>
    <s v="NT"/>
    <m/>
    <m/>
    <n v="250"/>
    <s v="Dock 16"/>
    <x v="0"/>
    <m/>
    <n v="0.52434556164049806"/>
    <n v="16"/>
    <x v="1"/>
  </r>
  <r>
    <d v="2021-07-20T00:00:00"/>
    <x v="9"/>
    <x v="0"/>
    <x v="0"/>
    <d v="1899-12-30T11:49:00"/>
    <d v="1899-12-30T12:10:00"/>
    <d v="1899-12-30T00:21:00"/>
    <s v="NT"/>
    <m/>
    <m/>
    <n v="320"/>
    <s v="Dock 2"/>
    <x v="0"/>
    <m/>
    <n v="0.67585449185029345"/>
    <n v="23"/>
    <x v="0"/>
  </r>
  <r>
    <d v="2021-07-20T00:00:00"/>
    <x v="9"/>
    <x v="0"/>
    <x v="0"/>
    <d v="1899-12-30T12:21:00"/>
    <d v="1899-12-30T12:46:00"/>
    <d v="1899-12-30T00:25:00"/>
    <s v="NT"/>
    <m/>
    <m/>
    <n v="210"/>
    <s v="Logans"/>
    <x v="0"/>
    <m/>
    <n v="8.6444527882358305E-2"/>
    <n v="12"/>
    <x v="1"/>
  </r>
  <r>
    <d v="2021-07-20T00:00:00"/>
    <x v="9"/>
    <x v="0"/>
    <x v="0"/>
    <d v="1899-12-30T11:10:00"/>
    <d v="1899-12-30T11:40:00"/>
    <d v="1899-12-30T00:30:00"/>
    <s v="NT"/>
    <m/>
    <m/>
    <n v="240"/>
    <s v="Dock 3"/>
    <x v="0"/>
    <m/>
    <n v="0.87318011879603386"/>
    <n v="15"/>
    <x v="0"/>
  </r>
  <r>
    <d v="2021-07-20T00:00:00"/>
    <x v="9"/>
    <x v="0"/>
    <x v="0"/>
    <d v="1899-12-30T10:36:00"/>
    <d v="1899-12-30T11:09:00"/>
    <d v="1899-12-30T00:33:00"/>
    <s v="NT"/>
    <m/>
    <m/>
    <n v="220"/>
    <s v="Dock 5"/>
    <x v="0"/>
    <m/>
    <n v="0.53825660494075001"/>
    <n v="13"/>
    <x v="1"/>
  </r>
  <r>
    <d v="2021-07-20T00:00:00"/>
    <x v="9"/>
    <x v="0"/>
    <x v="0"/>
    <d v="1899-12-30T09:41:00"/>
    <d v="1899-12-30T10:20:00"/>
    <d v="1899-12-30T00:39:00"/>
    <s v="NT"/>
    <m/>
    <m/>
    <n v="320"/>
    <s v="Dock 16"/>
    <x v="0"/>
    <m/>
    <n v="0.47875923918502372"/>
    <n v="23"/>
    <x v="0"/>
  </r>
  <r>
    <d v="2021-07-20T00:00:00"/>
    <x v="9"/>
    <x v="0"/>
    <x v="0"/>
    <d v="1899-12-30T08:33:00"/>
    <d v="1899-12-30T09:17:00"/>
    <d v="1899-12-30T00:44:00"/>
    <s v="NT"/>
    <m/>
    <m/>
    <n v="220"/>
    <s v="Dock 14"/>
    <x v="0"/>
    <m/>
    <n v="0.50653298269330194"/>
    <n v="13"/>
    <x v="1"/>
  </r>
  <r>
    <d v="2021-07-20T00:00:00"/>
    <x v="9"/>
    <x v="0"/>
    <x v="0"/>
    <d v="1899-12-30T07:30:00"/>
    <d v="1899-12-30T08:15:00"/>
    <d v="1899-12-30T00:45:00"/>
    <s v="NT"/>
    <m/>
    <m/>
    <n v="335"/>
    <s v="Beach Boy"/>
    <x v="0"/>
    <m/>
    <n v="0.29984012632623319"/>
    <n v="25"/>
    <x v="0"/>
  </r>
  <r>
    <d v="2021-07-20T00:00:00"/>
    <x v="9"/>
    <x v="2"/>
    <x v="0"/>
    <m/>
    <m/>
    <m/>
    <n v="29"/>
    <s v="Pink"/>
    <s v="Pink29"/>
    <n v="310"/>
    <s v="Dock 2"/>
    <x v="0"/>
    <m/>
    <n v="0.41300316500151679"/>
    <n v="22"/>
    <x v="0"/>
  </r>
  <r>
    <d v="2021-08-03T00:00:00"/>
    <x v="10"/>
    <x v="0"/>
    <x v="0"/>
    <d v="1899-12-30T11:31:00"/>
    <d v="1899-12-30T11:32:00"/>
    <d v="1899-12-30T00:01:00"/>
    <s v="NT"/>
    <m/>
    <m/>
    <n v="170"/>
    <s v="Logans"/>
    <x v="0"/>
    <m/>
    <n v="0.34419418049240214"/>
    <n v="8"/>
    <x v="3"/>
  </r>
  <r>
    <d v="2021-08-03T00:00:00"/>
    <x v="10"/>
    <x v="0"/>
    <x v="0"/>
    <d v="1899-12-30T10:51:00"/>
    <d v="1899-12-30T10:52:00"/>
    <d v="1899-12-30T00:01:00"/>
    <s v="NT"/>
    <m/>
    <m/>
    <n v="180"/>
    <s v="Dock 2"/>
    <x v="0"/>
    <m/>
    <n v="0.8715915358027404"/>
    <n v="9"/>
    <x v="1"/>
  </r>
  <r>
    <d v="2021-08-03T00:00:00"/>
    <x v="10"/>
    <x v="0"/>
    <x v="0"/>
    <d v="1899-12-30T10:47:00"/>
    <d v="1899-12-30T10:48:00"/>
    <d v="1899-12-30T00:01:00"/>
    <s v="NT"/>
    <m/>
    <m/>
    <n v="240"/>
    <s v="Dock 2"/>
    <x v="0"/>
    <m/>
    <n v="0.83894223665769319"/>
    <n v="15"/>
    <x v="0"/>
  </r>
  <r>
    <d v="2021-08-03T00:00:00"/>
    <x v="10"/>
    <x v="0"/>
    <x v="0"/>
    <d v="1899-12-30T10:49:00"/>
    <d v="1899-12-30T10:50:00"/>
    <d v="1899-12-30T00:01:00"/>
    <s v="NT"/>
    <m/>
    <m/>
    <n v="260"/>
    <s v="Dock 2"/>
    <x v="0"/>
    <m/>
    <n v="0.102171505848957"/>
    <n v="17"/>
    <x v="1"/>
  </r>
  <r>
    <d v="2021-08-03T00:00:00"/>
    <x v="10"/>
    <x v="0"/>
    <x v="0"/>
    <d v="1899-12-30T11:36:00"/>
    <d v="1899-12-30T11:37:00"/>
    <d v="1899-12-30T00:01:00"/>
    <s v="NT"/>
    <m/>
    <m/>
    <n v="260"/>
    <s v="Logans"/>
    <x v="0"/>
    <m/>
    <n v="0.1964988034202246"/>
    <n v="17"/>
    <x v="1"/>
  </r>
  <r>
    <d v="2021-08-03T00:00:00"/>
    <x v="10"/>
    <x v="0"/>
    <x v="0"/>
    <d v="1899-12-30T09:45:00"/>
    <d v="1899-12-30T09:46:00"/>
    <d v="1899-12-30T00:01:00"/>
    <s v="NT"/>
    <m/>
    <m/>
    <n v="150"/>
    <s v="Rafting Site"/>
    <x v="0"/>
    <m/>
    <n v="0.55538908371487128"/>
    <n v="6"/>
    <x v="3"/>
  </r>
  <r>
    <d v="2021-08-03T00:00:00"/>
    <x v="10"/>
    <x v="0"/>
    <x v="0"/>
    <d v="1899-12-30T11:29:00"/>
    <d v="1899-12-30T11:30:00"/>
    <d v="1899-12-30T00:01:00"/>
    <s v="NT"/>
    <m/>
    <m/>
    <n v="245"/>
    <s v="Logans"/>
    <x v="0"/>
    <m/>
    <n v="0.42432999584094155"/>
    <n v="16"/>
    <x v="1"/>
  </r>
  <r>
    <d v="2021-08-03T00:00:00"/>
    <x v="10"/>
    <x v="0"/>
    <x v="0"/>
    <d v="1899-12-30T11:33:00"/>
    <d v="1899-12-30T11:35:00"/>
    <d v="1899-12-30T00:02:00"/>
    <s v="NT"/>
    <m/>
    <m/>
    <n v="140"/>
    <s v="Logans"/>
    <x v="0"/>
    <m/>
    <n v="0.71424009870469574"/>
    <n v="5"/>
    <x v="3"/>
  </r>
  <r>
    <d v="2021-08-03T00:00:00"/>
    <x v="10"/>
    <x v="0"/>
    <x v="0"/>
    <d v="1899-12-30T10:52:00"/>
    <d v="1899-12-30T10:55:00"/>
    <d v="1899-12-30T00:03:00"/>
    <s v="NT"/>
    <m/>
    <m/>
    <n v="165"/>
    <s v="Dock 2"/>
    <x v="0"/>
    <m/>
    <n v="0.23333892982142929"/>
    <n v="8"/>
    <x v="3"/>
  </r>
  <r>
    <d v="2021-08-03T00:00:00"/>
    <x v="10"/>
    <x v="0"/>
    <x v="0"/>
    <d v="1899-12-30T09:15:00"/>
    <d v="1899-12-30T09:20:00"/>
    <d v="1899-12-30T00:05:00"/>
    <s v="NT"/>
    <m/>
    <m/>
    <n v="190"/>
    <s v="Rafting Site"/>
    <x v="0"/>
    <m/>
    <n v="0.72739350876183884"/>
    <n v="10"/>
    <x v="1"/>
  </r>
  <r>
    <d v="2021-08-03T00:00:00"/>
    <x v="10"/>
    <x v="0"/>
    <x v="0"/>
    <d v="1899-12-30T09:21:00"/>
    <d v="1899-12-30T09:32:00"/>
    <d v="1899-12-30T00:11:00"/>
    <s v="NT"/>
    <m/>
    <m/>
    <n v="180"/>
    <s v="Rafting Site"/>
    <x v="0"/>
    <m/>
    <n v="0.30270176022439343"/>
    <n v="9"/>
    <x v="3"/>
  </r>
  <r>
    <d v="2021-08-03T00:00:00"/>
    <x v="10"/>
    <x v="0"/>
    <x v="0"/>
    <d v="1899-12-30T10:35:00"/>
    <d v="1899-12-30T10:46:00"/>
    <d v="1899-12-30T00:11:00"/>
    <s v="NT"/>
    <m/>
    <m/>
    <n v="250"/>
    <s v="Dock 3"/>
    <x v="0"/>
    <m/>
    <n v="0.5084840913808365"/>
    <n v="16"/>
    <x v="1"/>
  </r>
  <r>
    <d v="2021-08-03T00:00:00"/>
    <x v="10"/>
    <x v="0"/>
    <x v="0"/>
    <d v="1899-12-30T07:30:00"/>
    <d v="1899-12-30T07:41:00"/>
    <d v="1899-12-30T00:11:00"/>
    <s v="NT"/>
    <m/>
    <m/>
    <n v="250"/>
    <s v="Jade Bay"/>
    <x v="1"/>
    <m/>
    <n v="9.2123837718797771E-2"/>
    <n v="16"/>
    <x v="1"/>
  </r>
  <r>
    <d v="2021-08-03T00:00:00"/>
    <x v="10"/>
    <x v="0"/>
    <x v="0"/>
    <d v="1899-12-30T09:33:00"/>
    <d v="1899-12-30T09:45:00"/>
    <d v="1899-12-30T00:12:00"/>
    <s v="NT"/>
    <m/>
    <m/>
    <n v="160"/>
    <s v="Rafting Site"/>
    <x v="0"/>
    <m/>
    <n v="0.32534053983415501"/>
    <n v="7"/>
    <x v="3"/>
  </r>
  <r>
    <d v="2021-08-03T00:00:00"/>
    <x v="10"/>
    <x v="0"/>
    <x v="0"/>
    <d v="1899-12-30T10:22:00"/>
    <d v="1899-12-30T10:34:00"/>
    <d v="1899-12-30T00:12:00"/>
    <s v="NT"/>
    <m/>
    <m/>
    <n v="160"/>
    <s v="Dock 3"/>
    <x v="0"/>
    <m/>
    <n v="0.99845299264344056"/>
    <n v="7"/>
    <x v="1"/>
  </r>
  <r>
    <d v="2021-08-03T00:00:00"/>
    <x v="10"/>
    <x v="0"/>
    <x v="0"/>
    <d v="1899-12-30T11:38:00"/>
    <d v="1899-12-30T11:50:00"/>
    <d v="1899-12-30T00:12:00"/>
    <s v="NT"/>
    <m/>
    <m/>
    <n v="260"/>
    <s v="Logans"/>
    <x v="0"/>
    <m/>
    <n v="0.99944735830623999"/>
    <n v="17"/>
    <x v="2"/>
  </r>
  <r>
    <d v="2021-08-03T00:00:00"/>
    <x v="10"/>
    <x v="0"/>
    <x v="0"/>
    <d v="1899-12-30T08:59:00"/>
    <d v="1899-12-30T09:14:00"/>
    <d v="1899-12-30T00:15:00"/>
    <s v="NT"/>
    <m/>
    <m/>
    <n v="270"/>
    <s v="Rafting Site"/>
    <x v="0"/>
    <m/>
    <n v="0.71175105297553865"/>
    <n v="18"/>
    <x v="0"/>
  </r>
  <r>
    <d v="2021-08-03T00:00:00"/>
    <x v="10"/>
    <x v="0"/>
    <x v="0"/>
    <d v="1899-12-30T10:56:00"/>
    <d v="1899-12-30T11:28:00"/>
    <d v="1899-12-30T00:32:00"/>
    <s v="NT"/>
    <m/>
    <m/>
    <n v="190"/>
    <s v="Logans"/>
    <x v="0"/>
    <m/>
    <n v="0.39994735987854535"/>
    <n v="10"/>
    <x v="1"/>
  </r>
  <r>
    <d v="2021-08-03T00:00:00"/>
    <x v="10"/>
    <x v="0"/>
    <x v="0"/>
    <d v="1899-12-30T09:47:00"/>
    <d v="1899-12-30T10:21:00"/>
    <d v="1899-12-30T00:34:00"/>
    <s v="NT"/>
    <m/>
    <m/>
    <n v="190"/>
    <s v="Dock 3"/>
    <x v="0"/>
    <m/>
    <n v="0.91527747871134313"/>
    <n v="10"/>
    <x v="1"/>
  </r>
  <r>
    <d v="2021-08-03T00:00:00"/>
    <x v="10"/>
    <x v="0"/>
    <x v="0"/>
    <d v="1899-12-30T07:42:00"/>
    <d v="1899-12-30T08:58:00"/>
    <d v="1899-12-30T01:16:00"/>
    <s v="NT"/>
    <m/>
    <m/>
    <n v="180"/>
    <s v="Needle Point"/>
    <x v="0"/>
    <m/>
    <n v="6.858470154394615E-2"/>
    <n v="9"/>
    <x v="3"/>
  </r>
  <r>
    <d v="2021-08-03T00:00:00"/>
    <x v="10"/>
    <x v="2"/>
    <x v="15"/>
    <d v="1899-12-30T10:57:00"/>
    <d v="1899-12-30T11:01:00"/>
    <d v="1899-12-30T00:04:00"/>
    <n v="66"/>
    <s v="Green"/>
    <s v="Green66"/>
    <n v="250"/>
    <m/>
    <x v="0"/>
    <m/>
    <n v="0.70307884910287277"/>
    <n v="16"/>
    <x v="0"/>
  </r>
  <r>
    <d v="2021-08-06T00:00:00"/>
    <x v="10"/>
    <x v="0"/>
    <x v="16"/>
    <d v="1899-12-30T09:01:00"/>
    <d v="1899-12-30T09:30:00"/>
    <d v="1899-12-30T00:29:00"/>
    <s v="NT"/>
    <m/>
    <m/>
    <n v="152"/>
    <m/>
    <x v="0"/>
    <m/>
    <n v="0.64621687198347266"/>
    <n v="6"/>
    <x v="3"/>
  </r>
  <r>
    <d v="2021-08-06T00:00:00"/>
    <x v="10"/>
    <x v="0"/>
    <x v="16"/>
    <d v="1899-12-30T08:31:00"/>
    <d v="1899-12-30T09:00:00"/>
    <d v="1899-12-30T00:29:00"/>
    <s v="NT"/>
    <m/>
    <m/>
    <n v="254"/>
    <m/>
    <x v="0"/>
    <m/>
    <n v="0.96696742622506215"/>
    <n v="16"/>
    <x v="0"/>
  </r>
  <r>
    <d v="2021-08-06T00:00:00"/>
    <x v="10"/>
    <x v="2"/>
    <x v="16"/>
    <d v="1899-12-30T08:00:00"/>
    <d v="1899-12-30T08:30:00"/>
    <d v="1899-12-30T00:30:00"/>
    <n v="102"/>
    <s v="Green"/>
    <s v="Green102"/>
    <n v="267"/>
    <m/>
    <x v="0"/>
    <m/>
    <n v="0.82153256462026969"/>
    <n v="18"/>
    <x v="0"/>
  </r>
  <r>
    <d v="2021-08-18T00:00:00"/>
    <x v="10"/>
    <x v="2"/>
    <x v="0"/>
    <m/>
    <m/>
    <m/>
    <n v="39"/>
    <s v="Pink"/>
    <s v="Pink39"/>
    <n v="275"/>
    <m/>
    <x v="1"/>
    <m/>
    <n v="0.4978135728732746"/>
    <n v="19"/>
    <x v="0"/>
  </r>
  <r>
    <d v="2021-08-18T00:00:00"/>
    <x v="10"/>
    <x v="2"/>
    <x v="0"/>
    <d v="1899-12-30T08:36:00"/>
    <d v="1899-12-30T08:40:00"/>
    <d v="1899-12-30T00:04:00"/>
    <n v="103"/>
    <s v="Green"/>
    <s v="Green103"/>
    <n v="220"/>
    <m/>
    <x v="1"/>
    <m/>
    <n v="0.75271928112614861"/>
    <n v="13"/>
    <x v="0"/>
  </r>
  <r>
    <d v="2021-08-27T00:00:00"/>
    <x v="10"/>
    <x v="0"/>
    <x v="0"/>
    <d v="1899-12-30T11:37:00"/>
    <d v="1899-12-30T11:37:00"/>
    <d v="1899-12-30T00:00:00"/>
    <s v="NT"/>
    <m/>
    <m/>
    <n v="160"/>
    <s v="Dock 12"/>
    <x v="0"/>
    <s v="26 ft"/>
    <n v="0.9529578871805956"/>
    <n v="7"/>
    <x v="3"/>
  </r>
  <r>
    <d v="2021-08-27T00:00:00"/>
    <x v="10"/>
    <x v="0"/>
    <x v="0"/>
    <d v="1899-12-30T11:52:00"/>
    <d v="1899-12-30T11:53:00"/>
    <d v="1899-12-30T00:01:00"/>
    <s v="NT"/>
    <m/>
    <m/>
    <n v="200"/>
    <s v="Dock 12"/>
    <x v="0"/>
    <s v="25 ft"/>
    <n v="0.36320984427035313"/>
    <n v="11"/>
    <x v="1"/>
  </r>
  <r>
    <d v="2021-08-27T00:00:00"/>
    <x v="10"/>
    <x v="0"/>
    <x v="0"/>
    <d v="1899-12-30T12:41:00"/>
    <d v="1899-12-30T12:42:00"/>
    <d v="1899-12-30T00:01:00"/>
    <s v="NT"/>
    <m/>
    <m/>
    <n v="190"/>
    <s v="Logans"/>
    <x v="0"/>
    <s v="33 ft"/>
    <n v="0.46785265182510605"/>
    <n v="10"/>
    <x v="1"/>
  </r>
  <r>
    <d v="2021-08-27T00:00:00"/>
    <x v="10"/>
    <x v="0"/>
    <x v="0"/>
    <d v="1899-12-30T12:43:00"/>
    <d v="1899-12-30T12:44:00"/>
    <d v="1899-12-30T00:01:00"/>
    <s v="NT"/>
    <m/>
    <m/>
    <n v="270"/>
    <s v="Logans"/>
    <x v="0"/>
    <s v="33 ft"/>
    <n v="0.19951922455780172"/>
    <n v="18"/>
    <x v="0"/>
  </r>
  <r>
    <d v="2021-08-27T00:00:00"/>
    <x v="10"/>
    <x v="0"/>
    <x v="0"/>
    <d v="1899-12-30T12:44:00"/>
    <d v="1899-12-30T12:45:00"/>
    <d v="1899-12-30T00:01:00"/>
    <s v="NT"/>
    <m/>
    <m/>
    <n v="280"/>
    <s v="Logans"/>
    <x v="0"/>
    <s v="50 ft"/>
    <n v="0.31960714297350828"/>
    <n v="19"/>
    <x v="0"/>
  </r>
  <r>
    <d v="2021-08-27T00:00:00"/>
    <x v="10"/>
    <x v="0"/>
    <x v="0"/>
    <d v="1899-12-30T08:47:00"/>
    <d v="1899-12-30T08:48:00"/>
    <d v="1899-12-30T00:01:00"/>
    <s v="NT"/>
    <m/>
    <m/>
    <n v="180"/>
    <s v="Dock 16"/>
    <x v="0"/>
    <s v="32 ft"/>
    <n v="0.63725195575377525"/>
    <n v="9"/>
    <x v="1"/>
  </r>
  <r>
    <d v="2021-08-27T00:00:00"/>
    <x v="10"/>
    <x v="0"/>
    <x v="0"/>
    <d v="1899-12-30T11:16:00"/>
    <d v="1899-12-30T11:18:00"/>
    <d v="1899-12-30T00:02:00"/>
    <s v="NT"/>
    <m/>
    <m/>
    <n v="190"/>
    <s v="Dock 12"/>
    <x v="0"/>
    <s v="26 ft"/>
    <n v="0.29362035370134765"/>
    <n v="10"/>
    <x v="1"/>
  </r>
  <r>
    <d v="2021-08-27T00:00:00"/>
    <x v="10"/>
    <x v="0"/>
    <x v="0"/>
    <d v="1899-12-30T10:03:00"/>
    <d v="1899-12-30T10:05:00"/>
    <d v="1899-12-30T00:02:00"/>
    <s v="NT"/>
    <m/>
    <m/>
    <n v="250"/>
    <s v="Dock 13"/>
    <x v="0"/>
    <s v="25 ft"/>
    <n v="0.87728465854995175"/>
    <n v="16"/>
    <x v="0"/>
  </r>
  <r>
    <d v="2021-08-27T00:00:00"/>
    <x v="10"/>
    <x v="0"/>
    <x v="0"/>
    <d v="1899-12-30T10:31:00"/>
    <d v="1899-12-30T10:34:00"/>
    <d v="1899-12-30T00:03:00"/>
    <s v="NT"/>
    <m/>
    <m/>
    <n v="190"/>
    <s v="Dock 13"/>
    <x v="0"/>
    <s v="25 ft"/>
    <n v="0.52325624903815626"/>
    <n v="10"/>
    <x v="1"/>
  </r>
  <r>
    <d v="2021-08-27T00:00:00"/>
    <x v="10"/>
    <x v="0"/>
    <x v="0"/>
    <d v="1899-12-30T10:49:00"/>
    <d v="1899-12-30T10:52:00"/>
    <d v="1899-12-30T00:03:00"/>
    <s v="NT"/>
    <m/>
    <m/>
    <n v="250"/>
    <s v="Dock 13"/>
    <x v="0"/>
    <s v="27 ft"/>
    <n v="0.367777584291891"/>
    <n v="16"/>
    <x v="1"/>
  </r>
  <r>
    <d v="2021-08-27T00:00:00"/>
    <x v="10"/>
    <x v="0"/>
    <x v="0"/>
    <d v="1899-12-30T08:43:00"/>
    <d v="1899-12-30T08:47:00"/>
    <d v="1899-12-30T00:04:00"/>
    <s v="NT"/>
    <m/>
    <m/>
    <n v="200"/>
    <s v="Dock 16"/>
    <x v="0"/>
    <s v="32 ft"/>
    <n v="0.23785919381205886"/>
    <n v="11"/>
    <x v="1"/>
  </r>
  <r>
    <d v="2021-08-27T00:00:00"/>
    <x v="10"/>
    <x v="0"/>
    <x v="0"/>
    <d v="1899-12-30T11:20:00"/>
    <d v="1899-12-30T11:25:00"/>
    <d v="1899-12-30T00:05:00"/>
    <s v="NT"/>
    <m/>
    <m/>
    <n v="230"/>
    <s v="Dock 12"/>
    <x v="0"/>
    <s v="26 ft"/>
    <n v="0.69947039927331278"/>
    <n v="14"/>
    <x v="1"/>
  </r>
  <r>
    <d v="2021-08-27T00:00:00"/>
    <x v="10"/>
    <x v="0"/>
    <x v="0"/>
    <d v="1899-12-30T08:36:00"/>
    <d v="1899-12-30T08:42:00"/>
    <d v="1899-12-30T00:06:00"/>
    <s v="NT"/>
    <m/>
    <m/>
    <n v="140"/>
    <s v="Dock 16"/>
    <x v="0"/>
    <s v="32 ft"/>
    <n v="0.99900058656884383"/>
    <n v="5"/>
    <x v="1"/>
  </r>
  <r>
    <d v="2021-08-27T00:00:00"/>
    <x v="10"/>
    <x v="0"/>
    <x v="0"/>
    <d v="1899-12-30T08:29:00"/>
    <d v="1899-12-30T08:35:00"/>
    <d v="1899-12-30T00:06:00"/>
    <s v="NT"/>
    <m/>
    <m/>
    <n v="180"/>
    <s v="Dock 16"/>
    <x v="0"/>
    <s v="32 ft"/>
    <n v="0.20285846255852769"/>
    <n v="9"/>
    <x v="3"/>
  </r>
  <r>
    <d v="2021-08-27T00:00:00"/>
    <x v="10"/>
    <x v="0"/>
    <x v="0"/>
    <d v="1899-12-30T08:49:00"/>
    <d v="1899-12-30T08:56:00"/>
    <d v="1899-12-30T00:07:00"/>
    <s v="NT"/>
    <m/>
    <m/>
    <n v="160"/>
    <s v="Dock 16"/>
    <x v="0"/>
    <s v="30 ft"/>
    <n v="0.44218022117492756"/>
    <n v="7"/>
    <x v="3"/>
  </r>
  <r>
    <d v="2021-08-27T00:00:00"/>
    <x v="10"/>
    <x v="0"/>
    <x v="0"/>
    <d v="1899-12-30T12:08:00"/>
    <d v="1899-12-30T12:16:00"/>
    <d v="1899-12-30T00:08:00"/>
    <s v="NT"/>
    <m/>
    <m/>
    <n v="290"/>
    <s v="Logans"/>
    <x v="0"/>
    <s v="34 ft"/>
    <n v="0.72297728700701958"/>
    <n v="20"/>
    <x v="0"/>
  </r>
  <r>
    <d v="2021-08-27T00:00:00"/>
    <x v="10"/>
    <x v="0"/>
    <x v="0"/>
    <d v="1899-12-30T12:07:00"/>
    <d v="1899-12-30T12:16:00"/>
    <d v="1899-12-30T00:09:00"/>
    <s v="NT"/>
    <m/>
    <m/>
    <n v="280"/>
    <s v="Logans"/>
    <x v="0"/>
    <s v="34 ft"/>
    <n v="7.926272697712422E-2"/>
    <n v="19"/>
    <x v="0"/>
  </r>
  <r>
    <d v="2021-08-27T00:00:00"/>
    <x v="10"/>
    <x v="0"/>
    <x v="0"/>
    <d v="1899-12-30T11:26:00"/>
    <d v="1899-12-30T11:36:00"/>
    <d v="1899-12-30T00:10:00"/>
    <s v="NT"/>
    <m/>
    <m/>
    <n v="190"/>
    <s v="Dock 12"/>
    <x v="0"/>
    <s v="26 ft"/>
    <n v="0.1686523045267222"/>
    <n v="10"/>
    <x v="1"/>
  </r>
  <r>
    <d v="2021-08-27T00:00:00"/>
    <x v="10"/>
    <x v="0"/>
    <x v="0"/>
    <d v="1899-12-30T09:12:00"/>
    <d v="1899-12-30T09:22:00"/>
    <d v="1899-12-30T00:10:00"/>
    <s v="NT"/>
    <m/>
    <m/>
    <n v="240"/>
    <s v="Dock 15"/>
    <x v="0"/>
    <s v="28 ft"/>
    <n v="0.53928218062002309"/>
    <n v="15"/>
    <x v="1"/>
  </r>
  <r>
    <d v="2021-08-27T00:00:00"/>
    <x v="10"/>
    <x v="0"/>
    <x v="0"/>
    <d v="1899-12-30T07:30:00"/>
    <d v="1899-12-30T07:40:00"/>
    <d v="1899-12-30T00:10:00"/>
    <s v="NT"/>
    <m/>
    <m/>
    <n v="270"/>
    <s v="Dock 17"/>
    <x v="0"/>
    <s v="30 ft"/>
    <n v="0.71560968072880515"/>
    <n v="18"/>
    <x v="0"/>
  </r>
  <r>
    <d v="2021-08-27T00:00:00"/>
    <x v="10"/>
    <x v="0"/>
    <x v="0"/>
    <d v="1899-12-30T12:28:00"/>
    <d v="1899-12-30T12:40:00"/>
    <d v="1899-12-30T00:12:00"/>
    <s v="NT"/>
    <m/>
    <m/>
    <n v="170"/>
    <s v="Logans"/>
    <x v="0"/>
    <s v="33 ft"/>
    <n v="0.25190400902736187"/>
    <n v="8"/>
    <x v="3"/>
  </r>
  <r>
    <d v="2021-08-27T00:00:00"/>
    <x v="10"/>
    <x v="0"/>
    <x v="0"/>
    <d v="1899-12-30T11:54:00"/>
    <d v="1899-12-30T12:06:00"/>
    <d v="1899-12-30T00:12:00"/>
    <s v="NT"/>
    <m/>
    <m/>
    <n v="330"/>
    <s v="Logans"/>
    <x v="0"/>
    <s v="37 ft"/>
    <n v="0.75067972287101659"/>
    <n v="24"/>
    <x v="0"/>
  </r>
  <r>
    <d v="2021-08-27T00:00:00"/>
    <x v="10"/>
    <x v="0"/>
    <x v="0"/>
    <d v="1899-12-30T11:38:00"/>
    <d v="1899-12-30T11:51:00"/>
    <d v="1899-12-30T00:13:00"/>
    <s v="NT"/>
    <m/>
    <m/>
    <n v="260"/>
    <s v="Dock 12"/>
    <x v="0"/>
    <s v="25 ft"/>
    <n v="0.67410229317569281"/>
    <n v="17"/>
    <x v="0"/>
  </r>
  <r>
    <d v="2021-08-27T00:00:00"/>
    <x v="10"/>
    <x v="0"/>
    <x v="0"/>
    <d v="1899-12-30T10:35:00"/>
    <d v="1899-12-30T10:48:00"/>
    <d v="1899-12-30T00:13:00"/>
    <s v="NT"/>
    <m/>
    <m/>
    <n v="290"/>
    <s v="Dock 13"/>
    <x v="0"/>
    <s v="27 ft"/>
    <n v="0.63724140386899997"/>
    <n v="20"/>
    <x v="0"/>
  </r>
  <r>
    <d v="2021-08-27T00:00:00"/>
    <x v="10"/>
    <x v="0"/>
    <x v="0"/>
    <d v="1899-12-30T11:02:00"/>
    <d v="1899-12-30T11:15:00"/>
    <d v="1899-12-30T00:13:00"/>
    <s v="NT"/>
    <m/>
    <m/>
    <n v="210"/>
    <s v="Dock 12"/>
    <x v="0"/>
    <s v="26 ft"/>
    <n v="0.11627482628276331"/>
    <n v="12"/>
    <x v="1"/>
  </r>
  <r>
    <d v="2021-08-27T00:00:00"/>
    <x v="10"/>
    <x v="0"/>
    <x v="0"/>
    <d v="1899-12-30T09:48:00"/>
    <d v="1899-12-30T10:02:00"/>
    <d v="1899-12-30T00:14:00"/>
    <s v="NT"/>
    <m/>
    <m/>
    <n v="250"/>
    <s v="Dock 13"/>
    <x v="0"/>
    <s v="25 ft"/>
    <n v="0.23100533440290266"/>
    <n v="16"/>
    <x v="1"/>
  </r>
  <r>
    <d v="2021-08-27T00:00:00"/>
    <x v="10"/>
    <x v="0"/>
    <x v="0"/>
    <d v="1899-12-30T08:57:00"/>
    <d v="1899-12-30T09:11:00"/>
    <d v="1899-12-30T00:14:00"/>
    <s v="NT"/>
    <m/>
    <m/>
    <n v="170"/>
    <s v="Dock 15"/>
    <x v="0"/>
    <s v="30 ft"/>
    <n v="0.5066553095852282"/>
    <n v="8"/>
    <x v="3"/>
  </r>
  <r>
    <d v="2021-08-27T00:00:00"/>
    <x v="10"/>
    <x v="0"/>
    <x v="0"/>
    <d v="1899-12-30T08:06:00"/>
    <d v="1899-12-30T08:28:00"/>
    <d v="1899-12-30T00:22:00"/>
    <s v="NT"/>
    <m/>
    <m/>
    <n v="240"/>
    <s v="Dock 16"/>
    <x v="0"/>
    <s v="32 ft"/>
    <n v="0.35578819893104408"/>
    <n v="15"/>
    <x v="1"/>
  </r>
  <r>
    <d v="2021-08-27T00:00:00"/>
    <x v="10"/>
    <x v="0"/>
    <x v="0"/>
    <d v="1899-12-30T07:41:00"/>
    <d v="1899-12-30T08:05:00"/>
    <d v="1899-12-30T00:24:00"/>
    <s v="NT"/>
    <m/>
    <m/>
    <n v="200"/>
    <s v="Dock 17"/>
    <x v="0"/>
    <s v="20 ft"/>
    <n v="0.73225943405752048"/>
    <n v="11"/>
    <x v="1"/>
  </r>
  <r>
    <d v="2021-08-27T00:00:00"/>
    <x v="10"/>
    <x v="0"/>
    <x v="0"/>
    <d v="1899-12-30T09:23:00"/>
    <d v="1899-12-30T09:47:00"/>
    <d v="1899-12-30T00:24:00"/>
    <s v="NT"/>
    <m/>
    <m/>
    <n v="270"/>
    <s v="Dock 14"/>
    <x v="0"/>
    <s v="25 ft"/>
    <n v="8.4308204746017329E-2"/>
    <n v="18"/>
    <x v="1"/>
  </r>
  <r>
    <d v="2021-08-27T00:00:00"/>
    <x v="10"/>
    <x v="0"/>
    <x v="0"/>
    <d v="1899-12-30T10:06:00"/>
    <d v="1899-12-30T10:30:00"/>
    <d v="1899-12-30T00:24:00"/>
    <s v="NT"/>
    <m/>
    <m/>
    <n v="330"/>
    <s v="Dock 13"/>
    <x v="0"/>
    <s v="25 ft"/>
    <n v="0.96799716631322963"/>
    <n v="24"/>
    <x v="2"/>
  </r>
  <r>
    <d v="2021-08-27T00:00:00"/>
    <x v="10"/>
    <x v="2"/>
    <x v="0"/>
    <d v="1899-12-30T10:41:00"/>
    <d v="1899-12-30T10:51:00"/>
    <d v="1899-12-30T00:10:00"/>
    <n v="82"/>
    <s v="Green"/>
    <s v="Green82"/>
    <n v="270"/>
    <s v="Dock 13"/>
    <x v="0"/>
    <m/>
    <n v="0.12837422645109436"/>
    <n v="18"/>
    <x v="1"/>
  </r>
  <r>
    <d v="2021-08-27T00:00:00"/>
    <x v="10"/>
    <x v="2"/>
    <x v="0"/>
    <d v="1899-12-30T09:10:00"/>
    <d v="1899-12-30T09:25:00"/>
    <d v="1899-12-30T00:15:00"/>
    <n v="103"/>
    <s v="Green"/>
    <s v="Green103"/>
    <n v="260"/>
    <s v="Logans"/>
    <x v="0"/>
    <m/>
    <n v="0.58562396354303881"/>
    <n v="17"/>
    <x v="0"/>
  </r>
  <r>
    <d v="2021-09-11T00:00:00"/>
    <x v="11"/>
    <x v="0"/>
    <x v="16"/>
    <d v="1899-12-30T09:01:00"/>
    <d v="1899-12-30T10:30:00"/>
    <d v="1899-12-30T01:29:00"/>
    <s v="NT"/>
    <m/>
    <m/>
    <n v="152"/>
    <m/>
    <x v="0"/>
    <m/>
    <n v="0.58195526785308271"/>
    <n v="6"/>
    <x v="3"/>
  </r>
  <r>
    <d v="2021-09-11T00:00:00"/>
    <x v="11"/>
    <x v="0"/>
    <x v="16"/>
    <d v="1899-12-30T10:30:00"/>
    <d v="1899-12-30T12:15:00"/>
    <d v="1899-12-30T01:45:00"/>
    <s v="NT"/>
    <m/>
    <m/>
    <n v="203"/>
    <m/>
    <x v="0"/>
    <m/>
    <n v="0.92218680676174669"/>
    <n v="11"/>
    <x v="1"/>
  </r>
  <r>
    <d v="2021-09-11T00:00:00"/>
    <x v="11"/>
    <x v="0"/>
    <x v="16"/>
    <d v="1899-12-30T12:15:00"/>
    <d v="1899-12-30T14:00:00"/>
    <d v="1899-12-30T01:45:00"/>
    <s v="NT"/>
    <m/>
    <m/>
    <n v="152"/>
    <m/>
    <x v="0"/>
    <m/>
    <n v="0.19366124467629067"/>
    <n v="6"/>
    <x v="3"/>
  </r>
  <r>
    <d v="2021-09-11T00:00:00"/>
    <x v="11"/>
    <x v="0"/>
    <x v="16"/>
    <d v="1899-12-30T14:00:00"/>
    <d v="1899-12-30T16:00:00"/>
    <d v="1899-12-30T02:00:00"/>
    <s v="NT"/>
    <m/>
    <m/>
    <n v="152"/>
    <m/>
    <x v="0"/>
    <m/>
    <n v="0.86453927441711509"/>
    <n v="6"/>
    <x v="3"/>
  </r>
  <r>
    <d v="2021-09-11T00:00:00"/>
    <x v="11"/>
    <x v="2"/>
    <x v="16"/>
    <d v="1899-12-30T08:00:00"/>
    <d v="1899-12-30T09:00:00"/>
    <d v="1899-12-30T01:00:00"/>
    <n v="156"/>
    <s v="Green"/>
    <s v="Green156"/>
    <n v="254"/>
    <m/>
    <x v="0"/>
    <m/>
    <n v="0.31158512845243569"/>
    <n v="16"/>
    <x v="1"/>
  </r>
  <r>
    <s v="ND"/>
    <x v="12"/>
    <x v="2"/>
    <x v="17"/>
    <m/>
    <m/>
    <m/>
    <n v="6"/>
    <s v="Pink"/>
    <s v="Pink6"/>
    <n v="263"/>
    <s v="South East End"/>
    <x v="1"/>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FA8FE3-A958-3C4D-9CC7-774FB48439A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F12" firstHeaderRow="1" firstDataRow="2" firstDataCol="1" rowPageCount="3" colPageCount="1"/>
  <pivotFields count="17">
    <pivotField showAll="0"/>
    <pivotField axis="axisRow" showAll="0">
      <items count="14">
        <item x="0"/>
        <item x="1"/>
        <item x="2"/>
        <item x="3"/>
        <item x="4"/>
        <item x="5"/>
        <item x="6"/>
        <item x="7"/>
        <item x="8"/>
        <item x="9"/>
        <item x="10"/>
        <item x="11"/>
        <item x="12"/>
        <item t="default"/>
      </items>
    </pivotField>
    <pivotField axis="axisPage" multipleItemSelectionAllowed="1" showAll="0">
      <items count="4">
        <item h="1" x="0"/>
        <item h="1" x="2"/>
        <item x="1"/>
        <item t="default"/>
      </items>
    </pivotField>
    <pivotField axis="axisPage" multipleItemSelectionAllowed="1" showAll="0">
      <items count="19">
        <item h="1" x="3"/>
        <item h="1" x="1"/>
        <item h="1" x="17"/>
        <item h="1" x="14"/>
        <item h="1" x="12"/>
        <item h="1" x="13"/>
        <item h="1" x="16"/>
        <item h="1" x="8"/>
        <item h="1" x="7"/>
        <item h="1" x="4"/>
        <item h="1" x="5"/>
        <item h="1" x="10"/>
        <item x="0"/>
        <item h="1" x="6"/>
        <item h="1" x="2"/>
        <item h="1" x="15"/>
        <item h="1" x="9"/>
        <item h="1" x="11"/>
        <item t="default"/>
      </items>
    </pivotField>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axis="axisCol" dataField="1" showAll="0">
      <items count="5">
        <item x="3"/>
        <item x="1"/>
        <item x="0"/>
        <item x="2"/>
        <item t="default"/>
      </items>
    </pivotField>
  </pivotFields>
  <rowFields count="1">
    <field x="1"/>
  </rowFields>
  <rowItems count="6">
    <i>
      <x/>
    </i>
    <i>
      <x v="1"/>
    </i>
    <i>
      <x v="2"/>
    </i>
    <i>
      <x v="7"/>
    </i>
    <i>
      <x v="8"/>
    </i>
    <i t="grand">
      <x/>
    </i>
  </rowItems>
  <colFields count="1">
    <field x="16"/>
  </colFields>
  <colItems count="5">
    <i>
      <x/>
    </i>
    <i>
      <x v="1"/>
    </i>
    <i>
      <x v="2"/>
    </i>
    <i>
      <x v="3"/>
    </i>
    <i t="grand">
      <x/>
    </i>
  </colItems>
  <pageFields count="3">
    <pageField fld="2" hier="-1"/>
    <pageField fld="12" hier="-1"/>
    <pageField fld="3" hier="-1"/>
  </pageFields>
  <dataFields count="1">
    <dataField name="Count of age-hat"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2-11-18T04:38:51.59" personId="{457EB12E-1F1F-BE4D-9D40-F1A99FB7653B}" id="{8236396A-CB60-5F45-BB53-7F5186BA1EB7}">
    <text>Only include fish that were marked in the previous step</text>
  </threadedComment>
</ThreadedComments>
</file>

<file path=xl/threadedComments/threadedComment2.xml><?xml version="1.0" encoding="utf-8"?>
<ThreadedComments xmlns="http://schemas.microsoft.com/office/spreadsheetml/2018/threadedcomments" xmlns:x="http://schemas.openxmlformats.org/spreadsheetml/2006/main">
  <threadedComment ref="A10" dT="2022-11-17T01:12:19.99" personId="{457EB12E-1F1F-BE4D-9D40-F1A99FB7653B}" id="{F25C586B-AE13-3B4B-B6B2-4985981760A5}">
    <text>growth efficiency; roughly
e=a[e]*(1-SDA)*E[prey]/E[pred]*pdigest
where
a[e] - assimilation efficiency - 0.8
SDA - specific dynamic action - 0.2
E[prey]=E[pred] - energy density of prey and predator
p[digest] - proportion digested - 0.9
** all from standard bioenergetics functions - van Poorten and Walters 2010</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8BAA2-63AD-4D15-BB7E-11167C74A68F}">
  <sheetPr codeName="Sheet1"/>
  <dimension ref="A1:W549"/>
  <sheetViews>
    <sheetView tabSelected="1" zoomScale="135" workbookViewId="0">
      <pane ySplit="1" topLeftCell="A2" activePane="bottomLeft" state="frozen"/>
      <selection pane="bottomLeft" activeCell="F10" sqref="F10"/>
    </sheetView>
  </sheetViews>
  <sheetFormatPr baseColWidth="10" defaultColWidth="8.83203125" defaultRowHeight="15" x14ac:dyDescent="0.2"/>
  <cols>
    <col min="1" max="2" width="19.33203125" customWidth="1"/>
    <col min="4" max="4" width="23.5" bestFit="1" customWidth="1"/>
    <col min="5" max="5" width="23.5" style="22" customWidth="1"/>
    <col min="6" max="7" width="12" style="4" bestFit="1" customWidth="1"/>
    <col min="8" max="8" width="23.83203125" bestFit="1" customWidth="1"/>
    <col min="9" max="11" width="15.1640625" style="5" customWidth="1"/>
    <col min="12" max="12" width="13.5" style="5" customWidth="1"/>
    <col min="13" max="13" width="21.33203125" bestFit="1" customWidth="1"/>
    <col min="14" max="14" width="14.5" bestFit="1" customWidth="1"/>
  </cols>
  <sheetData>
    <row r="1" spans="1:23" x14ac:dyDescent="0.2">
      <c r="A1" s="2" t="s">
        <v>0</v>
      </c>
      <c r="B1" s="2" t="s">
        <v>131</v>
      </c>
      <c r="C1" s="6" t="s">
        <v>142</v>
      </c>
      <c r="D1" s="2" t="s">
        <v>46</v>
      </c>
      <c r="E1" s="21" t="s">
        <v>48</v>
      </c>
      <c r="F1" s="7" t="s">
        <v>3</v>
      </c>
      <c r="G1" s="7" t="s">
        <v>4</v>
      </c>
      <c r="H1" s="2" t="s">
        <v>10</v>
      </c>
      <c r="I1" s="6" t="s">
        <v>2</v>
      </c>
      <c r="J1" s="6" t="s">
        <v>55</v>
      </c>
      <c r="K1" s="6" t="s">
        <v>129</v>
      </c>
      <c r="L1" s="6" t="s">
        <v>1</v>
      </c>
      <c r="M1" s="2" t="s">
        <v>5</v>
      </c>
      <c r="N1" s="2" t="s">
        <v>45</v>
      </c>
      <c r="O1" s="6" t="s">
        <v>81</v>
      </c>
      <c r="P1" s="6" t="s">
        <v>128</v>
      </c>
      <c r="Q1" s="6" t="s">
        <v>126</v>
      </c>
      <c r="R1" s="6" t="s">
        <v>127</v>
      </c>
      <c r="S1" s="6" t="s">
        <v>143</v>
      </c>
    </row>
    <row r="2" spans="1:23" x14ac:dyDescent="0.2">
      <c r="A2" s="15">
        <v>43976</v>
      </c>
      <c r="B2" s="28">
        <f t="shared" ref="B2:B9" si="0">YEAR(A2)*10+MONTH(A2)</f>
        <v>20205</v>
      </c>
      <c r="C2">
        <f>A2-A$2</f>
        <v>0</v>
      </c>
      <c r="D2" s="5" t="s">
        <v>25</v>
      </c>
      <c r="E2" s="25" t="s">
        <v>49</v>
      </c>
      <c r="F2" s="13"/>
      <c r="G2" s="13">
        <v>0.4375</v>
      </c>
      <c r="H2" s="3"/>
      <c r="I2" s="5" t="s">
        <v>25</v>
      </c>
      <c r="L2" s="12">
        <v>343</v>
      </c>
      <c r="M2" s="1"/>
      <c r="N2" t="s">
        <v>26</v>
      </c>
      <c r="P2">
        <v>0.24257829889775176</v>
      </c>
      <c r="Q2">
        <f t="shared" ref="Q2:Q65" si="1">INT((L2-95)/10)+1</f>
        <v>25</v>
      </c>
      <c r="R2">
        <f ca="1">IF(ISNA(MATCH(P2,OFFSET('age-length key'!O$8,Data!Q2,17,1,5),1)),1,MATCH(P2,OFFSET('age-length key'!O$8,Data!Q2,17,1,5),1)+1)</f>
        <v>3</v>
      </c>
      <c r="S2">
        <v>1</v>
      </c>
    </row>
    <row r="3" spans="1:23" x14ac:dyDescent="0.2">
      <c r="A3" s="15">
        <v>43976</v>
      </c>
      <c r="B3" s="28">
        <f t="shared" si="0"/>
        <v>20205</v>
      </c>
      <c r="C3">
        <f>A3-A$2</f>
        <v>0</v>
      </c>
      <c r="D3" s="5" t="s">
        <v>25</v>
      </c>
      <c r="E3" s="25" t="s">
        <v>49</v>
      </c>
      <c r="F3" s="13"/>
      <c r="G3" s="13">
        <v>0.45833333333333331</v>
      </c>
      <c r="H3" s="3"/>
      <c r="I3" s="5" t="s">
        <v>25</v>
      </c>
      <c r="L3" s="12">
        <v>319</v>
      </c>
      <c r="M3" s="1"/>
      <c r="N3" t="s">
        <v>26</v>
      </c>
      <c r="P3">
        <v>1.3469574513598146E-2</v>
      </c>
      <c r="Q3">
        <f t="shared" si="1"/>
        <v>23</v>
      </c>
      <c r="R3">
        <f ca="1">IF(ISNA(MATCH(P3,OFFSET('age-length key'!O$8,Data!Q3,17,1,5),1)),1,MATCH(P3,OFFSET('age-length key'!O$8,Data!Q3,17,1,5),1)+1)</f>
        <v>3</v>
      </c>
      <c r="S3">
        <f ca="1">IF(D3="Recapture",IF(OFFSET(B$1,MATCH(K3,K$2:K2,0),0)=B3,0,1),1)</f>
        <v>1</v>
      </c>
      <c r="U3">
        <v>1</v>
      </c>
      <c r="V3">
        <f ca="1">COUNTIF(R$2:R$549,"="&amp;U3)</f>
        <v>86</v>
      </c>
      <c r="W3">
        <f ca="1">V3/SUM(V$3:V$7)</f>
        <v>0.15693430656934307</v>
      </c>
    </row>
    <row r="4" spans="1:23" x14ac:dyDescent="0.2">
      <c r="A4" s="15">
        <v>43976</v>
      </c>
      <c r="B4" s="28">
        <f t="shared" si="0"/>
        <v>20205</v>
      </c>
      <c r="C4">
        <f>A4-A$2</f>
        <v>0</v>
      </c>
      <c r="D4" s="5" t="s">
        <v>25</v>
      </c>
      <c r="E4" s="25" t="s">
        <v>49</v>
      </c>
      <c r="F4" s="13"/>
      <c r="G4" s="13">
        <v>0.55208333333333337</v>
      </c>
      <c r="H4" s="3"/>
      <c r="I4" s="5" t="s">
        <v>25</v>
      </c>
      <c r="L4" s="12">
        <v>256</v>
      </c>
      <c r="M4" s="1"/>
      <c r="N4" t="s">
        <v>26</v>
      </c>
      <c r="P4">
        <v>0.38313885004405812</v>
      </c>
      <c r="Q4">
        <f t="shared" si="1"/>
        <v>17</v>
      </c>
      <c r="R4">
        <f ca="1">IF(ISNA(MATCH(P4,OFFSET('age-length key'!O$8,Data!Q4,17,1,5),1)),1,MATCH(P4,OFFSET('age-length key'!O$8,Data!Q4,17,1,5),1)+1)</f>
        <v>3</v>
      </c>
      <c r="S4">
        <f ca="1">IF(D4="Recapture",IF(OFFSET(B$1,MATCH(K4,K$2:K3,0),0)=B4,0,1),1)</f>
        <v>1</v>
      </c>
      <c r="U4">
        <v>2</v>
      </c>
      <c r="V4">
        <f ca="1">COUNTIF(R$2:R$549,"="&amp;U4)</f>
        <v>201</v>
      </c>
      <c r="W4">
        <f ca="1">V4/SUM(V$3:V$7)</f>
        <v>0.36678832116788324</v>
      </c>
    </row>
    <row r="5" spans="1:23" x14ac:dyDescent="0.2">
      <c r="A5" s="15">
        <v>43976</v>
      </c>
      <c r="B5" s="28">
        <f t="shared" si="0"/>
        <v>20205</v>
      </c>
      <c r="C5">
        <f>A5-A$2</f>
        <v>0</v>
      </c>
      <c r="D5" s="5" t="s">
        <v>25</v>
      </c>
      <c r="E5" s="25" t="s">
        <v>49</v>
      </c>
      <c r="F5" s="13"/>
      <c r="G5" s="13">
        <v>0.5625</v>
      </c>
      <c r="H5" s="3"/>
      <c r="I5" s="5" t="s">
        <v>25</v>
      </c>
      <c r="L5" s="12">
        <v>270</v>
      </c>
      <c r="M5" s="1"/>
      <c r="N5" t="s">
        <v>26</v>
      </c>
      <c r="P5">
        <v>0.41465269048449244</v>
      </c>
      <c r="Q5">
        <f t="shared" si="1"/>
        <v>18</v>
      </c>
      <c r="R5">
        <f ca="1">IF(ISNA(MATCH(P5,OFFSET('age-length key'!O$8,Data!Q5,17,1,5),1)),1,MATCH(P5,OFFSET('age-length key'!O$8,Data!Q5,17,1,5),1)+1)</f>
        <v>3</v>
      </c>
      <c r="S5">
        <f ca="1">IF(D5="Recapture",IF(OFFSET(B$1,MATCH(K5,K$2:K4,0),0)=B5,0,1),1)</f>
        <v>1</v>
      </c>
      <c r="U5">
        <v>3</v>
      </c>
      <c r="V5">
        <f ca="1">COUNTIF(R$2:R$549,"="&amp;U5)</f>
        <v>230</v>
      </c>
      <c r="W5">
        <f ca="1">V5/SUM(V$3:V$7)</f>
        <v>0.41970802919708028</v>
      </c>
    </row>
    <row r="6" spans="1:23" x14ac:dyDescent="0.2">
      <c r="A6" s="15">
        <v>43976</v>
      </c>
      <c r="B6" s="28">
        <f t="shared" si="0"/>
        <v>20205</v>
      </c>
      <c r="C6">
        <f>A6-A$2</f>
        <v>0</v>
      </c>
      <c r="D6" s="5" t="s">
        <v>25</v>
      </c>
      <c r="E6" s="25" t="s">
        <v>49</v>
      </c>
      <c r="F6" s="13"/>
      <c r="G6" s="13">
        <v>0.5625</v>
      </c>
      <c r="H6" s="3"/>
      <c r="I6" s="5" t="s">
        <v>25</v>
      </c>
      <c r="L6" s="12">
        <v>269</v>
      </c>
      <c r="M6" s="1"/>
      <c r="N6" t="s">
        <v>26</v>
      </c>
      <c r="P6">
        <v>6.7768972864266933E-2</v>
      </c>
      <c r="Q6">
        <f t="shared" si="1"/>
        <v>18</v>
      </c>
      <c r="R6">
        <f ca="1">IF(ISNA(MATCH(P6,OFFSET('age-length key'!O$8,Data!Q6,17,1,5),1)),1,MATCH(P6,OFFSET('age-length key'!O$8,Data!Q6,17,1,5),1)+1)</f>
        <v>2</v>
      </c>
      <c r="S6">
        <f ca="1">IF(D6="Recapture",IF(OFFSET(B$1,MATCH(K6,K$2:K5,0),0)=B6,0,1),1)</f>
        <v>1</v>
      </c>
      <c r="U6">
        <v>4</v>
      </c>
      <c r="V6">
        <f ca="1">COUNTIF(R$2:R$549,"="&amp;U6)</f>
        <v>31</v>
      </c>
      <c r="W6">
        <f ca="1">V6/SUM(V$3:V$7)</f>
        <v>5.6569343065693431E-2</v>
      </c>
    </row>
    <row r="7" spans="1:23" x14ac:dyDescent="0.2">
      <c r="A7" s="10">
        <v>43976</v>
      </c>
      <c r="B7" s="28">
        <f t="shared" si="0"/>
        <v>20205</v>
      </c>
      <c r="C7">
        <f>A7-A$2</f>
        <v>0</v>
      </c>
      <c r="D7" s="11" t="s">
        <v>47</v>
      </c>
      <c r="E7" s="24" t="s">
        <v>49</v>
      </c>
      <c r="F7" s="13"/>
      <c r="G7" s="13"/>
      <c r="H7" s="3"/>
      <c r="I7" s="11">
        <v>1</v>
      </c>
      <c r="J7" s="11" t="s">
        <v>57</v>
      </c>
      <c r="K7" s="11" t="str">
        <f t="shared" ref="K7:K21" si="2">_xlfn.CONCAT(J7,I7)</f>
        <v>Pink1</v>
      </c>
      <c r="L7" s="12">
        <v>315</v>
      </c>
      <c r="M7" s="12" t="s">
        <v>82</v>
      </c>
      <c r="N7" s="12" t="s">
        <v>27</v>
      </c>
      <c r="O7" s="12"/>
      <c r="P7">
        <v>0.99312692973442696</v>
      </c>
      <c r="Q7">
        <f t="shared" si="1"/>
        <v>23</v>
      </c>
      <c r="R7">
        <f ca="1">IF(ISNA(MATCH(P7,OFFSET('age-length key'!O$8,Data!Q7,17,1,5),1)),1,MATCH(P7,OFFSET('age-length key'!O$8,Data!Q7,17,1,5),1)+1)</f>
        <v>4</v>
      </c>
      <c r="S7">
        <f ca="1">IF(D7="Recapture",IF(OFFSET(B$1,MATCH(K7,K$2:K6,0),0)=B7,0,1),1)</f>
        <v>1</v>
      </c>
      <c r="U7">
        <v>5</v>
      </c>
      <c r="V7">
        <f ca="1">COUNTIF(R$2:R$549,"="&amp;U7)</f>
        <v>0</v>
      </c>
      <c r="W7">
        <f ca="1">V7/SUM(V$3:V$7)</f>
        <v>0</v>
      </c>
    </row>
    <row r="8" spans="1:23" x14ac:dyDescent="0.2">
      <c r="A8" s="10">
        <v>43976</v>
      </c>
      <c r="B8" s="28">
        <f t="shared" si="0"/>
        <v>20205</v>
      </c>
      <c r="C8">
        <f>A8-A$2</f>
        <v>0</v>
      </c>
      <c r="D8" s="11" t="s">
        <v>47</v>
      </c>
      <c r="E8" s="24" t="s">
        <v>49</v>
      </c>
      <c r="F8" s="13"/>
      <c r="G8" s="13"/>
      <c r="H8" s="3"/>
      <c r="I8" s="12">
        <v>2</v>
      </c>
      <c r="J8" s="11" t="s">
        <v>57</v>
      </c>
      <c r="K8" s="11" t="str">
        <f t="shared" si="2"/>
        <v>Pink2</v>
      </c>
      <c r="L8" s="12">
        <v>268</v>
      </c>
      <c r="M8" s="12" t="s">
        <v>82</v>
      </c>
      <c r="N8" s="12" t="s">
        <v>27</v>
      </c>
      <c r="O8" s="12"/>
      <c r="P8">
        <v>0.48430804651431181</v>
      </c>
      <c r="Q8">
        <f t="shared" si="1"/>
        <v>18</v>
      </c>
      <c r="R8">
        <f ca="1">IF(ISNA(MATCH(P8,OFFSET('age-length key'!O$8,Data!Q8,17,1,5),1)),1,MATCH(P8,OFFSET('age-length key'!O$8,Data!Q8,17,1,5),1)+1)</f>
        <v>3</v>
      </c>
      <c r="S8">
        <f ca="1">IF(D8="Recapture",IF(OFFSET(B$1,MATCH(K8,K$2:K7,0),0)=B8,0,1),1)</f>
        <v>1</v>
      </c>
    </row>
    <row r="9" spans="1:23" x14ac:dyDescent="0.2">
      <c r="A9" s="1">
        <v>43976</v>
      </c>
      <c r="B9" s="28">
        <f t="shared" si="0"/>
        <v>20205</v>
      </c>
      <c r="C9">
        <f>A9-A$2</f>
        <v>0</v>
      </c>
      <c r="D9" s="5" t="s">
        <v>47</v>
      </c>
      <c r="E9" s="25" t="s">
        <v>49</v>
      </c>
      <c r="H9" s="3"/>
      <c r="I9" s="5">
        <v>43</v>
      </c>
      <c r="J9" s="5" t="s">
        <v>56</v>
      </c>
      <c r="K9" s="11" t="str">
        <f t="shared" si="2"/>
        <v>Green43</v>
      </c>
      <c r="L9" s="5">
        <v>233</v>
      </c>
      <c r="N9" t="s">
        <v>27</v>
      </c>
      <c r="P9">
        <v>0.76533776603887682</v>
      </c>
      <c r="Q9">
        <f t="shared" si="1"/>
        <v>14</v>
      </c>
      <c r="R9">
        <f ca="1">IF(ISNA(MATCH(P9,OFFSET('age-length key'!O$8,Data!Q9,17,1,5),1)),1,MATCH(P9,OFFSET('age-length key'!O$8,Data!Q9,17,1,5),1)+1)</f>
        <v>2</v>
      </c>
      <c r="S9">
        <f ca="1">IF(D9="Recapture",IF(OFFSET(B$1,MATCH(K9,K$2:K8,0),0)=B9,0,1),1)</f>
        <v>1</v>
      </c>
    </row>
    <row r="10" spans="1:23" x14ac:dyDescent="0.2">
      <c r="A10" s="10">
        <v>43977</v>
      </c>
      <c r="B10" s="28">
        <f>YEAR(A10)*10+MONTH(A10)</f>
        <v>20205</v>
      </c>
      <c r="C10">
        <f>A10-A$2</f>
        <v>1</v>
      </c>
      <c r="D10" s="11" t="s">
        <v>47</v>
      </c>
      <c r="E10" s="24" t="s">
        <v>49</v>
      </c>
      <c r="F10" s="13"/>
      <c r="G10" s="13"/>
      <c r="H10" s="3"/>
      <c r="I10" s="12">
        <v>3</v>
      </c>
      <c r="J10" s="11" t="s">
        <v>57</v>
      </c>
      <c r="K10" s="11" t="str">
        <f t="shared" si="2"/>
        <v>Pink3</v>
      </c>
      <c r="L10" s="12">
        <v>305</v>
      </c>
      <c r="M10" s="12" t="s">
        <v>82</v>
      </c>
      <c r="N10" s="12" t="s">
        <v>27</v>
      </c>
      <c r="O10" s="12"/>
      <c r="P10">
        <v>3.1833815403205255E-2</v>
      </c>
      <c r="Q10">
        <f t="shared" si="1"/>
        <v>22</v>
      </c>
      <c r="R10">
        <f ca="1">IF(ISNA(MATCH(P10,OFFSET('age-length key'!O$8,Data!Q10,17,1,5),1)),1,MATCH(P10,OFFSET('age-length key'!O$8,Data!Q10,17,1,5),1)+1)</f>
        <v>3</v>
      </c>
      <c r="S10">
        <f ca="1">IF(D10="Recapture",IF(OFFSET(B$1,MATCH(K10,K$2:K9,0),0)=B10,0,1),1)</f>
        <v>1</v>
      </c>
    </row>
    <row r="11" spans="1:23" x14ac:dyDescent="0.2">
      <c r="A11" s="10">
        <v>43977</v>
      </c>
      <c r="B11" s="28">
        <f t="shared" ref="B11:B74" si="3">YEAR(A11)*10+MONTH(A11)</f>
        <v>20205</v>
      </c>
      <c r="C11">
        <f>A11-A$2</f>
        <v>1</v>
      </c>
      <c r="D11" s="11" t="s">
        <v>47</v>
      </c>
      <c r="E11" s="24" t="s">
        <v>49</v>
      </c>
      <c r="F11" s="13"/>
      <c r="G11" s="13"/>
      <c r="H11" s="3"/>
      <c r="I11" s="12">
        <v>4</v>
      </c>
      <c r="J11" s="11" t="s">
        <v>57</v>
      </c>
      <c r="K11" s="11" t="str">
        <f t="shared" si="2"/>
        <v>Pink4</v>
      </c>
      <c r="L11" s="12">
        <v>250</v>
      </c>
      <c r="M11" s="12" t="s">
        <v>82</v>
      </c>
      <c r="N11" s="12" t="s">
        <v>27</v>
      </c>
      <c r="O11" s="12"/>
      <c r="P11">
        <v>3.0935481670748201E-2</v>
      </c>
      <c r="Q11">
        <f t="shared" si="1"/>
        <v>16</v>
      </c>
      <c r="R11">
        <f ca="1">IF(ISNA(MATCH(P11,OFFSET('age-length key'!O$8,Data!Q11,17,1,5),1)),1,MATCH(P11,OFFSET('age-length key'!O$8,Data!Q11,17,1,5),1)+1)</f>
        <v>2</v>
      </c>
      <c r="S11">
        <f ca="1">IF(D11="Recapture",IF(OFFSET(B$1,MATCH(K11,K$2:K10,0),0)=B11,0,1),1)</f>
        <v>1</v>
      </c>
    </row>
    <row r="12" spans="1:23" x14ac:dyDescent="0.2">
      <c r="A12" s="10">
        <v>43977</v>
      </c>
      <c r="B12" s="28">
        <f t="shared" si="3"/>
        <v>20205</v>
      </c>
      <c r="C12">
        <f>A12-A$2</f>
        <v>1</v>
      </c>
      <c r="D12" s="11" t="s">
        <v>47</v>
      </c>
      <c r="E12" s="24" t="s">
        <v>49</v>
      </c>
      <c r="F12" s="13"/>
      <c r="G12" s="13"/>
      <c r="H12" s="3"/>
      <c r="I12" s="12">
        <v>5</v>
      </c>
      <c r="J12" s="11" t="s">
        <v>57</v>
      </c>
      <c r="K12" s="11" t="str">
        <f t="shared" si="2"/>
        <v>Pink5</v>
      </c>
      <c r="L12" s="12">
        <v>280</v>
      </c>
      <c r="M12" s="12" t="s">
        <v>82</v>
      </c>
      <c r="N12" s="12" t="s">
        <v>27</v>
      </c>
      <c r="O12" s="12"/>
      <c r="P12">
        <v>0.93264044026501502</v>
      </c>
      <c r="Q12">
        <f t="shared" si="1"/>
        <v>19</v>
      </c>
      <c r="R12">
        <f ca="1">IF(ISNA(MATCH(P12,OFFSET('age-length key'!O$8,Data!Q12,17,1,5),1)),1,MATCH(P12,OFFSET('age-length key'!O$8,Data!Q12,17,1,5),1)+1)</f>
        <v>3</v>
      </c>
      <c r="S12">
        <f ca="1">IF(D12="Recapture",IF(OFFSET(B$1,MATCH(K12,K$2:K11,0),0)=B12,0,1),1)</f>
        <v>1</v>
      </c>
    </row>
    <row r="13" spans="1:23" x14ac:dyDescent="0.2">
      <c r="A13" s="10">
        <v>43977</v>
      </c>
      <c r="B13" s="28">
        <f t="shared" si="3"/>
        <v>20205</v>
      </c>
      <c r="C13">
        <f>A13-A$2</f>
        <v>1</v>
      </c>
      <c r="D13" s="11" t="s">
        <v>47</v>
      </c>
      <c r="E13" s="24" t="s">
        <v>49</v>
      </c>
      <c r="F13" s="13"/>
      <c r="G13" s="13"/>
      <c r="H13" s="3"/>
      <c r="I13" s="12">
        <v>6</v>
      </c>
      <c r="J13" s="11" t="s">
        <v>57</v>
      </c>
      <c r="K13" s="11" t="str">
        <f t="shared" si="2"/>
        <v>Pink6</v>
      </c>
      <c r="L13" s="12">
        <v>263</v>
      </c>
      <c r="M13" s="12" t="s">
        <v>82</v>
      </c>
      <c r="N13" s="12" t="s">
        <v>27</v>
      </c>
      <c r="O13" s="12"/>
      <c r="P13">
        <v>0.88787953410664555</v>
      </c>
      <c r="Q13">
        <f t="shared" si="1"/>
        <v>17</v>
      </c>
      <c r="R13">
        <f ca="1">IF(ISNA(MATCH(P13,OFFSET('age-length key'!O$8,Data!Q13,17,1,5),1)),1,MATCH(P13,OFFSET('age-length key'!O$8,Data!Q13,17,1,5),1)+1)</f>
        <v>3</v>
      </c>
      <c r="S13">
        <f ca="1">IF(D13="Recapture",IF(OFFSET(B$1,MATCH(K13,K$2:K12,0),0)=B13,0,1),1)</f>
        <v>1</v>
      </c>
    </row>
    <row r="14" spans="1:23" x14ac:dyDescent="0.2">
      <c r="A14" s="10">
        <v>43977</v>
      </c>
      <c r="B14" s="28">
        <f t="shared" si="3"/>
        <v>20205</v>
      </c>
      <c r="C14">
        <f>A14-A$2</f>
        <v>1</v>
      </c>
      <c r="D14" s="11" t="s">
        <v>47</v>
      </c>
      <c r="E14" s="24" t="s">
        <v>49</v>
      </c>
      <c r="F14" s="13"/>
      <c r="G14" s="13"/>
      <c r="H14" s="3"/>
      <c r="I14" s="12">
        <v>7</v>
      </c>
      <c r="J14" s="11" t="s">
        <v>57</v>
      </c>
      <c r="K14" s="11" t="str">
        <f t="shared" si="2"/>
        <v>Pink7</v>
      </c>
      <c r="L14" s="12">
        <v>250</v>
      </c>
      <c r="M14" s="12" t="s">
        <v>82</v>
      </c>
      <c r="N14" s="12" t="s">
        <v>27</v>
      </c>
      <c r="O14" s="12"/>
      <c r="P14">
        <v>0.5913297303911903</v>
      </c>
      <c r="Q14">
        <f t="shared" si="1"/>
        <v>16</v>
      </c>
      <c r="R14">
        <f ca="1">IF(ISNA(MATCH(P14,OFFSET('age-length key'!O$8,Data!Q14,17,1,5),1)),1,MATCH(P14,OFFSET('age-length key'!O$8,Data!Q14,17,1,5),1)+1)</f>
        <v>2</v>
      </c>
      <c r="S14">
        <f ca="1">IF(D14="Recapture",IF(OFFSET(B$1,MATCH(K14,K$2:K13,0),0)=B14,0,1),1)</f>
        <v>1</v>
      </c>
    </row>
    <row r="15" spans="1:23" x14ac:dyDescent="0.2">
      <c r="A15" s="10">
        <v>43977</v>
      </c>
      <c r="B15" s="28">
        <f t="shared" si="3"/>
        <v>20205</v>
      </c>
      <c r="C15">
        <f>A15-A$2</f>
        <v>1</v>
      </c>
      <c r="D15" s="11" t="s">
        <v>47</v>
      </c>
      <c r="E15" s="24" t="s">
        <v>49</v>
      </c>
      <c r="F15" s="13"/>
      <c r="G15" s="13"/>
      <c r="H15" s="3"/>
      <c r="I15" s="12">
        <v>8</v>
      </c>
      <c r="J15" s="11" t="s">
        <v>57</v>
      </c>
      <c r="K15" s="11" t="str">
        <f t="shared" si="2"/>
        <v>Pink8</v>
      </c>
      <c r="L15" s="12">
        <v>323</v>
      </c>
      <c r="M15" s="12" t="s">
        <v>82</v>
      </c>
      <c r="N15" s="12" t="s">
        <v>27</v>
      </c>
      <c r="O15" s="12"/>
      <c r="P15">
        <v>0.47877868473472945</v>
      </c>
      <c r="Q15">
        <f t="shared" si="1"/>
        <v>23</v>
      </c>
      <c r="R15">
        <f ca="1">IF(ISNA(MATCH(P15,OFFSET('age-length key'!O$8,Data!Q15,17,1,5),1)),1,MATCH(P15,OFFSET('age-length key'!O$8,Data!Q15,17,1,5),1)+1)</f>
        <v>3</v>
      </c>
      <c r="S15">
        <f ca="1">IF(D15="Recapture",IF(OFFSET(B$1,MATCH(K15,K$2:K14,0),0)=B15,0,1),1)</f>
        <v>1</v>
      </c>
    </row>
    <row r="16" spans="1:23" x14ac:dyDescent="0.2">
      <c r="A16" s="10">
        <v>43977</v>
      </c>
      <c r="B16" s="28">
        <f t="shared" si="3"/>
        <v>20205</v>
      </c>
      <c r="C16">
        <f>A16-A$2</f>
        <v>1</v>
      </c>
      <c r="D16" s="11" t="s">
        <v>47</v>
      </c>
      <c r="E16" s="24" t="s">
        <v>49</v>
      </c>
      <c r="F16" s="13"/>
      <c r="G16" s="13"/>
      <c r="H16" s="3"/>
      <c r="I16" s="12">
        <v>9</v>
      </c>
      <c r="J16" s="11" t="s">
        <v>57</v>
      </c>
      <c r="K16" s="11" t="str">
        <f t="shared" si="2"/>
        <v>Pink9</v>
      </c>
      <c r="L16" s="12">
        <v>270</v>
      </c>
      <c r="M16" s="12" t="s">
        <v>82</v>
      </c>
      <c r="N16" s="12" t="s">
        <v>27</v>
      </c>
      <c r="O16" s="12"/>
      <c r="P16">
        <v>0.83335433659765601</v>
      </c>
      <c r="Q16">
        <f t="shared" si="1"/>
        <v>18</v>
      </c>
      <c r="R16">
        <f ca="1">IF(ISNA(MATCH(P16,OFFSET('age-length key'!O$8,Data!Q16,17,1,5),1)),1,MATCH(P16,OFFSET('age-length key'!O$8,Data!Q16,17,1,5),1)+1)</f>
        <v>3</v>
      </c>
      <c r="S16">
        <f ca="1">IF(D16="Recapture",IF(OFFSET(B$1,MATCH(K16,K$2:K15,0),0)=B16,0,1),1)</f>
        <v>1</v>
      </c>
    </row>
    <row r="17" spans="1:19" x14ac:dyDescent="0.2">
      <c r="A17" s="10">
        <v>43977</v>
      </c>
      <c r="B17" s="28">
        <f t="shared" si="3"/>
        <v>20205</v>
      </c>
      <c r="C17">
        <f>A17-A$2</f>
        <v>1</v>
      </c>
      <c r="D17" s="11" t="s">
        <v>47</v>
      </c>
      <c r="E17" s="24" t="s">
        <v>49</v>
      </c>
      <c r="F17" s="13"/>
      <c r="G17" s="13"/>
      <c r="H17" s="3"/>
      <c r="I17" s="12">
        <v>10</v>
      </c>
      <c r="J17" s="11" t="s">
        <v>57</v>
      </c>
      <c r="K17" s="11" t="str">
        <f t="shared" si="2"/>
        <v>Pink10</v>
      </c>
      <c r="L17" s="12">
        <v>330</v>
      </c>
      <c r="M17" s="12" t="s">
        <v>82</v>
      </c>
      <c r="N17" s="12" t="s">
        <v>27</v>
      </c>
      <c r="O17" s="12"/>
      <c r="P17">
        <v>0.18633519680534266</v>
      </c>
      <c r="Q17">
        <f t="shared" si="1"/>
        <v>24</v>
      </c>
      <c r="R17">
        <f ca="1">IF(ISNA(MATCH(P17,OFFSET('age-length key'!O$8,Data!Q17,17,1,5),1)),1,MATCH(P17,OFFSET('age-length key'!O$8,Data!Q17,17,1,5),1)+1)</f>
        <v>3</v>
      </c>
      <c r="S17">
        <f ca="1">IF(D17="Recapture",IF(OFFSET(B$1,MATCH(K17,K$2:K16,0),0)=B17,0,1),1)</f>
        <v>1</v>
      </c>
    </row>
    <row r="18" spans="1:19" x14ac:dyDescent="0.2">
      <c r="A18" s="10">
        <v>43977</v>
      </c>
      <c r="B18" s="28">
        <f t="shared" si="3"/>
        <v>20205</v>
      </c>
      <c r="C18">
        <f>A18-A$2</f>
        <v>1</v>
      </c>
      <c r="D18" s="11" t="s">
        <v>47</v>
      </c>
      <c r="E18" s="24" t="s">
        <v>49</v>
      </c>
      <c r="F18" s="13"/>
      <c r="G18" s="13"/>
      <c r="H18" s="3"/>
      <c r="I18" s="12">
        <v>11</v>
      </c>
      <c r="J18" s="11" t="s">
        <v>57</v>
      </c>
      <c r="K18" s="11" t="str">
        <f t="shared" si="2"/>
        <v>Pink11</v>
      </c>
      <c r="L18" s="12">
        <v>270</v>
      </c>
      <c r="M18" s="12" t="s">
        <v>82</v>
      </c>
      <c r="N18" s="12" t="s">
        <v>27</v>
      </c>
      <c r="O18" s="12"/>
      <c r="P18">
        <v>0.73565270739405075</v>
      </c>
      <c r="Q18">
        <f t="shared" si="1"/>
        <v>18</v>
      </c>
      <c r="R18">
        <f ca="1">IF(ISNA(MATCH(P18,OFFSET('age-length key'!O$8,Data!Q18,17,1,5),1)),1,MATCH(P18,OFFSET('age-length key'!O$8,Data!Q18,17,1,5),1)+1)</f>
        <v>3</v>
      </c>
      <c r="S18">
        <f ca="1">IF(D18="Recapture",IF(OFFSET(B$1,MATCH(K18,K$2:K17,0),0)=B18,0,1),1)</f>
        <v>1</v>
      </c>
    </row>
    <row r="19" spans="1:19" x14ac:dyDescent="0.2">
      <c r="A19" s="10">
        <v>43977</v>
      </c>
      <c r="B19" s="28">
        <f t="shared" si="3"/>
        <v>20205</v>
      </c>
      <c r="C19">
        <f>A19-A$2</f>
        <v>1</v>
      </c>
      <c r="D19" s="11" t="s">
        <v>47</v>
      </c>
      <c r="E19" s="24" t="s">
        <v>49</v>
      </c>
      <c r="F19" s="13"/>
      <c r="G19" s="13"/>
      <c r="H19" s="3"/>
      <c r="I19" s="12">
        <v>12</v>
      </c>
      <c r="J19" s="11" t="s">
        <v>57</v>
      </c>
      <c r="K19" s="11" t="str">
        <f t="shared" si="2"/>
        <v>Pink12</v>
      </c>
      <c r="L19" s="12">
        <v>245</v>
      </c>
      <c r="M19" s="12" t="s">
        <v>82</v>
      </c>
      <c r="N19" s="12" t="s">
        <v>27</v>
      </c>
      <c r="O19" s="12"/>
      <c r="P19">
        <v>0.11505317181118446</v>
      </c>
      <c r="Q19">
        <f t="shared" si="1"/>
        <v>16</v>
      </c>
      <c r="R19">
        <f ca="1">IF(ISNA(MATCH(P19,OFFSET('age-length key'!O$8,Data!Q19,17,1,5),1)),1,MATCH(P19,OFFSET('age-length key'!O$8,Data!Q19,17,1,5),1)+1)</f>
        <v>2</v>
      </c>
      <c r="S19">
        <f ca="1">IF(D19="Recapture",IF(OFFSET(B$1,MATCH(K19,K$2:K18,0),0)=B19,0,1),1)</f>
        <v>1</v>
      </c>
    </row>
    <row r="20" spans="1:19" x14ac:dyDescent="0.2">
      <c r="A20" s="10">
        <v>43977</v>
      </c>
      <c r="B20" s="28">
        <f t="shared" si="3"/>
        <v>20205</v>
      </c>
      <c r="C20">
        <f>A20-A$2</f>
        <v>1</v>
      </c>
      <c r="D20" s="11" t="s">
        <v>47</v>
      </c>
      <c r="E20" s="24" t="s">
        <v>49</v>
      </c>
      <c r="F20" s="13"/>
      <c r="G20" s="13"/>
      <c r="H20" s="3"/>
      <c r="I20" s="12">
        <v>13</v>
      </c>
      <c r="J20" s="11" t="s">
        <v>57</v>
      </c>
      <c r="K20" s="11" t="str">
        <f t="shared" si="2"/>
        <v>Pink13</v>
      </c>
      <c r="L20" s="12">
        <v>244</v>
      </c>
      <c r="M20" s="12" t="s">
        <v>82</v>
      </c>
      <c r="N20" s="12" t="s">
        <v>27</v>
      </c>
      <c r="O20" s="12"/>
      <c r="P20">
        <v>0.35560411138255338</v>
      </c>
      <c r="Q20">
        <f t="shared" si="1"/>
        <v>15</v>
      </c>
      <c r="R20">
        <f ca="1">IF(ISNA(MATCH(P20,OFFSET('age-length key'!O$8,Data!Q20,17,1,5),1)),1,MATCH(P20,OFFSET('age-length key'!O$8,Data!Q20,17,1,5),1)+1)</f>
        <v>2</v>
      </c>
      <c r="S20">
        <f ca="1">IF(D20="Recapture",IF(OFFSET(B$1,MATCH(K20,K$2:K19,0),0)=B20,0,1),1)</f>
        <v>1</v>
      </c>
    </row>
    <row r="21" spans="1:19" x14ac:dyDescent="0.2">
      <c r="A21" s="10">
        <v>43977</v>
      </c>
      <c r="B21" s="28">
        <f t="shared" si="3"/>
        <v>20205</v>
      </c>
      <c r="C21">
        <f>A21-A$2</f>
        <v>1</v>
      </c>
      <c r="D21" s="11" t="s">
        <v>47</v>
      </c>
      <c r="E21" s="24" t="s">
        <v>49</v>
      </c>
      <c r="F21" s="13"/>
      <c r="G21" s="13"/>
      <c r="H21" s="3"/>
      <c r="I21" s="12">
        <v>14</v>
      </c>
      <c r="J21" s="11" t="s">
        <v>57</v>
      </c>
      <c r="K21" s="11" t="str">
        <f t="shared" si="2"/>
        <v>Pink14</v>
      </c>
      <c r="L21" s="12">
        <v>242</v>
      </c>
      <c r="M21" s="12" t="s">
        <v>82</v>
      </c>
      <c r="N21" s="12" t="s">
        <v>27</v>
      </c>
      <c r="O21" s="12"/>
      <c r="P21">
        <v>0.63830000657509078</v>
      </c>
      <c r="Q21">
        <f t="shared" si="1"/>
        <v>15</v>
      </c>
      <c r="R21">
        <f ca="1">IF(ISNA(MATCH(P21,OFFSET('age-length key'!O$8,Data!Q21,17,1,5),1)),1,MATCH(P21,OFFSET('age-length key'!O$8,Data!Q21,17,1,5),1)+1)</f>
        <v>2</v>
      </c>
      <c r="S21">
        <f ca="1">IF(D21="Recapture",IF(OFFSET(B$1,MATCH(K21,K$2:K20,0),0)=B21,0,1),1)</f>
        <v>1</v>
      </c>
    </row>
    <row r="22" spans="1:19" x14ac:dyDescent="0.2">
      <c r="A22" s="15">
        <v>43978</v>
      </c>
      <c r="B22" s="28">
        <f t="shared" si="3"/>
        <v>20205</v>
      </c>
      <c r="C22">
        <f>A22-A$2</f>
        <v>2</v>
      </c>
      <c r="D22" s="5" t="s">
        <v>25</v>
      </c>
      <c r="E22" s="25" t="s">
        <v>49</v>
      </c>
      <c r="F22" s="13"/>
      <c r="G22" s="13"/>
      <c r="H22" s="3"/>
      <c r="I22" s="5" t="s">
        <v>25</v>
      </c>
      <c r="L22" s="12">
        <v>247</v>
      </c>
      <c r="M22" s="1"/>
      <c r="N22" t="s">
        <v>26</v>
      </c>
      <c r="P22">
        <v>0.90821050755130617</v>
      </c>
      <c r="Q22">
        <f t="shared" si="1"/>
        <v>16</v>
      </c>
      <c r="R22">
        <f ca="1">IF(ISNA(MATCH(P22,OFFSET('age-length key'!O$8,Data!Q22,17,1,5),1)),1,MATCH(P22,OFFSET('age-length key'!O$8,Data!Q22,17,1,5),1)+1)</f>
        <v>3</v>
      </c>
      <c r="S22">
        <f ca="1">IF(D22="Recapture",IF(OFFSET(B$1,MATCH(K22,K$2:K21,0),0)=B22,0,1),1)</f>
        <v>1</v>
      </c>
    </row>
    <row r="23" spans="1:19" x14ac:dyDescent="0.2">
      <c r="A23" s="15">
        <v>43978</v>
      </c>
      <c r="B23" s="28">
        <f t="shared" si="3"/>
        <v>20205</v>
      </c>
      <c r="C23">
        <f>A23-A$2</f>
        <v>2</v>
      </c>
      <c r="D23" s="5" t="s">
        <v>25</v>
      </c>
      <c r="E23" s="25" t="s">
        <v>49</v>
      </c>
      <c r="F23" s="13"/>
      <c r="G23" s="13"/>
      <c r="H23" s="3"/>
      <c r="I23" s="5" t="s">
        <v>25</v>
      </c>
      <c r="L23" s="12">
        <v>222</v>
      </c>
      <c r="M23" s="1"/>
      <c r="N23" t="s">
        <v>26</v>
      </c>
      <c r="P23">
        <v>0.29400041480269301</v>
      </c>
      <c r="Q23">
        <f t="shared" si="1"/>
        <v>13</v>
      </c>
      <c r="R23">
        <f ca="1">IF(ISNA(MATCH(P23,OFFSET('age-length key'!O$8,Data!Q23,17,1,5),1)),1,MATCH(P23,OFFSET('age-length key'!O$8,Data!Q23,17,1,5),1)+1)</f>
        <v>2</v>
      </c>
      <c r="S23">
        <f ca="1">IF(D23="Recapture",IF(OFFSET(B$1,MATCH(K23,K$2:K22,0),0)=B23,0,1),1)</f>
        <v>1</v>
      </c>
    </row>
    <row r="24" spans="1:19" x14ac:dyDescent="0.2">
      <c r="A24" s="15">
        <v>43978</v>
      </c>
      <c r="B24" s="28">
        <f t="shared" si="3"/>
        <v>20205</v>
      </c>
      <c r="C24">
        <f>A24-A$2</f>
        <v>2</v>
      </c>
      <c r="D24" s="5" t="s">
        <v>25</v>
      </c>
      <c r="E24" s="25" t="s">
        <v>49</v>
      </c>
      <c r="F24" s="13"/>
      <c r="G24" s="13"/>
      <c r="H24" s="3"/>
      <c r="I24" s="5" t="s">
        <v>25</v>
      </c>
      <c r="L24" s="12">
        <v>252</v>
      </c>
      <c r="M24" s="1"/>
      <c r="N24" t="s">
        <v>26</v>
      </c>
      <c r="P24">
        <v>0.26497158886164968</v>
      </c>
      <c r="Q24">
        <f t="shared" si="1"/>
        <v>16</v>
      </c>
      <c r="R24">
        <f ca="1">IF(ISNA(MATCH(P24,OFFSET('age-length key'!O$8,Data!Q24,17,1,5),1)),1,MATCH(P24,OFFSET('age-length key'!O$8,Data!Q24,17,1,5),1)+1)</f>
        <v>2</v>
      </c>
      <c r="S24">
        <f ca="1">IF(D24="Recapture",IF(OFFSET(B$1,MATCH(K24,K$2:K23,0),0)=B24,0,1),1)</f>
        <v>1</v>
      </c>
    </row>
    <row r="25" spans="1:19" x14ac:dyDescent="0.2">
      <c r="A25" s="15">
        <v>43978</v>
      </c>
      <c r="B25" s="28">
        <f t="shared" si="3"/>
        <v>20205</v>
      </c>
      <c r="C25">
        <f>A25-A$2</f>
        <v>2</v>
      </c>
      <c r="D25" s="5" t="s">
        <v>25</v>
      </c>
      <c r="E25" s="25" t="s">
        <v>49</v>
      </c>
      <c r="F25" s="13"/>
      <c r="G25" s="13"/>
      <c r="H25" s="3"/>
      <c r="I25" s="5" t="s">
        <v>25</v>
      </c>
      <c r="L25" s="12">
        <v>232</v>
      </c>
      <c r="M25" s="1"/>
      <c r="N25" t="s">
        <v>26</v>
      </c>
      <c r="P25">
        <v>0.37749399774591158</v>
      </c>
      <c r="Q25">
        <f t="shared" si="1"/>
        <v>14</v>
      </c>
      <c r="R25">
        <f ca="1">IF(ISNA(MATCH(P25,OFFSET('age-length key'!O$8,Data!Q25,17,1,5),1)),1,MATCH(P25,OFFSET('age-length key'!O$8,Data!Q25,17,1,5),1)+1)</f>
        <v>2</v>
      </c>
      <c r="S25">
        <f ca="1">IF(D25="Recapture",IF(OFFSET(B$1,MATCH(K25,K$2:K24,0),0)=B25,0,1),1)</f>
        <v>1</v>
      </c>
    </row>
    <row r="26" spans="1:19" x14ac:dyDescent="0.2">
      <c r="A26" s="15">
        <v>43978</v>
      </c>
      <c r="B26" s="28">
        <f t="shared" si="3"/>
        <v>20205</v>
      </c>
      <c r="C26">
        <f>A26-A$2</f>
        <v>2</v>
      </c>
      <c r="D26" s="5" t="s">
        <v>25</v>
      </c>
      <c r="E26" s="25" t="s">
        <v>49</v>
      </c>
      <c r="F26" s="13"/>
      <c r="G26" s="13"/>
      <c r="H26" s="3"/>
      <c r="I26" s="5" t="s">
        <v>25</v>
      </c>
      <c r="L26" s="12">
        <v>236</v>
      </c>
      <c r="M26" s="1"/>
      <c r="N26" t="s">
        <v>26</v>
      </c>
      <c r="P26">
        <v>0.54162011553608813</v>
      </c>
      <c r="Q26">
        <f t="shared" si="1"/>
        <v>15</v>
      </c>
      <c r="R26">
        <f ca="1">IF(ISNA(MATCH(P26,OFFSET('age-length key'!O$8,Data!Q26,17,1,5),1)),1,MATCH(P26,OFFSET('age-length key'!O$8,Data!Q26,17,1,5),1)+1)</f>
        <v>2</v>
      </c>
      <c r="S26">
        <f ca="1">IF(D26="Recapture",IF(OFFSET(B$1,MATCH(K26,K$2:K25,0),0)=B26,0,1),1)</f>
        <v>1</v>
      </c>
    </row>
    <row r="27" spans="1:19" x14ac:dyDescent="0.2">
      <c r="A27" s="15">
        <v>43978</v>
      </c>
      <c r="B27" s="28">
        <f t="shared" si="3"/>
        <v>20205</v>
      </c>
      <c r="C27">
        <f>A27-A$2</f>
        <v>2</v>
      </c>
      <c r="D27" s="5" t="s">
        <v>25</v>
      </c>
      <c r="E27" s="25" t="s">
        <v>49</v>
      </c>
      <c r="F27" s="13"/>
      <c r="G27" s="13"/>
      <c r="H27" s="3"/>
      <c r="I27" s="5" t="s">
        <v>25</v>
      </c>
      <c r="L27" s="12">
        <v>220</v>
      </c>
      <c r="M27" s="1"/>
      <c r="N27" t="s">
        <v>26</v>
      </c>
      <c r="P27">
        <v>9.2818150340029104E-3</v>
      </c>
      <c r="Q27">
        <f t="shared" si="1"/>
        <v>13</v>
      </c>
      <c r="R27">
        <f ca="1">IF(ISNA(MATCH(P27,OFFSET('age-length key'!O$8,Data!Q27,17,1,5),1)),1,MATCH(P27,OFFSET('age-length key'!O$8,Data!Q27,17,1,5),1)+1)</f>
        <v>2</v>
      </c>
      <c r="S27">
        <f ca="1">IF(D27="Recapture",IF(OFFSET(B$1,MATCH(K27,K$2:K26,0),0)=B27,0,1),1)</f>
        <v>1</v>
      </c>
    </row>
    <row r="28" spans="1:19" x14ac:dyDescent="0.2">
      <c r="A28" s="15">
        <v>43978</v>
      </c>
      <c r="B28" s="28">
        <f t="shared" si="3"/>
        <v>20205</v>
      </c>
      <c r="C28">
        <f>A28-A$2</f>
        <v>2</v>
      </c>
      <c r="D28" s="5" t="s">
        <v>25</v>
      </c>
      <c r="E28" s="25" t="s">
        <v>49</v>
      </c>
      <c r="F28" s="13"/>
      <c r="G28" s="13"/>
      <c r="H28" s="3"/>
      <c r="I28" s="5" t="s">
        <v>25</v>
      </c>
      <c r="L28" s="12">
        <v>260</v>
      </c>
      <c r="M28" s="1"/>
      <c r="N28" t="s">
        <v>26</v>
      </c>
      <c r="P28">
        <v>0.99946527648692263</v>
      </c>
      <c r="Q28">
        <f t="shared" si="1"/>
        <v>17</v>
      </c>
      <c r="R28">
        <f ca="1">IF(ISNA(MATCH(P28,OFFSET('age-length key'!O$8,Data!Q28,17,1,5),1)),1,MATCH(P28,OFFSET('age-length key'!O$8,Data!Q28,17,1,5),1)+1)</f>
        <v>4</v>
      </c>
      <c r="S28">
        <f ca="1">IF(D28="Recapture",IF(OFFSET(B$1,MATCH(K28,K$2:K27,0),0)=B28,0,1),1)</f>
        <v>1</v>
      </c>
    </row>
    <row r="29" spans="1:19" x14ac:dyDescent="0.2">
      <c r="A29" s="15">
        <v>43978</v>
      </c>
      <c r="B29" s="28">
        <f t="shared" si="3"/>
        <v>20205</v>
      </c>
      <c r="C29">
        <f>A29-A$2</f>
        <v>2</v>
      </c>
      <c r="D29" s="5" t="s">
        <v>25</v>
      </c>
      <c r="E29" s="25" t="s">
        <v>49</v>
      </c>
      <c r="F29" s="13"/>
      <c r="G29" s="13"/>
      <c r="H29" s="3"/>
      <c r="I29" s="5" t="s">
        <v>25</v>
      </c>
      <c r="L29" s="12">
        <v>262</v>
      </c>
      <c r="M29" s="1"/>
      <c r="N29" t="s">
        <v>26</v>
      </c>
      <c r="P29">
        <v>1.2901915708976759E-2</v>
      </c>
      <c r="Q29">
        <f t="shared" si="1"/>
        <v>17</v>
      </c>
      <c r="R29">
        <f ca="1">IF(ISNA(MATCH(P29,OFFSET('age-length key'!O$8,Data!Q29,17,1,5),1)),1,MATCH(P29,OFFSET('age-length key'!O$8,Data!Q29,17,1,5),1)+1)</f>
        <v>2</v>
      </c>
      <c r="S29">
        <f ca="1">IF(D29="Recapture",IF(OFFSET(B$1,MATCH(K29,K$2:K28,0),0)=B29,0,1),1)</f>
        <v>1</v>
      </c>
    </row>
    <row r="30" spans="1:19" x14ac:dyDescent="0.2">
      <c r="A30" s="15">
        <v>43978</v>
      </c>
      <c r="B30" s="28">
        <f t="shared" si="3"/>
        <v>20205</v>
      </c>
      <c r="C30">
        <f>A30-A$2</f>
        <v>2</v>
      </c>
      <c r="D30" s="5" t="s">
        <v>25</v>
      </c>
      <c r="E30" s="25" t="s">
        <v>49</v>
      </c>
      <c r="F30" s="13"/>
      <c r="G30" s="13"/>
      <c r="H30" s="3"/>
      <c r="I30" s="5" t="s">
        <v>25</v>
      </c>
      <c r="L30" s="12">
        <v>236</v>
      </c>
      <c r="M30" s="1"/>
      <c r="N30" t="s">
        <v>26</v>
      </c>
      <c r="P30">
        <v>0.84249732077238026</v>
      </c>
      <c r="Q30">
        <f t="shared" si="1"/>
        <v>15</v>
      </c>
      <c r="R30">
        <f ca="1">IF(ISNA(MATCH(P30,OFFSET('age-length key'!O$8,Data!Q30,17,1,5),1)),1,MATCH(P30,OFFSET('age-length key'!O$8,Data!Q30,17,1,5),1)+1)</f>
        <v>3</v>
      </c>
      <c r="S30">
        <f ca="1">IF(D30="Recapture",IF(OFFSET(B$1,MATCH(K30,K$2:K29,0),0)=B30,0,1),1)</f>
        <v>1</v>
      </c>
    </row>
    <row r="31" spans="1:19" x14ac:dyDescent="0.2">
      <c r="A31" s="15">
        <v>43978</v>
      </c>
      <c r="B31" s="28">
        <f t="shared" si="3"/>
        <v>20205</v>
      </c>
      <c r="C31">
        <f>A31-A$2</f>
        <v>2</v>
      </c>
      <c r="D31" s="5" t="s">
        <v>25</v>
      </c>
      <c r="E31" s="25" t="s">
        <v>49</v>
      </c>
      <c r="F31" s="13"/>
      <c r="G31" s="13"/>
      <c r="H31" s="3"/>
      <c r="I31" s="5" t="s">
        <v>25</v>
      </c>
      <c r="L31" s="12">
        <v>222</v>
      </c>
      <c r="M31" s="1"/>
      <c r="N31" t="s">
        <v>26</v>
      </c>
      <c r="P31">
        <v>0.85247022139489192</v>
      </c>
      <c r="Q31">
        <f t="shared" si="1"/>
        <v>13</v>
      </c>
      <c r="R31">
        <f ca="1">IF(ISNA(MATCH(P31,OFFSET('age-length key'!O$8,Data!Q31,17,1,5),1)),1,MATCH(P31,OFFSET('age-length key'!O$8,Data!Q31,17,1,5),1)+1)</f>
        <v>2</v>
      </c>
      <c r="S31">
        <f ca="1">IF(D31="Recapture",IF(OFFSET(B$1,MATCH(K31,K$2:K30,0),0)=B31,0,1),1)</f>
        <v>1</v>
      </c>
    </row>
    <row r="32" spans="1:19" x14ac:dyDescent="0.2">
      <c r="A32" s="15">
        <v>43978</v>
      </c>
      <c r="B32" s="28">
        <f t="shared" si="3"/>
        <v>20205</v>
      </c>
      <c r="C32">
        <f>A32-A$2</f>
        <v>2</v>
      </c>
      <c r="D32" s="5" t="s">
        <v>25</v>
      </c>
      <c r="E32" s="25" t="s">
        <v>49</v>
      </c>
      <c r="F32" s="13"/>
      <c r="G32" s="13"/>
      <c r="H32" s="3"/>
      <c r="I32" s="5" t="s">
        <v>25</v>
      </c>
      <c r="L32" s="12">
        <v>250</v>
      </c>
      <c r="M32" s="1"/>
      <c r="N32" t="s">
        <v>26</v>
      </c>
      <c r="P32">
        <v>0.46701098394906659</v>
      </c>
      <c r="Q32">
        <f t="shared" si="1"/>
        <v>16</v>
      </c>
      <c r="R32">
        <f ca="1">IF(ISNA(MATCH(P32,OFFSET('age-length key'!O$8,Data!Q32,17,1,5),1)),1,MATCH(P32,OFFSET('age-length key'!O$8,Data!Q32,17,1,5),1)+1)</f>
        <v>2</v>
      </c>
      <c r="S32">
        <f ca="1">IF(D32="Recapture",IF(OFFSET(B$1,MATCH(K32,K$2:K31,0),0)=B32,0,1),1)</f>
        <v>1</v>
      </c>
    </row>
    <row r="33" spans="1:19" x14ac:dyDescent="0.2">
      <c r="A33" s="15">
        <v>43978</v>
      </c>
      <c r="B33" s="28">
        <f t="shared" si="3"/>
        <v>20205</v>
      </c>
      <c r="C33">
        <f>A33-A$2</f>
        <v>2</v>
      </c>
      <c r="D33" s="5" t="s">
        <v>25</v>
      </c>
      <c r="E33" s="25" t="s">
        <v>49</v>
      </c>
      <c r="F33" s="13"/>
      <c r="G33" s="13"/>
      <c r="H33" s="3"/>
      <c r="I33" s="5" t="s">
        <v>25</v>
      </c>
      <c r="L33" s="12">
        <v>257</v>
      </c>
      <c r="M33" s="1"/>
      <c r="N33" t="s">
        <v>26</v>
      </c>
      <c r="P33">
        <v>5.3607231962311652E-2</v>
      </c>
      <c r="Q33">
        <f t="shared" si="1"/>
        <v>17</v>
      </c>
      <c r="R33">
        <f ca="1">IF(ISNA(MATCH(P33,OFFSET('age-length key'!O$8,Data!Q33,17,1,5),1)),1,MATCH(P33,OFFSET('age-length key'!O$8,Data!Q33,17,1,5),1)+1)</f>
        <v>2</v>
      </c>
      <c r="S33">
        <f ca="1">IF(D33="Recapture",IF(OFFSET(B$1,MATCH(K33,K$2:K32,0),0)=B33,0,1),1)</f>
        <v>1</v>
      </c>
    </row>
    <row r="34" spans="1:19" x14ac:dyDescent="0.2">
      <c r="A34" s="15">
        <v>43978</v>
      </c>
      <c r="B34" s="28">
        <f t="shared" si="3"/>
        <v>20205</v>
      </c>
      <c r="C34">
        <f>A34-A$2</f>
        <v>2</v>
      </c>
      <c r="D34" s="5" t="s">
        <v>25</v>
      </c>
      <c r="E34" s="25" t="s">
        <v>49</v>
      </c>
      <c r="F34" s="13"/>
      <c r="G34" s="13"/>
      <c r="H34" s="3"/>
      <c r="I34" s="5" t="s">
        <v>25</v>
      </c>
      <c r="L34" s="12">
        <v>250</v>
      </c>
      <c r="M34" s="1"/>
      <c r="N34" t="s">
        <v>26</v>
      </c>
      <c r="P34">
        <v>0.97674759057199001</v>
      </c>
      <c r="Q34">
        <f t="shared" si="1"/>
        <v>16</v>
      </c>
      <c r="R34">
        <f ca="1">IF(ISNA(MATCH(P34,OFFSET('age-length key'!O$8,Data!Q34,17,1,5),1)),1,MATCH(P34,OFFSET('age-length key'!O$8,Data!Q34,17,1,5),1)+1)</f>
        <v>3</v>
      </c>
      <c r="S34">
        <f ca="1">IF(D34="Recapture",IF(OFFSET(B$1,MATCH(K34,K$2:K33,0),0)=B34,0,1),1)</f>
        <v>1</v>
      </c>
    </row>
    <row r="35" spans="1:19" x14ac:dyDescent="0.2">
      <c r="A35" s="10">
        <v>43978</v>
      </c>
      <c r="B35" s="28">
        <f t="shared" si="3"/>
        <v>20205</v>
      </c>
      <c r="C35">
        <f>A35-A$2</f>
        <v>2</v>
      </c>
      <c r="D35" s="11" t="s">
        <v>47</v>
      </c>
      <c r="E35" s="24" t="s">
        <v>49</v>
      </c>
      <c r="F35" s="13"/>
      <c r="G35" s="13"/>
      <c r="H35" s="3"/>
      <c r="I35" s="12">
        <v>15</v>
      </c>
      <c r="J35" s="11" t="s">
        <v>57</v>
      </c>
      <c r="K35" s="11" t="str">
        <f t="shared" ref="K35:K41" si="4">_xlfn.CONCAT(J35,I35)</f>
        <v>Pink15</v>
      </c>
      <c r="L35" s="12">
        <v>335</v>
      </c>
      <c r="M35" s="12" t="s">
        <v>82</v>
      </c>
      <c r="N35" s="12" t="s">
        <v>27</v>
      </c>
      <c r="O35" s="12"/>
      <c r="P35">
        <v>0.19675474343670288</v>
      </c>
      <c r="Q35">
        <f t="shared" si="1"/>
        <v>25</v>
      </c>
      <c r="R35">
        <f ca="1">IF(ISNA(MATCH(P35,OFFSET('age-length key'!O$8,Data!Q35,17,1,5),1)),1,MATCH(P35,OFFSET('age-length key'!O$8,Data!Q35,17,1,5),1)+1)</f>
        <v>3</v>
      </c>
      <c r="S35">
        <f ca="1">IF(D35="Recapture",IF(OFFSET(B$1,MATCH(K35,K$2:K34,0),0)=B35,0,1),1)</f>
        <v>1</v>
      </c>
    </row>
    <row r="36" spans="1:19" x14ac:dyDescent="0.2">
      <c r="A36" s="10">
        <v>43978</v>
      </c>
      <c r="B36" s="28">
        <f t="shared" si="3"/>
        <v>20205</v>
      </c>
      <c r="C36">
        <f>A36-A$2</f>
        <v>2</v>
      </c>
      <c r="D36" s="11" t="s">
        <v>47</v>
      </c>
      <c r="E36" s="24" t="s">
        <v>49</v>
      </c>
      <c r="F36" s="13"/>
      <c r="G36" s="13"/>
      <c r="H36" s="3"/>
      <c r="I36" s="12">
        <v>16</v>
      </c>
      <c r="J36" s="11" t="s">
        <v>57</v>
      </c>
      <c r="K36" s="11" t="str">
        <f t="shared" si="4"/>
        <v>Pink16</v>
      </c>
      <c r="L36" s="12">
        <v>339</v>
      </c>
      <c r="M36" s="12" t="s">
        <v>82</v>
      </c>
      <c r="N36" s="12" t="s">
        <v>27</v>
      </c>
      <c r="O36" s="12"/>
      <c r="P36">
        <v>0.85697294066519147</v>
      </c>
      <c r="Q36">
        <f t="shared" si="1"/>
        <v>25</v>
      </c>
      <c r="R36">
        <f ca="1">IF(ISNA(MATCH(P36,OFFSET('age-length key'!O$8,Data!Q36,17,1,5),1)),1,MATCH(P36,OFFSET('age-length key'!O$8,Data!Q36,17,1,5),1)+1)</f>
        <v>4</v>
      </c>
      <c r="S36">
        <f ca="1">IF(D36="Recapture",IF(OFFSET(B$1,MATCH(K36,K$2:K35,0),0)=B36,0,1),1)</f>
        <v>1</v>
      </c>
    </row>
    <row r="37" spans="1:19" x14ac:dyDescent="0.2">
      <c r="A37" s="10">
        <v>43978</v>
      </c>
      <c r="B37" s="28">
        <f t="shared" si="3"/>
        <v>20205</v>
      </c>
      <c r="C37">
        <f>A37-A$2</f>
        <v>2</v>
      </c>
      <c r="D37" s="11" t="s">
        <v>47</v>
      </c>
      <c r="E37" s="24" t="s">
        <v>49</v>
      </c>
      <c r="F37" s="13"/>
      <c r="G37" s="13"/>
      <c r="H37" s="3"/>
      <c r="I37" s="12">
        <v>17</v>
      </c>
      <c r="J37" s="11" t="s">
        <v>57</v>
      </c>
      <c r="K37" s="11" t="str">
        <f t="shared" si="4"/>
        <v>Pink17</v>
      </c>
      <c r="L37" s="12">
        <v>332</v>
      </c>
      <c r="M37" s="12" t="s">
        <v>82</v>
      </c>
      <c r="N37" s="12" t="s">
        <v>27</v>
      </c>
      <c r="O37" s="12"/>
      <c r="P37">
        <v>0.1442137598731619</v>
      </c>
      <c r="Q37">
        <f t="shared" si="1"/>
        <v>24</v>
      </c>
      <c r="R37">
        <f ca="1">IF(ISNA(MATCH(P37,OFFSET('age-length key'!O$8,Data!Q37,17,1,5),1)),1,MATCH(P37,OFFSET('age-length key'!O$8,Data!Q37,17,1,5),1)+1)</f>
        <v>3</v>
      </c>
      <c r="S37">
        <f ca="1">IF(D37="Recapture",IF(OFFSET(B$1,MATCH(K37,K$2:K36,0),0)=B37,0,1),1)</f>
        <v>1</v>
      </c>
    </row>
    <row r="38" spans="1:19" x14ac:dyDescent="0.2">
      <c r="A38" s="10">
        <v>43978</v>
      </c>
      <c r="B38" s="28">
        <f t="shared" si="3"/>
        <v>20205</v>
      </c>
      <c r="C38">
        <f>A38-A$2</f>
        <v>2</v>
      </c>
      <c r="D38" s="11" t="s">
        <v>47</v>
      </c>
      <c r="E38" s="24" t="s">
        <v>49</v>
      </c>
      <c r="F38" s="13"/>
      <c r="G38" s="13"/>
      <c r="H38" s="3"/>
      <c r="I38" s="12">
        <v>18</v>
      </c>
      <c r="J38" s="11" t="s">
        <v>57</v>
      </c>
      <c r="K38" s="11" t="str">
        <f t="shared" si="4"/>
        <v>Pink18</v>
      </c>
      <c r="L38" s="12">
        <v>265</v>
      </c>
      <c r="M38" s="12" t="s">
        <v>82</v>
      </c>
      <c r="N38" s="12" t="s">
        <v>27</v>
      </c>
      <c r="O38" s="12"/>
      <c r="P38">
        <v>0.80066218823225344</v>
      </c>
      <c r="Q38">
        <f t="shared" si="1"/>
        <v>18</v>
      </c>
      <c r="R38">
        <f ca="1">IF(ISNA(MATCH(P38,OFFSET('age-length key'!O$8,Data!Q38,17,1,5),1)),1,MATCH(P38,OFFSET('age-length key'!O$8,Data!Q38,17,1,5),1)+1)</f>
        <v>3</v>
      </c>
      <c r="S38">
        <f ca="1">IF(D38="Recapture",IF(OFFSET(B$1,MATCH(K38,K$2:K37,0),0)=B38,0,1),1)</f>
        <v>1</v>
      </c>
    </row>
    <row r="39" spans="1:19" x14ac:dyDescent="0.2">
      <c r="A39" s="10">
        <v>43978</v>
      </c>
      <c r="B39" s="28">
        <f t="shared" si="3"/>
        <v>20205</v>
      </c>
      <c r="C39">
        <f>A39-A$2</f>
        <v>2</v>
      </c>
      <c r="D39" s="11" t="s">
        <v>47</v>
      </c>
      <c r="E39" s="24" t="s">
        <v>49</v>
      </c>
      <c r="F39" s="13"/>
      <c r="G39" s="13"/>
      <c r="H39" s="3"/>
      <c r="I39" s="12">
        <v>19</v>
      </c>
      <c r="J39" s="11" t="s">
        <v>57</v>
      </c>
      <c r="K39" s="11" t="str">
        <f t="shared" si="4"/>
        <v>Pink19</v>
      </c>
      <c r="L39" s="12">
        <v>269</v>
      </c>
      <c r="M39" s="12" t="s">
        <v>82</v>
      </c>
      <c r="N39" s="12" t="s">
        <v>27</v>
      </c>
      <c r="O39" s="12"/>
      <c r="P39">
        <v>0.72939761948278059</v>
      </c>
      <c r="Q39">
        <f t="shared" si="1"/>
        <v>18</v>
      </c>
      <c r="R39">
        <f ca="1">IF(ISNA(MATCH(P39,OFFSET('age-length key'!O$8,Data!Q39,17,1,5),1)),1,MATCH(P39,OFFSET('age-length key'!O$8,Data!Q39,17,1,5),1)+1)</f>
        <v>3</v>
      </c>
      <c r="S39">
        <f ca="1">IF(D39="Recapture",IF(OFFSET(B$1,MATCH(K39,K$2:K38,0),0)=B39,0,1),1)</f>
        <v>1</v>
      </c>
    </row>
    <row r="40" spans="1:19" x14ac:dyDescent="0.2">
      <c r="A40" s="10">
        <v>43978</v>
      </c>
      <c r="B40" s="28">
        <f t="shared" si="3"/>
        <v>20205</v>
      </c>
      <c r="C40">
        <f>A40-A$2</f>
        <v>2</v>
      </c>
      <c r="D40" s="11" t="s">
        <v>47</v>
      </c>
      <c r="E40" s="24" t="s">
        <v>49</v>
      </c>
      <c r="F40" s="13"/>
      <c r="G40" s="13"/>
      <c r="H40" s="3"/>
      <c r="I40" s="12">
        <v>20</v>
      </c>
      <c r="J40" s="11" t="s">
        <v>57</v>
      </c>
      <c r="K40" s="11" t="str">
        <f t="shared" si="4"/>
        <v>Pink20</v>
      </c>
      <c r="L40" s="12">
        <v>256</v>
      </c>
      <c r="M40" s="12" t="s">
        <v>82</v>
      </c>
      <c r="N40" s="12" t="s">
        <v>27</v>
      </c>
      <c r="O40" s="12"/>
      <c r="P40">
        <v>0.98579064709404052</v>
      </c>
      <c r="Q40">
        <f t="shared" si="1"/>
        <v>17</v>
      </c>
      <c r="R40">
        <f ca="1">IF(ISNA(MATCH(P40,OFFSET('age-length key'!O$8,Data!Q40,17,1,5),1)),1,MATCH(P40,OFFSET('age-length key'!O$8,Data!Q40,17,1,5),1)+1)</f>
        <v>3</v>
      </c>
      <c r="S40">
        <f ca="1">IF(D40="Recapture",IF(OFFSET(B$1,MATCH(K40,K$2:K39,0),0)=B40,0,1),1)</f>
        <v>1</v>
      </c>
    </row>
    <row r="41" spans="1:19" x14ac:dyDescent="0.2">
      <c r="A41" s="10">
        <v>43978</v>
      </c>
      <c r="B41" s="28">
        <f t="shared" si="3"/>
        <v>20205</v>
      </c>
      <c r="C41">
        <f>A41-A$2</f>
        <v>2</v>
      </c>
      <c r="D41" s="11" t="s">
        <v>47</v>
      </c>
      <c r="E41" s="24" t="s">
        <v>49</v>
      </c>
      <c r="F41" s="13"/>
      <c r="G41" s="13"/>
      <c r="H41" s="3"/>
      <c r="I41" s="12">
        <v>21</v>
      </c>
      <c r="J41" s="11" t="s">
        <v>57</v>
      </c>
      <c r="K41" s="11" t="str">
        <f t="shared" si="4"/>
        <v>Pink21</v>
      </c>
      <c r="L41" s="12">
        <v>342</v>
      </c>
      <c r="M41" s="12" t="s">
        <v>82</v>
      </c>
      <c r="N41" s="12" t="s">
        <v>27</v>
      </c>
      <c r="O41" s="12"/>
      <c r="P41">
        <v>0.18340570953833205</v>
      </c>
      <c r="Q41">
        <f t="shared" si="1"/>
        <v>25</v>
      </c>
      <c r="R41">
        <f ca="1">IF(ISNA(MATCH(P41,OFFSET('age-length key'!O$8,Data!Q41,17,1,5),1)),1,MATCH(P41,OFFSET('age-length key'!O$8,Data!Q41,17,1,5),1)+1)</f>
        <v>3</v>
      </c>
      <c r="S41">
        <f ca="1">IF(D41="Recapture",IF(OFFSET(B$1,MATCH(K41,K$2:K40,0),0)=B41,0,1),1)</f>
        <v>1</v>
      </c>
    </row>
    <row r="42" spans="1:19" x14ac:dyDescent="0.2">
      <c r="A42" s="15">
        <v>43983</v>
      </c>
      <c r="B42" s="28">
        <f t="shared" si="3"/>
        <v>20206</v>
      </c>
      <c r="C42">
        <f>A42-A$2</f>
        <v>7</v>
      </c>
      <c r="D42" s="5" t="s">
        <v>25</v>
      </c>
      <c r="E42" s="25" t="s">
        <v>49</v>
      </c>
      <c r="F42" s="13"/>
      <c r="G42" s="13"/>
      <c r="H42" s="3"/>
      <c r="I42" s="5" t="s">
        <v>25</v>
      </c>
      <c r="L42" s="12">
        <v>264</v>
      </c>
      <c r="M42" s="1"/>
      <c r="N42" t="s">
        <v>26</v>
      </c>
      <c r="P42">
        <v>0.49976021074678761</v>
      </c>
      <c r="Q42">
        <f t="shared" si="1"/>
        <v>17</v>
      </c>
      <c r="R42">
        <f ca="1">IF(ISNA(MATCH(P42,OFFSET('age-length key'!O$8,Data!Q42,17,1,5),1)),1,MATCH(P42,OFFSET('age-length key'!O$8,Data!Q42,17,1,5),1)+1)</f>
        <v>3</v>
      </c>
      <c r="S42">
        <f ca="1">IF(D42="Recapture",IF(OFFSET(B$1,MATCH(K42,K$2:K41,0),0)=B42,0,1),1)</f>
        <v>1</v>
      </c>
    </row>
    <row r="43" spans="1:19" x14ac:dyDescent="0.2">
      <c r="A43" s="15">
        <v>43983</v>
      </c>
      <c r="B43" s="28">
        <f t="shared" si="3"/>
        <v>20206</v>
      </c>
      <c r="C43">
        <f>A43-A$2</f>
        <v>7</v>
      </c>
      <c r="D43" s="5" t="s">
        <v>25</v>
      </c>
      <c r="E43" s="25" t="s">
        <v>49</v>
      </c>
      <c r="F43" s="13"/>
      <c r="G43" s="13"/>
      <c r="H43" s="3"/>
      <c r="I43" s="5" t="s">
        <v>25</v>
      </c>
      <c r="L43" s="12">
        <v>270</v>
      </c>
      <c r="M43" s="1"/>
      <c r="N43" t="s">
        <v>26</v>
      </c>
      <c r="P43">
        <v>0.46986202125896792</v>
      </c>
      <c r="Q43">
        <f t="shared" si="1"/>
        <v>18</v>
      </c>
      <c r="R43">
        <f ca="1">IF(ISNA(MATCH(P43,OFFSET('age-length key'!O$8,Data!Q43,17,1,5),1)),1,MATCH(P43,OFFSET('age-length key'!O$8,Data!Q43,17,1,5),1)+1)</f>
        <v>3</v>
      </c>
      <c r="S43">
        <f ca="1">IF(D43="Recapture",IF(OFFSET(B$1,MATCH(K43,K$2:K42,0),0)=B43,0,1),1)</f>
        <v>1</v>
      </c>
    </row>
    <row r="44" spans="1:19" x14ac:dyDescent="0.2">
      <c r="A44" s="15">
        <v>43983</v>
      </c>
      <c r="B44" s="28">
        <f t="shared" si="3"/>
        <v>20206</v>
      </c>
      <c r="C44">
        <f>A44-A$2</f>
        <v>7</v>
      </c>
      <c r="D44" s="5" t="s">
        <v>25</v>
      </c>
      <c r="E44" s="25" t="s">
        <v>49</v>
      </c>
      <c r="F44" s="13"/>
      <c r="G44" s="13"/>
      <c r="H44" s="3"/>
      <c r="I44" s="5" t="s">
        <v>25</v>
      </c>
      <c r="L44" s="12">
        <v>250</v>
      </c>
      <c r="M44" s="1"/>
      <c r="N44" t="s">
        <v>26</v>
      </c>
      <c r="P44">
        <v>0.9709912994741422</v>
      </c>
      <c r="Q44">
        <f t="shared" si="1"/>
        <v>16</v>
      </c>
      <c r="R44">
        <f ca="1">IF(ISNA(MATCH(P44,OFFSET('age-length key'!O$8,Data!Q44,17,1,5),1)),1,MATCH(P44,OFFSET('age-length key'!O$8,Data!Q44,17,1,5),1)+1)</f>
        <v>3</v>
      </c>
      <c r="S44">
        <f ca="1">IF(D44="Recapture",IF(OFFSET(B$1,MATCH(K44,K$2:K43,0),0)=B44,0,1),1)</f>
        <v>1</v>
      </c>
    </row>
    <row r="45" spans="1:19" x14ac:dyDescent="0.2">
      <c r="A45" s="10">
        <v>43983</v>
      </c>
      <c r="B45" s="28">
        <f t="shared" si="3"/>
        <v>20206</v>
      </c>
      <c r="C45">
        <f>A45-A$2</f>
        <v>7</v>
      </c>
      <c r="D45" s="11" t="s">
        <v>47</v>
      </c>
      <c r="E45" s="24" t="s">
        <v>49</v>
      </c>
      <c r="F45" s="13"/>
      <c r="G45" s="13"/>
      <c r="H45" s="3"/>
      <c r="I45" s="12">
        <v>22</v>
      </c>
      <c r="J45" s="11" t="s">
        <v>57</v>
      </c>
      <c r="K45" s="11" t="str">
        <f t="shared" ref="K45:K52" si="5">_xlfn.CONCAT(J45,I45)</f>
        <v>Pink22</v>
      </c>
      <c r="L45" s="12">
        <v>317</v>
      </c>
      <c r="M45" s="12" t="s">
        <v>82</v>
      </c>
      <c r="N45" s="12" t="s">
        <v>27</v>
      </c>
      <c r="O45" s="12"/>
      <c r="P45">
        <v>0.4507702619073774</v>
      </c>
      <c r="Q45">
        <f t="shared" si="1"/>
        <v>23</v>
      </c>
      <c r="R45">
        <f ca="1">IF(ISNA(MATCH(P45,OFFSET('age-length key'!O$8,Data!Q45,17,1,5),1)),1,MATCH(P45,OFFSET('age-length key'!O$8,Data!Q45,17,1,5),1)+1)</f>
        <v>3</v>
      </c>
      <c r="S45">
        <f ca="1">IF(D45="Recapture",IF(OFFSET(B$1,MATCH(K45,K$2:K44,0),0)=B45,0,1),1)</f>
        <v>1</v>
      </c>
    </row>
    <row r="46" spans="1:19" x14ac:dyDescent="0.2">
      <c r="A46" s="10">
        <v>43983</v>
      </c>
      <c r="B46" s="28">
        <f t="shared" si="3"/>
        <v>20206</v>
      </c>
      <c r="C46">
        <f>A46-A$2</f>
        <v>7</v>
      </c>
      <c r="D46" s="11" t="s">
        <v>47</v>
      </c>
      <c r="E46" s="24" t="s">
        <v>49</v>
      </c>
      <c r="F46" s="13"/>
      <c r="G46" s="13"/>
      <c r="H46" s="3"/>
      <c r="I46" s="12">
        <v>23</v>
      </c>
      <c r="J46" s="11" t="s">
        <v>57</v>
      </c>
      <c r="K46" s="11" t="str">
        <f t="shared" si="5"/>
        <v>Pink23</v>
      </c>
      <c r="L46" s="12">
        <v>412</v>
      </c>
      <c r="M46" s="12" t="s">
        <v>82</v>
      </c>
      <c r="N46" s="12" t="s">
        <v>27</v>
      </c>
      <c r="O46" s="12"/>
      <c r="P46">
        <v>9.57918772919997E-2</v>
      </c>
      <c r="Q46">
        <f t="shared" si="1"/>
        <v>32</v>
      </c>
      <c r="R46">
        <f ca="1">IF(ISNA(MATCH(P46,OFFSET('age-length key'!O$8,Data!Q46,17,1,5),1)),1,MATCH(P46,OFFSET('age-length key'!O$8,Data!Q46,17,1,5),1)+1)</f>
        <v>4</v>
      </c>
      <c r="S46">
        <f ca="1">IF(D46="Recapture",IF(OFFSET(B$1,MATCH(K46,K$2:K45,0),0)=B46,0,1),1)</f>
        <v>1</v>
      </c>
    </row>
    <row r="47" spans="1:19" x14ac:dyDescent="0.2">
      <c r="A47" s="14">
        <v>43983</v>
      </c>
      <c r="B47" s="28">
        <f t="shared" si="3"/>
        <v>20206</v>
      </c>
      <c r="C47">
        <f>A47-A$2</f>
        <v>7</v>
      </c>
      <c r="D47" s="11" t="s">
        <v>47</v>
      </c>
      <c r="E47" s="24" t="s">
        <v>49</v>
      </c>
      <c r="F47" s="13"/>
      <c r="G47" s="13"/>
      <c r="H47" s="3"/>
      <c r="I47" s="12">
        <v>24</v>
      </c>
      <c r="J47" s="11" t="s">
        <v>57</v>
      </c>
      <c r="K47" s="11" t="str">
        <f t="shared" si="5"/>
        <v>Pink24</v>
      </c>
      <c r="L47" s="16">
        <v>320</v>
      </c>
      <c r="M47" s="16" t="s">
        <v>82</v>
      </c>
      <c r="N47" s="12" t="s">
        <v>27</v>
      </c>
      <c r="O47" s="12"/>
      <c r="P47">
        <v>0.97408164663896046</v>
      </c>
      <c r="Q47">
        <f t="shared" si="1"/>
        <v>23</v>
      </c>
      <c r="R47">
        <f ca="1">IF(ISNA(MATCH(P47,OFFSET('age-length key'!O$8,Data!Q47,17,1,5),1)),1,MATCH(P47,OFFSET('age-length key'!O$8,Data!Q47,17,1,5),1)+1)</f>
        <v>4</v>
      </c>
      <c r="S47">
        <f ca="1">IF(D47="Recapture",IF(OFFSET(B$1,MATCH(K47,K$2:K46,0),0)=B47,0,1),1)</f>
        <v>1</v>
      </c>
    </row>
    <row r="48" spans="1:19" x14ac:dyDescent="0.2">
      <c r="A48" s="10">
        <v>43983</v>
      </c>
      <c r="B48" s="28">
        <f t="shared" si="3"/>
        <v>20206</v>
      </c>
      <c r="C48">
        <f>A48-A$2</f>
        <v>7</v>
      </c>
      <c r="D48" s="11" t="s">
        <v>47</v>
      </c>
      <c r="E48" s="24" t="s">
        <v>49</v>
      </c>
      <c r="F48" s="13"/>
      <c r="G48" s="13"/>
      <c r="H48" s="3"/>
      <c r="I48" s="12">
        <v>25</v>
      </c>
      <c r="J48" s="11" t="s">
        <v>57</v>
      </c>
      <c r="K48" s="11" t="str">
        <f t="shared" si="5"/>
        <v>Pink25</v>
      </c>
      <c r="L48" s="12">
        <v>425</v>
      </c>
      <c r="M48" s="12" t="s">
        <v>82</v>
      </c>
      <c r="N48" s="12" t="s">
        <v>27</v>
      </c>
      <c r="O48" s="12"/>
      <c r="P48">
        <v>0.39023506100766131</v>
      </c>
      <c r="Q48">
        <f t="shared" si="1"/>
        <v>34</v>
      </c>
      <c r="R48">
        <f ca="1">IF(ISNA(MATCH(P48,OFFSET('age-length key'!O$8,Data!Q48,17,1,5),1)),1,MATCH(P48,OFFSET('age-length key'!O$8,Data!Q48,17,1,5),1)+1)</f>
        <v>4</v>
      </c>
      <c r="S48">
        <f ca="1">IF(D48="Recapture",IF(OFFSET(B$1,MATCH(K48,K$2:K47,0),0)=B48,0,1),1)</f>
        <v>1</v>
      </c>
    </row>
    <row r="49" spans="1:19" x14ac:dyDescent="0.2">
      <c r="A49" s="10">
        <v>43983</v>
      </c>
      <c r="B49" s="28">
        <f t="shared" si="3"/>
        <v>20206</v>
      </c>
      <c r="C49">
        <f>A49-A$2</f>
        <v>7</v>
      </c>
      <c r="D49" s="11" t="s">
        <v>47</v>
      </c>
      <c r="E49" s="24" t="s">
        <v>49</v>
      </c>
      <c r="F49" s="13"/>
      <c r="G49" s="13"/>
      <c r="H49" s="3"/>
      <c r="I49" s="12">
        <v>26</v>
      </c>
      <c r="J49" s="11" t="s">
        <v>57</v>
      </c>
      <c r="K49" s="11" t="str">
        <f t="shared" si="5"/>
        <v>Pink26</v>
      </c>
      <c r="L49" s="12">
        <v>318</v>
      </c>
      <c r="M49" s="12" t="s">
        <v>82</v>
      </c>
      <c r="N49" s="12" t="s">
        <v>27</v>
      </c>
      <c r="O49" s="12"/>
      <c r="P49">
        <v>0.68067035576359847</v>
      </c>
      <c r="Q49">
        <f t="shared" si="1"/>
        <v>23</v>
      </c>
      <c r="R49">
        <f ca="1">IF(ISNA(MATCH(P49,OFFSET('age-length key'!O$8,Data!Q49,17,1,5),1)),1,MATCH(P49,OFFSET('age-length key'!O$8,Data!Q49,17,1,5),1)+1)</f>
        <v>3</v>
      </c>
      <c r="S49">
        <f ca="1">IF(D49="Recapture",IF(OFFSET(B$1,MATCH(K49,K$2:K48,0),0)=B49,0,1),1)</f>
        <v>1</v>
      </c>
    </row>
    <row r="50" spans="1:19" x14ac:dyDescent="0.2">
      <c r="A50" s="10">
        <v>43983</v>
      </c>
      <c r="B50" s="28">
        <f t="shared" si="3"/>
        <v>20206</v>
      </c>
      <c r="C50">
        <f>A50-A$2</f>
        <v>7</v>
      </c>
      <c r="D50" s="11" t="s">
        <v>47</v>
      </c>
      <c r="E50" s="24" t="s">
        <v>49</v>
      </c>
      <c r="F50" s="13"/>
      <c r="G50" s="13"/>
      <c r="H50" s="3"/>
      <c r="I50" s="12">
        <v>27</v>
      </c>
      <c r="J50" s="11" t="s">
        <v>57</v>
      </c>
      <c r="K50" s="11" t="str">
        <f t="shared" si="5"/>
        <v>Pink27</v>
      </c>
      <c r="L50" s="12">
        <v>315</v>
      </c>
      <c r="M50" s="12" t="s">
        <v>82</v>
      </c>
      <c r="N50" s="12" t="s">
        <v>27</v>
      </c>
      <c r="O50" s="12"/>
      <c r="P50">
        <v>2.666931880017245E-2</v>
      </c>
      <c r="Q50">
        <f t="shared" si="1"/>
        <v>23</v>
      </c>
      <c r="R50">
        <f ca="1">IF(ISNA(MATCH(P50,OFFSET('age-length key'!O$8,Data!Q50,17,1,5),1)),1,MATCH(P50,OFFSET('age-length key'!O$8,Data!Q50,17,1,5),1)+1)</f>
        <v>3</v>
      </c>
      <c r="S50">
        <f ca="1">IF(D50="Recapture",IF(OFFSET(B$1,MATCH(K50,K$2:K49,0),0)=B50,0,1),1)</f>
        <v>1</v>
      </c>
    </row>
    <row r="51" spans="1:19" x14ac:dyDescent="0.2">
      <c r="A51" s="10">
        <v>43983</v>
      </c>
      <c r="B51" s="28">
        <f t="shared" si="3"/>
        <v>20206</v>
      </c>
      <c r="C51">
        <f>A51-A$2</f>
        <v>7</v>
      </c>
      <c r="D51" s="11" t="s">
        <v>47</v>
      </c>
      <c r="E51" s="24" t="s">
        <v>49</v>
      </c>
      <c r="F51" s="13"/>
      <c r="G51" s="13"/>
      <c r="H51" s="3"/>
      <c r="I51" s="12">
        <v>28</v>
      </c>
      <c r="J51" s="11" t="s">
        <v>57</v>
      </c>
      <c r="K51" s="11" t="str">
        <f t="shared" si="5"/>
        <v>Pink28</v>
      </c>
      <c r="L51" s="12">
        <v>305</v>
      </c>
      <c r="M51" s="12" t="s">
        <v>82</v>
      </c>
      <c r="N51" s="12" t="s">
        <v>27</v>
      </c>
      <c r="O51" s="12"/>
      <c r="P51">
        <v>0.2312410744983894</v>
      </c>
      <c r="Q51">
        <f t="shared" si="1"/>
        <v>22</v>
      </c>
      <c r="R51">
        <f ca="1">IF(ISNA(MATCH(P51,OFFSET('age-length key'!O$8,Data!Q51,17,1,5),1)),1,MATCH(P51,OFFSET('age-length key'!O$8,Data!Q51,17,1,5),1)+1)</f>
        <v>3</v>
      </c>
      <c r="S51">
        <f ca="1">IF(D51="Recapture",IF(OFFSET(B$1,MATCH(K51,K$2:K50,0),0)=B51,0,1),1)</f>
        <v>1</v>
      </c>
    </row>
    <row r="52" spans="1:19" x14ac:dyDescent="0.2">
      <c r="A52" s="10">
        <v>43983</v>
      </c>
      <c r="B52" s="28">
        <f t="shared" si="3"/>
        <v>20206</v>
      </c>
      <c r="C52">
        <f>A52-A$2</f>
        <v>7</v>
      </c>
      <c r="D52" s="11" t="s">
        <v>47</v>
      </c>
      <c r="E52" s="24" t="s">
        <v>49</v>
      </c>
      <c r="F52" s="13"/>
      <c r="G52" s="13"/>
      <c r="H52" s="3"/>
      <c r="I52" s="12">
        <v>29</v>
      </c>
      <c r="J52" s="11" t="s">
        <v>57</v>
      </c>
      <c r="K52" s="11" t="str">
        <f t="shared" si="5"/>
        <v>Pink29</v>
      </c>
      <c r="L52" s="12">
        <v>310</v>
      </c>
      <c r="M52" s="12" t="s">
        <v>82</v>
      </c>
      <c r="N52" s="12" t="s">
        <v>27</v>
      </c>
      <c r="O52" s="12"/>
      <c r="P52">
        <v>0.46873909443092493</v>
      </c>
      <c r="Q52">
        <f t="shared" si="1"/>
        <v>22</v>
      </c>
      <c r="R52">
        <f ca="1">IF(ISNA(MATCH(P52,OFFSET('age-length key'!O$8,Data!Q52,17,1,5),1)),1,MATCH(P52,OFFSET('age-length key'!O$8,Data!Q52,17,1,5),1)+1)</f>
        <v>3</v>
      </c>
      <c r="S52">
        <f ca="1">IF(D52="Recapture",IF(OFFSET(B$1,MATCH(K52,K$2:K51,0),0)=B52,0,1),1)</f>
        <v>1</v>
      </c>
    </row>
    <row r="53" spans="1:19" x14ac:dyDescent="0.2">
      <c r="A53" s="15">
        <v>43984</v>
      </c>
      <c r="B53" s="28">
        <f t="shared" si="3"/>
        <v>20206</v>
      </c>
      <c r="C53">
        <f>A53-A$2</f>
        <v>8</v>
      </c>
      <c r="D53" s="5" t="s">
        <v>25</v>
      </c>
      <c r="E53" s="25" t="s">
        <v>49</v>
      </c>
      <c r="F53" s="13"/>
      <c r="G53" s="13"/>
      <c r="H53" s="3"/>
      <c r="I53" s="5" t="s">
        <v>25</v>
      </c>
      <c r="L53" s="12">
        <v>292</v>
      </c>
      <c r="M53" s="1"/>
      <c r="N53" t="s">
        <v>26</v>
      </c>
      <c r="P53">
        <v>9.7960100554842555E-2</v>
      </c>
      <c r="Q53">
        <f t="shared" si="1"/>
        <v>20</v>
      </c>
      <c r="R53">
        <f ca="1">IF(ISNA(MATCH(P53,OFFSET('age-length key'!O$8,Data!Q53,17,1,5),1)),1,MATCH(P53,OFFSET('age-length key'!O$8,Data!Q53,17,1,5),1)+1)</f>
        <v>3</v>
      </c>
      <c r="S53">
        <f ca="1">IF(D53="Recapture",IF(OFFSET(B$1,MATCH(K53,K$2:K52,0),0)=B53,0,1),1)</f>
        <v>1</v>
      </c>
    </row>
    <row r="54" spans="1:19" x14ac:dyDescent="0.2">
      <c r="A54" s="15">
        <v>43984</v>
      </c>
      <c r="B54" s="28">
        <f t="shared" si="3"/>
        <v>20206</v>
      </c>
      <c r="C54">
        <f>A54-A$2</f>
        <v>8</v>
      </c>
      <c r="D54" s="5" t="s">
        <v>25</v>
      </c>
      <c r="E54" s="25" t="s">
        <v>49</v>
      </c>
      <c r="F54" s="13"/>
      <c r="G54" s="13"/>
      <c r="H54" s="3"/>
      <c r="I54" s="5" t="s">
        <v>25</v>
      </c>
      <c r="L54" s="12">
        <v>249</v>
      </c>
      <c r="M54" s="1"/>
      <c r="N54" t="s">
        <v>26</v>
      </c>
      <c r="P54">
        <v>0.41541002523871606</v>
      </c>
      <c r="Q54">
        <f t="shared" si="1"/>
        <v>16</v>
      </c>
      <c r="R54">
        <f ca="1">IF(ISNA(MATCH(P54,OFFSET('age-length key'!O$8,Data!Q54,17,1,5),1)),1,MATCH(P54,OFFSET('age-length key'!O$8,Data!Q54,17,1,5),1)+1)</f>
        <v>2</v>
      </c>
      <c r="S54">
        <f ca="1">IF(D54="Recapture",IF(OFFSET(B$1,MATCH(K54,K$2:K53,0),0)=B54,0,1),1)</f>
        <v>1</v>
      </c>
    </row>
    <row r="55" spans="1:19" x14ac:dyDescent="0.2">
      <c r="A55" s="10">
        <v>43984</v>
      </c>
      <c r="B55" s="28">
        <f t="shared" si="3"/>
        <v>20206</v>
      </c>
      <c r="C55">
        <f>A55-A$2</f>
        <v>8</v>
      </c>
      <c r="D55" s="11" t="s">
        <v>47</v>
      </c>
      <c r="E55" s="24" t="s">
        <v>49</v>
      </c>
      <c r="F55" s="13"/>
      <c r="G55" s="13"/>
      <c r="H55" s="3"/>
      <c r="I55" s="12">
        <v>30</v>
      </c>
      <c r="J55" s="11" t="s">
        <v>57</v>
      </c>
      <c r="K55" s="11" t="str">
        <f>_xlfn.CONCAT(J55,I55)</f>
        <v>Pink30</v>
      </c>
      <c r="L55" s="12">
        <v>310</v>
      </c>
      <c r="M55" s="12" t="s">
        <v>82</v>
      </c>
      <c r="N55" s="12" t="s">
        <v>27</v>
      </c>
      <c r="O55" s="12"/>
      <c r="P55">
        <v>0.79629418710074118</v>
      </c>
      <c r="Q55">
        <f t="shared" si="1"/>
        <v>22</v>
      </c>
      <c r="R55">
        <f ca="1">IF(ISNA(MATCH(P55,OFFSET('age-length key'!O$8,Data!Q55,17,1,5),1)),1,MATCH(P55,OFFSET('age-length key'!O$8,Data!Q55,17,1,5),1)+1)</f>
        <v>3</v>
      </c>
      <c r="S55">
        <f ca="1">IF(D55="Recapture",IF(OFFSET(B$1,MATCH(K55,K$2:K54,0),0)=B55,0,1),1)</f>
        <v>1</v>
      </c>
    </row>
    <row r="56" spans="1:19" x14ac:dyDescent="0.2">
      <c r="A56" s="15">
        <v>43990</v>
      </c>
      <c r="B56" s="28">
        <f t="shared" si="3"/>
        <v>20206</v>
      </c>
      <c r="C56">
        <f>A56-A$2</f>
        <v>14</v>
      </c>
      <c r="D56" s="5" t="s">
        <v>25</v>
      </c>
      <c r="E56" s="25" t="s">
        <v>49</v>
      </c>
      <c r="F56" s="13"/>
      <c r="G56" s="13"/>
      <c r="H56" s="3"/>
      <c r="I56" s="5" t="s">
        <v>25</v>
      </c>
      <c r="L56" s="12">
        <v>303</v>
      </c>
      <c r="M56" s="1"/>
      <c r="N56" t="s">
        <v>26</v>
      </c>
      <c r="P56">
        <v>0.31640260215681165</v>
      </c>
      <c r="Q56">
        <f t="shared" si="1"/>
        <v>21</v>
      </c>
      <c r="R56">
        <f ca="1">IF(ISNA(MATCH(P56,OFFSET('age-length key'!O$8,Data!Q56,17,1,5),1)),1,MATCH(P56,OFFSET('age-length key'!O$8,Data!Q56,17,1,5),1)+1)</f>
        <v>3</v>
      </c>
      <c r="S56">
        <f ca="1">IF(D56="Recapture",IF(OFFSET(B$1,MATCH(K56,K$2:K55,0),0)=B56,0,1),1)</f>
        <v>1</v>
      </c>
    </row>
    <row r="57" spans="1:19" x14ac:dyDescent="0.2">
      <c r="A57" s="15">
        <v>43990</v>
      </c>
      <c r="B57" s="28">
        <f t="shared" si="3"/>
        <v>20206</v>
      </c>
      <c r="C57">
        <f>A57-A$2</f>
        <v>14</v>
      </c>
      <c r="D57" s="5" t="s">
        <v>25</v>
      </c>
      <c r="E57" s="25" t="s">
        <v>49</v>
      </c>
      <c r="F57" s="13"/>
      <c r="G57" s="13"/>
      <c r="H57" s="3"/>
      <c r="I57" s="5" t="s">
        <v>25</v>
      </c>
      <c r="L57" s="12">
        <v>323</v>
      </c>
      <c r="M57" s="1"/>
      <c r="N57" t="s">
        <v>26</v>
      </c>
      <c r="P57">
        <v>0.77853444953380824</v>
      </c>
      <c r="Q57">
        <f t="shared" si="1"/>
        <v>23</v>
      </c>
      <c r="R57">
        <f ca="1">IF(ISNA(MATCH(P57,OFFSET('age-length key'!O$8,Data!Q57,17,1,5),1)),1,MATCH(P57,OFFSET('age-length key'!O$8,Data!Q57,17,1,5),1)+1)</f>
        <v>3</v>
      </c>
      <c r="S57">
        <f ca="1">IF(D57="Recapture",IF(OFFSET(B$1,MATCH(K57,K$2:K56,0),0)=B57,0,1),1)</f>
        <v>1</v>
      </c>
    </row>
    <row r="58" spans="1:19" x14ac:dyDescent="0.2">
      <c r="A58" s="1">
        <v>43990</v>
      </c>
      <c r="B58" s="28">
        <f t="shared" si="3"/>
        <v>20206</v>
      </c>
      <c r="C58">
        <f>A58-A$2</f>
        <v>14</v>
      </c>
      <c r="D58" s="5" t="s">
        <v>47</v>
      </c>
      <c r="E58" s="25" t="s">
        <v>49</v>
      </c>
      <c r="H58" s="3"/>
      <c r="I58" s="5">
        <v>44</v>
      </c>
      <c r="J58" s="5" t="s">
        <v>56</v>
      </c>
      <c r="K58" s="11" t="str">
        <f t="shared" ref="K58:K61" si="6">_xlfn.CONCAT(J58,I58)</f>
        <v>Green44</v>
      </c>
      <c r="L58" s="5">
        <v>240</v>
      </c>
      <c r="N58" t="s">
        <v>27</v>
      </c>
      <c r="P58">
        <v>0.82849331471533205</v>
      </c>
      <c r="Q58">
        <f t="shared" si="1"/>
        <v>15</v>
      </c>
      <c r="R58">
        <f ca="1">IF(ISNA(MATCH(P58,OFFSET('age-length key'!O$8,Data!Q58,17,1,5),1)),1,MATCH(P58,OFFSET('age-length key'!O$8,Data!Q58,17,1,5),1)+1)</f>
        <v>3</v>
      </c>
      <c r="S58">
        <f ca="1">IF(D58="Recapture",IF(OFFSET(B$1,MATCH(K58,K$2:K57,0),0)=B58,0,1),1)</f>
        <v>1</v>
      </c>
    </row>
    <row r="59" spans="1:19" x14ac:dyDescent="0.2">
      <c r="A59" s="1">
        <v>43990</v>
      </c>
      <c r="B59" s="28">
        <f t="shared" si="3"/>
        <v>20206</v>
      </c>
      <c r="C59">
        <f>A59-A$2</f>
        <v>14</v>
      </c>
      <c r="D59" s="5" t="s">
        <v>47</v>
      </c>
      <c r="E59" s="25" t="s">
        <v>49</v>
      </c>
      <c r="H59" s="3"/>
      <c r="I59" s="5">
        <v>45</v>
      </c>
      <c r="J59" s="5" t="s">
        <v>56</v>
      </c>
      <c r="K59" s="11" t="str">
        <f t="shared" si="6"/>
        <v>Green45</v>
      </c>
      <c r="L59" s="5">
        <v>242</v>
      </c>
      <c r="N59" t="s">
        <v>27</v>
      </c>
      <c r="P59">
        <v>0.48714042058547047</v>
      </c>
      <c r="Q59">
        <f t="shared" si="1"/>
        <v>15</v>
      </c>
      <c r="R59">
        <f ca="1">IF(ISNA(MATCH(P59,OFFSET('age-length key'!O$8,Data!Q59,17,1,5),1)),1,MATCH(P59,OFFSET('age-length key'!O$8,Data!Q59,17,1,5),1)+1)</f>
        <v>2</v>
      </c>
      <c r="S59">
        <f ca="1">IF(D59="Recapture",IF(OFFSET(B$1,MATCH(K59,K$2:K58,0),0)=B59,0,1),1)</f>
        <v>1</v>
      </c>
    </row>
    <row r="60" spans="1:19" x14ac:dyDescent="0.2">
      <c r="A60" s="1">
        <v>43990</v>
      </c>
      <c r="B60" s="28">
        <f t="shared" si="3"/>
        <v>20206</v>
      </c>
      <c r="C60">
        <f>A60-A$2</f>
        <v>14</v>
      </c>
      <c r="D60" s="5" t="s">
        <v>47</v>
      </c>
      <c r="E60" s="25" t="s">
        <v>49</v>
      </c>
      <c r="H60" s="3"/>
      <c r="I60" s="5">
        <v>46</v>
      </c>
      <c r="J60" s="5" t="s">
        <v>56</v>
      </c>
      <c r="K60" s="11" t="str">
        <f t="shared" si="6"/>
        <v>Green46</v>
      </c>
      <c r="L60" s="5">
        <v>250</v>
      </c>
      <c r="N60" t="s">
        <v>27</v>
      </c>
      <c r="P60">
        <v>0.36904878000218833</v>
      </c>
      <c r="Q60">
        <f t="shared" si="1"/>
        <v>16</v>
      </c>
      <c r="R60">
        <f ca="1">IF(ISNA(MATCH(P60,OFFSET('age-length key'!O$8,Data!Q60,17,1,5),1)),1,MATCH(P60,OFFSET('age-length key'!O$8,Data!Q60,17,1,5),1)+1)</f>
        <v>2</v>
      </c>
      <c r="S60">
        <f ca="1">IF(D60="Recapture",IF(OFFSET(B$1,MATCH(K60,K$2:K59,0),0)=B60,0,1),1)</f>
        <v>1</v>
      </c>
    </row>
    <row r="61" spans="1:19" x14ac:dyDescent="0.2">
      <c r="A61" s="1">
        <v>43990</v>
      </c>
      <c r="B61" s="28">
        <f t="shared" si="3"/>
        <v>20206</v>
      </c>
      <c r="C61">
        <f>A61-A$2</f>
        <v>14</v>
      </c>
      <c r="D61" s="5" t="s">
        <v>47</v>
      </c>
      <c r="E61" s="25" t="s">
        <v>49</v>
      </c>
      <c r="H61" s="3"/>
      <c r="I61" s="5">
        <v>47</v>
      </c>
      <c r="J61" s="5" t="s">
        <v>56</v>
      </c>
      <c r="K61" s="11" t="str">
        <f t="shared" si="6"/>
        <v>Green47</v>
      </c>
      <c r="L61" s="5">
        <v>236</v>
      </c>
      <c r="N61" t="s">
        <v>27</v>
      </c>
      <c r="P61">
        <v>0.60284549677877008</v>
      </c>
      <c r="Q61">
        <f t="shared" si="1"/>
        <v>15</v>
      </c>
      <c r="R61">
        <f ca="1">IF(ISNA(MATCH(P61,OFFSET('age-length key'!O$8,Data!Q61,17,1,5),1)),1,MATCH(P61,OFFSET('age-length key'!O$8,Data!Q61,17,1,5),1)+1)</f>
        <v>2</v>
      </c>
      <c r="S61">
        <f ca="1">IF(D61="Recapture",IF(OFFSET(B$1,MATCH(K61,K$2:K60,0),0)=B61,0,1),1)</f>
        <v>1</v>
      </c>
    </row>
    <row r="62" spans="1:19" x14ac:dyDescent="0.2">
      <c r="A62" s="10">
        <v>43993</v>
      </c>
      <c r="B62" s="28">
        <f t="shared" si="3"/>
        <v>20206</v>
      </c>
      <c r="C62">
        <f>A62-A$2</f>
        <v>17</v>
      </c>
      <c r="D62" s="11" t="s">
        <v>58</v>
      </c>
      <c r="E62" s="24" t="s">
        <v>49</v>
      </c>
      <c r="F62" s="13"/>
      <c r="G62" s="13"/>
      <c r="H62" s="3"/>
      <c r="I62" s="12">
        <v>9</v>
      </c>
      <c r="J62" s="11" t="s">
        <v>57</v>
      </c>
      <c r="K62" s="11" t="str">
        <f>_xlfn.CONCAT(J62,I62)</f>
        <v>Pink9</v>
      </c>
      <c r="L62" s="26">
        <f ca="1">OFFSET(K$1,MATCH(K62,K$2:K61,0),1)</f>
        <v>270</v>
      </c>
      <c r="M62" s="12"/>
      <c r="N62" s="12" t="s">
        <v>27</v>
      </c>
      <c r="O62" s="12"/>
      <c r="P62">
        <v>2.4264360789332706E-2</v>
      </c>
      <c r="Q62">
        <f t="shared" ca="1" si="1"/>
        <v>18</v>
      </c>
      <c r="R62" s="26">
        <f ca="1">OFFSET(Q$1,MATCH(K62,K$2:K61,0),1)</f>
        <v>3</v>
      </c>
      <c r="S62">
        <f ca="1">IF(D62="Recapture",IF(OFFSET(B$1,MATCH(K62,K$2:K61,0),0)=B62,0,1),1)</f>
        <v>1</v>
      </c>
    </row>
    <row r="63" spans="1:19" x14ac:dyDescent="0.2">
      <c r="A63" s="1">
        <v>43993</v>
      </c>
      <c r="B63" s="28">
        <f t="shared" si="3"/>
        <v>20206</v>
      </c>
      <c r="C63">
        <f>A63-A$2</f>
        <v>17</v>
      </c>
      <c r="D63" s="5" t="s">
        <v>58</v>
      </c>
      <c r="E63" s="22" t="s">
        <v>49</v>
      </c>
      <c r="H63" s="3"/>
      <c r="I63">
        <v>10</v>
      </c>
      <c r="J63" s="8" t="s">
        <v>57</v>
      </c>
      <c r="K63" s="11" t="str">
        <f t="shared" ref="K63:K64" si="7">_xlfn.CONCAT(J63,I63)</f>
        <v>Pink10</v>
      </c>
      <c r="L63" s="26">
        <f ca="1">OFFSET(K$1,MATCH(K63,K$2:K62,0),1)</f>
        <v>330</v>
      </c>
      <c r="N63" t="s">
        <v>27</v>
      </c>
      <c r="P63">
        <v>0.81111178631480396</v>
      </c>
      <c r="Q63">
        <f t="shared" ca="1" si="1"/>
        <v>24</v>
      </c>
      <c r="R63" s="26">
        <f ca="1">OFFSET(Q$1,MATCH(K63,K$2:K62,0),1)</f>
        <v>3</v>
      </c>
      <c r="S63">
        <f ca="1">IF(D63="Recapture",IF(OFFSET(B$1,MATCH(K63,K$2:K62,0),0)=B63,0,1),1)</f>
        <v>1</v>
      </c>
    </row>
    <row r="64" spans="1:19" x14ac:dyDescent="0.2">
      <c r="A64" s="1">
        <v>43993</v>
      </c>
      <c r="B64" s="28">
        <f t="shared" si="3"/>
        <v>20206</v>
      </c>
      <c r="C64">
        <f>A64-A$2</f>
        <v>17</v>
      </c>
      <c r="D64" s="5" t="s">
        <v>47</v>
      </c>
      <c r="E64" s="25" t="s">
        <v>49</v>
      </c>
      <c r="H64" s="3"/>
      <c r="I64" s="5">
        <v>48</v>
      </c>
      <c r="J64" s="5" t="s">
        <v>56</v>
      </c>
      <c r="K64" s="11" t="str">
        <f t="shared" si="7"/>
        <v>Green48</v>
      </c>
      <c r="L64" s="5">
        <v>335</v>
      </c>
      <c r="N64" t="s">
        <v>27</v>
      </c>
      <c r="P64">
        <v>0.35579259291095316</v>
      </c>
      <c r="Q64">
        <f t="shared" si="1"/>
        <v>25</v>
      </c>
      <c r="R64">
        <f ca="1">IF(ISNA(MATCH(P64,OFFSET('age-length key'!O$8,Data!Q64,17,1,5),1)),1,MATCH(P64,OFFSET('age-length key'!O$8,Data!Q64,17,1,5),1)+1)</f>
        <v>3</v>
      </c>
      <c r="S64">
        <f ca="1">IF(D64="Recapture",IF(OFFSET(B$1,MATCH(K64,K$2:K63,0),0)=B64,0,1),1)</f>
        <v>1</v>
      </c>
    </row>
    <row r="65" spans="1:19" x14ac:dyDescent="0.2">
      <c r="A65" s="1">
        <v>44002</v>
      </c>
      <c r="B65" s="28">
        <f t="shared" si="3"/>
        <v>20206</v>
      </c>
      <c r="C65">
        <f>A65-A$2</f>
        <v>26</v>
      </c>
      <c r="D65" s="5" t="s">
        <v>25</v>
      </c>
      <c r="E65" s="22" t="s">
        <v>50</v>
      </c>
      <c r="F65"/>
      <c r="G65"/>
      <c r="H65" s="3"/>
      <c r="I65" s="5" t="s">
        <v>25</v>
      </c>
      <c r="N65" t="s">
        <v>27</v>
      </c>
      <c r="P65">
        <v>0.80610905438946046</v>
      </c>
      <c r="Q65">
        <f t="shared" si="1"/>
        <v>-9</v>
      </c>
      <c r="R65" s="27">
        <f>MATCH(P65,'age-length key'!P$6:T$6,1)</f>
        <v>2</v>
      </c>
      <c r="S65">
        <f ca="1">IF(D65="Recapture",IF(OFFSET(B$1,MATCH(K65,K$2:K64,0),0)=B65,0,1),1)</f>
        <v>1</v>
      </c>
    </row>
    <row r="66" spans="1:19" x14ac:dyDescent="0.2">
      <c r="A66" s="1">
        <v>44008</v>
      </c>
      <c r="B66" s="28">
        <f t="shared" si="3"/>
        <v>20206</v>
      </c>
      <c r="C66">
        <f>A66-A$2</f>
        <v>32</v>
      </c>
      <c r="D66" s="5" t="s">
        <v>25</v>
      </c>
      <c r="E66" s="22" t="s">
        <v>51</v>
      </c>
      <c r="F66"/>
      <c r="G66"/>
      <c r="H66" s="3"/>
      <c r="I66" s="5" t="s">
        <v>25</v>
      </c>
      <c r="N66" t="s">
        <v>27</v>
      </c>
      <c r="P66">
        <v>0.27487712366267902</v>
      </c>
      <c r="Q66">
        <f t="shared" ref="Q66:Q129" si="8">INT((L66-95)/10)+1</f>
        <v>-9</v>
      </c>
      <c r="R66" s="27">
        <f>MATCH(P66,'age-length key'!P$6:T$6,1)</f>
        <v>1</v>
      </c>
      <c r="S66">
        <f ca="1">IF(D66="Recapture",IF(OFFSET(B$1,MATCH(K66,K$2:K65,0),0)=B66,0,1),1)</f>
        <v>1</v>
      </c>
    </row>
    <row r="67" spans="1:19" x14ac:dyDescent="0.2">
      <c r="A67" s="15">
        <v>44020</v>
      </c>
      <c r="B67" s="28">
        <f t="shared" si="3"/>
        <v>20207</v>
      </c>
      <c r="C67">
        <f>A67-A$2</f>
        <v>44</v>
      </c>
      <c r="D67" s="5" t="s">
        <v>25</v>
      </c>
      <c r="E67" s="25" t="s">
        <v>49</v>
      </c>
      <c r="F67" s="13">
        <v>0.42430555555555555</v>
      </c>
      <c r="G67" s="13">
        <v>0.42499999999999999</v>
      </c>
      <c r="H67" s="3">
        <f t="shared" ref="H67:H98" si="9">G67-F67</f>
        <v>6.9444444444444198E-4</v>
      </c>
      <c r="I67" s="5" t="s">
        <v>25</v>
      </c>
      <c r="L67" s="12">
        <v>287</v>
      </c>
      <c r="M67" s="1" t="s">
        <v>16</v>
      </c>
      <c r="N67" t="s">
        <v>26</v>
      </c>
      <c r="P67">
        <v>0.85981739864676143</v>
      </c>
      <c r="Q67">
        <f t="shared" si="8"/>
        <v>20</v>
      </c>
      <c r="R67">
        <f ca="1">IF(ISNA(MATCH(P67,OFFSET('age-length key'!O$8,Data!Q67,17,1,5),1)),1,MATCH(P67,OFFSET('age-length key'!O$8,Data!Q67,17,1,5),1)+1)</f>
        <v>3</v>
      </c>
      <c r="S67">
        <f ca="1">IF(D67="Recapture",IF(OFFSET(B$1,MATCH(K67,K$2:K66,0),0)=B67,0,1),1)</f>
        <v>1</v>
      </c>
    </row>
    <row r="68" spans="1:19" x14ac:dyDescent="0.2">
      <c r="A68" s="15">
        <v>44020</v>
      </c>
      <c r="B68" s="28">
        <f t="shared" si="3"/>
        <v>20207</v>
      </c>
      <c r="C68">
        <f>A68-A$2</f>
        <v>44</v>
      </c>
      <c r="D68" s="5" t="s">
        <v>25</v>
      </c>
      <c r="E68" s="25" t="s">
        <v>49</v>
      </c>
      <c r="F68" s="13">
        <v>0.42152777777777778</v>
      </c>
      <c r="G68" s="13">
        <v>0.42291666666666666</v>
      </c>
      <c r="H68" s="3">
        <f t="shared" si="9"/>
        <v>1.388888888888884E-3</v>
      </c>
      <c r="I68" s="5" t="s">
        <v>25</v>
      </c>
      <c r="L68" s="12">
        <v>230</v>
      </c>
      <c r="M68" s="1" t="s">
        <v>16</v>
      </c>
      <c r="N68" t="s">
        <v>26</v>
      </c>
      <c r="P68">
        <v>0.95101905611856796</v>
      </c>
      <c r="Q68">
        <f t="shared" si="8"/>
        <v>14</v>
      </c>
      <c r="R68">
        <f ca="1">IF(ISNA(MATCH(P68,OFFSET('age-length key'!O$8,Data!Q68,17,1,5),1)),1,MATCH(P68,OFFSET('age-length key'!O$8,Data!Q68,17,1,5),1)+1)</f>
        <v>3</v>
      </c>
      <c r="S68">
        <f ca="1">IF(D68="Recapture",IF(OFFSET(B$1,MATCH(K68,K$2:K67,0),0)=B68,0,1),1)</f>
        <v>1</v>
      </c>
    </row>
    <row r="69" spans="1:19" x14ac:dyDescent="0.2">
      <c r="A69" s="15">
        <v>44020</v>
      </c>
      <c r="B69" s="28">
        <f t="shared" si="3"/>
        <v>20207</v>
      </c>
      <c r="C69">
        <f>A69-A$2</f>
        <v>44</v>
      </c>
      <c r="D69" s="5" t="s">
        <v>25</v>
      </c>
      <c r="E69" s="25" t="s">
        <v>49</v>
      </c>
      <c r="F69" s="13">
        <v>0.42291666666666666</v>
      </c>
      <c r="G69" s="13">
        <v>0.42430555555555555</v>
      </c>
      <c r="H69" s="3">
        <f t="shared" si="9"/>
        <v>1.388888888888884E-3</v>
      </c>
      <c r="I69" s="5" t="s">
        <v>25</v>
      </c>
      <c r="L69" s="12">
        <v>225</v>
      </c>
      <c r="M69" s="1" t="s">
        <v>16</v>
      </c>
      <c r="N69" t="s">
        <v>26</v>
      </c>
      <c r="P69">
        <v>0.77727618477180427</v>
      </c>
      <c r="Q69">
        <f t="shared" si="8"/>
        <v>14</v>
      </c>
      <c r="R69">
        <f ca="1">IF(ISNA(MATCH(P69,OFFSET('age-length key'!O$8,Data!Q69,17,1,5),1)),1,MATCH(P69,OFFSET('age-length key'!O$8,Data!Q69,17,1,5),1)+1)</f>
        <v>2</v>
      </c>
      <c r="S69">
        <f ca="1">IF(D69="Recapture",IF(OFFSET(B$1,MATCH(K69,K$2:K68,0),0)=B69,0,1),1)</f>
        <v>1</v>
      </c>
    </row>
    <row r="70" spans="1:19" x14ac:dyDescent="0.2">
      <c r="A70" s="15">
        <v>44020</v>
      </c>
      <c r="B70" s="28">
        <f t="shared" si="3"/>
        <v>20207</v>
      </c>
      <c r="C70">
        <f>A70-A$2</f>
        <v>44</v>
      </c>
      <c r="D70" s="5" t="s">
        <v>25</v>
      </c>
      <c r="E70" s="25" t="s">
        <v>49</v>
      </c>
      <c r="F70" s="13">
        <v>0.44791666666666669</v>
      </c>
      <c r="G70" s="13">
        <v>0.44930555555555557</v>
      </c>
      <c r="H70" s="3">
        <f t="shared" si="9"/>
        <v>1.388888888888884E-3</v>
      </c>
      <c r="I70" s="5" t="s">
        <v>25</v>
      </c>
      <c r="L70" s="12">
        <v>313</v>
      </c>
      <c r="M70" s="1" t="s">
        <v>12</v>
      </c>
      <c r="N70" t="s">
        <v>26</v>
      </c>
      <c r="P70">
        <v>0.68083745971361054</v>
      </c>
      <c r="Q70">
        <f t="shared" si="8"/>
        <v>22</v>
      </c>
      <c r="R70">
        <f ca="1">IF(ISNA(MATCH(P70,OFFSET('age-length key'!O$8,Data!Q70,17,1,5),1)),1,MATCH(P70,OFFSET('age-length key'!O$8,Data!Q70,17,1,5),1)+1)</f>
        <v>3</v>
      </c>
      <c r="S70">
        <f ca="1">IF(D70="Recapture",IF(OFFSET(B$1,MATCH(K70,K$2:K69,0),0)=B70,0,1),1)</f>
        <v>1</v>
      </c>
    </row>
    <row r="71" spans="1:19" x14ac:dyDescent="0.2">
      <c r="A71" s="15">
        <v>44020</v>
      </c>
      <c r="B71" s="28">
        <f t="shared" si="3"/>
        <v>20207</v>
      </c>
      <c r="C71">
        <f>A71-A$2</f>
        <v>44</v>
      </c>
      <c r="D71" s="5" t="s">
        <v>25</v>
      </c>
      <c r="E71" s="25" t="s">
        <v>49</v>
      </c>
      <c r="F71" s="13">
        <v>0.4826388888888889</v>
      </c>
      <c r="G71" s="13">
        <v>0.48402777777777778</v>
      </c>
      <c r="H71" s="3">
        <f t="shared" si="9"/>
        <v>1.388888888888884E-3</v>
      </c>
      <c r="I71" s="5" t="s">
        <v>25</v>
      </c>
      <c r="L71" s="12">
        <v>310</v>
      </c>
      <c r="M71" s="1" t="s">
        <v>8</v>
      </c>
      <c r="N71" t="s">
        <v>26</v>
      </c>
      <c r="P71">
        <v>0.83518540665283114</v>
      </c>
      <c r="Q71">
        <f t="shared" si="8"/>
        <v>22</v>
      </c>
      <c r="R71">
        <f ca="1">IF(ISNA(MATCH(P71,OFFSET('age-length key'!O$8,Data!Q71,17,1,5),1)),1,MATCH(P71,OFFSET('age-length key'!O$8,Data!Q71,17,1,5),1)+1)</f>
        <v>3</v>
      </c>
      <c r="S71">
        <f ca="1">IF(D71="Recapture",IF(OFFSET(B$1,MATCH(K71,K$2:K70,0),0)=B71,0,1),1)</f>
        <v>1</v>
      </c>
    </row>
    <row r="72" spans="1:19" x14ac:dyDescent="0.2">
      <c r="A72" s="15">
        <v>44020</v>
      </c>
      <c r="B72" s="28">
        <f t="shared" si="3"/>
        <v>20207</v>
      </c>
      <c r="C72">
        <f>A72-A$2</f>
        <v>44</v>
      </c>
      <c r="D72" s="5" t="s">
        <v>25</v>
      </c>
      <c r="E72" s="25" t="s">
        <v>49</v>
      </c>
      <c r="F72" s="13">
        <v>0.3833333333333333</v>
      </c>
      <c r="G72" s="13">
        <v>0.38611111111111113</v>
      </c>
      <c r="H72" s="3">
        <f t="shared" si="9"/>
        <v>2.7777777777778234E-3</v>
      </c>
      <c r="I72" s="5" t="s">
        <v>25</v>
      </c>
      <c r="L72" s="12">
        <v>323</v>
      </c>
      <c r="M72" s="1" t="s">
        <v>23</v>
      </c>
      <c r="N72" t="s">
        <v>26</v>
      </c>
      <c r="P72">
        <v>0.96112961413391385</v>
      </c>
      <c r="Q72">
        <f t="shared" si="8"/>
        <v>23</v>
      </c>
      <c r="R72">
        <f ca="1">IF(ISNA(MATCH(P72,OFFSET('age-length key'!O$8,Data!Q72,17,1,5),1)),1,MATCH(P72,OFFSET('age-length key'!O$8,Data!Q72,17,1,5),1)+1)</f>
        <v>4</v>
      </c>
      <c r="S72">
        <f ca="1">IF(D72="Recapture",IF(OFFSET(B$1,MATCH(K72,K$2:K71,0),0)=B72,0,1),1)</f>
        <v>1</v>
      </c>
    </row>
    <row r="73" spans="1:19" x14ac:dyDescent="0.2">
      <c r="A73" s="15">
        <v>44020</v>
      </c>
      <c r="B73" s="28">
        <f t="shared" si="3"/>
        <v>20207</v>
      </c>
      <c r="C73">
        <f>A73-A$2</f>
        <v>44</v>
      </c>
      <c r="D73" s="5" t="s">
        <v>25</v>
      </c>
      <c r="E73" s="25" t="s">
        <v>49</v>
      </c>
      <c r="F73" s="13">
        <v>0.53819444444444442</v>
      </c>
      <c r="G73" s="13">
        <v>0.54166666666666663</v>
      </c>
      <c r="H73" s="3">
        <f t="shared" si="9"/>
        <v>3.4722222222222099E-3</v>
      </c>
      <c r="I73" s="5" t="s">
        <v>25</v>
      </c>
      <c r="L73" s="12">
        <v>220</v>
      </c>
      <c r="M73" s="1" t="s">
        <v>6</v>
      </c>
      <c r="N73" t="s">
        <v>26</v>
      </c>
      <c r="P73">
        <v>0.7054247486895997</v>
      </c>
      <c r="Q73">
        <f t="shared" si="8"/>
        <v>13</v>
      </c>
      <c r="R73">
        <f ca="1">IF(ISNA(MATCH(P73,OFFSET('age-length key'!O$8,Data!Q73,17,1,5),1)),1,MATCH(P73,OFFSET('age-length key'!O$8,Data!Q73,17,1,5),1)+1)</f>
        <v>2</v>
      </c>
      <c r="S73">
        <f ca="1">IF(D73="Recapture",IF(OFFSET(B$1,MATCH(K73,K$2:K72,0),0)=B73,0,1),1)</f>
        <v>1</v>
      </c>
    </row>
    <row r="74" spans="1:19" x14ac:dyDescent="0.2">
      <c r="A74" s="15">
        <v>44020</v>
      </c>
      <c r="B74" s="28">
        <f t="shared" si="3"/>
        <v>20207</v>
      </c>
      <c r="C74">
        <f>A74-A$2</f>
        <v>44</v>
      </c>
      <c r="D74" s="5" t="s">
        <v>25</v>
      </c>
      <c r="E74" s="25" t="s">
        <v>49</v>
      </c>
      <c r="F74" s="13">
        <v>0.52500000000000002</v>
      </c>
      <c r="G74" s="13">
        <v>0.52916666666666667</v>
      </c>
      <c r="H74" s="3">
        <f t="shared" si="9"/>
        <v>4.1666666666666519E-3</v>
      </c>
      <c r="I74" s="5" t="s">
        <v>25</v>
      </c>
      <c r="L74" s="12">
        <v>250</v>
      </c>
      <c r="M74" s="1" t="s">
        <v>6</v>
      </c>
      <c r="N74" t="s">
        <v>26</v>
      </c>
      <c r="P74">
        <v>7.3751226101886128E-2</v>
      </c>
      <c r="Q74">
        <f t="shared" si="8"/>
        <v>16</v>
      </c>
      <c r="R74">
        <f ca="1">IF(ISNA(MATCH(P74,OFFSET('age-length key'!O$8,Data!Q74,17,1,5),1)),1,MATCH(P74,OFFSET('age-length key'!O$8,Data!Q74,17,1,5),1)+1)</f>
        <v>2</v>
      </c>
      <c r="S74">
        <f ca="1">IF(D74="Recapture",IF(OFFSET(B$1,MATCH(K74,K$2:K73,0),0)=B74,0,1),1)</f>
        <v>1</v>
      </c>
    </row>
    <row r="75" spans="1:19" x14ac:dyDescent="0.2">
      <c r="A75" s="15">
        <v>44020</v>
      </c>
      <c r="B75" s="28">
        <f t="shared" ref="B75:B138" si="10">YEAR(A75)*10+MONTH(A75)</f>
        <v>20207</v>
      </c>
      <c r="C75">
        <f>A75-A$2</f>
        <v>44</v>
      </c>
      <c r="D75" s="5" t="s">
        <v>25</v>
      </c>
      <c r="E75" s="25" t="s">
        <v>49</v>
      </c>
      <c r="F75" s="13">
        <v>0.44097222222222227</v>
      </c>
      <c r="G75" s="13">
        <v>0.4458333333333333</v>
      </c>
      <c r="H75" s="3">
        <f t="shared" si="9"/>
        <v>4.8611111111110383E-3</v>
      </c>
      <c r="I75" s="5" t="s">
        <v>25</v>
      </c>
      <c r="L75" s="12">
        <v>252</v>
      </c>
      <c r="M75" s="1" t="s">
        <v>12</v>
      </c>
      <c r="N75" t="s">
        <v>26</v>
      </c>
      <c r="P75">
        <v>0.53685709440003015</v>
      </c>
      <c r="Q75">
        <f t="shared" si="8"/>
        <v>16</v>
      </c>
      <c r="R75">
        <f ca="1">IF(ISNA(MATCH(P75,OFFSET('age-length key'!O$8,Data!Q75,17,1,5),1)),1,MATCH(P75,OFFSET('age-length key'!O$8,Data!Q75,17,1,5),1)+1)</f>
        <v>2</v>
      </c>
      <c r="S75">
        <f ca="1">IF(D75="Recapture",IF(OFFSET(B$1,MATCH(K75,K$2:K74,0),0)=B75,0,1),1)</f>
        <v>1</v>
      </c>
    </row>
    <row r="76" spans="1:19" x14ac:dyDescent="0.2">
      <c r="A76" s="15">
        <v>44020</v>
      </c>
      <c r="B76" s="28">
        <f t="shared" si="10"/>
        <v>20207</v>
      </c>
      <c r="C76">
        <f>A76-A$2</f>
        <v>44</v>
      </c>
      <c r="D76" s="5" t="s">
        <v>25</v>
      </c>
      <c r="E76" s="25" t="s">
        <v>49</v>
      </c>
      <c r="F76" s="13">
        <v>0.34375</v>
      </c>
      <c r="G76" s="13">
        <v>0.35069444444444442</v>
      </c>
      <c r="H76" s="3">
        <f t="shared" si="9"/>
        <v>6.9444444444444198E-3</v>
      </c>
      <c r="I76" s="5" t="s">
        <v>25</v>
      </c>
      <c r="L76" s="12">
        <v>250</v>
      </c>
      <c r="M76" s="1" t="s">
        <v>84</v>
      </c>
      <c r="N76" t="s">
        <v>26</v>
      </c>
      <c r="P76">
        <v>0.95718558130654763</v>
      </c>
      <c r="Q76">
        <f t="shared" si="8"/>
        <v>16</v>
      </c>
      <c r="R76">
        <f ca="1">IF(ISNA(MATCH(P76,OFFSET('age-length key'!O$8,Data!Q76,17,1,5),1)),1,MATCH(P76,OFFSET('age-length key'!O$8,Data!Q76,17,1,5),1)+1)</f>
        <v>3</v>
      </c>
      <c r="S76">
        <f ca="1">IF(D76="Recapture",IF(OFFSET(B$1,MATCH(K76,K$2:K75,0),0)=B76,0,1),1)</f>
        <v>1</v>
      </c>
    </row>
    <row r="77" spans="1:19" x14ac:dyDescent="0.2">
      <c r="A77" s="15">
        <v>44020</v>
      </c>
      <c r="B77" s="28">
        <f t="shared" si="10"/>
        <v>20207</v>
      </c>
      <c r="C77">
        <f>A77-A$2</f>
        <v>44</v>
      </c>
      <c r="D77" s="5" t="s">
        <v>25</v>
      </c>
      <c r="E77" s="25" t="s">
        <v>49</v>
      </c>
      <c r="F77" s="13">
        <v>0.35069444444444442</v>
      </c>
      <c r="G77" s="13">
        <v>0.35833333333333334</v>
      </c>
      <c r="H77" s="3">
        <f t="shared" si="9"/>
        <v>7.6388888888889173E-3</v>
      </c>
      <c r="I77" s="5" t="s">
        <v>25</v>
      </c>
      <c r="L77" s="12">
        <v>245</v>
      </c>
      <c r="M77" s="1" t="s">
        <v>84</v>
      </c>
      <c r="N77" t="s">
        <v>26</v>
      </c>
      <c r="P77">
        <v>0.41806501914656957</v>
      </c>
      <c r="Q77">
        <f t="shared" si="8"/>
        <v>16</v>
      </c>
      <c r="R77">
        <f ca="1">IF(ISNA(MATCH(P77,OFFSET('age-length key'!O$8,Data!Q77,17,1,5),1)),1,MATCH(P77,OFFSET('age-length key'!O$8,Data!Q77,17,1,5),1)+1)</f>
        <v>2</v>
      </c>
      <c r="S77">
        <f ca="1">IF(D77="Recapture",IF(OFFSET(B$1,MATCH(K77,K$2:K76,0),0)=B77,0,1),1)</f>
        <v>1</v>
      </c>
    </row>
    <row r="78" spans="1:19" x14ac:dyDescent="0.2">
      <c r="A78" s="15">
        <v>44020</v>
      </c>
      <c r="B78" s="28">
        <f t="shared" si="10"/>
        <v>20207</v>
      </c>
      <c r="C78">
        <f>A78-A$2</f>
        <v>44</v>
      </c>
      <c r="D78" s="5" t="s">
        <v>25</v>
      </c>
      <c r="E78" s="25" t="s">
        <v>49</v>
      </c>
      <c r="F78" s="13">
        <v>0.35069444444444442</v>
      </c>
      <c r="G78" s="13">
        <v>0.35833333333333334</v>
      </c>
      <c r="H78" s="3">
        <f t="shared" si="9"/>
        <v>7.6388888888889173E-3</v>
      </c>
      <c r="I78" s="5" t="s">
        <v>25</v>
      </c>
      <c r="L78" s="12">
        <v>220</v>
      </c>
      <c r="M78" s="1" t="s">
        <v>84</v>
      </c>
      <c r="N78" t="s">
        <v>26</v>
      </c>
      <c r="P78">
        <v>0.41877679639438947</v>
      </c>
      <c r="Q78">
        <f t="shared" si="8"/>
        <v>13</v>
      </c>
      <c r="R78">
        <f ca="1">IF(ISNA(MATCH(P78,OFFSET('age-length key'!O$8,Data!Q78,17,1,5),1)),1,MATCH(P78,OFFSET('age-length key'!O$8,Data!Q78,17,1,5),1)+1)</f>
        <v>2</v>
      </c>
      <c r="S78">
        <f ca="1">IF(D78="Recapture",IF(OFFSET(B$1,MATCH(K78,K$2:K77,0),0)=B78,0,1),1)</f>
        <v>1</v>
      </c>
    </row>
    <row r="79" spans="1:19" x14ac:dyDescent="0.2">
      <c r="A79" s="15">
        <v>44020</v>
      </c>
      <c r="B79" s="28">
        <f t="shared" si="10"/>
        <v>20207</v>
      </c>
      <c r="C79">
        <f>A79-A$2</f>
        <v>44</v>
      </c>
      <c r="D79" s="5" t="s">
        <v>25</v>
      </c>
      <c r="E79" s="25" t="s">
        <v>49</v>
      </c>
      <c r="F79" s="13">
        <v>0.41319444444444442</v>
      </c>
      <c r="G79" s="13">
        <v>0.42152777777777778</v>
      </c>
      <c r="H79" s="3">
        <f t="shared" si="9"/>
        <v>8.3333333333333592E-3</v>
      </c>
      <c r="I79" s="5" t="s">
        <v>25</v>
      </c>
      <c r="L79" s="12">
        <v>250</v>
      </c>
      <c r="M79" s="1" t="s">
        <v>16</v>
      </c>
      <c r="N79" t="s">
        <v>26</v>
      </c>
      <c r="P79">
        <v>0.38161700050421848</v>
      </c>
      <c r="Q79">
        <f t="shared" si="8"/>
        <v>16</v>
      </c>
      <c r="R79">
        <f ca="1">IF(ISNA(MATCH(P79,OFFSET('age-length key'!O$8,Data!Q79,17,1,5),1)),1,MATCH(P79,OFFSET('age-length key'!O$8,Data!Q79,17,1,5),1)+1)</f>
        <v>2</v>
      </c>
      <c r="S79">
        <f ca="1">IF(D79="Recapture",IF(OFFSET(B$1,MATCH(K79,K$2:K78,0),0)=B79,0,1),1)</f>
        <v>1</v>
      </c>
    </row>
    <row r="80" spans="1:19" x14ac:dyDescent="0.2">
      <c r="A80" s="15">
        <v>44020</v>
      </c>
      <c r="B80" s="28">
        <f t="shared" si="10"/>
        <v>20207</v>
      </c>
      <c r="C80">
        <f>A80-A$2</f>
        <v>44</v>
      </c>
      <c r="D80" s="5" t="s">
        <v>25</v>
      </c>
      <c r="E80" s="25" t="s">
        <v>49</v>
      </c>
      <c r="F80" s="13">
        <v>0.52916666666666667</v>
      </c>
      <c r="G80" s="13">
        <v>0.53819444444444442</v>
      </c>
      <c r="H80" s="3">
        <f t="shared" si="9"/>
        <v>9.0277777777777457E-3</v>
      </c>
      <c r="I80" s="5" t="s">
        <v>25</v>
      </c>
      <c r="L80" s="12">
        <v>225</v>
      </c>
      <c r="M80" s="1" t="s">
        <v>6</v>
      </c>
      <c r="N80" t="s">
        <v>26</v>
      </c>
      <c r="P80">
        <v>0.83692747440046045</v>
      </c>
      <c r="Q80">
        <f t="shared" si="8"/>
        <v>14</v>
      </c>
      <c r="R80">
        <f ca="1">IF(ISNA(MATCH(P80,OFFSET('age-length key'!O$8,Data!Q80,17,1,5),1)),1,MATCH(P80,OFFSET('age-length key'!O$8,Data!Q80,17,1,5),1)+1)</f>
        <v>2</v>
      </c>
      <c r="S80">
        <f ca="1">IF(D80="Recapture",IF(OFFSET(B$1,MATCH(K80,K$2:K79,0),0)=B80,0,1),1)</f>
        <v>1</v>
      </c>
    </row>
    <row r="81" spans="1:19" x14ac:dyDescent="0.2">
      <c r="A81" s="15">
        <v>44020</v>
      </c>
      <c r="B81" s="28">
        <f t="shared" si="10"/>
        <v>20207</v>
      </c>
      <c r="C81">
        <f>A81-A$2</f>
        <v>44</v>
      </c>
      <c r="D81" s="5" t="s">
        <v>25</v>
      </c>
      <c r="E81" s="25" t="s">
        <v>49</v>
      </c>
      <c r="F81" s="13">
        <v>0.44930555555555557</v>
      </c>
      <c r="G81" s="13">
        <v>0.4597222222222222</v>
      </c>
      <c r="H81" s="3">
        <f t="shared" si="9"/>
        <v>1.041666666666663E-2</v>
      </c>
      <c r="I81" s="5" t="s">
        <v>25</v>
      </c>
      <c r="L81" s="12">
        <v>226</v>
      </c>
      <c r="M81" s="1" t="s">
        <v>8</v>
      </c>
      <c r="N81" t="s">
        <v>26</v>
      </c>
      <c r="P81">
        <v>0.24006224853920854</v>
      </c>
      <c r="Q81">
        <f t="shared" si="8"/>
        <v>14</v>
      </c>
      <c r="R81">
        <f ca="1">IF(ISNA(MATCH(P81,OFFSET('age-length key'!O$8,Data!Q81,17,1,5),1)),1,MATCH(P81,OFFSET('age-length key'!O$8,Data!Q81,17,1,5),1)+1)</f>
        <v>2</v>
      </c>
      <c r="S81">
        <f ca="1">IF(D81="Recapture",IF(OFFSET(B$1,MATCH(K81,K$2:K80,0),0)=B81,0,1),1)</f>
        <v>1</v>
      </c>
    </row>
    <row r="82" spans="1:19" x14ac:dyDescent="0.2">
      <c r="A82" s="15">
        <v>44020</v>
      </c>
      <c r="B82" s="28">
        <f t="shared" si="10"/>
        <v>20207</v>
      </c>
      <c r="C82">
        <f>A82-A$2</f>
        <v>44</v>
      </c>
      <c r="D82" s="5" t="s">
        <v>25</v>
      </c>
      <c r="E82" s="25" t="s">
        <v>49</v>
      </c>
      <c r="F82" s="13">
        <v>0.33333333333333331</v>
      </c>
      <c r="G82" s="13">
        <v>0.34375</v>
      </c>
      <c r="H82" s="3">
        <f t="shared" si="9"/>
        <v>1.0416666666666685E-2</v>
      </c>
      <c r="I82" s="5" t="s">
        <v>25</v>
      </c>
      <c r="L82" s="12">
        <v>144</v>
      </c>
      <c r="M82" s="1" t="s">
        <v>84</v>
      </c>
      <c r="N82" t="s">
        <v>26</v>
      </c>
      <c r="P82">
        <v>0.72621119847810423</v>
      </c>
      <c r="Q82">
        <f t="shared" si="8"/>
        <v>5</v>
      </c>
      <c r="R82">
        <f ca="1">IF(ISNA(MATCH(P82,OFFSET('age-length key'!O$8,Data!Q82,17,1,5),1)),1,MATCH(P82,OFFSET('age-length key'!O$8,Data!Q82,17,1,5),1)+1)</f>
        <v>1</v>
      </c>
      <c r="S82">
        <f ca="1">IF(D82="Recapture",IF(OFFSET(B$1,MATCH(K82,K$2:K81,0),0)=B82,0,1),1)</f>
        <v>1</v>
      </c>
    </row>
    <row r="83" spans="1:19" x14ac:dyDescent="0.2">
      <c r="A83" s="15">
        <v>44020</v>
      </c>
      <c r="B83" s="28">
        <f t="shared" si="10"/>
        <v>20207</v>
      </c>
      <c r="C83">
        <f>A83-A$2</f>
        <v>44</v>
      </c>
      <c r="D83" s="5" t="s">
        <v>25</v>
      </c>
      <c r="E83" s="25" t="s">
        <v>49</v>
      </c>
      <c r="F83" s="13">
        <v>0.40277777777777773</v>
      </c>
      <c r="G83" s="13">
        <v>0.41319444444444442</v>
      </c>
      <c r="H83" s="3">
        <f t="shared" si="9"/>
        <v>1.0416666666666685E-2</v>
      </c>
      <c r="I83" s="5" t="s">
        <v>25</v>
      </c>
      <c r="L83" s="12">
        <v>310</v>
      </c>
      <c r="M83" s="1" t="s">
        <v>17</v>
      </c>
      <c r="N83" t="s">
        <v>26</v>
      </c>
      <c r="P83">
        <v>0.43161282149684282</v>
      </c>
      <c r="Q83">
        <f t="shared" si="8"/>
        <v>22</v>
      </c>
      <c r="R83">
        <f ca="1">IF(ISNA(MATCH(P83,OFFSET('age-length key'!O$8,Data!Q83,17,1,5),1)),1,MATCH(P83,OFFSET('age-length key'!O$8,Data!Q83,17,1,5),1)+1)</f>
        <v>3</v>
      </c>
      <c r="S83">
        <f ca="1">IF(D83="Recapture",IF(OFFSET(B$1,MATCH(K83,K$2:K82,0),0)=B83,0,1),1)</f>
        <v>1</v>
      </c>
    </row>
    <row r="84" spans="1:19" x14ac:dyDescent="0.2">
      <c r="A84" s="15">
        <v>44020</v>
      </c>
      <c r="B84" s="28">
        <f t="shared" si="10"/>
        <v>20207</v>
      </c>
      <c r="C84">
        <f>A84-A$2</f>
        <v>44</v>
      </c>
      <c r="D84" s="5" t="s">
        <v>25</v>
      </c>
      <c r="E84" s="25" t="s">
        <v>49</v>
      </c>
      <c r="F84" s="13">
        <v>0.50347222222222221</v>
      </c>
      <c r="G84" s="13">
        <v>0.51388888888888895</v>
      </c>
      <c r="H84" s="3">
        <f t="shared" si="9"/>
        <v>1.0416666666666741E-2</v>
      </c>
      <c r="I84" s="5" t="s">
        <v>25</v>
      </c>
      <c r="L84" s="12">
        <v>280</v>
      </c>
      <c r="M84" s="1" t="s">
        <v>21</v>
      </c>
      <c r="N84" t="s">
        <v>26</v>
      </c>
      <c r="P84">
        <v>0.11669089743713425</v>
      </c>
      <c r="Q84">
        <f t="shared" si="8"/>
        <v>19</v>
      </c>
      <c r="R84">
        <f ca="1">IF(ISNA(MATCH(P84,OFFSET('age-length key'!O$8,Data!Q84,17,1,5),1)),1,MATCH(P84,OFFSET('age-length key'!O$8,Data!Q84,17,1,5),1)+1)</f>
        <v>3</v>
      </c>
      <c r="S84">
        <f ca="1">IF(D84="Recapture",IF(OFFSET(B$1,MATCH(K84,K$2:K83,0),0)=B84,0,1),1)</f>
        <v>1</v>
      </c>
    </row>
    <row r="85" spans="1:19" x14ac:dyDescent="0.2">
      <c r="A85" s="15">
        <v>44020</v>
      </c>
      <c r="B85" s="28">
        <f t="shared" si="10"/>
        <v>20207</v>
      </c>
      <c r="C85">
        <f>A85-A$2</f>
        <v>44</v>
      </c>
      <c r="D85" s="5" t="s">
        <v>25</v>
      </c>
      <c r="E85" s="25" t="s">
        <v>49</v>
      </c>
      <c r="F85" s="13">
        <v>0.51388888888888895</v>
      </c>
      <c r="G85" s="13">
        <v>0.52500000000000002</v>
      </c>
      <c r="H85" s="3">
        <f t="shared" si="9"/>
        <v>1.1111111111111072E-2</v>
      </c>
      <c r="I85" s="5" t="s">
        <v>25</v>
      </c>
      <c r="L85" s="12">
        <v>131</v>
      </c>
      <c r="M85" s="1" t="s">
        <v>6</v>
      </c>
      <c r="N85" t="s">
        <v>26</v>
      </c>
      <c r="P85">
        <v>0.22391322591524257</v>
      </c>
      <c r="Q85">
        <f t="shared" si="8"/>
        <v>4</v>
      </c>
      <c r="R85">
        <f ca="1">IF(ISNA(MATCH(P85,OFFSET('age-length key'!O$8,Data!Q85,17,1,5),1)),1,MATCH(P85,OFFSET('age-length key'!O$8,Data!Q85,17,1,5),1)+1)</f>
        <v>1</v>
      </c>
      <c r="S85">
        <f ca="1">IF(D85="Recapture",IF(OFFSET(B$1,MATCH(K85,K$2:K84,0),0)=B85,0,1),1)</f>
        <v>1</v>
      </c>
    </row>
    <row r="86" spans="1:19" x14ac:dyDescent="0.2">
      <c r="A86" s="15">
        <v>44020</v>
      </c>
      <c r="B86" s="28">
        <f t="shared" si="10"/>
        <v>20207</v>
      </c>
      <c r="C86">
        <f>A86-A$2</f>
        <v>44</v>
      </c>
      <c r="D86" s="5" t="s">
        <v>25</v>
      </c>
      <c r="E86" s="25" t="s">
        <v>49</v>
      </c>
      <c r="F86" s="13">
        <v>0.4597222222222222</v>
      </c>
      <c r="G86" s="13">
        <v>0.47152777777777777</v>
      </c>
      <c r="H86" s="3">
        <f t="shared" si="9"/>
        <v>1.1805555555555569E-2</v>
      </c>
      <c r="I86" s="5" t="s">
        <v>25</v>
      </c>
      <c r="L86" s="12">
        <v>308</v>
      </c>
      <c r="M86" s="1" t="s">
        <v>8</v>
      </c>
      <c r="N86" t="s">
        <v>26</v>
      </c>
      <c r="P86">
        <v>0.30958795748166179</v>
      </c>
      <c r="Q86">
        <f t="shared" si="8"/>
        <v>22</v>
      </c>
      <c r="R86">
        <f ca="1">IF(ISNA(MATCH(P86,OFFSET('age-length key'!O$8,Data!Q86,17,1,5),1)),1,MATCH(P86,OFFSET('age-length key'!O$8,Data!Q86,17,1,5),1)+1)</f>
        <v>3</v>
      </c>
      <c r="S86">
        <f ca="1">IF(D86="Recapture",IF(OFFSET(B$1,MATCH(K86,K$2:K85,0),0)=B86,0,1),1)</f>
        <v>1</v>
      </c>
    </row>
    <row r="87" spans="1:19" x14ac:dyDescent="0.2">
      <c r="A87" s="15">
        <v>44020</v>
      </c>
      <c r="B87" s="28">
        <f t="shared" si="10"/>
        <v>20207</v>
      </c>
      <c r="C87">
        <f>A87-A$2</f>
        <v>44</v>
      </c>
      <c r="D87" s="5" t="s">
        <v>25</v>
      </c>
      <c r="E87" s="25" t="s">
        <v>49</v>
      </c>
      <c r="F87" s="13">
        <v>0.42638888888888887</v>
      </c>
      <c r="G87" s="13">
        <v>0.44097222222222227</v>
      </c>
      <c r="H87" s="3">
        <f t="shared" si="9"/>
        <v>1.4583333333333393E-2</v>
      </c>
      <c r="I87" s="5" t="s">
        <v>25</v>
      </c>
      <c r="L87" s="12">
        <v>236</v>
      </c>
      <c r="M87" s="1" t="s">
        <v>12</v>
      </c>
      <c r="N87" t="s">
        <v>26</v>
      </c>
      <c r="P87">
        <v>0.24480139428973263</v>
      </c>
      <c r="Q87">
        <f t="shared" si="8"/>
        <v>15</v>
      </c>
      <c r="R87">
        <f ca="1">IF(ISNA(MATCH(P87,OFFSET('age-length key'!O$8,Data!Q87,17,1,5),1)),1,MATCH(P87,OFFSET('age-length key'!O$8,Data!Q87,17,1,5),1)+1)</f>
        <v>2</v>
      </c>
      <c r="S87">
        <f ca="1">IF(D87="Recapture",IF(OFFSET(B$1,MATCH(K87,K$2:K86,0),0)=B87,0,1),1)</f>
        <v>1</v>
      </c>
    </row>
    <row r="88" spans="1:19" x14ac:dyDescent="0.2">
      <c r="A88" s="15">
        <v>44020</v>
      </c>
      <c r="B88" s="28">
        <f t="shared" si="10"/>
        <v>20207</v>
      </c>
      <c r="C88">
        <f>A88-A$2</f>
        <v>44</v>
      </c>
      <c r="D88" s="5" t="s">
        <v>25</v>
      </c>
      <c r="E88" s="25" t="s">
        <v>49</v>
      </c>
      <c r="F88" s="13">
        <v>0.38611111111111113</v>
      </c>
      <c r="G88" s="13">
        <v>0.40277777777777773</v>
      </c>
      <c r="H88" s="3">
        <f t="shared" si="9"/>
        <v>1.6666666666666607E-2</v>
      </c>
      <c r="I88" s="5" t="s">
        <v>25</v>
      </c>
      <c r="L88" s="12">
        <v>325</v>
      </c>
      <c r="M88" s="1" t="s">
        <v>15</v>
      </c>
      <c r="N88" t="s">
        <v>26</v>
      </c>
      <c r="P88">
        <v>0.3770338275362895</v>
      </c>
      <c r="Q88">
        <f t="shared" si="8"/>
        <v>24</v>
      </c>
      <c r="R88">
        <f ca="1">IF(ISNA(MATCH(P88,OFFSET('age-length key'!O$8,Data!Q88,17,1,5),1)),1,MATCH(P88,OFFSET('age-length key'!O$8,Data!Q88,17,1,5),1)+1)</f>
        <v>3</v>
      </c>
      <c r="S88">
        <f ca="1">IF(D88="Recapture",IF(OFFSET(B$1,MATCH(K88,K$2:K87,0),0)=B88,0,1),1)</f>
        <v>1</v>
      </c>
    </row>
    <row r="89" spans="1:19" x14ac:dyDescent="0.2">
      <c r="A89" s="15">
        <v>44020</v>
      </c>
      <c r="B89" s="28">
        <f t="shared" si="10"/>
        <v>20207</v>
      </c>
      <c r="C89">
        <f>A89-A$2</f>
        <v>44</v>
      </c>
      <c r="D89" s="5" t="s">
        <v>25</v>
      </c>
      <c r="E89" s="25" t="s">
        <v>49</v>
      </c>
      <c r="F89" s="13">
        <v>0.48402777777777778</v>
      </c>
      <c r="G89" s="13">
        <v>0.50347222222222221</v>
      </c>
      <c r="H89" s="3">
        <f t="shared" si="9"/>
        <v>1.9444444444444431E-2</v>
      </c>
      <c r="I89" s="5" t="s">
        <v>25</v>
      </c>
      <c r="L89" s="12">
        <v>130</v>
      </c>
      <c r="M89" s="1" t="s">
        <v>21</v>
      </c>
      <c r="N89" t="s">
        <v>26</v>
      </c>
      <c r="P89">
        <v>0.80753940241762412</v>
      </c>
      <c r="Q89">
        <f t="shared" si="8"/>
        <v>4</v>
      </c>
      <c r="R89">
        <f ca="1">IF(ISNA(MATCH(P89,OFFSET('age-length key'!O$8,Data!Q89,17,1,5),1)),1,MATCH(P89,OFFSET('age-length key'!O$8,Data!Q89,17,1,5),1)+1)</f>
        <v>1</v>
      </c>
      <c r="S89">
        <f ca="1">IF(D89="Recapture",IF(OFFSET(B$1,MATCH(K89,K$2:K88,0),0)=B89,0,1),1)</f>
        <v>1</v>
      </c>
    </row>
    <row r="90" spans="1:19" x14ac:dyDescent="0.2">
      <c r="A90" s="1">
        <v>44020</v>
      </c>
      <c r="B90" s="28">
        <f t="shared" si="10"/>
        <v>20207</v>
      </c>
      <c r="C90">
        <f>A90-A$2</f>
        <v>44</v>
      </c>
      <c r="D90" s="5" t="s">
        <v>58</v>
      </c>
      <c r="E90" s="22" t="s">
        <v>49</v>
      </c>
      <c r="F90" s="4">
        <v>0.4604166666666667</v>
      </c>
      <c r="G90" s="4">
        <v>0.46249999999999997</v>
      </c>
      <c r="H90" s="3">
        <f t="shared" si="9"/>
        <v>2.0833333333332704E-3</v>
      </c>
      <c r="I90">
        <v>24</v>
      </c>
      <c r="J90" t="s">
        <v>57</v>
      </c>
      <c r="K90" s="11" t="str">
        <f t="shared" ref="K90:K92" si="11">_xlfn.CONCAT(J90,I90)</f>
        <v>Pink24</v>
      </c>
      <c r="L90" s="26">
        <f ca="1">OFFSET(K$1,MATCH(K90,K$2:K89,0),1)</f>
        <v>320</v>
      </c>
      <c r="N90" t="s">
        <v>26</v>
      </c>
      <c r="P90">
        <v>0.31473643300809734</v>
      </c>
      <c r="Q90">
        <f t="shared" ca="1" si="8"/>
        <v>23</v>
      </c>
      <c r="R90" s="26">
        <f ca="1">OFFSET(Q$1,MATCH(K90,K$2:K89,0),1)</f>
        <v>4</v>
      </c>
      <c r="S90">
        <f ca="1">IF(D90="Recapture",IF(OFFSET(B$1,MATCH(K90,K$2:K89,0),0)=B90,0,1),1)</f>
        <v>1</v>
      </c>
    </row>
    <row r="91" spans="1:19" x14ac:dyDescent="0.2">
      <c r="A91" s="1">
        <v>44020</v>
      </c>
      <c r="B91" s="28">
        <f t="shared" si="10"/>
        <v>20207</v>
      </c>
      <c r="C91">
        <f>A91-A$2</f>
        <v>44</v>
      </c>
      <c r="D91" s="5" t="s">
        <v>58</v>
      </c>
      <c r="E91" s="22" t="s">
        <v>49</v>
      </c>
      <c r="F91" s="4">
        <v>0.4513888888888889</v>
      </c>
      <c r="G91" s="4">
        <v>0.45833333333333331</v>
      </c>
      <c r="H91" s="3">
        <f t="shared" si="9"/>
        <v>6.9444444444444198E-3</v>
      </c>
      <c r="I91">
        <v>25</v>
      </c>
      <c r="J91" t="s">
        <v>57</v>
      </c>
      <c r="K91" s="11" t="str">
        <f t="shared" si="11"/>
        <v>Pink25</v>
      </c>
      <c r="L91" s="26">
        <f ca="1">OFFSET(K$1,MATCH(K91,K$2:K90,0),1)</f>
        <v>425</v>
      </c>
      <c r="N91" t="s">
        <v>26</v>
      </c>
      <c r="P91">
        <v>0.77522956709155322</v>
      </c>
      <c r="Q91">
        <f t="shared" ca="1" si="8"/>
        <v>34</v>
      </c>
      <c r="R91" s="26">
        <f ca="1">OFFSET(Q$1,MATCH(K91,K$2:K90,0),1)</f>
        <v>4</v>
      </c>
      <c r="S91">
        <f ca="1">IF(D91="Recapture",IF(OFFSET(B$1,MATCH(K91,K$2:K90,0),0)=B91,0,1),1)</f>
        <v>1</v>
      </c>
    </row>
    <row r="92" spans="1:19" x14ac:dyDescent="0.2">
      <c r="A92" s="1">
        <v>44020</v>
      </c>
      <c r="B92" s="28">
        <f t="shared" si="10"/>
        <v>20207</v>
      </c>
      <c r="C92">
        <f>A92-A$2</f>
        <v>44</v>
      </c>
      <c r="D92" s="5" t="s">
        <v>58</v>
      </c>
      <c r="E92" s="22" t="s">
        <v>49</v>
      </c>
      <c r="F92" s="4">
        <v>0.43124999999999997</v>
      </c>
      <c r="G92" s="4">
        <v>0.44166666666666665</v>
      </c>
      <c r="H92" s="3">
        <f t="shared" si="9"/>
        <v>1.0416666666666685E-2</v>
      </c>
      <c r="I92">
        <v>18</v>
      </c>
      <c r="J92" t="s">
        <v>57</v>
      </c>
      <c r="K92" s="11" t="str">
        <f t="shared" si="11"/>
        <v>Pink18</v>
      </c>
      <c r="L92" s="26">
        <f ca="1">OFFSET(K$1,MATCH(K92,K$2:K91,0),1)</f>
        <v>265</v>
      </c>
      <c r="N92" t="s">
        <v>26</v>
      </c>
      <c r="P92">
        <v>0.28333410773581552</v>
      </c>
      <c r="Q92">
        <f t="shared" ca="1" si="8"/>
        <v>18</v>
      </c>
      <c r="R92" s="26">
        <f ca="1">OFFSET(Q$1,MATCH(K92,K$2:K91,0),1)</f>
        <v>3</v>
      </c>
      <c r="S92">
        <f ca="1">IF(D92="Recapture",IF(OFFSET(B$1,MATCH(K92,K$2:K91,0),0)=B92,0,1),1)</f>
        <v>1</v>
      </c>
    </row>
    <row r="93" spans="1:19" x14ac:dyDescent="0.2">
      <c r="A93" s="15">
        <v>44022</v>
      </c>
      <c r="B93" s="28">
        <f t="shared" si="10"/>
        <v>20207</v>
      </c>
      <c r="C93">
        <f>A93-A$2</f>
        <v>46</v>
      </c>
      <c r="D93" s="5" t="s">
        <v>25</v>
      </c>
      <c r="E93" s="25" t="s">
        <v>49</v>
      </c>
      <c r="F93" s="13">
        <v>0.50694444444444442</v>
      </c>
      <c r="G93" s="13">
        <v>0.50763888888888886</v>
      </c>
      <c r="H93" s="3">
        <f t="shared" si="9"/>
        <v>6.9444444444444198E-4</v>
      </c>
      <c r="I93" s="5" t="s">
        <v>25</v>
      </c>
      <c r="L93" s="12">
        <v>236</v>
      </c>
      <c r="M93" s="1" t="s">
        <v>6</v>
      </c>
      <c r="N93" t="s">
        <v>26</v>
      </c>
      <c r="P93">
        <v>0.99634871585124574</v>
      </c>
      <c r="Q93">
        <f t="shared" si="8"/>
        <v>15</v>
      </c>
      <c r="R93">
        <f ca="1">IF(ISNA(MATCH(P93,OFFSET('age-length key'!O$8,Data!Q93,17,1,5),1)),1,MATCH(P93,OFFSET('age-length key'!O$8,Data!Q93,17,1,5),1)+1)</f>
        <v>3</v>
      </c>
      <c r="S93">
        <f ca="1">IF(D93="Recapture",IF(OFFSET(B$1,MATCH(K93,K$2:K92,0),0)=B93,0,1),1)</f>
        <v>1</v>
      </c>
    </row>
    <row r="94" spans="1:19" x14ac:dyDescent="0.2">
      <c r="A94" s="15">
        <v>44022</v>
      </c>
      <c r="B94" s="28">
        <f t="shared" si="10"/>
        <v>20207</v>
      </c>
      <c r="C94">
        <f>A94-A$2</f>
        <v>46</v>
      </c>
      <c r="D94" s="5" t="s">
        <v>25</v>
      </c>
      <c r="E94" s="25" t="s">
        <v>49</v>
      </c>
      <c r="F94" s="13">
        <v>0.39583333333333331</v>
      </c>
      <c r="G94" s="13">
        <v>0.3972222222222222</v>
      </c>
      <c r="H94" s="3">
        <f t="shared" si="9"/>
        <v>1.388888888888884E-3</v>
      </c>
      <c r="I94" s="5" t="s">
        <v>25</v>
      </c>
      <c r="L94" s="12">
        <v>250</v>
      </c>
      <c r="M94" s="1" t="s">
        <v>8</v>
      </c>
      <c r="N94" t="s">
        <v>26</v>
      </c>
      <c r="P94">
        <v>0.63286731188784695</v>
      </c>
      <c r="Q94">
        <f t="shared" si="8"/>
        <v>16</v>
      </c>
      <c r="R94">
        <f ca="1">IF(ISNA(MATCH(P94,OFFSET('age-length key'!O$8,Data!Q94,17,1,5),1)),1,MATCH(P94,OFFSET('age-length key'!O$8,Data!Q94,17,1,5),1)+1)</f>
        <v>3</v>
      </c>
      <c r="S94">
        <f ca="1">IF(D94="Recapture",IF(OFFSET(B$1,MATCH(K94,K$2:K93,0),0)=B94,0,1),1)</f>
        <v>1</v>
      </c>
    </row>
    <row r="95" spans="1:19" x14ac:dyDescent="0.2">
      <c r="A95" s="15">
        <v>44022</v>
      </c>
      <c r="B95" s="28">
        <f t="shared" si="10"/>
        <v>20207</v>
      </c>
      <c r="C95">
        <f>A95-A$2</f>
        <v>46</v>
      </c>
      <c r="D95" s="5" t="s">
        <v>25</v>
      </c>
      <c r="E95" s="25" t="s">
        <v>49</v>
      </c>
      <c r="F95" s="13">
        <v>0.54999999999999993</v>
      </c>
      <c r="G95" s="13">
        <v>0.55138888888888882</v>
      </c>
      <c r="H95" s="3">
        <f t="shared" si="9"/>
        <v>1.388888888888884E-3</v>
      </c>
      <c r="I95" s="5" t="s">
        <v>25</v>
      </c>
      <c r="L95" s="12">
        <v>140</v>
      </c>
      <c r="M95" s="1" t="s">
        <v>13</v>
      </c>
      <c r="N95" t="s">
        <v>26</v>
      </c>
      <c r="P95">
        <v>0.60091089904350736</v>
      </c>
      <c r="Q95">
        <f t="shared" si="8"/>
        <v>5</v>
      </c>
      <c r="R95">
        <f ca="1">IF(ISNA(MATCH(P95,OFFSET('age-length key'!O$8,Data!Q95,17,1,5),1)),1,MATCH(P95,OFFSET('age-length key'!O$8,Data!Q95,17,1,5),1)+1)</f>
        <v>1</v>
      </c>
      <c r="S95">
        <f ca="1">IF(D95="Recapture",IF(OFFSET(B$1,MATCH(K95,K$2:K94,0),0)=B95,0,1),1)</f>
        <v>1</v>
      </c>
    </row>
    <row r="96" spans="1:19" x14ac:dyDescent="0.2">
      <c r="A96" s="15">
        <v>44022</v>
      </c>
      <c r="B96" s="28">
        <f t="shared" si="10"/>
        <v>20207</v>
      </c>
      <c r="C96">
        <f>A96-A$2</f>
        <v>46</v>
      </c>
      <c r="D96" s="5" t="s">
        <v>25</v>
      </c>
      <c r="E96" s="25" t="s">
        <v>49</v>
      </c>
      <c r="F96" s="13">
        <v>0.4152777777777778</v>
      </c>
      <c r="G96" s="13">
        <v>0.41805555555555557</v>
      </c>
      <c r="H96" s="3">
        <f t="shared" si="9"/>
        <v>2.7777777777777679E-3</v>
      </c>
      <c r="I96" s="5" t="s">
        <v>25</v>
      </c>
      <c r="L96" s="12">
        <v>331</v>
      </c>
      <c r="M96" s="1" t="s">
        <v>12</v>
      </c>
      <c r="N96" t="s">
        <v>26</v>
      </c>
      <c r="P96">
        <v>0.50948022422822203</v>
      </c>
      <c r="Q96">
        <f t="shared" si="8"/>
        <v>24</v>
      </c>
      <c r="R96">
        <f ca="1">IF(ISNA(MATCH(P96,OFFSET('age-length key'!O$8,Data!Q96,17,1,5),1)),1,MATCH(P96,OFFSET('age-length key'!O$8,Data!Q96,17,1,5),1)+1)</f>
        <v>3</v>
      </c>
      <c r="S96">
        <f ca="1">IF(D96="Recapture",IF(OFFSET(B$1,MATCH(K96,K$2:K95,0),0)=B96,0,1),1)</f>
        <v>1</v>
      </c>
    </row>
    <row r="97" spans="1:19" x14ac:dyDescent="0.2">
      <c r="A97" s="15">
        <v>44022</v>
      </c>
      <c r="B97" s="28">
        <f t="shared" si="10"/>
        <v>20207</v>
      </c>
      <c r="C97">
        <f>A97-A$2</f>
        <v>46</v>
      </c>
      <c r="D97" s="5" t="s">
        <v>25</v>
      </c>
      <c r="E97" s="25" t="s">
        <v>49</v>
      </c>
      <c r="F97" s="13">
        <v>0.41805555555555557</v>
      </c>
      <c r="G97" s="13">
        <v>0.42083333333333334</v>
      </c>
      <c r="H97" s="3">
        <f t="shared" si="9"/>
        <v>2.7777777777777679E-3</v>
      </c>
      <c r="I97" s="5" t="s">
        <v>25</v>
      </c>
      <c r="L97" s="12">
        <v>133</v>
      </c>
      <c r="M97" s="1" t="s">
        <v>12</v>
      </c>
      <c r="N97" t="s">
        <v>26</v>
      </c>
      <c r="P97">
        <v>0.83412860372761666</v>
      </c>
      <c r="Q97">
        <f t="shared" si="8"/>
        <v>4</v>
      </c>
      <c r="R97">
        <f ca="1">IF(ISNA(MATCH(P97,OFFSET('age-length key'!O$8,Data!Q97,17,1,5),1)),1,MATCH(P97,OFFSET('age-length key'!O$8,Data!Q97,17,1,5),1)+1)</f>
        <v>1</v>
      </c>
      <c r="S97">
        <f ca="1">IF(D97="Recapture",IF(OFFSET(B$1,MATCH(K97,K$2:K96,0),0)=B97,0,1),1)</f>
        <v>1</v>
      </c>
    </row>
    <row r="98" spans="1:19" x14ac:dyDescent="0.2">
      <c r="A98" s="15">
        <v>44022</v>
      </c>
      <c r="B98" s="28">
        <f t="shared" si="10"/>
        <v>20207</v>
      </c>
      <c r="C98">
        <f>A98-A$2</f>
        <v>46</v>
      </c>
      <c r="D98" s="5" t="s">
        <v>25</v>
      </c>
      <c r="E98" s="25" t="s">
        <v>49</v>
      </c>
      <c r="F98" s="13">
        <v>0.36805555555555558</v>
      </c>
      <c r="G98" s="13">
        <v>0.37152777777777773</v>
      </c>
      <c r="H98" s="3">
        <f t="shared" si="9"/>
        <v>3.4722222222221544E-3</v>
      </c>
      <c r="I98" s="5" t="s">
        <v>25</v>
      </c>
      <c r="L98" s="12">
        <v>235</v>
      </c>
      <c r="M98" s="1" t="s">
        <v>18</v>
      </c>
      <c r="N98" t="s">
        <v>26</v>
      </c>
      <c r="P98">
        <v>0.19944285005305096</v>
      </c>
      <c r="Q98">
        <f t="shared" si="8"/>
        <v>15</v>
      </c>
      <c r="R98">
        <f ca="1">IF(ISNA(MATCH(P98,OFFSET('age-length key'!O$8,Data!Q98,17,1,5),1)),1,MATCH(P98,OFFSET('age-length key'!O$8,Data!Q98,17,1,5),1)+1)</f>
        <v>2</v>
      </c>
      <c r="S98">
        <f ca="1">IF(D98="Recapture",IF(OFFSET(B$1,MATCH(K98,K$2:K97,0),0)=B98,0,1),1)</f>
        <v>1</v>
      </c>
    </row>
    <row r="99" spans="1:19" x14ac:dyDescent="0.2">
      <c r="A99" s="15">
        <v>44022</v>
      </c>
      <c r="B99" s="28">
        <f t="shared" si="10"/>
        <v>20207</v>
      </c>
      <c r="C99">
        <f>A99-A$2</f>
        <v>46</v>
      </c>
      <c r="D99" s="5" t="s">
        <v>25</v>
      </c>
      <c r="E99" s="25" t="s">
        <v>49</v>
      </c>
      <c r="F99" s="13">
        <v>0.31944444444444448</v>
      </c>
      <c r="G99" s="13">
        <v>0.32291666666666669</v>
      </c>
      <c r="H99" s="3">
        <f t="shared" ref="H99:H130" si="12">G99-F99</f>
        <v>3.4722222222222099E-3</v>
      </c>
      <c r="I99" s="5" t="s">
        <v>25</v>
      </c>
      <c r="L99" s="12">
        <v>222</v>
      </c>
      <c r="M99" s="1" t="s">
        <v>20</v>
      </c>
      <c r="N99" t="s">
        <v>26</v>
      </c>
      <c r="P99">
        <v>3.5980841627335565E-2</v>
      </c>
      <c r="Q99">
        <f t="shared" si="8"/>
        <v>13</v>
      </c>
      <c r="R99">
        <f ca="1">IF(ISNA(MATCH(P99,OFFSET('age-length key'!O$8,Data!Q99,17,1,5),1)),1,MATCH(P99,OFFSET('age-length key'!O$8,Data!Q99,17,1,5),1)+1)</f>
        <v>2</v>
      </c>
      <c r="S99">
        <f ca="1">IF(D99="Recapture",IF(OFFSET(B$1,MATCH(K99,K$2:K98,0),0)=B99,0,1),1)</f>
        <v>1</v>
      </c>
    </row>
    <row r="100" spans="1:19" x14ac:dyDescent="0.2">
      <c r="A100" s="15">
        <v>44022</v>
      </c>
      <c r="B100" s="28">
        <f t="shared" si="10"/>
        <v>20207</v>
      </c>
      <c r="C100">
        <f>A100-A$2</f>
        <v>46</v>
      </c>
      <c r="D100" s="5" t="s">
        <v>25</v>
      </c>
      <c r="E100" s="25" t="s">
        <v>49</v>
      </c>
      <c r="F100" s="13">
        <v>0.32291666666666669</v>
      </c>
      <c r="G100" s="13">
        <v>0.3263888888888889</v>
      </c>
      <c r="H100" s="3">
        <f t="shared" si="12"/>
        <v>3.4722222222222099E-3</v>
      </c>
      <c r="I100" s="5" t="s">
        <v>25</v>
      </c>
      <c r="L100" s="12">
        <v>225</v>
      </c>
      <c r="M100" s="1" t="s">
        <v>20</v>
      </c>
      <c r="N100" t="s">
        <v>26</v>
      </c>
      <c r="P100">
        <v>0.73000523062888778</v>
      </c>
      <c r="Q100">
        <f t="shared" si="8"/>
        <v>14</v>
      </c>
      <c r="R100">
        <f ca="1">IF(ISNA(MATCH(P100,OFFSET('age-length key'!O$8,Data!Q100,17,1,5),1)),1,MATCH(P100,OFFSET('age-length key'!O$8,Data!Q100,17,1,5),1)+1)</f>
        <v>2</v>
      </c>
      <c r="S100">
        <f ca="1">IF(D100="Recapture",IF(OFFSET(B$1,MATCH(K100,K$2:K99,0),0)=B100,0,1),1)</f>
        <v>1</v>
      </c>
    </row>
    <row r="101" spans="1:19" x14ac:dyDescent="0.2">
      <c r="A101" s="15">
        <v>44022</v>
      </c>
      <c r="B101" s="28">
        <f t="shared" si="10"/>
        <v>20207</v>
      </c>
      <c r="C101">
        <f>A101-A$2</f>
        <v>46</v>
      </c>
      <c r="D101" s="5" t="s">
        <v>25</v>
      </c>
      <c r="E101" s="25" t="s">
        <v>49</v>
      </c>
      <c r="F101" s="13">
        <v>0.3263888888888889</v>
      </c>
      <c r="G101" s="13">
        <v>0.3298611111111111</v>
      </c>
      <c r="H101" s="3">
        <f t="shared" si="12"/>
        <v>3.4722222222222099E-3</v>
      </c>
      <c r="I101" s="5" t="s">
        <v>25</v>
      </c>
      <c r="L101" s="12">
        <v>240</v>
      </c>
      <c r="M101" s="1" t="s">
        <v>20</v>
      </c>
      <c r="N101" t="s">
        <v>26</v>
      </c>
      <c r="P101">
        <v>0.19791117971665748</v>
      </c>
      <c r="Q101">
        <f t="shared" si="8"/>
        <v>15</v>
      </c>
      <c r="R101">
        <f ca="1">IF(ISNA(MATCH(P101,OFFSET('age-length key'!O$8,Data!Q101,17,1,5),1)),1,MATCH(P101,OFFSET('age-length key'!O$8,Data!Q101,17,1,5),1)+1)</f>
        <v>2</v>
      </c>
      <c r="S101">
        <f ca="1">IF(D101="Recapture",IF(OFFSET(B$1,MATCH(K101,K$2:K100,0),0)=B101,0,1),1)</f>
        <v>1</v>
      </c>
    </row>
    <row r="102" spans="1:19" x14ac:dyDescent="0.2">
      <c r="A102" s="15">
        <v>44022</v>
      </c>
      <c r="B102" s="28">
        <f t="shared" si="10"/>
        <v>20207</v>
      </c>
      <c r="C102">
        <f>A102-A$2</f>
        <v>46</v>
      </c>
      <c r="D102" s="5" t="s">
        <v>25</v>
      </c>
      <c r="E102" s="25" t="s">
        <v>49</v>
      </c>
      <c r="F102" s="13">
        <v>0.3298611111111111</v>
      </c>
      <c r="G102" s="13">
        <v>0.33333333333333331</v>
      </c>
      <c r="H102" s="3">
        <f t="shared" si="12"/>
        <v>3.4722222222222099E-3</v>
      </c>
      <c r="I102" s="5" t="s">
        <v>25</v>
      </c>
      <c r="L102" s="12">
        <v>310</v>
      </c>
      <c r="M102" s="1" t="s">
        <v>20</v>
      </c>
      <c r="N102" t="s">
        <v>26</v>
      </c>
      <c r="P102">
        <v>0.29319749786201749</v>
      </c>
      <c r="Q102">
        <f t="shared" si="8"/>
        <v>22</v>
      </c>
      <c r="R102">
        <f ca="1">IF(ISNA(MATCH(P102,OFFSET('age-length key'!O$8,Data!Q102,17,1,5),1)),1,MATCH(P102,OFFSET('age-length key'!O$8,Data!Q102,17,1,5),1)+1)</f>
        <v>3</v>
      </c>
      <c r="S102">
        <f ca="1">IF(D102="Recapture",IF(OFFSET(B$1,MATCH(K102,K$2:K101,0),0)=B102,0,1),1)</f>
        <v>1</v>
      </c>
    </row>
    <row r="103" spans="1:19" x14ac:dyDescent="0.2">
      <c r="A103" s="15">
        <v>44022</v>
      </c>
      <c r="B103" s="28">
        <f t="shared" si="10"/>
        <v>20207</v>
      </c>
      <c r="C103">
        <f>A103-A$2</f>
        <v>46</v>
      </c>
      <c r="D103" s="5" t="s">
        <v>25</v>
      </c>
      <c r="E103" s="25" t="s">
        <v>49</v>
      </c>
      <c r="F103" s="13">
        <v>0.52083333333333337</v>
      </c>
      <c r="G103" s="13">
        <v>0.52430555555555558</v>
      </c>
      <c r="H103" s="3">
        <f t="shared" si="12"/>
        <v>3.4722222222222099E-3</v>
      </c>
      <c r="I103" s="5" t="s">
        <v>25</v>
      </c>
      <c r="L103" s="12">
        <v>254</v>
      </c>
      <c r="M103" s="1" t="s">
        <v>6</v>
      </c>
      <c r="N103" t="s">
        <v>26</v>
      </c>
      <c r="P103">
        <v>0.7703465669277807</v>
      </c>
      <c r="Q103">
        <f t="shared" si="8"/>
        <v>16</v>
      </c>
      <c r="R103">
        <f ca="1">IF(ISNA(MATCH(P103,OFFSET('age-length key'!O$8,Data!Q103,17,1,5),1)),1,MATCH(P103,OFFSET('age-length key'!O$8,Data!Q103,17,1,5),1)+1)</f>
        <v>3</v>
      </c>
      <c r="S103">
        <f ca="1">IF(D103="Recapture",IF(OFFSET(B$1,MATCH(K103,K$2:K102,0),0)=B103,0,1),1)</f>
        <v>1</v>
      </c>
    </row>
    <row r="104" spans="1:19" x14ac:dyDescent="0.2">
      <c r="A104" s="15">
        <v>44022</v>
      </c>
      <c r="B104" s="28">
        <f t="shared" si="10"/>
        <v>20207</v>
      </c>
      <c r="C104">
        <f>A104-A$2</f>
        <v>46</v>
      </c>
      <c r="D104" s="5" t="s">
        <v>25</v>
      </c>
      <c r="E104" s="25" t="s">
        <v>49</v>
      </c>
      <c r="F104" s="13">
        <v>0.4826388888888889</v>
      </c>
      <c r="G104" s="13">
        <v>0.48749999999999999</v>
      </c>
      <c r="H104" s="3">
        <f t="shared" si="12"/>
        <v>4.8611111111110938E-3</v>
      </c>
      <c r="I104" s="5" t="s">
        <v>25</v>
      </c>
      <c r="L104" s="12">
        <v>140</v>
      </c>
      <c r="M104" s="1" t="s">
        <v>21</v>
      </c>
      <c r="N104" t="s">
        <v>26</v>
      </c>
      <c r="P104">
        <v>0.21475035520957333</v>
      </c>
      <c r="Q104">
        <f t="shared" si="8"/>
        <v>5</v>
      </c>
      <c r="R104">
        <f ca="1">IF(ISNA(MATCH(P104,OFFSET('age-length key'!O$8,Data!Q104,17,1,5),1)),1,MATCH(P104,OFFSET('age-length key'!O$8,Data!Q104,17,1,5),1)+1)</f>
        <v>1</v>
      </c>
      <c r="S104">
        <f ca="1">IF(D104="Recapture",IF(OFFSET(B$1,MATCH(K104,K$2:K103,0),0)=B104,0,1),1)</f>
        <v>1</v>
      </c>
    </row>
    <row r="105" spans="1:19" x14ac:dyDescent="0.2">
      <c r="A105" s="15">
        <v>44022</v>
      </c>
      <c r="B105" s="28">
        <f t="shared" si="10"/>
        <v>20207</v>
      </c>
      <c r="C105">
        <f>A105-A$2</f>
        <v>46</v>
      </c>
      <c r="D105" s="5" t="s">
        <v>25</v>
      </c>
      <c r="E105" s="25" t="s">
        <v>49</v>
      </c>
      <c r="F105" s="13">
        <v>0.37222222222222223</v>
      </c>
      <c r="G105" s="13">
        <v>0.37777777777777777</v>
      </c>
      <c r="H105" s="3">
        <f t="shared" si="12"/>
        <v>5.5555555555555358E-3</v>
      </c>
      <c r="I105" s="5" t="s">
        <v>25</v>
      </c>
      <c r="L105" s="12">
        <v>235</v>
      </c>
      <c r="M105" s="1" t="s">
        <v>18</v>
      </c>
      <c r="N105" t="s">
        <v>26</v>
      </c>
      <c r="P105">
        <v>0.30922000729908233</v>
      </c>
      <c r="Q105">
        <f t="shared" si="8"/>
        <v>15</v>
      </c>
      <c r="R105">
        <f ca="1">IF(ISNA(MATCH(P105,OFFSET('age-length key'!O$8,Data!Q105,17,1,5),1)),1,MATCH(P105,OFFSET('age-length key'!O$8,Data!Q105,17,1,5),1)+1)</f>
        <v>2</v>
      </c>
      <c r="S105">
        <f ca="1">IF(D105="Recapture",IF(OFFSET(B$1,MATCH(K105,K$2:K104,0),0)=B105,0,1),1)</f>
        <v>1</v>
      </c>
    </row>
    <row r="106" spans="1:19" x14ac:dyDescent="0.2">
      <c r="A106" s="15">
        <v>44022</v>
      </c>
      <c r="B106" s="28">
        <f t="shared" si="10"/>
        <v>20207</v>
      </c>
      <c r="C106">
        <f>A106-A$2</f>
        <v>46</v>
      </c>
      <c r="D106" s="5" t="s">
        <v>25</v>
      </c>
      <c r="E106" s="25" t="s">
        <v>49</v>
      </c>
      <c r="F106" s="13">
        <v>0.54375000000000007</v>
      </c>
      <c r="G106" s="13">
        <v>0.54999999999999993</v>
      </c>
      <c r="H106" s="3">
        <f t="shared" si="12"/>
        <v>6.2499999999998668E-3</v>
      </c>
      <c r="I106" s="5" t="s">
        <v>25</v>
      </c>
      <c r="L106" s="12">
        <v>236</v>
      </c>
      <c r="M106" s="1" t="s">
        <v>13</v>
      </c>
      <c r="N106" t="s">
        <v>26</v>
      </c>
      <c r="P106">
        <v>6.0662675677175946E-2</v>
      </c>
      <c r="Q106">
        <f t="shared" si="8"/>
        <v>15</v>
      </c>
      <c r="R106">
        <f ca="1">IF(ISNA(MATCH(P106,OFFSET('age-length key'!O$8,Data!Q106,17,1,5),1)),1,MATCH(P106,OFFSET('age-length key'!O$8,Data!Q106,17,1,5),1)+1)</f>
        <v>2</v>
      </c>
      <c r="S106">
        <f ca="1">IF(D106="Recapture",IF(OFFSET(B$1,MATCH(K106,K$2:K105,0),0)=B106,0,1),1)</f>
        <v>1</v>
      </c>
    </row>
    <row r="107" spans="1:19" x14ac:dyDescent="0.2">
      <c r="A107" s="15">
        <v>44022</v>
      </c>
      <c r="B107" s="28">
        <f t="shared" si="10"/>
        <v>20207</v>
      </c>
      <c r="C107">
        <f>A107-A$2</f>
        <v>46</v>
      </c>
      <c r="D107" s="5" t="s">
        <v>25</v>
      </c>
      <c r="E107" s="25" t="s">
        <v>49</v>
      </c>
      <c r="F107" s="13">
        <v>0.38680555555555557</v>
      </c>
      <c r="G107" s="13">
        <v>0.39305555555555555</v>
      </c>
      <c r="H107" s="3">
        <f t="shared" si="12"/>
        <v>6.2499999999999778E-3</v>
      </c>
      <c r="I107" s="5" t="s">
        <v>25</v>
      </c>
      <c r="L107" s="12">
        <v>231</v>
      </c>
      <c r="M107" s="1" t="s">
        <v>8</v>
      </c>
      <c r="N107" t="s">
        <v>26</v>
      </c>
      <c r="P107">
        <v>0.55759010629616212</v>
      </c>
      <c r="Q107">
        <f t="shared" si="8"/>
        <v>14</v>
      </c>
      <c r="R107">
        <f ca="1">IF(ISNA(MATCH(P107,OFFSET('age-length key'!O$8,Data!Q107,17,1,5),1)),1,MATCH(P107,OFFSET('age-length key'!O$8,Data!Q107,17,1,5),1)+1)</f>
        <v>2</v>
      </c>
      <c r="S107">
        <f ca="1">IF(D107="Recapture",IF(OFFSET(B$1,MATCH(K107,K$2:K106,0),0)=B107,0,1),1)</f>
        <v>1</v>
      </c>
    </row>
    <row r="108" spans="1:19" x14ac:dyDescent="0.2">
      <c r="A108" s="15">
        <v>44022</v>
      </c>
      <c r="B108" s="28">
        <f t="shared" si="10"/>
        <v>20207</v>
      </c>
      <c r="C108">
        <f>A108-A$2</f>
        <v>46</v>
      </c>
      <c r="D108" s="5" t="s">
        <v>25</v>
      </c>
      <c r="E108" s="25" t="s">
        <v>49</v>
      </c>
      <c r="F108" s="13">
        <v>0.3972222222222222</v>
      </c>
      <c r="G108" s="13">
        <v>0.40416666666666662</v>
      </c>
      <c r="H108" s="3">
        <f t="shared" si="12"/>
        <v>6.9444444444444198E-3</v>
      </c>
      <c r="I108" s="5" t="s">
        <v>25</v>
      </c>
      <c r="L108" s="12">
        <v>217</v>
      </c>
      <c r="M108" s="1" t="s">
        <v>8</v>
      </c>
      <c r="N108" t="s">
        <v>26</v>
      </c>
      <c r="P108">
        <v>0.41691651959759951</v>
      </c>
      <c r="Q108">
        <f t="shared" si="8"/>
        <v>13</v>
      </c>
      <c r="R108">
        <f ca="1">IF(ISNA(MATCH(P108,OFFSET('age-length key'!O$8,Data!Q108,17,1,5),1)),1,MATCH(P108,OFFSET('age-length key'!O$8,Data!Q108,17,1,5),1)+1)</f>
        <v>2</v>
      </c>
      <c r="S108">
        <f ca="1">IF(D108="Recapture",IF(OFFSET(B$1,MATCH(K108,K$2:K107,0),0)=B108,0,1),1)</f>
        <v>1</v>
      </c>
    </row>
    <row r="109" spans="1:19" x14ac:dyDescent="0.2">
      <c r="A109" s="15">
        <v>44022</v>
      </c>
      <c r="B109" s="28">
        <f t="shared" si="10"/>
        <v>20207</v>
      </c>
      <c r="C109">
        <f>A109-A$2</f>
        <v>46</v>
      </c>
      <c r="D109" s="5" t="s">
        <v>25</v>
      </c>
      <c r="E109" s="25" t="s">
        <v>49</v>
      </c>
      <c r="F109" s="13">
        <v>0.52430555555555558</v>
      </c>
      <c r="G109" s="13">
        <v>0.53263888888888888</v>
      </c>
      <c r="H109" s="3">
        <f t="shared" si="12"/>
        <v>8.3333333333333037E-3</v>
      </c>
      <c r="I109" s="5" t="s">
        <v>25</v>
      </c>
      <c r="L109" s="12">
        <v>242</v>
      </c>
      <c r="M109" s="1" t="s">
        <v>9</v>
      </c>
      <c r="N109" t="s">
        <v>26</v>
      </c>
      <c r="P109">
        <v>0.1159448768552136</v>
      </c>
      <c r="Q109">
        <f t="shared" si="8"/>
        <v>15</v>
      </c>
      <c r="R109">
        <f ca="1">IF(ISNA(MATCH(P109,OFFSET('age-length key'!O$8,Data!Q109,17,1,5),1)),1,MATCH(P109,OFFSET('age-length key'!O$8,Data!Q109,17,1,5),1)+1)</f>
        <v>2</v>
      </c>
      <c r="S109">
        <f ca="1">IF(D109="Recapture",IF(OFFSET(B$1,MATCH(K109,K$2:K108,0),0)=B109,0,1),1)</f>
        <v>1</v>
      </c>
    </row>
    <row r="110" spans="1:19" x14ac:dyDescent="0.2">
      <c r="A110" s="15">
        <v>44022</v>
      </c>
      <c r="B110" s="28">
        <f t="shared" si="10"/>
        <v>20207</v>
      </c>
      <c r="C110">
        <f>A110-A$2</f>
        <v>46</v>
      </c>
      <c r="D110" s="5" t="s">
        <v>25</v>
      </c>
      <c r="E110" s="25" t="s">
        <v>49</v>
      </c>
      <c r="F110" s="13">
        <v>0.42083333333333334</v>
      </c>
      <c r="G110" s="13">
        <v>0.4291666666666667</v>
      </c>
      <c r="H110" s="3">
        <f t="shared" si="12"/>
        <v>8.3333333333333592E-3</v>
      </c>
      <c r="I110" s="5" t="s">
        <v>25</v>
      </c>
      <c r="L110" s="12">
        <v>238</v>
      </c>
      <c r="M110" s="1" t="s">
        <v>12</v>
      </c>
      <c r="N110" t="s">
        <v>26</v>
      </c>
      <c r="P110">
        <v>0.68554530557503235</v>
      </c>
      <c r="Q110">
        <f t="shared" si="8"/>
        <v>15</v>
      </c>
      <c r="R110">
        <f ca="1">IF(ISNA(MATCH(P110,OFFSET('age-length key'!O$8,Data!Q110,17,1,5),1)),1,MATCH(P110,OFFSET('age-length key'!O$8,Data!Q110,17,1,5),1)+1)</f>
        <v>2</v>
      </c>
      <c r="S110">
        <f ca="1">IF(D110="Recapture",IF(OFFSET(B$1,MATCH(K110,K$2:K109,0),0)=B110,0,1),1)</f>
        <v>1</v>
      </c>
    </row>
    <row r="111" spans="1:19" x14ac:dyDescent="0.2">
      <c r="A111" s="15">
        <v>44022</v>
      </c>
      <c r="B111" s="28">
        <f t="shared" si="10"/>
        <v>20207</v>
      </c>
      <c r="C111">
        <f>A111-A$2</f>
        <v>46</v>
      </c>
      <c r="D111" s="5" t="s">
        <v>25</v>
      </c>
      <c r="E111" s="25" t="s">
        <v>49</v>
      </c>
      <c r="F111" s="13">
        <v>0.37777777777777777</v>
      </c>
      <c r="G111" s="13">
        <v>0.38680555555555557</v>
      </c>
      <c r="H111" s="3">
        <f t="shared" si="12"/>
        <v>9.0277777777778012E-3</v>
      </c>
      <c r="I111" s="5" t="s">
        <v>25</v>
      </c>
      <c r="L111" s="12">
        <v>237</v>
      </c>
      <c r="M111" s="1" t="s">
        <v>29</v>
      </c>
      <c r="N111" t="s">
        <v>26</v>
      </c>
      <c r="P111">
        <v>0.95995079956946461</v>
      </c>
      <c r="Q111">
        <f t="shared" si="8"/>
        <v>15</v>
      </c>
      <c r="R111">
        <f ca="1">IF(ISNA(MATCH(P111,OFFSET('age-length key'!O$8,Data!Q111,17,1,5),1)),1,MATCH(P111,OFFSET('age-length key'!O$8,Data!Q111,17,1,5),1)+1)</f>
        <v>3</v>
      </c>
      <c r="S111">
        <f ca="1">IF(D111="Recapture",IF(OFFSET(B$1,MATCH(K111,K$2:K110,0),0)=B111,0,1),1)</f>
        <v>1</v>
      </c>
    </row>
    <row r="112" spans="1:19" x14ac:dyDescent="0.2">
      <c r="A112" s="15">
        <v>44022</v>
      </c>
      <c r="B112" s="28">
        <f t="shared" si="10"/>
        <v>20207</v>
      </c>
      <c r="C112">
        <f>A112-A$2</f>
        <v>46</v>
      </c>
      <c r="D112" s="5" t="s">
        <v>25</v>
      </c>
      <c r="E112" s="25" t="s">
        <v>49</v>
      </c>
      <c r="F112" s="13">
        <v>0.33333333333333331</v>
      </c>
      <c r="G112" s="13">
        <v>0.3430555555555555</v>
      </c>
      <c r="H112" s="3">
        <f t="shared" si="12"/>
        <v>9.7222222222221877E-3</v>
      </c>
      <c r="I112" s="5" t="s">
        <v>25</v>
      </c>
      <c r="L112" s="12">
        <v>231</v>
      </c>
      <c r="M112" s="1" t="s">
        <v>20</v>
      </c>
      <c r="N112" t="s">
        <v>26</v>
      </c>
      <c r="P112">
        <v>0.89308836399255709</v>
      </c>
      <c r="Q112">
        <f t="shared" si="8"/>
        <v>14</v>
      </c>
      <c r="R112">
        <f ca="1">IF(ISNA(MATCH(P112,OFFSET('age-length key'!O$8,Data!Q112,17,1,5),1)),1,MATCH(P112,OFFSET('age-length key'!O$8,Data!Q112,17,1,5),1)+1)</f>
        <v>3</v>
      </c>
      <c r="S112">
        <f ca="1">IF(D112="Recapture",IF(OFFSET(B$1,MATCH(K112,K$2:K111,0),0)=B112,0,1),1)</f>
        <v>1</v>
      </c>
    </row>
    <row r="113" spans="1:19" x14ac:dyDescent="0.2">
      <c r="A113" s="15">
        <v>44022</v>
      </c>
      <c r="B113" s="28">
        <f t="shared" si="10"/>
        <v>20207</v>
      </c>
      <c r="C113">
        <f>A113-A$2</f>
        <v>46</v>
      </c>
      <c r="D113" s="5" t="s">
        <v>25</v>
      </c>
      <c r="E113" s="25" t="s">
        <v>49</v>
      </c>
      <c r="F113" s="13">
        <v>0.40416666666666662</v>
      </c>
      <c r="G113" s="13">
        <v>0.4152777777777778</v>
      </c>
      <c r="H113" s="3">
        <f t="shared" si="12"/>
        <v>1.1111111111111183E-2</v>
      </c>
      <c r="I113" s="5" t="s">
        <v>25</v>
      </c>
      <c r="L113" s="12">
        <v>215</v>
      </c>
      <c r="M113" s="1" t="s">
        <v>12</v>
      </c>
      <c r="N113" t="s">
        <v>26</v>
      </c>
      <c r="P113">
        <v>0.13613362290716433</v>
      </c>
      <c r="Q113">
        <f t="shared" si="8"/>
        <v>13</v>
      </c>
      <c r="R113">
        <f ca="1">IF(ISNA(MATCH(P113,OFFSET('age-length key'!O$8,Data!Q113,17,1,5),1)),1,MATCH(P113,OFFSET('age-length key'!O$8,Data!Q113,17,1,5),1)+1)</f>
        <v>2</v>
      </c>
      <c r="S113">
        <f ca="1">IF(D113="Recapture",IF(OFFSET(B$1,MATCH(K113,K$2:K112,0),0)=B113,0,1),1)</f>
        <v>1</v>
      </c>
    </row>
    <row r="114" spans="1:19" x14ac:dyDescent="0.2">
      <c r="A114" s="15">
        <v>44022</v>
      </c>
      <c r="B114" s="28">
        <f t="shared" si="10"/>
        <v>20207</v>
      </c>
      <c r="C114">
        <f>A114-A$2</f>
        <v>46</v>
      </c>
      <c r="D114" s="5" t="s">
        <v>25</v>
      </c>
      <c r="E114" s="25" t="s">
        <v>49</v>
      </c>
      <c r="F114" s="13">
        <v>0.53263888888888888</v>
      </c>
      <c r="G114" s="13">
        <v>0.54375000000000007</v>
      </c>
      <c r="H114" s="3">
        <f t="shared" si="12"/>
        <v>1.1111111111111183E-2</v>
      </c>
      <c r="I114" s="5" t="s">
        <v>25</v>
      </c>
      <c r="L114" s="12">
        <v>246</v>
      </c>
      <c r="M114" s="1" t="s">
        <v>13</v>
      </c>
      <c r="N114" t="s">
        <v>26</v>
      </c>
      <c r="P114">
        <v>0.99780020071091136</v>
      </c>
      <c r="Q114">
        <f t="shared" si="8"/>
        <v>16</v>
      </c>
      <c r="R114">
        <f ca="1">IF(ISNA(MATCH(P114,OFFSET('age-length key'!O$8,Data!Q114,17,1,5),1)),1,MATCH(P114,OFFSET('age-length key'!O$8,Data!Q114,17,1,5),1)+1)</f>
        <v>3</v>
      </c>
      <c r="S114">
        <f ca="1">IF(D114="Recapture",IF(OFFSET(B$1,MATCH(K114,K$2:K113,0),0)=B114,0,1),1)</f>
        <v>1</v>
      </c>
    </row>
    <row r="115" spans="1:19" x14ac:dyDescent="0.2">
      <c r="A115" s="15">
        <v>44022</v>
      </c>
      <c r="B115" s="28">
        <f t="shared" si="10"/>
        <v>20207</v>
      </c>
      <c r="C115">
        <f>A115-A$2</f>
        <v>46</v>
      </c>
      <c r="D115" s="5" t="s">
        <v>25</v>
      </c>
      <c r="E115" s="25" t="s">
        <v>49</v>
      </c>
      <c r="F115" s="13">
        <v>0.55138888888888882</v>
      </c>
      <c r="G115" s="13">
        <v>0.5625</v>
      </c>
      <c r="H115" s="3">
        <f t="shared" si="12"/>
        <v>1.1111111111111183E-2</v>
      </c>
      <c r="I115" s="5" t="s">
        <v>25</v>
      </c>
      <c r="L115" s="12">
        <v>244</v>
      </c>
      <c r="M115" s="1" t="s">
        <v>85</v>
      </c>
      <c r="N115" t="s">
        <v>26</v>
      </c>
      <c r="P115">
        <v>2.7973348287853108E-2</v>
      </c>
      <c r="Q115">
        <f t="shared" si="8"/>
        <v>15</v>
      </c>
      <c r="R115">
        <f ca="1">IF(ISNA(MATCH(P115,OFFSET('age-length key'!O$8,Data!Q115,17,1,5),1)),1,MATCH(P115,OFFSET('age-length key'!O$8,Data!Q115,17,1,5),1)+1)</f>
        <v>2</v>
      </c>
      <c r="S115">
        <f ca="1">IF(D115="Recapture",IF(OFFSET(B$1,MATCH(K115,K$2:K114,0),0)=B115,0,1),1)</f>
        <v>1</v>
      </c>
    </row>
    <row r="116" spans="1:19" x14ac:dyDescent="0.2">
      <c r="A116" s="15">
        <v>44022</v>
      </c>
      <c r="B116" s="28">
        <f t="shared" si="10"/>
        <v>20207</v>
      </c>
      <c r="C116">
        <f>A116-A$2</f>
        <v>46</v>
      </c>
      <c r="D116" s="5" t="s">
        <v>25</v>
      </c>
      <c r="E116" s="25" t="s">
        <v>49</v>
      </c>
      <c r="F116" s="13">
        <v>0.35625000000000001</v>
      </c>
      <c r="G116" s="13">
        <v>0.36805555555555558</v>
      </c>
      <c r="H116" s="3">
        <f t="shared" si="12"/>
        <v>1.1805555555555569E-2</v>
      </c>
      <c r="I116" s="5" t="s">
        <v>25</v>
      </c>
      <c r="L116" s="12">
        <v>250</v>
      </c>
      <c r="M116" s="1" t="s">
        <v>18</v>
      </c>
      <c r="N116" t="s">
        <v>26</v>
      </c>
      <c r="P116">
        <v>0.14806467394720049</v>
      </c>
      <c r="Q116">
        <f t="shared" si="8"/>
        <v>16</v>
      </c>
      <c r="R116">
        <f ca="1">IF(ISNA(MATCH(P116,OFFSET('age-length key'!O$8,Data!Q116,17,1,5),1)),1,MATCH(P116,OFFSET('age-length key'!O$8,Data!Q116,17,1,5),1)+1)</f>
        <v>2</v>
      </c>
      <c r="S116">
        <f ca="1">IF(D116="Recapture",IF(OFFSET(B$1,MATCH(K116,K$2:K115,0),0)=B116,0,1),1)</f>
        <v>1</v>
      </c>
    </row>
    <row r="117" spans="1:19" x14ac:dyDescent="0.2">
      <c r="A117" s="15">
        <v>44022</v>
      </c>
      <c r="B117" s="28">
        <f t="shared" si="10"/>
        <v>20207</v>
      </c>
      <c r="C117">
        <f>A117-A$2</f>
        <v>46</v>
      </c>
      <c r="D117" s="5" t="s">
        <v>25</v>
      </c>
      <c r="E117" s="25" t="s">
        <v>49</v>
      </c>
      <c r="F117" s="13">
        <v>0.34375</v>
      </c>
      <c r="G117" s="13">
        <v>0.35625000000000001</v>
      </c>
      <c r="H117" s="3">
        <f t="shared" si="12"/>
        <v>1.2500000000000011E-2</v>
      </c>
      <c r="I117" s="5" t="s">
        <v>25</v>
      </c>
      <c r="L117" s="12">
        <v>237</v>
      </c>
      <c r="M117" s="1" t="s">
        <v>19</v>
      </c>
      <c r="N117" t="s">
        <v>26</v>
      </c>
      <c r="P117">
        <v>0.52297503059868466</v>
      </c>
      <c r="Q117">
        <f t="shared" si="8"/>
        <v>15</v>
      </c>
      <c r="R117">
        <f ca="1">IF(ISNA(MATCH(P117,OFFSET('age-length key'!O$8,Data!Q117,17,1,5),1)),1,MATCH(P117,OFFSET('age-length key'!O$8,Data!Q117,17,1,5),1)+1)</f>
        <v>2</v>
      </c>
      <c r="S117">
        <f ca="1">IF(D117="Recapture",IF(OFFSET(B$1,MATCH(K117,K$2:K116,0),0)=B117,0,1),1)</f>
        <v>1</v>
      </c>
    </row>
    <row r="118" spans="1:19" x14ac:dyDescent="0.2">
      <c r="A118" s="15">
        <v>44022</v>
      </c>
      <c r="B118" s="28">
        <f t="shared" si="10"/>
        <v>20207</v>
      </c>
      <c r="C118">
        <f>A118-A$2</f>
        <v>46</v>
      </c>
      <c r="D118" s="5" t="s">
        <v>25</v>
      </c>
      <c r="E118" s="25" t="s">
        <v>49</v>
      </c>
      <c r="F118" s="13">
        <v>0.50763888888888886</v>
      </c>
      <c r="G118" s="13">
        <v>0.52083333333333337</v>
      </c>
      <c r="H118" s="3">
        <f t="shared" si="12"/>
        <v>1.3194444444444509E-2</v>
      </c>
      <c r="I118" s="5" t="s">
        <v>25</v>
      </c>
      <c r="L118" s="12">
        <v>247</v>
      </c>
      <c r="M118" s="1" t="s">
        <v>6</v>
      </c>
      <c r="N118" t="s">
        <v>26</v>
      </c>
      <c r="P118">
        <v>0.64133927209365149</v>
      </c>
      <c r="Q118">
        <f t="shared" si="8"/>
        <v>16</v>
      </c>
      <c r="R118">
        <f ca="1">IF(ISNA(MATCH(P118,OFFSET('age-length key'!O$8,Data!Q118,17,1,5),1)),1,MATCH(P118,OFFSET('age-length key'!O$8,Data!Q118,17,1,5),1)+1)</f>
        <v>3</v>
      </c>
      <c r="S118">
        <f ca="1">IF(D118="Recapture",IF(OFFSET(B$1,MATCH(K118,K$2:K117,0),0)=B118,0,1),1)</f>
        <v>1</v>
      </c>
    </row>
    <row r="119" spans="1:19" x14ac:dyDescent="0.2">
      <c r="A119" s="15">
        <v>44022</v>
      </c>
      <c r="B119" s="28">
        <f t="shared" si="10"/>
        <v>20207</v>
      </c>
      <c r="C119">
        <f>A119-A$2</f>
        <v>46</v>
      </c>
      <c r="D119" s="5" t="s">
        <v>25</v>
      </c>
      <c r="E119" s="25" t="s">
        <v>49</v>
      </c>
      <c r="F119" s="13">
        <v>0.48958333333333331</v>
      </c>
      <c r="G119" s="13">
        <v>0.50694444444444442</v>
      </c>
      <c r="H119" s="3">
        <f t="shared" si="12"/>
        <v>1.7361111111111105E-2</v>
      </c>
      <c r="I119" s="5" t="s">
        <v>25</v>
      </c>
      <c r="L119" s="12">
        <v>147</v>
      </c>
      <c r="M119" s="1" t="s">
        <v>6</v>
      </c>
      <c r="N119" t="s">
        <v>26</v>
      </c>
      <c r="P119">
        <v>0.98914607800037879</v>
      </c>
      <c r="Q119">
        <f t="shared" si="8"/>
        <v>6</v>
      </c>
      <c r="R119">
        <f ca="1">IF(ISNA(MATCH(P119,OFFSET('age-length key'!O$8,Data!Q119,17,1,5),1)),1,MATCH(P119,OFFSET('age-length key'!O$8,Data!Q119,17,1,5),1)+1)</f>
        <v>2</v>
      </c>
      <c r="S119">
        <f ca="1">IF(D119="Recapture",IF(OFFSET(B$1,MATCH(K119,K$2:K118,0),0)=B119,0,1),1)</f>
        <v>1</v>
      </c>
    </row>
    <row r="120" spans="1:19" x14ac:dyDescent="0.2">
      <c r="A120" s="15">
        <v>44022</v>
      </c>
      <c r="B120" s="28">
        <f t="shared" si="10"/>
        <v>20207</v>
      </c>
      <c r="C120">
        <f>A120-A$2</f>
        <v>46</v>
      </c>
      <c r="D120" s="5" t="s">
        <v>25</v>
      </c>
      <c r="E120" s="25" t="s">
        <v>49</v>
      </c>
      <c r="F120" s="13">
        <v>0.4291666666666667</v>
      </c>
      <c r="G120" s="13">
        <v>0.47916666666666669</v>
      </c>
      <c r="H120" s="3">
        <f t="shared" si="12"/>
        <v>4.9999999999999989E-2</v>
      </c>
      <c r="I120" s="5" t="s">
        <v>25</v>
      </c>
      <c r="L120" s="12">
        <v>233</v>
      </c>
      <c r="M120" s="1" t="s">
        <v>21</v>
      </c>
      <c r="N120" t="s">
        <v>26</v>
      </c>
      <c r="P120">
        <v>0.57813295236701745</v>
      </c>
      <c r="Q120">
        <f t="shared" si="8"/>
        <v>14</v>
      </c>
      <c r="R120">
        <f ca="1">IF(ISNA(MATCH(P120,OFFSET('age-length key'!O$8,Data!Q120,17,1,5),1)),1,MATCH(P120,OFFSET('age-length key'!O$8,Data!Q120,17,1,5),1)+1)</f>
        <v>2</v>
      </c>
      <c r="S120">
        <f ca="1">IF(D120="Recapture",IF(OFFSET(B$1,MATCH(K120,K$2:K119,0),0)=B120,0,1),1)</f>
        <v>1</v>
      </c>
    </row>
    <row r="121" spans="1:19" x14ac:dyDescent="0.2">
      <c r="A121" s="15">
        <v>44027</v>
      </c>
      <c r="B121" s="28">
        <f t="shared" si="10"/>
        <v>20207</v>
      </c>
      <c r="C121">
        <f>A121-A$2</f>
        <v>51</v>
      </c>
      <c r="D121" s="5" t="s">
        <v>25</v>
      </c>
      <c r="E121" s="25" t="s">
        <v>49</v>
      </c>
      <c r="F121" s="13">
        <v>0.5</v>
      </c>
      <c r="G121" s="13">
        <v>0.50347222222222221</v>
      </c>
      <c r="H121" s="3">
        <f t="shared" si="12"/>
        <v>3.4722222222222099E-3</v>
      </c>
      <c r="I121" s="5" t="s">
        <v>25</v>
      </c>
      <c r="L121" s="12">
        <v>145</v>
      </c>
      <c r="M121" s="1" t="s">
        <v>21</v>
      </c>
      <c r="N121" t="s">
        <v>26</v>
      </c>
      <c r="P121">
        <v>0.68053043246293932</v>
      </c>
      <c r="Q121">
        <f t="shared" si="8"/>
        <v>6</v>
      </c>
      <c r="R121">
        <f ca="1">IF(ISNA(MATCH(P121,OFFSET('age-length key'!O$8,Data!Q121,17,1,5),1)),1,MATCH(P121,OFFSET('age-length key'!O$8,Data!Q121,17,1,5),1)+1)</f>
        <v>1</v>
      </c>
      <c r="S121">
        <f ca="1">IF(D121="Recapture",IF(OFFSET(B$1,MATCH(K121,K$2:K120,0),0)=B121,0,1),1)</f>
        <v>1</v>
      </c>
    </row>
    <row r="122" spans="1:19" x14ac:dyDescent="0.2">
      <c r="A122" s="15">
        <v>44027</v>
      </c>
      <c r="B122" s="28">
        <f t="shared" si="10"/>
        <v>20207</v>
      </c>
      <c r="C122">
        <f>A122-A$2</f>
        <v>51</v>
      </c>
      <c r="D122" s="5" t="s">
        <v>25</v>
      </c>
      <c r="E122" s="25" t="s">
        <v>49</v>
      </c>
      <c r="F122" s="13">
        <v>0.50347222222222221</v>
      </c>
      <c r="G122" s="13">
        <v>0.50694444444444442</v>
      </c>
      <c r="H122" s="3">
        <f t="shared" si="12"/>
        <v>3.4722222222222099E-3</v>
      </c>
      <c r="I122" s="5" t="s">
        <v>25</v>
      </c>
      <c r="L122" s="12">
        <v>132</v>
      </c>
      <c r="M122" s="1" t="s">
        <v>6</v>
      </c>
      <c r="N122" t="s">
        <v>26</v>
      </c>
      <c r="P122">
        <v>0.67497840462018666</v>
      </c>
      <c r="Q122">
        <f t="shared" si="8"/>
        <v>4</v>
      </c>
      <c r="R122">
        <f ca="1">IF(ISNA(MATCH(P122,OFFSET('age-length key'!O$8,Data!Q122,17,1,5),1)),1,MATCH(P122,OFFSET('age-length key'!O$8,Data!Q122,17,1,5),1)+1)</f>
        <v>1</v>
      </c>
      <c r="S122">
        <f ca="1">IF(D122="Recapture",IF(OFFSET(B$1,MATCH(K122,K$2:K121,0),0)=B122,0,1),1)</f>
        <v>1</v>
      </c>
    </row>
    <row r="123" spans="1:19" x14ac:dyDescent="0.2">
      <c r="A123" s="15">
        <v>44027</v>
      </c>
      <c r="B123" s="28">
        <f t="shared" si="10"/>
        <v>20207</v>
      </c>
      <c r="C123">
        <f>A123-A$2</f>
        <v>51</v>
      </c>
      <c r="D123" s="5" t="s">
        <v>25</v>
      </c>
      <c r="E123" s="25" t="s">
        <v>49</v>
      </c>
      <c r="F123" s="13">
        <v>0.41805555555555557</v>
      </c>
      <c r="G123" s="13">
        <v>0.42222222222222222</v>
      </c>
      <c r="H123" s="3">
        <f t="shared" si="12"/>
        <v>4.1666666666666519E-3</v>
      </c>
      <c r="I123" s="5" t="s">
        <v>25</v>
      </c>
      <c r="L123" s="12">
        <v>161</v>
      </c>
      <c r="M123" s="1" t="s">
        <v>9</v>
      </c>
      <c r="N123" t="s">
        <v>26</v>
      </c>
      <c r="P123">
        <v>0.36204645147642422</v>
      </c>
      <c r="Q123">
        <f t="shared" si="8"/>
        <v>7</v>
      </c>
      <c r="R123">
        <f ca="1">IF(ISNA(MATCH(P123,OFFSET('age-length key'!O$8,Data!Q123,17,1,5),1)),1,MATCH(P123,OFFSET('age-length key'!O$8,Data!Q123,17,1,5),1)+1)</f>
        <v>1</v>
      </c>
      <c r="S123">
        <f ca="1">IF(D123="Recapture",IF(OFFSET(B$1,MATCH(K123,K$2:K122,0),0)=B123,0,1),1)</f>
        <v>1</v>
      </c>
    </row>
    <row r="124" spans="1:19" x14ac:dyDescent="0.2">
      <c r="A124" s="15">
        <v>44027</v>
      </c>
      <c r="B124" s="28">
        <f t="shared" si="10"/>
        <v>20207</v>
      </c>
      <c r="C124">
        <f>A124-A$2</f>
        <v>51</v>
      </c>
      <c r="D124" s="5" t="s">
        <v>25</v>
      </c>
      <c r="E124" s="25" t="s">
        <v>49</v>
      </c>
      <c r="F124" s="13">
        <v>0.44097222222222227</v>
      </c>
      <c r="G124" s="13">
        <v>0.44930555555555557</v>
      </c>
      <c r="H124" s="3">
        <f t="shared" si="12"/>
        <v>8.3333333333333037E-3</v>
      </c>
      <c r="I124" s="5" t="s">
        <v>25</v>
      </c>
      <c r="L124" s="12">
        <v>250</v>
      </c>
      <c r="M124" s="1" t="s">
        <v>9</v>
      </c>
      <c r="N124" t="s">
        <v>26</v>
      </c>
      <c r="P124">
        <v>0.91470996426172091</v>
      </c>
      <c r="Q124">
        <f t="shared" si="8"/>
        <v>16</v>
      </c>
      <c r="R124">
        <f ca="1">IF(ISNA(MATCH(P124,OFFSET('age-length key'!O$8,Data!Q124,17,1,5),1)),1,MATCH(P124,OFFSET('age-length key'!O$8,Data!Q124,17,1,5),1)+1)</f>
        <v>3</v>
      </c>
      <c r="S124">
        <f ca="1">IF(D124="Recapture",IF(OFFSET(B$1,MATCH(K124,K$2:K123,0),0)=B124,0,1),1)</f>
        <v>1</v>
      </c>
    </row>
    <row r="125" spans="1:19" x14ac:dyDescent="0.2">
      <c r="A125" s="15">
        <v>44027</v>
      </c>
      <c r="B125" s="28">
        <f t="shared" si="10"/>
        <v>20207</v>
      </c>
      <c r="C125">
        <f>A125-A$2</f>
        <v>51</v>
      </c>
      <c r="D125" s="5" t="s">
        <v>25</v>
      </c>
      <c r="E125" s="25" t="s">
        <v>49</v>
      </c>
      <c r="F125" s="13">
        <v>0.54583333333333328</v>
      </c>
      <c r="G125" s="13">
        <v>0.55555555555555558</v>
      </c>
      <c r="H125" s="3">
        <f t="shared" si="12"/>
        <v>9.7222222222222987E-3</v>
      </c>
      <c r="I125" s="5" t="s">
        <v>25</v>
      </c>
      <c r="L125" s="12">
        <v>255</v>
      </c>
      <c r="M125" s="1" t="s">
        <v>86</v>
      </c>
      <c r="N125" t="s">
        <v>26</v>
      </c>
      <c r="P125">
        <v>0.53036934674269021</v>
      </c>
      <c r="Q125">
        <f t="shared" si="8"/>
        <v>17</v>
      </c>
      <c r="R125">
        <f ca="1">IF(ISNA(MATCH(P125,OFFSET('age-length key'!O$8,Data!Q125,17,1,5),1)),1,MATCH(P125,OFFSET('age-length key'!O$8,Data!Q125,17,1,5),1)+1)</f>
        <v>3</v>
      </c>
      <c r="S125">
        <f ca="1">IF(D125="Recapture",IF(OFFSET(B$1,MATCH(K125,K$2:K124,0),0)=B125,0,1),1)</f>
        <v>1</v>
      </c>
    </row>
    <row r="126" spans="1:19" x14ac:dyDescent="0.2">
      <c r="A126" s="15">
        <v>44027</v>
      </c>
      <c r="B126" s="28">
        <f t="shared" si="10"/>
        <v>20207</v>
      </c>
      <c r="C126">
        <f>A126-A$2</f>
        <v>51</v>
      </c>
      <c r="D126" s="5" t="s">
        <v>25</v>
      </c>
      <c r="E126" s="25" t="s">
        <v>49</v>
      </c>
      <c r="F126" s="13">
        <v>0.42222222222222222</v>
      </c>
      <c r="G126" s="13">
        <v>0.43888888888888888</v>
      </c>
      <c r="H126" s="3">
        <f t="shared" si="12"/>
        <v>1.6666666666666663E-2</v>
      </c>
      <c r="I126" s="5" t="s">
        <v>25</v>
      </c>
      <c r="L126" s="12">
        <v>245</v>
      </c>
      <c r="M126" s="1" t="s">
        <v>6</v>
      </c>
      <c r="N126" t="s">
        <v>26</v>
      </c>
      <c r="P126">
        <v>0.91761070439480741</v>
      </c>
      <c r="Q126">
        <f t="shared" si="8"/>
        <v>16</v>
      </c>
      <c r="R126">
        <f ca="1">IF(ISNA(MATCH(P126,OFFSET('age-length key'!O$8,Data!Q126,17,1,5),1)),1,MATCH(P126,OFFSET('age-length key'!O$8,Data!Q126,17,1,5),1)+1)</f>
        <v>3</v>
      </c>
      <c r="S126">
        <f ca="1">IF(D126="Recapture",IF(OFFSET(B$1,MATCH(K126,K$2:K125,0),0)=B126,0,1),1)</f>
        <v>1</v>
      </c>
    </row>
    <row r="127" spans="1:19" x14ac:dyDescent="0.2">
      <c r="A127" s="15">
        <v>44027</v>
      </c>
      <c r="B127" s="28">
        <f t="shared" si="10"/>
        <v>20207</v>
      </c>
      <c r="C127">
        <f>A127-A$2</f>
        <v>51</v>
      </c>
      <c r="D127" s="5" t="s">
        <v>25</v>
      </c>
      <c r="E127" s="25" t="s">
        <v>49</v>
      </c>
      <c r="F127" s="13">
        <v>0.27430555555555552</v>
      </c>
      <c r="G127" s="13">
        <v>0.29305555555555557</v>
      </c>
      <c r="H127" s="3">
        <f t="shared" si="12"/>
        <v>1.8750000000000044E-2</v>
      </c>
      <c r="I127" s="5" t="s">
        <v>25</v>
      </c>
      <c r="L127" s="12">
        <v>238</v>
      </c>
      <c r="M127" s="1" t="s">
        <v>23</v>
      </c>
      <c r="N127" t="s">
        <v>26</v>
      </c>
      <c r="P127">
        <v>0.28310876352857273</v>
      </c>
      <c r="Q127">
        <f t="shared" si="8"/>
        <v>15</v>
      </c>
      <c r="R127">
        <f ca="1">IF(ISNA(MATCH(P127,OFFSET('age-length key'!O$8,Data!Q127,17,1,5),1)),1,MATCH(P127,OFFSET('age-length key'!O$8,Data!Q127,17,1,5),1)+1)</f>
        <v>2</v>
      </c>
      <c r="S127">
        <f ca="1">IF(D127="Recapture",IF(OFFSET(B$1,MATCH(K127,K$2:K126,0),0)=B127,0,1),1)</f>
        <v>1</v>
      </c>
    </row>
    <row r="128" spans="1:19" x14ac:dyDescent="0.2">
      <c r="A128" s="15">
        <v>44027</v>
      </c>
      <c r="B128" s="28">
        <f t="shared" si="10"/>
        <v>20207</v>
      </c>
      <c r="C128">
        <f>A128-A$2</f>
        <v>51</v>
      </c>
      <c r="D128" s="5" t="s">
        <v>25</v>
      </c>
      <c r="E128" s="25" t="s">
        <v>49</v>
      </c>
      <c r="F128" s="13">
        <v>0.44930555555555557</v>
      </c>
      <c r="G128" s="13">
        <v>0.47430555555555554</v>
      </c>
      <c r="H128" s="3">
        <f t="shared" si="12"/>
        <v>2.4999999999999967E-2</v>
      </c>
      <c r="I128" s="5" t="s">
        <v>25</v>
      </c>
      <c r="L128" s="12">
        <v>253</v>
      </c>
      <c r="M128" s="1" t="s">
        <v>13</v>
      </c>
      <c r="N128" t="s">
        <v>26</v>
      </c>
      <c r="P128">
        <v>0.20898862472222587</v>
      </c>
      <c r="Q128">
        <f t="shared" si="8"/>
        <v>16</v>
      </c>
      <c r="R128">
        <f ca="1">IF(ISNA(MATCH(P128,OFFSET('age-length key'!O$8,Data!Q128,17,1,5),1)),1,MATCH(P128,OFFSET('age-length key'!O$8,Data!Q128,17,1,5),1)+1)</f>
        <v>2</v>
      </c>
      <c r="S128">
        <f ca="1">IF(D128="Recapture",IF(OFFSET(B$1,MATCH(K128,K$2:K127,0),0)=B128,0,1),1)</f>
        <v>1</v>
      </c>
    </row>
    <row r="129" spans="1:19" x14ac:dyDescent="0.2">
      <c r="A129" s="15">
        <v>44027</v>
      </c>
      <c r="B129" s="28">
        <f t="shared" si="10"/>
        <v>20207</v>
      </c>
      <c r="C129">
        <f>A129-A$2</f>
        <v>51</v>
      </c>
      <c r="D129" s="5" t="s">
        <v>25</v>
      </c>
      <c r="E129" s="25" t="s">
        <v>49</v>
      </c>
      <c r="F129" s="13">
        <v>0.3923611111111111</v>
      </c>
      <c r="G129" s="13">
        <v>0.41805555555555557</v>
      </c>
      <c r="H129" s="3">
        <f t="shared" si="12"/>
        <v>2.5694444444444464E-2</v>
      </c>
      <c r="I129" s="5" t="s">
        <v>25</v>
      </c>
      <c r="L129" s="12">
        <v>145</v>
      </c>
      <c r="M129" s="1" t="s">
        <v>9</v>
      </c>
      <c r="N129" t="s">
        <v>26</v>
      </c>
      <c r="P129">
        <v>0.47181570645040632</v>
      </c>
      <c r="Q129">
        <f t="shared" si="8"/>
        <v>6</v>
      </c>
      <c r="R129">
        <f ca="1">IF(ISNA(MATCH(P129,OFFSET('age-length key'!O$8,Data!Q129,17,1,5),1)),1,MATCH(P129,OFFSET('age-length key'!O$8,Data!Q129,17,1,5),1)+1)</f>
        <v>1</v>
      </c>
      <c r="S129">
        <f ca="1">IF(D129="Recapture",IF(OFFSET(B$1,MATCH(K129,K$2:K128,0),0)=B129,0,1),1)</f>
        <v>1</v>
      </c>
    </row>
    <row r="130" spans="1:19" x14ac:dyDescent="0.2">
      <c r="A130" s="15">
        <v>44027</v>
      </c>
      <c r="B130" s="28">
        <f t="shared" si="10"/>
        <v>20207</v>
      </c>
      <c r="C130">
        <f>A130-A$2</f>
        <v>51</v>
      </c>
      <c r="D130" s="5" t="s">
        <v>25</v>
      </c>
      <c r="E130" s="25" t="s">
        <v>49</v>
      </c>
      <c r="F130" s="13">
        <v>0.47430555555555554</v>
      </c>
      <c r="G130" s="13">
        <v>0.5</v>
      </c>
      <c r="H130" s="3">
        <f t="shared" si="12"/>
        <v>2.5694444444444464E-2</v>
      </c>
      <c r="I130" s="5" t="s">
        <v>25</v>
      </c>
      <c r="L130" s="12">
        <v>262</v>
      </c>
      <c r="M130" s="1" t="s">
        <v>6</v>
      </c>
      <c r="N130" t="s">
        <v>26</v>
      </c>
      <c r="P130">
        <v>0.80657831197910868</v>
      </c>
      <c r="Q130">
        <f t="shared" ref="Q130:Q193" si="13">INT((L130-95)/10)+1</f>
        <v>17</v>
      </c>
      <c r="R130">
        <f ca="1">IF(ISNA(MATCH(P130,OFFSET('age-length key'!O$8,Data!Q130,17,1,5),1)),1,MATCH(P130,OFFSET('age-length key'!O$8,Data!Q130,17,1,5),1)+1)</f>
        <v>3</v>
      </c>
      <c r="S130">
        <f ca="1">IF(D130="Recapture",IF(OFFSET(B$1,MATCH(K130,K$2:K129,0),0)=B130,0,1),1)</f>
        <v>1</v>
      </c>
    </row>
    <row r="131" spans="1:19" x14ac:dyDescent="0.2">
      <c r="A131" s="15">
        <v>44027</v>
      </c>
      <c r="B131" s="28">
        <f t="shared" si="10"/>
        <v>20207</v>
      </c>
      <c r="C131">
        <f>A131-A$2</f>
        <v>51</v>
      </c>
      <c r="D131" s="5" t="s">
        <v>25</v>
      </c>
      <c r="E131" s="25" t="s">
        <v>49</v>
      </c>
      <c r="F131" s="13">
        <v>0.50694444444444442</v>
      </c>
      <c r="G131" s="13">
        <v>0.54583333333333328</v>
      </c>
      <c r="H131" s="3">
        <f t="shared" ref="H131:H162" si="14">G131-F131</f>
        <v>3.8888888888888862E-2</v>
      </c>
      <c r="I131" s="5" t="s">
        <v>25</v>
      </c>
      <c r="L131" s="12">
        <v>167</v>
      </c>
      <c r="M131" s="1" t="s">
        <v>86</v>
      </c>
      <c r="N131" t="s">
        <v>26</v>
      </c>
      <c r="P131">
        <v>0.16168943287883394</v>
      </c>
      <c r="Q131">
        <f t="shared" si="13"/>
        <v>8</v>
      </c>
      <c r="R131">
        <f ca="1">IF(ISNA(MATCH(P131,OFFSET('age-length key'!O$8,Data!Q131,17,1,5),1)),1,MATCH(P131,OFFSET('age-length key'!O$8,Data!Q131,17,1,5),1)+1)</f>
        <v>1</v>
      </c>
      <c r="S131">
        <f ca="1">IF(D131="Recapture",IF(OFFSET(B$1,MATCH(K131,K$2:K130,0),0)=B131,0,1),1)</f>
        <v>1</v>
      </c>
    </row>
    <row r="132" spans="1:19" x14ac:dyDescent="0.2">
      <c r="A132" s="15">
        <v>44027</v>
      </c>
      <c r="B132" s="28">
        <f t="shared" si="10"/>
        <v>20207</v>
      </c>
      <c r="C132">
        <f>A132-A$2</f>
        <v>51</v>
      </c>
      <c r="D132" s="5" t="s">
        <v>25</v>
      </c>
      <c r="E132" s="25" t="s">
        <v>49</v>
      </c>
      <c r="F132" s="13">
        <v>0.33819444444444446</v>
      </c>
      <c r="G132" s="13">
        <v>0.3923611111111111</v>
      </c>
      <c r="H132" s="3">
        <f t="shared" si="14"/>
        <v>5.4166666666666641E-2</v>
      </c>
      <c r="I132" s="5" t="s">
        <v>25</v>
      </c>
      <c r="L132" s="12">
        <v>151</v>
      </c>
      <c r="M132" s="1" t="s">
        <v>86</v>
      </c>
      <c r="N132" t="s">
        <v>26</v>
      </c>
      <c r="P132">
        <v>0.5142983945618842</v>
      </c>
      <c r="Q132">
        <f t="shared" si="13"/>
        <v>6</v>
      </c>
      <c r="R132">
        <f ca="1">IF(ISNA(MATCH(P132,OFFSET('age-length key'!O$8,Data!Q132,17,1,5),1)),1,MATCH(P132,OFFSET('age-length key'!O$8,Data!Q132,17,1,5),1)+1)</f>
        <v>1</v>
      </c>
      <c r="S132">
        <f ca="1">IF(D132="Recapture",IF(OFFSET(B$1,MATCH(K132,K$2:K131,0),0)=B132,0,1),1)</f>
        <v>1</v>
      </c>
    </row>
    <row r="133" spans="1:19" x14ac:dyDescent="0.2">
      <c r="A133" s="10">
        <v>44027</v>
      </c>
      <c r="B133" s="28">
        <f t="shared" si="10"/>
        <v>20207</v>
      </c>
      <c r="C133">
        <f>A133-A$2</f>
        <v>51</v>
      </c>
      <c r="D133" s="11" t="s">
        <v>47</v>
      </c>
      <c r="E133" s="24" t="s">
        <v>49</v>
      </c>
      <c r="F133" s="13"/>
      <c r="G133" s="13"/>
      <c r="H133" s="3"/>
      <c r="I133" s="12">
        <v>220</v>
      </c>
      <c r="J133" s="11" t="s">
        <v>57</v>
      </c>
      <c r="K133" s="11" t="str">
        <f t="shared" ref="K133:K134" si="15">_xlfn.CONCAT(J133,I133)</f>
        <v>Pink220</v>
      </c>
      <c r="L133" s="12">
        <v>270</v>
      </c>
      <c r="M133" s="12"/>
      <c r="N133" s="12" t="s">
        <v>27</v>
      </c>
      <c r="O133" s="12"/>
      <c r="P133">
        <v>0.8131174015873659</v>
      </c>
      <c r="Q133">
        <f t="shared" si="13"/>
        <v>18</v>
      </c>
      <c r="R133">
        <f ca="1">IF(ISNA(MATCH(P133,OFFSET('age-length key'!O$8,Data!Q133,17,1,5),1)),1,MATCH(P133,OFFSET('age-length key'!O$8,Data!Q133,17,1,5),1)+1)</f>
        <v>3</v>
      </c>
      <c r="S133">
        <f ca="1">IF(D133="Recapture",IF(OFFSET(B$1,MATCH(K133,K$2:K132,0),0)=B133,0,1),1)</f>
        <v>1</v>
      </c>
    </row>
    <row r="134" spans="1:19" x14ac:dyDescent="0.2">
      <c r="A134" s="10">
        <v>44027</v>
      </c>
      <c r="B134" s="28">
        <f t="shared" si="10"/>
        <v>20207</v>
      </c>
      <c r="C134">
        <f>A134-A$2</f>
        <v>51</v>
      </c>
      <c r="D134" s="11" t="s">
        <v>47</v>
      </c>
      <c r="E134" s="24" t="s">
        <v>49</v>
      </c>
      <c r="F134" s="13"/>
      <c r="G134" s="13"/>
      <c r="H134" s="3"/>
      <c r="I134" s="12">
        <v>223</v>
      </c>
      <c r="J134" s="11" t="s">
        <v>57</v>
      </c>
      <c r="K134" s="11" t="str">
        <f t="shared" si="15"/>
        <v>Pink223</v>
      </c>
      <c r="L134" s="12">
        <v>340</v>
      </c>
      <c r="M134" s="12"/>
      <c r="N134" s="12" t="s">
        <v>27</v>
      </c>
      <c r="O134" s="12"/>
      <c r="P134">
        <v>6.4168478857804315E-2</v>
      </c>
      <c r="Q134">
        <f t="shared" si="13"/>
        <v>25</v>
      </c>
      <c r="R134">
        <f ca="1">IF(ISNA(MATCH(P134,OFFSET('age-length key'!O$8,Data!Q134,17,1,5),1)),1,MATCH(P134,OFFSET('age-length key'!O$8,Data!Q134,17,1,5),1)+1)</f>
        <v>3</v>
      </c>
      <c r="S134">
        <f ca="1">IF(D134="Recapture",IF(OFFSET(B$1,MATCH(K134,K$2:K133,0),0)=B134,0,1),1)</f>
        <v>1</v>
      </c>
    </row>
    <row r="135" spans="1:19" x14ac:dyDescent="0.2">
      <c r="A135" s="1">
        <v>44035</v>
      </c>
      <c r="B135" s="28">
        <f t="shared" si="10"/>
        <v>20207</v>
      </c>
      <c r="C135">
        <f>A135-A$2</f>
        <v>59</v>
      </c>
      <c r="D135" s="5" t="s">
        <v>25</v>
      </c>
      <c r="E135" s="22" t="s">
        <v>52</v>
      </c>
      <c r="F135" s="4">
        <v>0.49652777777777773</v>
      </c>
      <c r="G135" s="4">
        <v>0.51666666666666672</v>
      </c>
      <c r="H135" s="3">
        <f t="shared" ref="H135:H166" si="16">G135-F135</f>
        <v>2.0138888888888984E-2</v>
      </c>
      <c r="I135" s="5" t="s">
        <v>25</v>
      </c>
      <c r="N135" t="s">
        <v>27</v>
      </c>
      <c r="P135">
        <v>0.47962416311708472</v>
      </c>
      <c r="Q135">
        <f t="shared" si="13"/>
        <v>-9</v>
      </c>
      <c r="R135" s="27">
        <f>MATCH(P135,'age-length key'!P$6:T$6,1)</f>
        <v>1</v>
      </c>
      <c r="S135">
        <f ca="1">IF(D135="Recapture",IF(OFFSET(B$1,MATCH(K135,K$2:K134,0),0)=B135,0,1),1)</f>
        <v>1</v>
      </c>
    </row>
    <row r="136" spans="1:19" x14ac:dyDescent="0.2">
      <c r="A136" s="1">
        <v>44045</v>
      </c>
      <c r="B136" s="28">
        <f t="shared" si="10"/>
        <v>20208</v>
      </c>
      <c r="C136">
        <f>A136-A$2</f>
        <v>69</v>
      </c>
      <c r="D136" s="5" t="s">
        <v>58</v>
      </c>
      <c r="E136" s="22" t="s">
        <v>53</v>
      </c>
      <c r="F136" s="4">
        <v>0.48194444444444445</v>
      </c>
      <c r="G136" s="4">
        <v>0.4861111111111111</v>
      </c>
      <c r="H136" s="3">
        <f t="shared" si="16"/>
        <v>4.1666666666666519E-3</v>
      </c>
      <c r="I136">
        <v>28</v>
      </c>
      <c r="J136" t="s">
        <v>57</v>
      </c>
      <c r="K136" s="11" t="str">
        <f>_xlfn.CONCAT(J136,I136)</f>
        <v>Pink28</v>
      </c>
      <c r="L136" s="26">
        <f ca="1">OFFSET(K$1,MATCH(K136,K$2:K135,0),1)</f>
        <v>305</v>
      </c>
      <c r="N136" t="s">
        <v>26</v>
      </c>
      <c r="P136">
        <v>4.3309508843025896E-2</v>
      </c>
      <c r="Q136">
        <f t="shared" ca="1" si="13"/>
        <v>22</v>
      </c>
      <c r="R136" s="26">
        <f ca="1">OFFSET(Q$1,MATCH(K136,K$2:K135,0),1)</f>
        <v>3</v>
      </c>
      <c r="S136">
        <f ca="1">IF(D136="Recapture",IF(OFFSET(B$1,MATCH(K136,K$2:K135,0),0)=B136,0,1),1)</f>
        <v>1</v>
      </c>
    </row>
    <row r="137" spans="1:19" x14ac:dyDescent="0.2">
      <c r="A137" s="15">
        <v>44050</v>
      </c>
      <c r="B137" s="28">
        <f t="shared" si="10"/>
        <v>20208</v>
      </c>
      <c r="C137">
        <f>A137-A$2</f>
        <v>74</v>
      </c>
      <c r="D137" s="5" t="s">
        <v>25</v>
      </c>
      <c r="E137" s="25" t="s">
        <v>49</v>
      </c>
      <c r="F137" s="13">
        <v>0.34722222222222227</v>
      </c>
      <c r="G137" s="13">
        <v>0.34791666666666665</v>
      </c>
      <c r="H137" s="3">
        <f t="shared" si="16"/>
        <v>6.9444444444438647E-4</v>
      </c>
      <c r="I137" s="5" t="s">
        <v>25</v>
      </c>
      <c r="L137" s="12">
        <v>155</v>
      </c>
      <c r="M137" s="1" t="s">
        <v>6</v>
      </c>
      <c r="N137" t="s">
        <v>26</v>
      </c>
      <c r="P137">
        <v>0.90291512473622115</v>
      </c>
      <c r="Q137">
        <f t="shared" si="13"/>
        <v>7</v>
      </c>
      <c r="R137">
        <f ca="1">IF(ISNA(MATCH(P137,OFFSET('age-length key'!O$8,Data!Q137,17,1,5),1)),1,MATCH(P137,OFFSET('age-length key'!O$8,Data!Q137,17,1,5),1)+1)</f>
        <v>1</v>
      </c>
      <c r="S137">
        <f ca="1">IF(D137="Recapture",IF(OFFSET(B$1,MATCH(K137,K$2:K136,0),0)=B137,0,1),1)</f>
        <v>1</v>
      </c>
    </row>
    <row r="138" spans="1:19" x14ac:dyDescent="0.2">
      <c r="A138" s="15">
        <v>44050</v>
      </c>
      <c r="B138" s="28">
        <f t="shared" si="10"/>
        <v>20208</v>
      </c>
      <c r="C138">
        <f>A138-A$2</f>
        <v>74</v>
      </c>
      <c r="D138" s="5" t="s">
        <v>25</v>
      </c>
      <c r="E138" s="25" t="s">
        <v>49</v>
      </c>
      <c r="F138" s="13">
        <v>0.35416666666666669</v>
      </c>
      <c r="G138" s="13">
        <v>0.35486111111111113</v>
      </c>
      <c r="H138" s="3">
        <f t="shared" si="16"/>
        <v>6.9444444444444198E-4</v>
      </c>
      <c r="I138" s="5" t="s">
        <v>25</v>
      </c>
      <c r="L138" s="12">
        <v>180</v>
      </c>
      <c r="M138" s="1" t="s">
        <v>6</v>
      </c>
      <c r="N138" t="s">
        <v>26</v>
      </c>
      <c r="P138">
        <v>0.29450144166802122</v>
      </c>
      <c r="Q138">
        <f t="shared" si="13"/>
        <v>9</v>
      </c>
      <c r="R138">
        <f ca="1">IF(ISNA(MATCH(P138,OFFSET('age-length key'!O$8,Data!Q138,17,1,5),1)),1,MATCH(P138,OFFSET('age-length key'!O$8,Data!Q138,17,1,5),1)+1)</f>
        <v>1</v>
      </c>
      <c r="S138">
        <f ca="1">IF(D138="Recapture",IF(OFFSET(B$1,MATCH(K138,K$2:K137,0),0)=B138,0,1),1)</f>
        <v>1</v>
      </c>
    </row>
    <row r="139" spans="1:19" x14ac:dyDescent="0.2">
      <c r="A139" s="15">
        <v>44050</v>
      </c>
      <c r="B139" s="28">
        <f t="shared" ref="B139:B202" si="17">YEAR(A139)*10+MONTH(A139)</f>
        <v>20208</v>
      </c>
      <c r="C139">
        <f>A139-A$2</f>
        <v>74</v>
      </c>
      <c r="D139" s="5" t="s">
        <v>25</v>
      </c>
      <c r="E139" s="25" t="s">
        <v>49</v>
      </c>
      <c r="F139" s="13">
        <v>0.34027777777777773</v>
      </c>
      <c r="G139" s="13">
        <v>0.34097222222222223</v>
      </c>
      <c r="H139" s="3">
        <f t="shared" si="16"/>
        <v>6.9444444444449749E-4</v>
      </c>
      <c r="I139" s="5" t="s">
        <v>25</v>
      </c>
      <c r="L139" s="12">
        <v>152</v>
      </c>
      <c r="M139" s="1" t="s">
        <v>6</v>
      </c>
      <c r="N139" t="s">
        <v>26</v>
      </c>
      <c r="P139">
        <v>0.68573011443285747</v>
      </c>
      <c r="Q139">
        <f t="shared" si="13"/>
        <v>6</v>
      </c>
      <c r="R139">
        <f ca="1">IF(ISNA(MATCH(P139,OFFSET('age-length key'!O$8,Data!Q139,17,1,5),1)),1,MATCH(P139,OFFSET('age-length key'!O$8,Data!Q139,17,1,5),1)+1)</f>
        <v>1</v>
      </c>
      <c r="S139">
        <f ca="1">IF(D139="Recapture",IF(OFFSET(B$1,MATCH(K139,K$2:K138,0),0)=B139,0,1),1)</f>
        <v>1</v>
      </c>
    </row>
    <row r="140" spans="1:19" x14ac:dyDescent="0.2">
      <c r="A140" s="15">
        <v>44050</v>
      </c>
      <c r="B140" s="28">
        <f t="shared" si="17"/>
        <v>20208</v>
      </c>
      <c r="C140">
        <f>A140-A$2</f>
        <v>74</v>
      </c>
      <c r="D140" s="5" t="s">
        <v>25</v>
      </c>
      <c r="E140" s="25" t="s">
        <v>49</v>
      </c>
      <c r="F140" s="13">
        <v>0.34375</v>
      </c>
      <c r="G140" s="13">
        <v>0.3444444444444445</v>
      </c>
      <c r="H140" s="3">
        <f t="shared" si="16"/>
        <v>6.9444444444449749E-4</v>
      </c>
      <c r="I140" s="5" t="s">
        <v>25</v>
      </c>
      <c r="L140" s="12">
        <v>164</v>
      </c>
      <c r="M140" s="1" t="s">
        <v>6</v>
      </c>
      <c r="N140" t="s">
        <v>26</v>
      </c>
      <c r="P140">
        <v>6.6033273034744558E-2</v>
      </c>
      <c r="Q140">
        <f t="shared" si="13"/>
        <v>7</v>
      </c>
      <c r="R140">
        <f ca="1">IF(ISNA(MATCH(P140,OFFSET('age-length key'!O$8,Data!Q140,17,1,5),1)),1,MATCH(P140,OFFSET('age-length key'!O$8,Data!Q140,17,1,5),1)+1)</f>
        <v>1</v>
      </c>
      <c r="S140">
        <f ca="1">IF(D140="Recapture",IF(OFFSET(B$1,MATCH(K140,K$2:K139,0),0)=B140,0,1),1)</f>
        <v>1</v>
      </c>
    </row>
    <row r="141" spans="1:19" x14ac:dyDescent="0.2">
      <c r="A141" s="15">
        <v>44050</v>
      </c>
      <c r="B141" s="28">
        <f t="shared" si="17"/>
        <v>20208</v>
      </c>
      <c r="C141">
        <f>A141-A$2</f>
        <v>74</v>
      </c>
      <c r="D141" s="5" t="s">
        <v>25</v>
      </c>
      <c r="E141" s="25" t="s">
        <v>49</v>
      </c>
      <c r="F141" s="13">
        <v>0.3444444444444445</v>
      </c>
      <c r="G141" s="13">
        <v>0.34583333333333338</v>
      </c>
      <c r="H141" s="3">
        <f t="shared" si="16"/>
        <v>1.388888888888884E-3</v>
      </c>
      <c r="I141" s="5" t="s">
        <v>25</v>
      </c>
      <c r="L141" s="12">
        <v>149</v>
      </c>
      <c r="M141" s="1" t="s">
        <v>6</v>
      </c>
      <c r="N141" t="s">
        <v>26</v>
      </c>
      <c r="P141">
        <v>0.8212198949517775</v>
      </c>
      <c r="Q141">
        <f t="shared" si="13"/>
        <v>6</v>
      </c>
      <c r="R141">
        <f ca="1">IF(ISNA(MATCH(P141,OFFSET('age-length key'!O$8,Data!Q141,17,1,5),1)),1,MATCH(P141,OFFSET('age-length key'!O$8,Data!Q141,17,1,5),1)+1)</f>
        <v>1</v>
      </c>
      <c r="S141">
        <f ca="1">IF(D141="Recapture",IF(OFFSET(B$1,MATCH(K141,K$2:K140,0),0)=B141,0,1),1)</f>
        <v>1</v>
      </c>
    </row>
    <row r="142" spans="1:19" x14ac:dyDescent="0.2">
      <c r="A142" s="15">
        <v>44050</v>
      </c>
      <c r="B142" s="28">
        <f t="shared" si="17"/>
        <v>20208</v>
      </c>
      <c r="C142">
        <f>A142-A$2</f>
        <v>74</v>
      </c>
      <c r="D142" s="5" t="s">
        <v>25</v>
      </c>
      <c r="E142" s="25" t="s">
        <v>49</v>
      </c>
      <c r="F142" s="13">
        <v>0.34583333333333338</v>
      </c>
      <c r="G142" s="13">
        <v>0.34722222222222227</v>
      </c>
      <c r="H142" s="3">
        <f t="shared" si="16"/>
        <v>1.388888888888884E-3</v>
      </c>
      <c r="I142" s="5" t="s">
        <v>25</v>
      </c>
      <c r="L142" s="12">
        <v>153</v>
      </c>
      <c r="M142" s="1" t="s">
        <v>6</v>
      </c>
      <c r="N142" t="s">
        <v>26</v>
      </c>
      <c r="P142">
        <v>0.24277445452416987</v>
      </c>
      <c r="Q142">
        <f t="shared" si="13"/>
        <v>6</v>
      </c>
      <c r="R142">
        <f ca="1">IF(ISNA(MATCH(P142,OFFSET('age-length key'!O$8,Data!Q142,17,1,5),1)),1,MATCH(P142,OFFSET('age-length key'!O$8,Data!Q142,17,1,5),1)+1)</f>
        <v>1</v>
      </c>
      <c r="S142">
        <f ca="1">IF(D142="Recapture",IF(OFFSET(B$1,MATCH(K142,K$2:K141,0),0)=B142,0,1),1)</f>
        <v>1</v>
      </c>
    </row>
    <row r="143" spans="1:19" x14ac:dyDescent="0.2">
      <c r="A143" s="15">
        <v>44050</v>
      </c>
      <c r="B143" s="28">
        <f t="shared" si="17"/>
        <v>20208</v>
      </c>
      <c r="C143">
        <f>A143-A$2</f>
        <v>74</v>
      </c>
      <c r="D143" s="5" t="s">
        <v>25</v>
      </c>
      <c r="E143" s="25" t="s">
        <v>49</v>
      </c>
      <c r="F143" s="13">
        <v>0.3527777777777778</v>
      </c>
      <c r="G143" s="13">
        <v>0.35416666666666669</v>
      </c>
      <c r="H143" s="3">
        <f t="shared" si="16"/>
        <v>1.388888888888884E-3</v>
      </c>
      <c r="I143" s="5" t="s">
        <v>25</v>
      </c>
      <c r="L143" s="12">
        <v>147</v>
      </c>
      <c r="M143" s="1" t="s">
        <v>6</v>
      </c>
      <c r="N143" t="s">
        <v>26</v>
      </c>
      <c r="P143">
        <v>0.31025718772330191</v>
      </c>
      <c r="Q143">
        <f t="shared" si="13"/>
        <v>6</v>
      </c>
      <c r="R143">
        <f ca="1">IF(ISNA(MATCH(P143,OFFSET('age-length key'!O$8,Data!Q143,17,1,5),1)),1,MATCH(P143,OFFSET('age-length key'!O$8,Data!Q143,17,1,5),1)+1)</f>
        <v>1</v>
      </c>
      <c r="S143">
        <f ca="1">IF(D143="Recapture",IF(OFFSET(B$1,MATCH(K143,K$2:K142,0),0)=B143,0,1),1)</f>
        <v>1</v>
      </c>
    </row>
    <row r="144" spans="1:19" x14ac:dyDescent="0.2">
      <c r="A144" s="15">
        <v>44050</v>
      </c>
      <c r="B144" s="28">
        <f t="shared" si="17"/>
        <v>20208</v>
      </c>
      <c r="C144">
        <f>A144-A$2</f>
        <v>74</v>
      </c>
      <c r="D144" s="5" t="s">
        <v>25</v>
      </c>
      <c r="E144" s="25" t="s">
        <v>49</v>
      </c>
      <c r="F144" s="13">
        <v>0.46180555555555558</v>
      </c>
      <c r="G144" s="13">
        <v>0.46319444444444446</v>
      </c>
      <c r="H144" s="3">
        <f t="shared" si="16"/>
        <v>1.388888888888884E-3</v>
      </c>
      <c r="I144" s="5" t="s">
        <v>25</v>
      </c>
      <c r="L144" s="12">
        <v>145</v>
      </c>
      <c r="M144" s="1" t="s">
        <v>13</v>
      </c>
      <c r="N144" t="s">
        <v>26</v>
      </c>
      <c r="P144">
        <v>0.492554065535103</v>
      </c>
      <c r="Q144">
        <f t="shared" si="13"/>
        <v>6</v>
      </c>
      <c r="R144">
        <f ca="1">IF(ISNA(MATCH(P144,OFFSET('age-length key'!O$8,Data!Q144,17,1,5),1)),1,MATCH(P144,OFFSET('age-length key'!O$8,Data!Q144,17,1,5),1)+1)</f>
        <v>1</v>
      </c>
      <c r="S144">
        <f ca="1">IF(D144="Recapture",IF(OFFSET(B$1,MATCH(K144,K$2:K143,0),0)=B144,0,1),1)</f>
        <v>1</v>
      </c>
    </row>
    <row r="145" spans="1:19" x14ac:dyDescent="0.2">
      <c r="A145" s="15">
        <v>44050</v>
      </c>
      <c r="B145" s="28">
        <f t="shared" si="17"/>
        <v>20208</v>
      </c>
      <c r="C145">
        <f>A145-A$2</f>
        <v>74</v>
      </c>
      <c r="D145" s="5" t="s">
        <v>25</v>
      </c>
      <c r="E145" s="25" t="s">
        <v>49</v>
      </c>
      <c r="F145" s="13">
        <v>0.46319444444444446</v>
      </c>
      <c r="G145" s="13">
        <v>0.46527777777777773</v>
      </c>
      <c r="H145" s="3">
        <f t="shared" si="16"/>
        <v>2.0833333333332704E-3</v>
      </c>
      <c r="I145" s="5" t="s">
        <v>25</v>
      </c>
      <c r="L145" s="12">
        <v>308</v>
      </c>
      <c r="M145" s="1" t="s">
        <v>6</v>
      </c>
      <c r="N145" t="s">
        <v>26</v>
      </c>
      <c r="P145">
        <v>0.3561794484761448</v>
      </c>
      <c r="Q145">
        <f t="shared" si="13"/>
        <v>22</v>
      </c>
      <c r="R145">
        <f ca="1">IF(ISNA(MATCH(P145,OFFSET('age-length key'!O$8,Data!Q145,17,1,5),1)),1,MATCH(P145,OFFSET('age-length key'!O$8,Data!Q145,17,1,5),1)+1)</f>
        <v>3</v>
      </c>
      <c r="S145">
        <f ca="1">IF(D145="Recapture",IF(OFFSET(B$1,MATCH(K145,K$2:K144,0),0)=B145,0,1),1)</f>
        <v>1</v>
      </c>
    </row>
    <row r="146" spans="1:19" x14ac:dyDescent="0.2">
      <c r="A146" s="15">
        <v>44050</v>
      </c>
      <c r="B146" s="28">
        <f t="shared" si="17"/>
        <v>20208</v>
      </c>
      <c r="C146">
        <f>A146-A$2</f>
        <v>74</v>
      </c>
      <c r="D146" s="5" t="s">
        <v>25</v>
      </c>
      <c r="E146" s="25" t="s">
        <v>49</v>
      </c>
      <c r="F146" s="13">
        <v>0.3611111111111111</v>
      </c>
      <c r="G146" s="13">
        <v>0.36319444444444443</v>
      </c>
      <c r="H146" s="3">
        <f t="shared" si="16"/>
        <v>2.0833333333333259E-3</v>
      </c>
      <c r="I146" s="5" t="s">
        <v>25</v>
      </c>
      <c r="L146" s="12">
        <v>168</v>
      </c>
      <c r="M146" s="1" t="s">
        <v>6</v>
      </c>
      <c r="N146" t="s">
        <v>26</v>
      </c>
      <c r="P146">
        <v>0.30799053856543757</v>
      </c>
      <c r="Q146">
        <f t="shared" si="13"/>
        <v>8</v>
      </c>
      <c r="R146">
        <f ca="1">IF(ISNA(MATCH(P146,OFFSET('age-length key'!O$8,Data!Q146,17,1,5),1)),1,MATCH(P146,OFFSET('age-length key'!O$8,Data!Q146,17,1,5),1)+1)</f>
        <v>1</v>
      </c>
      <c r="S146">
        <f ca="1">IF(D146="Recapture",IF(OFFSET(B$1,MATCH(K146,K$2:K145,0),0)=B146,0,1),1)</f>
        <v>1</v>
      </c>
    </row>
    <row r="147" spans="1:19" x14ac:dyDescent="0.2">
      <c r="A147" s="15">
        <v>44050</v>
      </c>
      <c r="B147" s="28">
        <f t="shared" si="17"/>
        <v>20208</v>
      </c>
      <c r="C147">
        <f>A147-A$2</f>
        <v>74</v>
      </c>
      <c r="D147" s="5" t="s">
        <v>25</v>
      </c>
      <c r="E147" s="25" t="s">
        <v>49</v>
      </c>
      <c r="F147" s="13">
        <v>0.44930555555555557</v>
      </c>
      <c r="G147" s="13">
        <v>0.4513888888888889</v>
      </c>
      <c r="H147" s="3">
        <f t="shared" si="16"/>
        <v>2.0833333333333259E-3</v>
      </c>
      <c r="I147" s="5" t="s">
        <v>25</v>
      </c>
      <c r="L147" s="12">
        <v>160</v>
      </c>
      <c r="M147" s="1" t="s">
        <v>28</v>
      </c>
      <c r="N147" t="s">
        <v>26</v>
      </c>
      <c r="P147">
        <v>0.39698166930907486</v>
      </c>
      <c r="Q147">
        <f t="shared" si="13"/>
        <v>7</v>
      </c>
      <c r="R147">
        <f ca="1">IF(ISNA(MATCH(P147,OFFSET('age-length key'!O$8,Data!Q147,17,1,5),1)),1,MATCH(P147,OFFSET('age-length key'!O$8,Data!Q147,17,1,5),1)+1)</f>
        <v>1</v>
      </c>
      <c r="S147">
        <f ca="1">IF(D147="Recapture",IF(OFFSET(B$1,MATCH(K147,K$2:K146,0),0)=B147,0,1),1)</f>
        <v>1</v>
      </c>
    </row>
    <row r="148" spans="1:19" x14ac:dyDescent="0.2">
      <c r="A148" s="15">
        <v>44050</v>
      </c>
      <c r="B148" s="28">
        <f t="shared" si="17"/>
        <v>20208</v>
      </c>
      <c r="C148">
        <f>A148-A$2</f>
        <v>74</v>
      </c>
      <c r="D148" s="5" t="s">
        <v>25</v>
      </c>
      <c r="E148" s="25" t="s">
        <v>49</v>
      </c>
      <c r="F148" s="13">
        <v>0.34097222222222223</v>
      </c>
      <c r="G148" s="13">
        <v>0.34375</v>
      </c>
      <c r="H148" s="3">
        <f t="shared" si="16"/>
        <v>2.7777777777777679E-3</v>
      </c>
      <c r="I148" s="5" t="s">
        <v>25</v>
      </c>
      <c r="L148" s="12">
        <v>172</v>
      </c>
      <c r="M148" s="1" t="s">
        <v>6</v>
      </c>
      <c r="N148" t="s">
        <v>26</v>
      </c>
      <c r="P148">
        <v>7.091607762077641E-2</v>
      </c>
      <c r="Q148">
        <f t="shared" si="13"/>
        <v>8</v>
      </c>
      <c r="R148">
        <f ca="1">IF(ISNA(MATCH(P148,OFFSET('age-length key'!O$8,Data!Q148,17,1,5),1)),1,MATCH(P148,OFFSET('age-length key'!O$8,Data!Q148,17,1,5),1)+1)</f>
        <v>1</v>
      </c>
      <c r="S148">
        <f ca="1">IF(D148="Recapture",IF(OFFSET(B$1,MATCH(K148,K$2:K147,0),0)=B148,0,1),1)</f>
        <v>1</v>
      </c>
    </row>
    <row r="149" spans="1:19" x14ac:dyDescent="0.2">
      <c r="A149" s="15">
        <v>44050</v>
      </c>
      <c r="B149" s="28">
        <f t="shared" si="17"/>
        <v>20208</v>
      </c>
      <c r="C149">
        <f>A149-A$2</f>
        <v>74</v>
      </c>
      <c r="D149" s="5" t="s">
        <v>25</v>
      </c>
      <c r="E149" s="25" t="s">
        <v>49</v>
      </c>
      <c r="F149" s="13">
        <v>0.35486111111111113</v>
      </c>
      <c r="G149" s="13">
        <v>0.3576388888888889</v>
      </c>
      <c r="H149" s="3">
        <f t="shared" si="16"/>
        <v>2.7777777777777679E-3</v>
      </c>
      <c r="I149" s="5" t="s">
        <v>25</v>
      </c>
      <c r="L149" s="12">
        <v>161</v>
      </c>
      <c r="M149" s="1" t="s">
        <v>6</v>
      </c>
      <c r="N149" t="s">
        <v>26</v>
      </c>
      <c r="P149">
        <v>0.8865165723890609</v>
      </c>
      <c r="Q149">
        <f t="shared" si="13"/>
        <v>7</v>
      </c>
      <c r="R149">
        <f ca="1">IF(ISNA(MATCH(P149,OFFSET('age-length key'!O$8,Data!Q149,17,1,5),1)),1,MATCH(P149,OFFSET('age-length key'!O$8,Data!Q149,17,1,5),1)+1)</f>
        <v>1</v>
      </c>
      <c r="S149">
        <f ca="1">IF(D149="Recapture",IF(OFFSET(B$1,MATCH(K149,K$2:K148,0),0)=B149,0,1),1)</f>
        <v>1</v>
      </c>
    </row>
    <row r="150" spans="1:19" x14ac:dyDescent="0.2">
      <c r="A150" s="15">
        <v>44050</v>
      </c>
      <c r="B150" s="28">
        <f t="shared" si="17"/>
        <v>20208</v>
      </c>
      <c r="C150">
        <f>A150-A$2</f>
        <v>74</v>
      </c>
      <c r="D150" s="5" t="s">
        <v>25</v>
      </c>
      <c r="E150" s="25" t="s">
        <v>49</v>
      </c>
      <c r="F150" s="13">
        <v>0.47222222222222227</v>
      </c>
      <c r="G150" s="13">
        <v>0.47500000000000003</v>
      </c>
      <c r="H150" s="3">
        <f t="shared" si="16"/>
        <v>2.7777777777777679E-3</v>
      </c>
      <c r="I150" s="5" t="s">
        <v>25</v>
      </c>
      <c r="L150" s="12">
        <v>175</v>
      </c>
      <c r="M150" s="1" t="s">
        <v>6</v>
      </c>
      <c r="N150" t="s">
        <v>26</v>
      </c>
      <c r="P150">
        <v>0.6840321429465116</v>
      </c>
      <c r="Q150">
        <f t="shared" si="13"/>
        <v>9</v>
      </c>
      <c r="R150">
        <f ca="1">IF(ISNA(MATCH(P150,OFFSET('age-length key'!O$8,Data!Q150,17,1,5),1)),1,MATCH(P150,OFFSET('age-length key'!O$8,Data!Q150,17,1,5),1)+1)</f>
        <v>2</v>
      </c>
      <c r="S150">
        <f ca="1">IF(D150="Recapture",IF(OFFSET(B$1,MATCH(K150,K$2:K149,0),0)=B150,0,1),1)</f>
        <v>1</v>
      </c>
    </row>
    <row r="151" spans="1:19" x14ac:dyDescent="0.2">
      <c r="A151" s="15">
        <v>44050</v>
      </c>
      <c r="B151" s="28">
        <f t="shared" si="17"/>
        <v>20208</v>
      </c>
      <c r="C151">
        <f>A151-A$2</f>
        <v>74</v>
      </c>
      <c r="D151" s="5" t="s">
        <v>25</v>
      </c>
      <c r="E151" s="25" t="s">
        <v>49</v>
      </c>
      <c r="F151" s="13">
        <v>0.3576388888888889</v>
      </c>
      <c r="G151" s="13">
        <v>0.3611111111111111</v>
      </c>
      <c r="H151" s="3">
        <f t="shared" si="16"/>
        <v>3.4722222222222099E-3</v>
      </c>
      <c r="I151" s="5" t="s">
        <v>25</v>
      </c>
      <c r="L151" s="12">
        <v>110</v>
      </c>
      <c r="M151" s="1" t="s">
        <v>6</v>
      </c>
      <c r="N151" t="s">
        <v>26</v>
      </c>
      <c r="P151">
        <v>0.52822650202001753</v>
      </c>
      <c r="Q151">
        <f t="shared" si="13"/>
        <v>2</v>
      </c>
      <c r="R151">
        <f ca="1">IF(ISNA(MATCH(P151,OFFSET('age-length key'!O$8,Data!Q151,17,1,5),1)),1,MATCH(P151,OFFSET('age-length key'!O$8,Data!Q151,17,1,5),1)+1)</f>
        <v>1</v>
      </c>
      <c r="S151">
        <f ca="1">IF(D151="Recapture",IF(OFFSET(B$1,MATCH(K151,K$2:K150,0),0)=B151,0,1),1)</f>
        <v>1</v>
      </c>
    </row>
    <row r="152" spans="1:19" x14ac:dyDescent="0.2">
      <c r="A152" s="15">
        <v>44050</v>
      </c>
      <c r="B152" s="28">
        <f t="shared" si="17"/>
        <v>20208</v>
      </c>
      <c r="C152">
        <f>A152-A$2</f>
        <v>74</v>
      </c>
      <c r="D152" s="5" t="s">
        <v>25</v>
      </c>
      <c r="E152" s="25" t="s">
        <v>49</v>
      </c>
      <c r="F152" s="13">
        <v>0.4513888888888889</v>
      </c>
      <c r="G152" s="13">
        <v>0.4548611111111111</v>
      </c>
      <c r="H152" s="3">
        <f t="shared" si="16"/>
        <v>3.4722222222222099E-3</v>
      </c>
      <c r="I152" s="5" t="s">
        <v>25</v>
      </c>
      <c r="L152" s="12">
        <v>155</v>
      </c>
      <c r="M152" s="1" t="s">
        <v>28</v>
      </c>
      <c r="N152" t="s">
        <v>26</v>
      </c>
      <c r="P152">
        <v>0.90281945043374756</v>
      </c>
      <c r="Q152">
        <f t="shared" si="13"/>
        <v>7</v>
      </c>
      <c r="R152">
        <f ca="1">IF(ISNA(MATCH(P152,OFFSET('age-length key'!O$8,Data!Q152,17,1,5),1)),1,MATCH(P152,OFFSET('age-length key'!O$8,Data!Q152,17,1,5),1)+1)</f>
        <v>1</v>
      </c>
      <c r="S152">
        <f ca="1">IF(D152="Recapture",IF(OFFSET(B$1,MATCH(K152,K$2:K151,0),0)=B152,0,1),1)</f>
        <v>1</v>
      </c>
    </row>
    <row r="153" spans="1:19" x14ac:dyDescent="0.2">
      <c r="A153" s="15">
        <v>44050</v>
      </c>
      <c r="B153" s="28">
        <f t="shared" si="17"/>
        <v>20208</v>
      </c>
      <c r="C153">
        <f>A153-A$2</f>
        <v>74</v>
      </c>
      <c r="D153" s="5" t="s">
        <v>25</v>
      </c>
      <c r="E153" s="25" t="s">
        <v>49</v>
      </c>
      <c r="F153" s="13">
        <v>0.47500000000000003</v>
      </c>
      <c r="G153" s="13">
        <v>0.47916666666666669</v>
      </c>
      <c r="H153" s="3">
        <f t="shared" si="16"/>
        <v>4.1666666666666519E-3</v>
      </c>
      <c r="I153" s="5" t="s">
        <v>25</v>
      </c>
      <c r="L153" s="12">
        <v>390</v>
      </c>
      <c r="M153" s="1" t="s">
        <v>6</v>
      </c>
      <c r="N153" t="s">
        <v>26</v>
      </c>
      <c r="P153">
        <v>0.68650343999569463</v>
      </c>
      <c r="Q153">
        <f t="shared" si="13"/>
        <v>30</v>
      </c>
      <c r="R153">
        <f ca="1">IF(ISNA(MATCH(P153,OFFSET('age-length key'!O$8,Data!Q153,17,1,5),1)),1,MATCH(P153,OFFSET('age-length key'!O$8,Data!Q153,17,1,5),1)+1)</f>
        <v>4</v>
      </c>
      <c r="S153">
        <f ca="1">IF(D153="Recapture",IF(OFFSET(B$1,MATCH(K153,K$2:K152,0),0)=B153,0,1),1)</f>
        <v>1</v>
      </c>
    </row>
    <row r="154" spans="1:19" x14ac:dyDescent="0.2">
      <c r="A154" s="15">
        <v>44050</v>
      </c>
      <c r="B154" s="28">
        <f t="shared" si="17"/>
        <v>20208</v>
      </c>
      <c r="C154">
        <f>A154-A$2</f>
        <v>74</v>
      </c>
      <c r="D154" s="5" t="s">
        <v>25</v>
      </c>
      <c r="E154" s="25" t="s">
        <v>49</v>
      </c>
      <c r="F154" s="13">
        <v>0.4548611111111111</v>
      </c>
      <c r="G154" s="13">
        <v>0.4597222222222222</v>
      </c>
      <c r="H154" s="3">
        <f t="shared" si="16"/>
        <v>4.8611111111110938E-3</v>
      </c>
      <c r="I154" s="5" t="s">
        <v>25</v>
      </c>
      <c r="L154" s="12">
        <v>144</v>
      </c>
      <c r="M154" s="1" t="s">
        <v>13</v>
      </c>
      <c r="N154" t="s">
        <v>26</v>
      </c>
      <c r="P154">
        <v>6.331600763989427E-2</v>
      </c>
      <c r="Q154">
        <f t="shared" si="13"/>
        <v>5</v>
      </c>
      <c r="R154">
        <f ca="1">IF(ISNA(MATCH(P154,OFFSET('age-length key'!O$8,Data!Q154,17,1,5),1)),1,MATCH(P154,OFFSET('age-length key'!O$8,Data!Q154,17,1,5),1)+1)</f>
        <v>1</v>
      </c>
      <c r="S154">
        <f ca="1">IF(D154="Recapture",IF(OFFSET(B$1,MATCH(K154,K$2:K153,0),0)=B154,0,1),1)</f>
        <v>1</v>
      </c>
    </row>
    <row r="155" spans="1:19" x14ac:dyDescent="0.2">
      <c r="A155" s="15">
        <v>44050</v>
      </c>
      <c r="B155" s="28">
        <f t="shared" si="17"/>
        <v>20208</v>
      </c>
      <c r="C155">
        <f>A155-A$2</f>
        <v>74</v>
      </c>
      <c r="D155" s="5" t="s">
        <v>25</v>
      </c>
      <c r="E155" s="25" t="s">
        <v>49</v>
      </c>
      <c r="F155" s="13">
        <v>0.4548611111111111</v>
      </c>
      <c r="G155" s="13">
        <v>0.4597222222222222</v>
      </c>
      <c r="H155" s="3">
        <f t="shared" si="16"/>
        <v>4.8611111111110938E-3</v>
      </c>
      <c r="I155" s="5" t="s">
        <v>25</v>
      </c>
      <c r="L155" s="12">
        <v>155</v>
      </c>
      <c r="M155" s="1" t="s">
        <v>13</v>
      </c>
      <c r="N155" t="s">
        <v>26</v>
      </c>
      <c r="P155">
        <v>0.15214040370292048</v>
      </c>
      <c r="Q155">
        <f t="shared" si="13"/>
        <v>7</v>
      </c>
      <c r="R155">
        <f ca="1">IF(ISNA(MATCH(P155,OFFSET('age-length key'!O$8,Data!Q155,17,1,5),1)),1,MATCH(P155,OFFSET('age-length key'!O$8,Data!Q155,17,1,5),1)+1)</f>
        <v>1</v>
      </c>
      <c r="S155">
        <f ca="1">IF(D155="Recapture",IF(OFFSET(B$1,MATCH(K155,K$2:K154,0),0)=B155,0,1),1)</f>
        <v>1</v>
      </c>
    </row>
    <row r="156" spans="1:19" x14ac:dyDescent="0.2">
      <c r="A156" s="15">
        <v>44050</v>
      </c>
      <c r="B156" s="28">
        <f t="shared" si="17"/>
        <v>20208</v>
      </c>
      <c r="C156">
        <f>A156-A$2</f>
        <v>74</v>
      </c>
      <c r="D156" s="5" t="s">
        <v>25</v>
      </c>
      <c r="E156" s="25" t="s">
        <v>49</v>
      </c>
      <c r="F156" s="13">
        <v>0.34791666666666665</v>
      </c>
      <c r="G156" s="13">
        <v>0.3527777777777778</v>
      </c>
      <c r="H156" s="3">
        <f t="shared" si="16"/>
        <v>4.8611111111111494E-3</v>
      </c>
      <c r="I156" s="5" t="s">
        <v>25</v>
      </c>
      <c r="L156" s="12">
        <v>153</v>
      </c>
      <c r="M156" s="1" t="s">
        <v>6</v>
      </c>
      <c r="N156" t="s">
        <v>26</v>
      </c>
      <c r="P156">
        <v>2.3765034984687825E-2</v>
      </c>
      <c r="Q156">
        <f t="shared" si="13"/>
        <v>6</v>
      </c>
      <c r="R156">
        <f ca="1">IF(ISNA(MATCH(P156,OFFSET('age-length key'!O$8,Data!Q156,17,1,5),1)),1,MATCH(P156,OFFSET('age-length key'!O$8,Data!Q156,17,1,5),1)+1)</f>
        <v>1</v>
      </c>
      <c r="S156">
        <f ca="1">IF(D156="Recapture",IF(OFFSET(B$1,MATCH(K156,K$2:K155,0),0)=B156,0,1),1)</f>
        <v>1</v>
      </c>
    </row>
    <row r="157" spans="1:19" x14ac:dyDescent="0.2">
      <c r="A157" s="15">
        <v>44050</v>
      </c>
      <c r="B157" s="28">
        <f t="shared" si="17"/>
        <v>20208</v>
      </c>
      <c r="C157">
        <f>A157-A$2</f>
        <v>74</v>
      </c>
      <c r="D157" s="5" t="s">
        <v>25</v>
      </c>
      <c r="E157" s="25" t="s">
        <v>49</v>
      </c>
      <c r="F157" s="13">
        <v>0.46527777777777773</v>
      </c>
      <c r="G157" s="13">
        <v>0.47222222222222227</v>
      </c>
      <c r="H157" s="3">
        <f t="shared" si="16"/>
        <v>6.9444444444445308E-3</v>
      </c>
      <c r="I157" s="5" t="s">
        <v>25</v>
      </c>
      <c r="L157" s="12">
        <v>131</v>
      </c>
      <c r="M157" s="1" t="s">
        <v>6</v>
      </c>
      <c r="N157" t="s">
        <v>26</v>
      </c>
      <c r="P157">
        <v>0.41894298764827798</v>
      </c>
      <c r="Q157">
        <f t="shared" si="13"/>
        <v>4</v>
      </c>
      <c r="R157">
        <f ca="1">IF(ISNA(MATCH(P157,OFFSET('age-length key'!O$8,Data!Q157,17,1,5),1)),1,MATCH(P157,OFFSET('age-length key'!O$8,Data!Q157,17,1,5),1)+1)</f>
        <v>1</v>
      </c>
      <c r="S157">
        <f ca="1">IF(D157="Recapture",IF(OFFSET(B$1,MATCH(K157,K$2:K156,0),0)=B157,0,1),1)</f>
        <v>1</v>
      </c>
    </row>
    <row r="158" spans="1:19" x14ac:dyDescent="0.2">
      <c r="A158" s="15">
        <v>44050</v>
      </c>
      <c r="B158" s="28">
        <f t="shared" si="17"/>
        <v>20208</v>
      </c>
      <c r="C158">
        <f>A158-A$2</f>
        <v>74</v>
      </c>
      <c r="D158" s="5" t="s">
        <v>25</v>
      </c>
      <c r="E158" s="25" t="s">
        <v>49</v>
      </c>
      <c r="F158" s="13">
        <v>0.38472222222222219</v>
      </c>
      <c r="G158" s="13">
        <v>0.3923611111111111</v>
      </c>
      <c r="H158" s="3">
        <f t="shared" si="16"/>
        <v>7.6388888888889173E-3</v>
      </c>
      <c r="I158" s="5" t="s">
        <v>25</v>
      </c>
      <c r="L158" s="12">
        <v>262</v>
      </c>
      <c r="M158" s="1" t="s">
        <v>15</v>
      </c>
      <c r="N158" t="s">
        <v>26</v>
      </c>
      <c r="P158">
        <v>0.17479340460840306</v>
      </c>
      <c r="Q158">
        <f t="shared" si="13"/>
        <v>17</v>
      </c>
      <c r="R158">
        <f ca="1">IF(ISNA(MATCH(P158,OFFSET('age-length key'!O$8,Data!Q158,17,1,5),1)),1,MATCH(P158,OFFSET('age-length key'!O$8,Data!Q158,17,1,5),1)+1)</f>
        <v>2</v>
      </c>
      <c r="S158">
        <f ca="1">IF(D158="Recapture",IF(OFFSET(B$1,MATCH(K158,K$2:K157,0),0)=B158,0,1),1)</f>
        <v>1</v>
      </c>
    </row>
    <row r="159" spans="1:19" x14ac:dyDescent="0.2">
      <c r="A159" s="15">
        <v>44050</v>
      </c>
      <c r="B159" s="28">
        <f t="shared" si="17"/>
        <v>20208</v>
      </c>
      <c r="C159">
        <f>A159-A$2</f>
        <v>74</v>
      </c>
      <c r="D159" s="5" t="s">
        <v>25</v>
      </c>
      <c r="E159" s="25" t="s">
        <v>49</v>
      </c>
      <c r="F159" s="13">
        <v>0.47916666666666669</v>
      </c>
      <c r="G159" s="13">
        <v>0.48749999999999999</v>
      </c>
      <c r="H159" s="3">
        <f t="shared" si="16"/>
        <v>8.3333333333333037E-3</v>
      </c>
      <c r="I159" s="5" t="s">
        <v>25</v>
      </c>
      <c r="L159" s="12">
        <v>250</v>
      </c>
      <c r="M159" s="1" t="s">
        <v>13</v>
      </c>
      <c r="N159" t="s">
        <v>26</v>
      </c>
      <c r="P159">
        <v>0.75275125343015015</v>
      </c>
      <c r="Q159">
        <f t="shared" si="13"/>
        <v>16</v>
      </c>
      <c r="R159">
        <f ca="1">IF(ISNA(MATCH(P159,OFFSET('age-length key'!O$8,Data!Q159,17,1,5),1)),1,MATCH(P159,OFFSET('age-length key'!O$8,Data!Q159,17,1,5),1)+1)</f>
        <v>3</v>
      </c>
      <c r="S159">
        <f ca="1">IF(D159="Recapture",IF(OFFSET(B$1,MATCH(K159,K$2:K158,0),0)=B159,0,1),1)</f>
        <v>1</v>
      </c>
    </row>
    <row r="160" spans="1:19" x14ac:dyDescent="0.2">
      <c r="A160" s="15">
        <v>44050</v>
      </c>
      <c r="B160" s="28">
        <f t="shared" si="17"/>
        <v>20208</v>
      </c>
      <c r="C160">
        <f>A160-A$2</f>
        <v>74</v>
      </c>
      <c r="D160" s="5" t="s">
        <v>25</v>
      </c>
      <c r="E160" s="25" t="s">
        <v>49</v>
      </c>
      <c r="F160" s="13">
        <v>0.36319444444444443</v>
      </c>
      <c r="G160" s="13">
        <v>0.38472222222222219</v>
      </c>
      <c r="H160" s="3">
        <f t="shared" si="16"/>
        <v>2.1527777777777757E-2</v>
      </c>
      <c r="I160" s="5" t="s">
        <v>25</v>
      </c>
      <c r="L160" s="12">
        <v>250</v>
      </c>
      <c r="M160" s="1" t="s">
        <v>23</v>
      </c>
      <c r="N160" t="s">
        <v>26</v>
      </c>
      <c r="P160">
        <v>0.49031640053275805</v>
      </c>
      <c r="Q160">
        <f t="shared" si="13"/>
        <v>16</v>
      </c>
      <c r="R160">
        <f ca="1">IF(ISNA(MATCH(P160,OFFSET('age-length key'!O$8,Data!Q160,17,1,5),1)),1,MATCH(P160,OFFSET('age-length key'!O$8,Data!Q160,17,1,5),1)+1)</f>
        <v>2</v>
      </c>
      <c r="S160">
        <f ca="1">IF(D160="Recapture",IF(OFFSET(B$1,MATCH(K160,K$2:K159,0),0)=B160,0,1),1)</f>
        <v>1</v>
      </c>
    </row>
    <row r="161" spans="1:19" x14ac:dyDescent="0.2">
      <c r="A161" s="15">
        <v>44050</v>
      </c>
      <c r="B161" s="28">
        <f t="shared" si="17"/>
        <v>20208</v>
      </c>
      <c r="C161">
        <f>A161-A$2</f>
        <v>74</v>
      </c>
      <c r="D161" s="5" t="s">
        <v>25</v>
      </c>
      <c r="E161" s="25" t="s">
        <v>49</v>
      </c>
      <c r="F161" s="13">
        <v>0.4909722222222222</v>
      </c>
      <c r="G161" s="13">
        <v>0.52777777777777779</v>
      </c>
      <c r="H161" s="3">
        <f t="shared" si="16"/>
        <v>3.6805555555555591E-2</v>
      </c>
      <c r="I161" s="5" t="s">
        <v>25</v>
      </c>
      <c r="L161" s="12">
        <v>293</v>
      </c>
      <c r="M161" s="1" t="s">
        <v>87</v>
      </c>
      <c r="N161" t="s">
        <v>26</v>
      </c>
      <c r="P161">
        <v>0.74774375406454496</v>
      </c>
      <c r="Q161">
        <f t="shared" si="13"/>
        <v>20</v>
      </c>
      <c r="R161">
        <f ca="1">IF(ISNA(MATCH(P161,OFFSET('age-length key'!O$8,Data!Q161,17,1,5),1)),1,MATCH(P161,OFFSET('age-length key'!O$8,Data!Q161,17,1,5),1)+1)</f>
        <v>3</v>
      </c>
      <c r="S161">
        <f ca="1">IF(D161="Recapture",IF(OFFSET(B$1,MATCH(K161,K$2:K160,0),0)=B161,0,1),1)</f>
        <v>1</v>
      </c>
    </row>
    <row r="162" spans="1:19" x14ac:dyDescent="0.2">
      <c r="A162" s="15">
        <v>44050</v>
      </c>
      <c r="B162" s="28">
        <f t="shared" si="17"/>
        <v>20208</v>
      </c>
      <c r="C162">
        <f>A162-A$2</f>
        <v>74</v>
      </c>
      <c r="D162" s="5" t="s">
        <v>25</v>
      </c>
      <c r="E162" s="25" t="s">
        <v>49</v>
      </c>
      <c r="F162" s="13">
        <v>0.3923611111111111</v>
      </c>
      <c r="G162" s="13">
        <v>0.44930555555555557</v>
      </c>
      <c r="H162" s="3">
        <f t="shared" si="16"/>
        <v>5.6944444444444464E-2</v>
      </c>
      <c r="I162" s="5" t="s">
        <v>25</v>
      </c>
      <c r="L162" s="12">
        <v>162</v>
      </c>
      <c r="M162" s="1" t="s">
        <v>28</v>
      </c>
      <c r="N162" t="s">
        <v>26</v>
      </c>
      <c r="P162">
        <v>0.32927456280648454</v>
      </c>
      <c r="Q162">
        <f t="shared" si="13"/>
        <v>7</v>
      </c>
      <c r="R162">
        <f ca="1">IF(ISNA(MATCH(P162,OFFSET('age-length key'!O$8,Data!Q162,17,1,5),1)),1,MATCH(P162,OFFSET('age-length key'!O$8,Data!Q162,17,1,5),1)+1)</f>
        <v>1</v>
      </c>
      <c r="S162">
        <f ca="1">IF(D162="Recapture",IF(OFFSET(B$1,MATCH(K162,K$2:K161,0),0)=B162,0,1),1)</f>
        <v>1</v>
      </c>
    </row>
    <row r="163" spans="1:19" x14ac:dyDescent="0.2">
      <c r="A163" s="15">
        <v>44050</v>
      </c>
      <c r="B163" s="28">
        <f t="shared" si="17"/>
        <v>20208</v>
      </c>
      <c r="C163">
        <f>A163-A$2</f>
        <v>74</v>
      </c>
      <c r="D163" s="5" t="s">
        <v>25</v>
      </c>
      <c r="E163" s="25" t="s">
        <v>49</v>
      </c>
      <c r="F163" s="13">
        <v>0.33333333333333331</v>
      </c>
      <c r="G163" s="13">
        <v>3.6729166666666671</v>
      </c>
      <c r="H163" s="3">
        <f t="shared" si="16"/>
        <v>3.3395833333333336</v>
      </c>
      <c r="I163" s="5" t="s">
        <v>25</v>
      </c>
      <c r="L163" s="12">
        <v>183</v>
      </c>
      <c r="M163" s="1" t="s">
        <v>6</v>
      </c>
      <c r="N163" t="s">
        <v>26</v>
      </c>
      <c r="P163">
        <v>0.1175770885858578</v>
      </c>
      <c r="Q163">
        <f t="shared" si="13"/>
        <v>9</v>
      </c>
      <c r="R163">
        <f ca="1">IF(ISNA(MATCH(P163,OFFSET('age-length key'!O$8,Data!Q163,17,1,5),1)),1,MATCH(P163,OFFSET('age-length key'!O$8,Data!Q163,17,1,5),1)+1)</f>
        <v>1</v>
      </c>
      <c r="S163">
        <f ca="1">IF(D163="Recapture",IF(OFFSET(B$1,MATCH(K163,K$2:K162,0),0)=B163,0,1),1)</f>
        <v>1</v>
      </c>
    </row>
    <row r="164" spans="1:19" x14ac:dyDescent="0.2">
      <c r="A164" s="15">
        <v>44062</v>
      </c>
      <c r="B164" s="28">
        <f t="shared" si="17"/>
        <v>20208</v>
      </c>
      <c r="C164">
        <f>A164-A$2</f>
        <v>86</v>
      </c>
      <c r="D164" s="5" t="s">
        <v>25</v>
      </c>
      <c r="E164" s="25" t="s">
        <v>49</v>
      </c>
      <c r="F164" s="13">
        <v>0.36805555555555558</v>
      </c>
      <c r="G164" s="13">
        <v>0.36874999999999997</v>
      </c>
      <c r="H164" s="3">
        <f t="shared" si="16"/>
        <v>6.9444444444438647E-4</v>
      </c>
      <c r="I164" s="5" t="s">
        <v>25</v>
      </c>
      <c r="L164" s="12">
        <v>170</v>
      </c>
      <c r="M164" s="1" t="s">
        <v>6</v>
      </c>
      <c r="N164" t="s">
        <v>26</v>
      </c>
      <c r="P164">
        <v>0.11812786251219355</v>
      </c>
      <c r="Q164">
        <f t="shared" si="13"/>
        <v>8</v>
      </c>
      <c r="R164">
        <f ca="1">IF(ISNA(MATCH(P164,OFFSET('age-length key'!O$8,Data!Q164,17,1,5),1)),1,MATCH(P164,OFFSET('age-length key'!O$8,Data!Q164,17,1,5),1)+1)</f>
        <v>1</v>
      </c>
      <c r="S164">
        <f ca="1">IF(D164="Recapture",IF(OFFSET(B$1,MATCH(K164,K$2:K163,0),0)=B164,0,1),1)</f>
        <v>1</v>
      </c>
    </row>
    <row r="165" spans="1:19" x14ac:dyDescent="0.2">
      <c r="A165" s="15">
        <v>44062</v>
      </c>
      <c r="B165" s="28">
        <f t="shared" si="17"/>
        <v>20208</v>
      </c>
      <c r="C165">
        <f>A165-A$2</f>
        <v>86</v>
      </c>
      <c r="D165" s="5" t="s">
        <v>25</v>
      </c>
      <c r="E165" s="25" t="s">
        <v>49</v>
      </c>
      <c r="F165" s="13">
        <v>5.2083333333333336E-2</v>
      </c>
      <c r="G165" s="13">
        <v>5.2777777777777778E-2</v>
      </c>
      <c r="H165" s="3">
        <f t="shared" si="16"/>
        <v>6.9444444444444198E-4</v>
      </c>
      <c r="I165" s="5" t="s">
        <v>25</v>
      </c>
      <c r="L165" s="12">
        <v>160</v>
      </c>
      <c r="M165" s="1" t="s">
        <v>21</v>
      </c>
      <c r="N165" t="s">
        <v>26</v>
      </c>
      <c r="P165">
        <v>0.37498524243709874</v>
      </c>
      <c r="Q165">
        <f t="shared" si="13"/>
        <v>7</v>
      </c>
      <c r="R165">
        <f ca="1">IF(ISNA(MATCH(P165,OFFSET('age-length key'!O$8,Data!Q165,17,1,5),1)),1,MATCH(P165,OFFSET('age-length key'!O$8,Data!Q165,17,1,5),1)+1)</f>
        <v>1</v>
      </c>
      <c r="S165">
        <f ca="1">IF(D165="Recapture",IF(OFFSET(B$1,MATCH(K165,K$2:K164,0),0)=B165,0,1),1)</f>
        <v>1</v>
      </c>
    </row>
    <row r="166" spans="1:19" x14ac:dyDescent="0.2">
      <c r="A166" s="15">
        <v>44062</v>
      </c>
      <c r="B166" s="28">
        <f t="shared" si="17"/>
        <v>20208</v>
      </c>
      <c r="C166">
        <f>A166-A$2</f>
        <v>86</v>
      </c>
      <c r="D166" s="5" t="s">
        <v>25</v>
      </c>
      <c r="E166" s="25" t="s">
        <v>49</v>
      </c>
      <c r="F166" s="13">
        <v>0.37152777777777773</v>
      </c>
      <c r="G166" s="13">
        <v>0.37222222222222223</v>
      </c>
      <c r="H166" s="3">
        <f t="shared" si="16"/>
        <v>6.9444444444449749E-4</v>
      </c>
      <c r="I166" s="5" t="s">
        <v>25</v>
      </c>
      <c r="L166" s="12">
        <v>167</v>
      </c>
      <c r="M166" s="1" t="s">
        <v>6</v>
      </c>
      <c r="N166" t="s">
        <v>26</v>
      </c>
      <c r="P166">
        <v>0.37696964031875585</v>
      </c>
      <c r="Q166">
        <f t="shared" si="13"/>
        <v>8</v>
      </c>
      <c r="R166">
        <f ca="1">IF(ISNA(MATCH(P166,OFFSET('age-length key'!O$8,Data!Q166,17,1,5),1)),1,MATCH(P166,OFFSET('age-length key'!O$8,Data!Q166,17,1,5),1)+1)</f>
        <v>1</v>
      </c>
      <c r="S166">
        <f ca="1">IF(D166="Recapture",IF(OFFSET(B$1,MATCH(K166,K$2:K165,0),0)=B166,0,1),1)</f>
        <v>1</v>
      </c>
    </row>
    <row r="167" spans="1:19" x14ac:dyDescent="0.2">
      <c r="A167" s="15">
        <v>44062</v>
      </c>
      <c r="B167" s="28">
        <f t="shared" si="17"/>
        <v>20208</v>
      </c>
      <c r="C167">
        <f>A167-A$2</f>
        <v>86</v>
      </c>
      <c r="D167" s="5" t="s">
        <v>25</v>
      </c>
      <c r="E167" s="25" t="s">
        <v>49</v>
      </c>
      <c r="F167" s="13">
        <v>0.3743055555555555</v>
      </c>
      <c r="G167" s="13">
        <v>0.375</v>
      </c>
      <c r="H167" s="3">
        <f t="shared" ref="H167:H198" si="18">G167-F167</f>
        <v>6.9444444444449749E-4</v>
      </c>
      <c r="I167" s="5" t="s">
        <v>25</v>
      </c>
      <c r="L167" s="12">
        <v>181</v>
      </c>
      <c r="M167" s="1" t="s">
        <v>6</v>
      </c>
      <c r="N167" t="s">
        <v>26</v>
      </c>
      <c r="P167">
        <v>0.72874483732913842</v>
      </c>
      <c r="Q167">
        <f t="shared" si="13"/>
        <v>9</v>
      </c>
      <c r="R167">
        <f ca="1">IF(ISNA(MATCH(P167,OFFSET('age-length key'!O$8,Data!Q167,17,1,5),1)),1,MATCH(P167,OFFSET('age-length key'!O$8,Data!Q167,17,1,5),1)+1)</f>
        <v>2</v>
      </c>
      <c r="S167">
        <f ca="1">IF(D167="Recapture",IF(OFFSET(B$1,MATCH(K167,K$2:K166,0),0)=B167,0,1),1)</f>
        <v>1</v>
      </c>
    </row>
    <row r="168" spans="1:19" x14ac:dyDescent="0.2">
      <c r="A168" s="15">
        <v>44062</v>
      </c>
      <c r="B168" s="28">
        <f t="shared" si="17"/>
        <v>20208</v>
      </c>
      <c r="C168">
        <f>A168-A$2</f>
        <v>86</v>
      </c>
      <c r="D168" s="5" t="s">
        <v>25</v>
      </c>
      <c r="E168" s="25" t="s">
        <v>49</v>
      </c>
      <c r="F168" s="13">
        <v>0.375</v>
      </c>
      <c r="G168" s="13">
        <v>0.3756944444444445</v>
      </c>
      <c r="H168" s="3">
        <f t="shared" si="18"/>
        <v>6.9444444444449749E-4</v>
      </c>
      <c r="I168" s="5" t="s">
        <v>25</v>
      </c>
      <c r="L168" s="12">
        <v>178</v>
      </c>
      <c r="M168" s="1" t="s">
        <v>6</v>
      </c>
      <c r="N168" t="s">
        <v>26</v>
      </c>
      <c r="P168">
        <v>1.4480990830101534E-2</v>
      </c>
      <c r="Q168">
        <f t="shared" si="13"/>
        <v>9</v>
      </c>
      <c r="R168">
        <f ca="1">IF(ISNA(MATCH(P168,OFFSET('age-length key'!O$8,Data!Q168,17,1,5),1)),1,MATCH(P168,OFFSET('age-length key'!O$8,Data!Q168,17,1,5),1)+1)</f>
        <v>1</v>
      </c>
      <c r="S168">
        <f ca="1">IF(D168="Recapture",IF(OFFSET(B$1,MATCH(K168,K$2:K167,0),0)=B168,0,1),1)</f>
        <v>1</v>
      </c>
    </row>
    <row r="169" spans="1:19" x14ac:dyDescent="0.2">
      <c r="A169" s="15">
        <v>44062</v>
      </c>
      <c r="B169" s="28">
        <f t="shared" si="17"/>
        <v>20208</v>
      </c>
      <c r="C169">
        <f>A169-A$2</f>
        <v>86</v>
      </c>
      <c r="D169" s="5" t="s">
        <v>25</v>
      </c>
      <c r="E169" s="25" t="s">
        <v>49</v>
      </c>
      <c r="F169" s="13">
        <v>0.37222222222222223</v>
      </c>
      <c r="G169" s="13">
        <v>0.37361111111111112</v>
      </c>
      <c r="H169" s="3">
        <f t="shared" si="18"/>
        <v>1.388888888888884E-3</v>
      </c>
      <c r="I169" s="5" t="s">
        <v>25</v>
      </c>
      <c r="L169" s="12">
        <v>125</v>
      </c>
      <c r="M169" s="1" t="s">
        <v>6</v>
      </c>
      <c r="N169" t="s">
        <v>26</v>
      </c>
      <c r="P169">
        <v>0.38201288151648494</v>
      </c>
      <c r="Q169">
        <f t="shared" si="13"/>
        <v>4</v>
      </c>
      <c r="R169">
        <f ca="1">IF(ISNA(MATCH(P169,OFFSET('age-length key'!O$8,Data!Q169,17,1,5),1)),1,MATCH(P169,OFFSET('age-length key'!O$8,Data!Q169,17,1,5),1)+1)</f>
        <v>1</v>
      </c>
      <c r="S169">
        <f ca="1">IF(D169="Recapture",IF(OFFSET(B$1,MATCH(K169,K$2:K168,0),0)=B169,0,1),1)</f>
        <v>1</v>
      </c>
    </row>
    <row r="170" spans="1:19" x14ac:dyDescent="0.2">
      <c r="A170" s="15">
        <v>44062</v>
      </c>
      <c r="B170" s="28">
        <f t="shared" si="17"/>
        <v>20208</v>
      </c>
      <c r="C170">
        <f>A170-A$2</f>
        <v>86</v>
      </c>
      <c r="D170" s="5" t="s">
        <v>25</v>
      </c>
      <c r="E170" s="25" t="s">
        <v>49</v>
      </c>
      <c r="F170" s="13">
        <v>0.36874999999999997</v>
      </c>
      <c r="G170" s="13">
        <v>0.37152777777777773</v>
      </c>
      <c r="H170" s="3">
        <f t="shared" si="18"/>
        <v>2.7777777777777679E-3</v>
      </c>
      <c r="I170" s="5" t="s">
        <v>25</v>
      </c>
      <c r="L170" s="12">
        <v>191</v>
      </c>
      <c r="M170" s="1" t="s">
        <v>6</v>
      </c>
      <c r="N170" t="s">
        <v>26</v>
      </c>
      <c r="P170">
        <v>0.49049964756262471</v>
      </c>
      <c r="Q170">
        <f t="shared" si="13"/>
        <v>10</v>
      </c>
      <c r="R170">
        <f ca="1">IF(ISNA(MATCH(P170,OFFSET('age-length key'!O$8,Data!Q170,17,1,5),1)),1,MATCH(P170,OFFSET('age-length key'!O$8,Data!Q170,17,1,5),1)+1)</f>
        <v>2</v>
      </c>
      <c r="S170">
        <f ca="1">IF(D170="Recapture",IF(OFFSET(B$1,MATCH(K170,K$2:K169,0),0)=B170,0,1),1)</f>
        <v>1</v>
      </c>
    </row>
    <row r="171" spans="1:19" x14ac:dyDescent="0.2">
      <c r="A171" s="15">
        <v>44062</v>
      </c>
      <c r="B171" s="28">
        <f t="shared" si="17"/>
        <v>20208</v>
      </c>
      <c r="C171">
        <f>A171-A$2</f>
        <v>86</v>
      </c>
      <c r="D171" s="5" t="s">
        <v>25</v>
      </c>
      <c r="E171" s="25" t="s">
        <v>49</v>
      </c>
      <c r="F171" s="13">
        <v>0.375</v>
      </c>
      <c r="G171" s="13">
        <v>0.37986111111111115</v>
      </c>
      <c r="H171" s="3">
        <f t="shared" si="18"/>
        <v>4.8611111111111494E-3</v>
      </c>
      <c r="I171" s="5" t="s">
        <v>25</v>
      </c>
      <c r="L171" s="12">
        <v>185</v>
      </c>
      <c r="M171" s="1" t="s">
        <v>6</v>
      </c>
      <c r="N171" t="s">
        <v>26</v>
      </c>
      <c r="P171">
        <v>0.82757658503371134</v>
      </c>
      <c r="Q171">
        <f t="shared" si="13"/>
        <v>10</v>
      </c>
      <c r="R171">
        <f ca="1">IF(ISNA(MATCH(P171,OFFSET('age-length key'!O$8,Data!Q171,17,1,5),1)),1,MATCH(P171,OFFSET('age-length key'!O$8,Data!Q171,17,1,5),1)+1)</f>
        <v>2</v>
      </c>
      <c r="S171">
        <f ca="1">IF(D171="Recapture",IF(OFFSET(B$1,MATCH(K171,K$2:K170,0),0)=B171,0,1),1)</f>
        <v>1</v>
      </c>
    </row>
    <row r="172" spans="1:19" x14ac:dyDescent="0.2">
      <c r="A172" s="15">
        <v>44062</v>
      </c>
      <c r="B172" s="28">
        <f t="shared" si="17"/>
        <v>20208</v>
      </c>
      <c r="C172">
        <f>A172-A$2</f>
        <v>86</v>
      </c>
      <c r="D172" s="5" t="s">
        <v>25</v>
      </c>
      <c r="E172" s="25" t="s">
        <v>49</v>
      </c>
      <c r="F172" s="13">
        <v>0.47083333333333338</v>
      </c>
      <c r="G172" s="13">
        <v>0.4770833333333333</v>
      </c>
      <c r="H172" s="3">
        <f t="shared" si="18"/>
        <v>6.2499999999999223E-3</v>
      </c>
      <c r="I172" s="5" t="s">
        <v>25</v>
      </c>
      <c r="L172" s="12">
        <v>302</v>
      </c>
      <c r="M172" s="1" t="s">
        <v>31</v>
      </c>
      <c r="N172" t="s">
        <v>26</v>
      </c>
      <c r="P172">
        <v>7.9664661586128477E-2</v>
      </c>
      <c r="Q172">
        <f t="shared" si="13"/>
        <v>21</v>
      </c>
      <c r="R172">
        <f ca="1">IF(ISNA(MATCH(P172,OFFSET('age-length key'!O$8,Data!Q172,17,1,5),1)),1,MATCH(P172,OFFSET('age-length key'!O$8,Data!Q172,17,1,5),1)+1)</f>
        <v>3</v>
      </c>
      <c r="S172">
        <f ca="1">IF(D172="Recapture",IF(OFFSET(B$1,MATCH(K172,K$2:K171,0),0)=B172,0,1),1)</f>
        <v>1</v>
      </c>
    </row>
    <row r="173" spans="1:19" x14ac:dyDescent="0.2">
      <c r="A173" s="15">
        <v>44062</v>
      </c>
      <c r="B173" s="28">
        <f t="shared" si="17"/>
        <v>20208</v>
      </c>
      <c r="C173">
        <f>A173-A$2</f>
        <v>86</v>
      </c>
      <c r="D173" s="5" t="s">
        <v>25</v>
      </c>
      <c r="E173" s="25" t="s">
        <v>49</v>
      </c>
      <c r="F173" s="13">
        <v>5.2777777777777778E-2</v>
      </c>
      <c r="G173" s="13">
        <v>6.3888888888888884E-2</v>
      </c>
      <c r="H173" s="3">
        <f t="shared" si="18"/>
        <v>1.1111111111111106E-2</v>
      </c>
      <c r="I173" s="5" t="s">
        <v>25</v>
      </c>
      <c r="L173" s="12">
        <v>358</v>
      </c>
      <c r="M173" s="1" t="s">
        <v>21</v>
      </c>
      <c r="N173" t="s">
        <v>26</v>
      </c>
      <c r="P173">
        <v>0.92396727806141943</v>
      </c>
      <c r="Q173">
        <f t="shared" si="13"/>
        <v>27</v>
      </c>
      <c r="R173">
        <f ca="1">IF(ISNA(MATCH(P173,OFFSET('age-length key'!O$8,Data!Q173,17,1,5),1)),1,MATCH(P173,OFFSET('age-length key'!O$8,Data!Q173,17,1,5),1)+1)</f>
        <v>4</v>
      </c>
      <c r="S173">
        <f ca="1">IF(D173="Recapture",IF(OFFSET(B$1,MATCH(K173,K$2:K172,0),0)=B173,0,1),1)</f>
        <v>1</v>
      </c>
    </row>
    <row r="174" spans="1:19" x14ac:dyDescent="0.2">
      <c r="A174" s="15">
        <v>44062</v>
      </c>
      <c r="B174" s="28">
        <f t="shared" si="17"/>
        <v>20208</v>
      </c>
      <c r="C174">
        <f>A174-A$2</f>
        <v>86</v>
      </c>
      <c r="D174" s="5" t="s">
        <v>25</v>
      </c>
      <c r="E174" s="25" t="s">
        <v>49</v>
      </c>
      <c r="F174" s="13">
        <v>0.42638888888888887</v>
      </c>
      <c r="G174" s="13">
        <v>0.47083333333333338</v>
      </c>
      <c r="H174" s="3">
        <f t="shared" si="18"/>
        <v>4.4444444444444509E-2</v>
      </c>
      <c r="I174" s="5" t="s">
        <v>25</v>
      </c>
      <c r="L174" s="12">
        <v>302</v>
      </c>
      <c r="M174" s="1" t="s">
        <v>31</v>
      </c>
      <c r="N174" t="s">
        <v>26</v>
      </c>
      <c r="P174">
        <v>0.11804237827567494</v>
      </c>
      <c r="Q174">
        <f t="shared" si="13"/>
        <v>21</v>
      </c>
      <c r="R174">
        <f ca="1">IF(ISNA(MATCH(P174,OFFSET('age-length key'!O$8,Data!Q174,17,1,5),1)),1,MATCH(P174,OFFSET('age-length key'!O$8,Data!Q174,17,1,5),1)+1)</f>
        <v>3</v>
      </c>
      <c r="S174">
        <f ca="1">IF(D174="Recapture",IF(OFFSET(B$1,MATCH(K174,K$2:K173,0),0)=B174,0,1),1)</f>
        <v>1</v>
      </c>
    </row>
    <row r="175" spans="1:19" x14ac:dyDescent="0.2">
      <c r="A175" s="15">
        <v>44062</v>
      </c>
      <c r="B175" s="28">
        <f t="shared" si="17"/>
        <v>20208</v>
      </c>
      <c r="C175">
        <f>A175-A$2</f>
        <v>86</v>
      </c>
      <c r="D175" s="5" t="s">
        <v>25</v>
      </c>
      <c r="E175" s="25" t="s">
        <v>49</v>
      </c>
      <c r="F175" s="13">
        <v>0.37986111111111115</v>
      </c>
      <c r="G175" s="13">
        <v>0.42638888888888887</v>
      </c>
      <c r="H175" s="3">
        <f t="shared" si="18"/>
        <v>4.6527777777777724E-2</v>
      </c>
      <c r="I175" s="5" t="s">
        <v>25</v>
      </c>
      <c r="L175" s="12">
        <v>155</v>
      </c>
      <c r="M175" s="1" t="s">
        <v>14</v>
      </c>
      <c r="N175" t="s">
        <v>26</v>
      </c>
      <c r="P175">
        <v>0.93825167926878283</v>
      </c>
      <c r="Q175">
        <f t="shared" si="13"/>
        <v>7</v>
      </c>
      <c r="R175">
        <f ca="1">IF(ISNA(MATCH(P175,OFFSET('age-length key'!O$8,Data!Q175,17,1,5),1)),1,MATCH(P175,OFFSET('age-length key'!O$8,Data!Q175,17,1,5),1)+1)</f>
        <v>1</v>
      </c>
      <c r="S175">
        <f ca="1">IF(D175="Recapture",IF(OFFSET(B$1,MATCH(K175,K$2:K174,0),0)=B175,0,1),1)</f>
        <v>1</v>
      </c>
    </row>
    <row r="176" spans="1:19" x14ac:dyDescent="0.2">
      <c r="A176" s="15">
        <v>44084</v>
      </c>
      <c r="B176" s="28">
        <f t="shared" si="17"/>
        <v>20209</v>
      </c>
      <c r="C176">
        <f>A176-A$2</f>
        <v>108</v>
      </c>
      <c r="D176" s="5" t="s">
        <v>25</v>
      </c>
      <c r="E176" s="25" t="s">
        <v>49</v>
      </c>
      <c r="F176" s="13">
        <v>0.33958333333333335</v>
      </c>
      <c r="G176" s="13">
        <v>0.34027777777777773</v>
      </c>
      <c r="H176" s="3">
        <f t="shared" si="18"/>
        <v>6.9444444444438647E-4</v>
      </c>
      <c r="I176" s="5" t="s">
        <v>25</v>
      </c>
      <c r="L176" s="12">
        <v>143</v>
      </c>
      <c r="M176" s="1" t="s">
        <v>6</v>
      </c>
      <c r="N176" t="s">
        <v>26</v>
      </c>
      <c r="P176">
        <v>0.19597347043267146</v>
      </c>
      <c r="Q176">
        <f t="shared" si="13"/>
        <v>5</v>
      </c>
      <c r="R176">
        <f ca="1">IF(ISNA(MATCH(P176,OFFSET('age-length key'!O$8,Data!Q176,17,1,5),1)),1,MATCH(P176,OFFSET('age-length key'!O$8,Data!Q176,17,1,5),1)+1)</f>
        <v>1</v>
      </c>
      <c r="S176">
        <f ca="1">IF(D176="Recapture",IF(OFFSET(B$1,MATCH(K176,K$2:K175,0),0)=B176,0,1),1)</f>
        <v>1</v>
      </c>
    </row>
    <row r="177" spans="1:19" x14ac:dyDescent="0.2">
      <c r="A177" s="15">
        <v>44084</v>
      </c>
      <c r="B177" s="28">
        <f t="shared" si="17"/>
        <v>20209</v>
      </c>
      <c r="C177">
        <f>A177-A$2</f>
        <v>108</v>
      </c>
      <c r="D177" s="5" t="s">
        <v>25</v>
      </c>
      <c r="E177" s="25" t="s">
        <v>49</v>
      </c>
      <c r="F177" s="13">
        <v>0.39652777777777781</v>
      </c>
      <c r="G177" s="13">
        <v>0.3972222222222222</v>
      </c>
      <c r="H177" s="3">
        <f t="shared" si="18"/>
        <v>6.9444444444438647E-4</v>
      </c>
      <c r="I177" s="5" t="s">
        <v>25</v>
      </c>
      <c r="L177" s="12">
        <v>175</v>
      </c>
      <c r="M177" s="1" t="s">
        <v>22</v>
      </c>
      <c r="N177" t="s">
        <v>26</v>
      </c>
      <c r="P177">
        <v>0.72611756190942489</v>
      </c>
      <c r="Q177">
        <f t="shared" si="13"/>
        <v>9</v>
      </c>
      <c r="R177">
        <f ca="1">IF(ISNA(MATCH(P177,OFFSET('age-length key'!O$8,Data!Q177,17,1,5),1)),1,MATCH(P177,OFFSET('age-length key'!O$8,Data!Q177,17,1,5),1)+1)</f>
        <v>2</v>
      </c>
      <c r="S177">
        <f ca="1">IF(D177="Recapture",IF(OFFSET(B$1,MATCH(K177,K$2:K176,0),0)=B177,0,1),1)</f>
        <v>1</v>
      </c>
    </row>
    <row r="178" spans="1:19" x14ac:dyDescent="0.2">
      <c r="A178" s="15">
        <v>44084</v>
      </c>
      <c r="B178" s="28">
        <f t="shared" si="17"/>
        <v>20209</v>
      </c>
      <c r="C178">
        <f>A178-A$2</f>
        <v>108</v>
      </c>
      <c r="D178" s="5" t="s">
        <v>25</v>
      </c>
      <c r="E178" s="25" t="s">
        <v>49</v>
      </c>
      <c r="F178" s="13">
        <v>0.39027777777777778</v>
      </c>
      <c r="G178" s="13">
        <v>0.39097222222222222</v>
      </c>
      <c r="H178" s="3">
        <f t="shared" si="18"/>
        <v>6.9444444444444198E-4</v>
      </c>
      <c r="I178" s="5" t="s">
        <v>25</v>
      </c>
      <c r="L178" s="12">
        <v>141</v>
      </c>
      <c r="M178" s="1" t="s">
        <v>22</v>
      </c>
      <c r="N178" t="s">
        <v>26</v>
      </c>
      <c r="P178">
        <v>0.85786301170376267</v>
      </c>
      <c r="Q178">
        <f t="shared" si="13"/>
        <v>5</v>
      </c>
      <c r="R178">
        <f ca="1">IF(ISNA(MATCH(P178,OFFSET('age-length key'!O$8,Data!Q178,17,1,5),1)),1,MATCH(P178,OFFSET('age-length key'!O$8,Data!Q178,17,1,5),1)+1)</f>
        <v>1</v>
      </c>
      <c r="S178">
        <f ca="1">IF(D178="Recapture",IF(OFFSET(B$1,MATCH(K178,K$2:K177,0),0)=B178,0,1),1)</f>
        <v>1</v>
      </c>
    </row>
    <row r="179" spans="1:19" x14ac:dyDescent="0.2">
      <c r="A179" s="15">
        <v>44084</v>
      </c>
      <c r="B179" s="28">
        <f t="shared" si="17"/>
        <v>20209</v>
      </c>
      <c r="C179">
        <f>A179-A$2</f>
        <v>108</v>
      </c>
      <c r="D179" s="5" t="s">
        <v>25</v>
      </c>
      <c r="E179" s="25" t="s">
        <v>49</v>
      </c>
      <c r="F179" s="13">
        <v>0.39444444444444443</v>
      </c>
      <c r="G179" s="13">
        <v>0.39513888888888887</v>
      </c>
      <c r="H179" s="3">
        <f t="shared" si="18"/>
        <v>6.9444444444444198E-4</v>
      </c>
      <c r="I179" s="5" t="s">
        <v>25</v>
      </c>
      <c r="L179" s="12">
        <v>150</v>
      </c>
      <c r="M179" s="1" t="s">
        <v>22</v>
      </c>
      <c r="N179" t="s">
        <v>26</v>
      </c>
      <c r="P179">
        <v>0.1036377051396471</v>
      </c>
      <c r="Q179">
        <f t="shared" si="13"/>
        <v>6</v>
      </c>
      <c r="R179">
        <f ca="1">IF(ISNA(MATCH(P179,OFFSET('age-length key'!O$8,Data!Q179,17,1,5),1)),1,MATCH(P179,OFFSET('age-length key'!O$8,Data!Q179,17,1,5),1)+1)</f>
        <v>1</v>
      </c>
      <c r="S179">
        <f ca="1">IF(D179="Recapture",IF(OFFSET(B$1,MATCH(K179,K$2:K178,0),0)=B179,0,1),1)</f>
        <v>1</v>
      </c>
    </row>
    <row r="180" spans="1:19" x14ac:dyDescent="0.2">
      <c r="A180" s="15">
        <v>44084</v>
      </c>
      <c r="B180" s="28">
        <f t="shared" si="17"/>
        <v>20209</v>
      </c>
      <c r="C180">
        <f>A180-A$2</f>
        <v>108</v>
      </c>
      <c r="D180" s="5" t="s">
        <v>25</v>
      </c>
      <c r="E180" s="25" t="s">
        <v>49</v>
      </c>
      <c r="F180" s="13">
        <v>0.33611111111111108</v>
      </c>
      <c r="G180" s="13">
        <v>0.33749999999999997</v>
      </c>
      <c r="H180" s="3">
        <f t="shared" si="18"/>
        <v>1.388888888888884E-3</v>
      </c>
      <c r="I180" s="5" t="s">
        <v>25</v>
      </c>
      <c r="L180" s="12">
        <v>187</v>
      </c>
      <c r="M180" s="1" t="s">
        <v>6</v>
      </c>
      <c r="N180" t="s">
        <v>26</v>
      </c>
      <c r="P180">
        <v>0.83891028204882068</v>
      </c>
      <c r="Q180">
        <f t="shared" si="13"/>
        <v>10</v>
      </c>
      <c r="R180">
        <f ca="1">IF(ISNA(MATCH(P180,OFFSET('age-length key'!O$8,Data!Q180,17,1,5),1)),1,MATCH(P180,OFFSET('age-length key'!O$8,Data!Q180,17,1,5),1)+1)</f>
        <v>2</v>
      </c>
      <c r="S180">
        <f ca="1">IF(D180="Recapture",IF(OFFSET(B$1,MATCH(K180,K$2:K179,0),0)=B180,0,1),1)</f>
        <v>1</v>
      </c>
    </row>
    <row r="181" spans="1:19" x14ac:dyDescent="0.2">
      <c r="A181" s="15">
        <v>44084</v>
      </c>
      <c r="B181" s="28">
        <f t="shared" si="17"/>
        <v>20209</v>
      </c>
      <c r="C181">
        <f>A181-A$2</f>
        <v>108</v>
      </c>
      <c r="D181" s="5" t="s">
        <v>25</v>
      </c>
      <c r="E181" s="25" t="s">
        <v>49</v>
      </c>
      <c r="F181" s="13">
        <v>0.39305555555555555</v>
      </c>
      <c r="G181" s="13">
        <v>0.39444444444444443</v>
      </c>
      <c r="H181" s="3">
        <f t="shared" si="18"/>
        <v>1.388888888888884E-3</v>
      </c>
      <c r="I181" s="5" t="s">
        <v>25</v>
      </c>
      <c r="L181" s="12">
        <v>147</v>
      </c>
      <c r="M181" s="1" t="s">
        <v>22</v>
      </c>
      <c r="N181" t="s">
        <v>26</v>
      </c>
      <c r="P181">
        <v>0.56511039452865275</v>
      </c>
      <c r="Q181">
        <f t="shared" si="13"/>
        <v>6</v>
      </c>
      <c r="R181">
        <f ca="1">IF(ISNA(MATCH(P181,OFFSET('age-length key'!O$8,Data!Q181,17,1,5),1)),1,MATCH(P181,OFFSET('age-length key'!O$8,Data!Q181,17,1,5),1)+1)</f>
        <v>1</v>
      </c>
      <c r="S181">
        <f ca="1">IF(D181="Recapture",IF(OFFSET(B$1,MATCH(K181,K$2:K180,0),0)=B181,0,1),1)</f>
        <v>1</v>
      </c>
    </row>
    <row r="182" spans="1:19" x14ac:dyDescent="0.2">
      <c r="A182" s="15">
        <v>44084</v>
      </c>
      <c r="B182" s="28">
        <f t="shared" si="17"/>
        <v>20209</v>
      </c>
      <c r="C182">
        <f>A182-A$2</f>
        <v>108</v>
      </c>
      <c r="D182" s="5" t="s">
        <v>25</v>
      </c>
      <c r="E182" s="25" t="s">
        <v>49</v>
      </c>
      <c r="F182" s="13">
        <v>0.3972222222222222</v>
      </c>
      <c r="G182" s="13">
        <v>0.39861111111111108</v>
      </c>
      <c r="H182" s="3">
        <f t="shared" si="18"/>
        <v>1.388888888888884E-3</v>
      </c>
      <c r="I182" s="5" t="s">
        <v>25</v>
      </c>
      <c r="L182" s="12">
        <v>150</v>
      </c>
      <c r="M182" s="1" t="s">
        <v>22</v>
      </c>
      <c r="N182" t="s">
        <v>26</v>
      </c>
      <c r="P182">
        <v>0.81040084306634996</v>
      </c>
      <c r="Q182">
        <f t="shared" si="13"/>
        <v>6</v>
      </c>
      <c r="R182">
        <f ca="1">IF(ISNA(MATCH(P182,OFFSET('age-length key'!O$8,Data!Q182,17,1,5),1)),1,MATCH(P182,OFFSET('age-length key'!O$8,Data!Q182,17,1,5),1)+1)</f>
        <v>1</v>
      </c>
      <c r="S182">
        <f ca="1">IF(D182="Recapture",IF(OFFSET(B$1,MATCH(K182,K$2:K181,0),0)=B182,0,1),1)</f>
        <v>1</v>
      </c>
    </row>
    <row r="183" spans="1:19" x14ac:dyDescent="0.2">
      <c r="A183" s="15">
        <v>44084</v>
      </c>
      <c r="B183" s="28">
        <f t="shared" si="17"/>
        <v>20209</v>
      </c>
      <c r="C183">
        <f>A183-A$2</f>
        <v>108</v>
      </c>
      <c r="D183" s="5" t="s">
        <v>25</v>
      </c>
      <c r="E183" s="25" t="s">
        <v>49</v>
      </c>
      <c r="F183" s="13">
        <v>0.39513888888888887</v>
      </c>
      <c r="G183" s="13">
        <v>0.39652777777777781</v>
      </c>
      <c r="H183" s="3">
        <f t="shared" si="18"/>
        <v>1.3888888888889395E-3</v>
      </c>
      <c r="I183" s="5" t="s">
        <v>25</v>
      </c>
      <c r="L183" s="12">
        <v>115</v>
      </c>
      <c r="M183" s="1" t="s">
        <v>22</v>
      </c>
      <c r="N183" t="s">
        <v>26</v>
      </c>
      <c r="P183">
        <v>0.4069694161447554</v>
      </c>
      <c r="Q183">
        <f t="shared" si="13"/>
        <v>3</v>
      </c>
      <c r="R183">
        <f ca="1">IF(ISNA(MATCH(P183,OFFSET('age-length key'!O$8,Data!Q183,17,1,5),1)),1,MATCH(P183,OFFSET('age-length key'!O$8,Data!Q183,17,1,5),1)+1)</f>
        <v>1</v>
      </c>
      <c r="S183">
        <f ca="1">IF(D183="Recapture",IF(OFFSET(B$1,MATCH(K183,K$2:K182,0),0)=B183,0,1),1)</f>
        <v>1</v>
      </c>
    </row>
    <row r="184" spans="1:19" x14ac:dyDescent="0.2">
      <c r="A184" s="15">
        <v>44084</v>
      </c>
      <c r="B184" s="28">
        <f t="shared" si="17"/>
        <v>20209</v>
      </c>
      <c r="C184">
        <f>A184-A$2</f>
        <v>108</v>
      </c>
      <c r="D184" s="5" t="s">
        <v>25</v>
      </c>
      <c r="E184" s="25" t="s">
        <v>49</v>
      </c>
      <c r="F184" s="13">
        <v>0.39097222222222222</v>
      </c>
      <c r="G184" s="13">
        <v>0.39305555555555555</v>
      </c>
      <c r="H184" s="3">
        <f t="shared" si="18"/>
        <v>2.0833333333333259E-3</v>
      </c>
      <c r="I184" s="5" t="s">
        <v>25</v>
      </c>
      <c r="L184" s="12">
        <v>150</v>
      </c>
      <c r="M184" s="1" t="s">
        <v>22</v>
      </c>
      <c r="N184" t="s">
        <v>26</v>
      </c>
      <c r="P184">
        <v>0.93497714490395833</v>
      </c>
      <c r="Q184">
        <f t="shared" si="13"/>
        <v>6</v>
      </c>
      <c r="R184">
        <f ca="1">IF(ISNA(MATCH(P184,OFFSET('age-length key'!O$8,Data!Q184,17,1,5),1)),1,MATCH(P184,OFFSET('age-length key'!O$8,Data!Q184,17,1,5),1)+1)</f>
        <v>1</v>
      </c>
      <c r="S184">
        <f ca="1">IF(D184="Recapture",IF(OFFSET(B$1,MATCH(K184,K$2:K183,0),0)=B184,0,1),1)</f>
        <v>1</v>
      </c>
    </row>
    <row r="185" spans="1:19" x14ac:dyDescent="0.2">
      <c r="A185" s="15">
        <v>44084</v>
      </c>
      <c r="B185" s="28">
        <f t="shared" si="17"/>
        <v>20209</v>
      </c>
      <c r="C185">
        <f>A185-A$2</f>
        <v>108</v>
      </c>
      <c r="D185" s="5" t="s">
        <v>25</v>
      </c>
      <c r="E185" s="25" t="s">
        <v>49</v>
      </c>
      <c r="F185" s="13">
        <v>0.33749999999999997</v>
      </c>
      <c r="G185" s="13">
        <v>0.33958333333333335</v>
      </c>
      <c r="H185" s="3">
        <f t="shared" si="18"/>
        <v>2.0833333333333814E-3</v>
      </c>
      <c r="I185" s="5" t="s">
        <v>25</v>
      </c>
      <c r="L185" s="12">
        <v>136</v>
      </c>
      <c r="M185" s="1" t="s">
        <v>6</v>
      </c>
      <c r="N185" t="s">
        <v>26</v>
      </c>
      <c r="P185">
        <v>0.16087440082844087</v>
      </c>
      <c r="Q185">
        <f t="shared" si="13"/>
        <v>5</v>
      </c>
      <c r="R185">
        <f ca="1">IF(ISNA(MATCH(P185,OFFSET('age-length key'!O$8,Data!Q185,17,1,5),1)),1,MATCH(P185,OFFSET('age-length key'!O$8,Data!Q185,17,1,5),1)+1)</f>
        <v>1</v>
      </c>
      <c r="S185">
        <f ca="1">IF(D185="Recapture",IF(OFFSET(B$1,MATCH(K185,K$2:K184,0),0)=B185,0,1),1)</f>
        <v>1</v>
      </c>
    </row>
    <row r="186" spans="1:19" x14ac:dyDescent="0.2">
      <c r="A186" s="15">
        <v>44084</v>
      </c>
      <c r="B186" s="28">
        <f t="shared" si="17"/>
        <v>20209</v>
      </c>
      <c r="C186">
        <f>A186-A$2</f>
        <v>108</v>
      </c>
      <c r="D186" s="5" t="s">
        <v>25</v>
      </c>
      <c r="E186" s="25" t="s">
        <v>49</v>
      </c>
      <c r="F186" s="13">
        <v>0.34027777777777773</v>
      </c>
      <c r="G186" s="13">
        <v>0.3430555555555555</v>
      </c>
      <c r="H186" s="3">
        <f t="shared" si="18"/>
        <v>2.7777777777777679E-3</v>
      </c>
      <c r="I186" s="5" t="s">
        <v>25</v>
      </c>
      <c r="L186" s="12">
        <v>155</v>
      </c>
      <c r="M186" s="1" t="s">
        <v>6</v>
      </c>
      <c r="N186" t="s">
        <v>26</v>
      </c>
      <c r="P186">
        <v>0.8160547236055391</v>
      </c>
      <c r="Q186">
        <f t="shared" si="13"/>
        <v>7</v>
      </c>
      <c r="R186">
        <f ca="1">IF(ISNA(MATCH(P186,OFFSET('age-length key'!O$8,Data!Q186,17,1,5),1)),1,MATCH(P186,OFFSET('age-length key'!O$8,Data!Q186,17,1,5),1)+1)</f>
        <v>1</v>
      </c>
      <c r="S186">
        <f ca="1">IF(D186="Recapture",IF(OFFSET(B$1,MATCH(K186,K$2:K185,0),0)=B186,0,1),1)</f>
        <v>1</v>
      </c>
    </row>
    <row r="187" spans="1:19" x14ac:dyDescent="0.2">
      <c r="A187" s="15">
        <v>44084</v>
      </c>
      <c r="B187" s="28">
        <f t="shared" si="17"/>
        <v>20209</v>
      </c>
      <c r="C187">
        <f>A187-A$2</f>
        <v>108</v>
      </c>
      <c r="D187" s="5" t="s">
        <v>25</v>
      </c>
      <c r="E187" s="25" t="s">
        <v>49</v>
      </c>
      <c r="F187" s="13">
        <v>0.3125</v>
      </c>
      <c r="G187" s="13">
        <v>0.31597222222222221</v>
      </c>
      <c r="H187" s="3">
        <f t="shared" si="18"/>
        <v>3.4722222222222099E-3</v>
      </c>
      <c r="I187" s="5" t="s">
        <v>25</v>
      </c>
      <c r="L187" s="12">
        <v>175</v>
      </c>
      <c r="M187" s="1" t="s">
        <v>6</v>
      </c>
      <c r="N187" t="s">
        <v>26</v>
      </c>
      <c r="P187">
        <v>0.43173963829490342</v>
      </c>
      <c r="Q187">
        <f t="shared" si="13"/>
        <v>9</v>
      </c>
      <c r="R187">
        <f ca="1">IF(ISNA(MATCH(P187,OFFSET('age-length key'!O$8,Data!Q187,17,1,5),1)),1,MATCH(P187,OFFSET('age-length key'!O$8,Data!Q187,17,1,5),1)+1)</f>
        <v>1</v>
      </c>
      <c r="S187">
        <f ca="1">IF(D187="Recapture",IF(OFFSET(B$1,MATCH(K187,K$2:K186,0),0)=B187,0,1),1)</f>
        <v>1</v>
      </c>
    </row>
    <row r="188" spans="1:19" x14ac:dyDescent="0.2">
      <c r="A188" s="15">
        <v>44084</v>
      </c>
      <c r="B188" s="28">
        <f t="shared" si="17"/>
        <v>20209</v>
      </c>
      <c r="C188">
        <f>A188-A$2</f>
        <v>108</v>
      </c>
      <c r="D188" s="5" t="s">
        <v>25</v>
      </c>
      <c r="E188" s="25" t="s">
        <v>49</v>
      </c>
      <c r="F188" s="13">
        <v>0.3263888888888889</v>
      </c>
      <c r="G188" s="13">
        <v>0.3298611111111111</v>
      </c>
      <c r="H188" s="3">
        <f t="shared" si="18"/>
        <v>3.4722222222222099E-3</v>
      </c>
      <c r="I188" s="5" t="s">
        <v>25</v>
      </c>
      <c r="L188" s="12">
        <v>147</v>
      </c>
      <c r="M188" s="1" t="s">
        <v>6</v>
      </c>
      <c r="N188" t="s">
        <v>26</v>
      </c>
      <c r="P188">
        <v>0.24810082244132683</v>
      </c>
      <c r="Q188">
        <f t="shared" si="13"/>
        <v>6</v>
      </c>
      <c r="R188">
        <f ca="1">IF(ISNA(MATCH(P188,OFFSET('age-length key'!O$8,Data!Q188,17,1,5),1)),1,MATCH(P188,OFFSET('age-length key'!O$8,Data!Q188,17,1,5),1)+1)</f>
        <v>1</v>
      </c>
      <c r="S188">
        <f ca="1">IF(D188="Recapture",IF(OFFSET(B$1,MATCH(K188,K$2:K187,0),0)=B188,0,1),1)</f>
        <v>1</v>
      </c>
    </row>
    <row r="189" spans="1:19" x14ac:dyDescent="0.2">
      <c r="A189" s="15">
        <v>44084</v>
      </c>
      <c r="B189" s="28">
        <f t="shared" si="17"/>
        <v>20209</v>
      </c>
      <c r="C189">
        <f>A189-A$2</f>
        <v>108</v>
      </c>
      <c r="D189" s="5" t="s">
        <v>25</v>
      </c>
      <c r="E189" s="25" t="s">
        <v>49</v>
      </c>
      <c r="F189" s="13">
        <v>0.3215277777777778</v>
      </c>
      <c r="G189" s="13">
        <v>0.3263888888888889</v>
      </c>
      <c r="H189" s="3">
        <f t="shared" si="18"/>
        <v>4.8611111111110938E-3</v>
      </c>
      <c r="I189" s="5" t="s">
        <v>25</v>
      </c>
      <c r="L189" s="12">
        <v>156</v>
      </c>
      <c r="M189" s="1" t="s">
        <v>6</v>
      </c>
      <c r="N189" t="s">
        <v>26</v>
      </c>
      <c r="P189">
        <v>0.83052277138015385</v>
      </c>
      <c r="Q189">
        <f t="shared" si="13"/>
        <v>7</v>
      </c>
      <c r="R189">
        <f ca="1">IF(ISNA(MATCH(P189,OFFSET('age-length key'!O$8,Data!Q189,17,1,5),1)),1,MATCH(P189,OFFSET('age-length key'!O$8,Data!Q189,17,1,5),1)+1)</f>
        <v>1</v>
      </c>
      <c r="S189">
        <f ca="1">IF(D189="Recapture",IF(OFFSET(B$1,MATCH(K189,K$2:K188,0),0)=B189,0,1),1)</f>
        <v>1</v>
      </c>
    </row>
    <row r="190" spans="1:19" x14ac:dyDescent="0.2">
      <c r="A190" s="15">
        <v>44084</v>
      </c>
      <c r="B190" s="28">
        <f t="shared" si="17"/>
        <v>20209</v>
      </c>
      <c r="C190">
        <f>A190-A$2</f>
        <v>108</v>
      </c>
      <c r="D190" s="5" t="s">
        <v>25</v>
      </c>
      <c r="E190" s="25" t="s">
        <v>49</v>
      </c>
      <c r="F190" s="13">
        <v>0.31597222222222221</v>
      </c>
      <c r="G190" s="13">
        <v>0.3215277777777778</v>
      </c>
      <c r="H190" s="3">
        <f t="shared" si="18"/>
        <v>5.5555555555555913E-3</v>
      </c>
      <c r="I190" s="5" t="s">
        <v>25</v>
      </c>
      <c r="L190" s="12">
        <v>127</v>
      </c>
      <c r="M190" s="1" t="s">
        <v>6</v>
      </c>
      <c r="N190" t="s">
        <v>26</v>
      </c>
      <c r="P190">
        <v>0.59621858624565349</v>
      </c>
      <c r="Q190">
        <f t="shared" si="13"/>
        <v>4</v>
      </c>
      <c r="R190">
        <f ca="1">IF(ISNA(MATCH(P190,OFFSET('age-length key'!O$8,Data!Q190,17,1,5),1)),1,MATCH(P190,OFFSET('age-length key'!O$8,Data!Q190,17,1,5),1)+1)</f>
        <v>1</v>
      </c>
      <c r="S190">
        <f ca="1">IF(D190="Recapture",IF(OFFSET(B$1,MATCH(K190,K$2:K189,0),0)=B190,0,1),1)</f>
        <v>1</v>
      </c>
    </row>
    <row r="191" spans="1:19" x14ac:dyDescent="0.2">
      <c r="A191" s="15">
        <v>44084</v>
      </c>
      <c r="B191" s="28">
        <f t="shared" si="17"/>
        <v>20209</v>
      </c>
      <c r="C191">
        <f>A191-A$2</f>
        <v>108</v>
      </c>
      <c r="D191" s="5" t="s">
        <v>25</v>
      </c>
      <c r="E191" s="25" t="s">
        <v>49</v>
      </c>
      <c r="F191" s="13">
        <v>0.3298611111111111</v>
      </c>
      <c r="G191" s="13">
        <v>0.33611111111111108</v>
      </c>
      <c r="H191" s="3">
        <f t="shared" si="18"/>
        <v>6.2499999999999778E-3</v>
      </c>
      <c r="I191" s="5" t="s">
        <v>25</v>
      </c>
      <c r="L191" s="12">
        <v>148</v>
      </c>
      <c r="M191" s="1" t="s">
        <v>6</v>
      </c>
      <c r="N191" t="s">
        <v>26</v>
      </c>
      <c r="P191">
        <v>0.64577903069824871</v>
      </c>
      <c r="Q191">
        <f t="shared" si="13"/>
        <v>6</v>
      </c>
      <c r="R191">
        <f ca="1">IF(ISNA(MATCH(P191,OFFSET('age-length key'!O$8,Data!Q191,17,1,5),1)),1,MATCH(P191,OFFSET('age-length key'!O$8,Data!Q191,17,1,5),1)+1)</f>
        <v>1</v>
      </c>
      <c r="S191">
        <f ca="1">IF(D191="Recapture",IF(OFFSET(B$1,MATCH(K191,K$2:K190,0),0)=B191,0,1),1)</f>
        <v>1</v>
      </c>
    </row>
    <row r="192" spans="1:19" x14ac:dyDescent="0.2">
      <c r="A192" s="15">
        <v>44084</v>
      </c>
      <c r="B192" s="28">
        <f t="shared" si="17"/>
        <v>20209</v>
      </c>
      <c r="C192">
        <f>A192-A$2</f>
        <v>108</v>
      </c>
      <c r="D192" s="5" t="s">
        <v>25</v>
      </c>
      <c r="E192" s="25" t="s">
        <v>49</v>
      </c>
      <c r="F192" s="13">
        <v>0.46180555555555558</v>
      </c>
      <c r="G192" s="13">
        <v>0.47291666666666665</v>
      </c>
      <c r="H192" s="3">
        <f t="shared" si="18"/>
        <v>1.1111111111111072E-2</v>
      </c>
      <c r="I192" s="5" t="s">
        <v>25</v>
      </c>
      <c r="L192" s="12">
        <v>302</v>
      </c>
      <c r="M192" s="1" t="s">
        <v>31</v>
      </c>
      <c r="N192" t="s">
        <v>26</v>
      </c>
      <c r="P192">
        <v>0.60816894546531552</v>
      </c>
      <c r="Q192">
        <f t="shared" si="13"/>
        <v>21</v>
      </c>
      <c r="R192">
        <f ca="1">IF(ISNA(MATCH(P192,OFFSET('age-length key'!O$8,Data!Q192,17,1,5),1)),1,MATCH(P192,OFFSET('age-length key'!O$8,Data!Q192,17,1,5),1)+1)</f>
        <v>3</v>
      </c>
      <c r="S192">
        <f ca="1">IF(D192="Recapture",IF(OFFSET(B$1,MATCH(K192,K$2:K191,0),0)=B192,0,1),1)</f>
        <v>1</v>
      </c>
    </row>
    <row r="193" spans="1:19" x14ac:dyDescent="0.2">
      <c r="A193" s="15">
        <v>44084</v>
      </c>
      <c r="B193" s="28">
        <f t="shared" si="17"/>
        <v>20209</v>
      </c>
      <c r="C193">
        <f>A193-A$2</f>
        <v>108</v>
      </c>
      <c r="D193" s="5" t="s">
        <v>25</v>
      </c>
      <c r="E193" s="25" t="s">
        <v>49</v>
      </c>
      <c r="F193" s="13">
        <v>0.39861111111111108</v>
      </c>
      <c r="G193" s="13">
        <v>0.41111111111111115</v>
      </c>
      <c r="H193" s="3">
        <f t="shared" si="18"/>
        <v>1.2500000000000067E-2</v>
      </c>
      <c r="I193" s="5" t="s">
        <v>25</v>
      </c>
      <c r="L193" s="12">
        <v>185</v>
      </c>
      <c r="M193" s="1" t="s">
        <v>21</v>
      </c>
      <c r="N193" t="s">
        <v>26</v>
      </c>
      <c r="P193">
        <v>0.49546643555884551</v>
      </c>
      <c r="Q193">
        <f t="shared" si="13"/>
        <v>10</v>
      </c>
      <c r="R193">
        <f ca="1">IF(ISNA(MATCH(P193,OFFSET('age-length key'!O$8,Data!Q193,17,1,5),1)),1,MATCH(P193,OFFSET('age-length key'!O$8,Data!Q193,17,1,5),1)+1)</f>
        <v>2</v>
      </c>
      <c r="S193">
        <f ca="1">IF(D193="Recapture",IF(OFFSET(B$1,MATCH(K193,K$2:K192,0),0)=B193,0,1),1)</f>
        <v>1</v>
      </c>
    </row>
    <row r="194" spans="1:19" x14ac:dyDescent="0.2">
      <c r="A194" s="15">
        <v>44084</v>
      </c>
      <c r="B194" s="28">
        <f t="shared" si="17"/>
        <v>20209</v>
      </c>
      <c r="C194">
        <f>A194-A$2</f>
        <v>108</v>
      </c>
      <c r="D194" s="5" t="s">
        <v>25</v>
      </c>
      <c r="E194" s="25" t="s">
        <v>49</v>
      </c>
      <c r="F194" s="13">
        <v>0.47291666666666665</v>
      </c>
      <c r="G194" s="13">
        <v>0.50694444444444442</v>
      </c>
      <c r="H194" s="3">
        <f t="shared" si="18"/>
        <v>3.4027777777777768E-2</v>
      </c>
      <c r="I194" s="5" t="s">
        <v>25</v>
      </c>
      <c r="L194" s="12">
        <v>200</v>
      </c>
      <c r="M194" s="1" t="s">
        <v>85</v>
      </c>
      <c r="N194" t="s">
        <v>26</v>
      </c>
      <c r="P194">
        <v>0.30438243751618194</v>
      </c>
      <c r="Q194">
        <f t="shared" ref="Q194:Q257" si="19">INT((L194-95)/10)+1</f>
        <v>11</v>
      </c>
      <c r="R194">
        <f ca="1">IF(ISNA(MATCH(P194,OFFSET('age-length key'!O$8,Data!Q194,17,1,5),1)),1,MATCH(P194,OFFSET('age-length key'!O$8,Data!Q194,17,1,5),1)+1)</f>
        <v>2</v>
      </c>
      <c r="S194">
        <f ca="1">IF(D194="Recapture",IF(OFFSET(B$1,MATCH(K194,K$2:K193,0),0)=B194,0,1),1)</f>
        <v>1</v>
      </c>
    </row>
    <row r="195" spans="1:19" x14ac:dyDescent="0.2">
      <c r="A195" s="15">
        <v>44084</v>
      </c>
      <c r="B195" s="28">
        <f t="shared" si="17"/>
        <v>20209</v>
      </c>
      <c r="C195">
        <f>A195-A$2</f>
        <v>108</v>
      </c>
      <c r="D195" s="5" t="s">
        <v>25</v>
      </c>
      <c r="E195" s="25" t="s">
        <v>49</v>
      </c>
      <c r="F195" s="13">
        <v>0.3430555555555555</v>
      </c>
      <c r="G195" s="13">
        <v>0.39027777777777778</v>
      </c>
      <c r="H195" s="3">
        <f t="shared" si="18"/>
        <v>4.7222222222222276E-2</v>
      </c>
      <c r="I195" s="5" t="s">
        <v>25</v>
      </c>
      <c r="L195" s="12">
        <v>205</v>
      </c>
      <c r="M195" s="1" t="s">
        <v>22</v>
      </c>
      <c r="N195" t="s">
        <v>26</v>
      </c>
      <c r="P195">
        <v>0.75562733446975583</v>
      </c>
      <c r="Q195">
        <f t="shared" si="19"/>
        <v>12</v>
      </c>
      <c r="R195">
        <f ca="1">IF(ISNA(MATCH(P195,OFFSET('age-length key'!O$8,Data!Q195,17,1,5),1)),1,MATCH(P195,OFFSET('age-length key'!O$8,Data!Q195,17,1,5),1)+1)</f>
        <v>2</v>
      </c>
      <c r="S195">
        <f ca="1">IF(D195="Recapture",IF(OFFSET(B$1,MATCH(K195,K$2:K194,0),0)=B195,0,1),1)</f>
        <v>1</v>
      </c>
    </row>
    <row r="196" spans="1:19" x14ac:dyDescent="0.2">
      <c r="A196" s="10">
        <v>44284</v>
      </c>
      <c r="B196" s="28">
        <f t="shared" si="17"/>
        <v>20213</v>
      </c>
      <c r="C196">
        <f>A196-A$2</f>
        <v>308</v>
      </c>
      <c r="D196" s="11" t="s">
        <v>58</v>
      </c>
      <c r="E196" s="24" t="s">
        <v>49</v>
      </c>
      <c r="F196" s="13"/>
      <c r="G196" s="13"/>
      <c r="H196" s="3"/>
      <c r="I196" s="12">
        <v>2</v>
      </c>
      <c r="J196" s="11" t="s">
        <v>57</v>
      </c>
      <c r="K196" s="11" t="str">
        <f>_xlfn.CONCAT(J196,I196)</f>
        <v>Pink2</v>
      </c>
      <c r="L196" s="26">
        <f ca="1">OFFSET(K$1,MATCH(K196,K$2:K195,0),1)</f>
        <v>268</v>
      </c>
      <c r="M196" s="12"/>
      <c r="N196" s="12" t="s">
        <v>26</v>
      </c>
      <c r="O196" s="12"/>
      <c r="P196">
        <v>0.82861043318575733</v>
      </c>
      <c r="Q196">
        <f t="shared" ca="1" si="19"/>
        <v>18</v>
      </c>
      <c r="R196" s="26">
        <f ca="1">OFFSET(Q$1,MATCH(K196,K$2:K195,0),1)</f>
        <v>3</v>
      </c>
      <c r="S196">
        <f ca="1">IF(D196="Recapture",IF(OFFSET(B$1,MATCH(K196,K$2:K195,0),0)=B196,0,1),1)</f>
        <v>1</v>
      </c>
    </row>
    <row r="197" spans="1:19" x14ac:dyDescent="0.2">
      <c r="A197" s="1">
        <v>44302</v>
      </c>
      <c r="B197" s="28">
        <f t="shared" si="17"/>
        <v>20214</v>
      </c>
      <c r="C197">
        <f>A197-A$2</f>
        <v>326</v>
      </c>
      <c r="D197" s="5" t="s">
        <v>25</v>
      </c>
      <c r="E197" s="22" t="s">
        <v>68</v>
      </c>
      <c r="F197"/>
      <c r="G197"/>
      <c r="H197" s="3"/>
      <c r="I197" t="s">
        <v>25</v>
      </c>
      <c r="J197" s="8"/>
      <c r="K197" s="8"/>
      <c r="L197"/>
      <c r="M197" t="s">
        <v>78</v>
      </c>
      <c r="N197" t="s">
        <v>26</v>
      </c>
      <c r="P197">
        <v>0.45555055302360586</v>
      </c>
      <c r="Q197">
        <f t="shared" si="19"/>
        <v>-9</v>
      </c>
      <c r="R197" s="27">
        <f>MATCH(P197,'age-length key'!P$6:T$6,1)</f>
        <v>1</v>
      </c>
      <c r="S197">
        <f ca="1">IF(D197="Recapture",IF(OFFSET(B$1,MATCH(K197,K$2:K196,0),0)=B197,0,1),1)</f>
        <v>1</v>
      </c>
    </row>
    <row r="198" spans="1:19" x14ac:dyDescent="0.2">
      <c r="A198" s="1">
        <v>44314</v>
      </c>
      <c r="B198" s="28">
        <f t="shared" si="17"/>
        <v>20214</v>
      </c>
      <c r="C198">
        <f>A198-A$2</f>
        <v>338</v>
      </c>
      <c r="D198" s="5" t="s">
        <v>25</v>
      </c>
      <c r="E198" s="25" t="s">
        <v>49</v>
      </c>
      <c r="F198" s="4">
        <v>0.48819444444444443</v>
      </c>
      <c r="G198" s="4">
        <v>0.50763888888888886</v>
      </c>
      <c r="H198" s="3">
        <f>G198-F198</f>
        <v>1.9444444444444431E-2</v>
      </c>
      <c r="I198" s="5" t="s">
        <v>25</v>
      </c>
      <c r="L198">
        <v>418</v>
      </c>
      <c r="M198" t="s">
        <v>11</v>
      </c>
      <c r="N198" t="s">
        <v>26</v>
      </c>
      <c r="P198">
        <v>0.43814466774377259</v>
      </c>
      <c r="Q198">
        <f t="shared" si="19"/>
        <v>33</v>
      </c>
      <c r="R198">
        <f ca="1">IF(ISNA(MATCH(P198,OFFSET('age-length key'!O$8,Data!Q198,17,1,5),1)),1,MATCH(P198,OFFSET('age-length key'!O$8,Data!Q198,17,1,5),1)+1)</f>
        <v>4</v>
      </c>
      <c r="S198">
        <f ca="1">IF(D198="Recapture",IF(OFFSET(B$1,MATCH(K198,K$2:K197,0),0)=B198,0,1),1)</f>
        <v>1</v>
      </c>
    </row>
    <row r="199" spans="1:19" x14ac:dyDescent="0.2">
      <c r="A199" s="1">
        <v>44314</v>
      </c>
      <c r="B199" s="28">
        <f t="shared" si="17"/>
        <v>20214</v>
      </c>
      <c r="C199">
        <f>A199-A$2</f>
        <v>338</v>
      </c>
      <c r="D199" s="5" t="s">
        <v>25</v>
      </c>
      <c r="E199" s="25" t="s">
        <v>49</v>
      </c>
      <c r="F199" s="4">
        <v>0.4069444444444445</v>
      </c>
      <c r="G199" s="4">
        <v>0.43402777777777773</v>
      </c>
      <c r="H199" s="3">
        <f>G199-F199</f>
        <v>2.7083333333333237E-2</v>
      </c>
      <c r="I199" s="5" t="s">
        <v>25</v>
      </c>
      <c r="L199">
        <v>289</v>
      </c>
      <c r="M199" t="s">
        <v>6</v>
      </c>
      <c r="N199" t="s">
        <v>26</v>
      </c>
      <c r="P199">
        <v>0.8974307695857392</v>
      </c>
      <c r="Q199">
        <f t="shared" si="19"/>
        <v>20</v>
      </c>
      <c r="R199">
        <f ca="1">IF(ISNA(MATCH(P199,OFFSET('age-length key'!O$8,Data!Q199,17,1,5),1)),1,MATCH(P199,OFFSET('age-length key'!O$8,Data!Q199,17,1,5),1)+1)</f>
        <v>3</v>
      </c>
      <c r="S199">
        <f ca="1">IF(D199="Recapture",IF(OFFSET(B$1,MATCH(K199,K$2:K198,0),0)=B199,0,1),1)</f>
        <v>1</v>
      </c>
    </row>
    <row r="200" spans="1:19" x14ac:dyDescent="0.2">
      <c r="A200" s="1">
        <v>44314</v>
      </c>
      <c r="B200" s="28">
        <f t="shared" si="17"/>
        <v>20214</v>
      </c>
      <c r="C200">
        <f>A200-A$2</f>
        <v>338</v>
      </c>
      <c r="D200" s="5" t="s">
        <v>25</v>
      </c>
      <c r="E200" s="25" t="s">
        <v>49</v>
      </c>
      <c r="F200" s="4">
        <v>0.43402777777777773</v>
      </c>
      <c r="G200" s="4">
        <v>0.48749999999999999</v>
      </c>
      <c r="H200" s="3">
        <f>G200-F200</f>
        <v>5.3472222222222254E-2</v>
      </c>
      <c r="I200" s="5" t="s">
        <v>25</v>
      </c>
      <c r="L200">
        <v>320</v>
      </c>
      <c r="M200" t="s">
        <v>88</v>
      </c>
      <c r="N200" t="s">
        <v>26</v>
      </c>
      <c r="P200">
        <v>0.11894442751954516</v>
      </c>
      <c r="Q200">
        <f t="shared" si="19"/>
        <v>23</v>
      </c>
      <c r="R200">
        <f ca="1">IF(ISNA(MATCH(P200,OFFSET('age-length key'!O$8,Data!Q200,17,1,5),1)),1,MATCH(P200,OFFSET('age-length key'!O$8,Data!Q200,17,1,5),1)+1)</f>
        <v>3</v>
      </c>
      <c r="S200">
        <f ca="1">IF(D200="Recapture",IF(OFFSET(B$1,MATCH(K200,K$2:K199,0),0)=B200,0,1),1)</f>
        <v>1</v>
      </c>
    </row>
    <row r="201" spans="1:19" x14ac:dyDescent="0.2">
      <c r="A201" s="1">
        <v>44314</v>
      </c>
      <c r="B201" s="28">
        <f t="shared" si="17"/>
        <v>20214</v>
      </c>
      <c r="C201">
        <f>A201-A$2</f>
        <v>338</v>
      </c>
      <c r="D201" s="5" t="s">
        <v>25</v>
      </c>
      <c r="E201" s="25" t="s">
        <v>49</v>
      </c>
      <c r="F201" s="4">
        <v>0.3263888888888889</v>
      </c>
      <c r="G201" s="4">
        <v>0.40625</v>
      </c>
      <c r="H201" s="3">
        <f>G201-F201</f>
        <v>7.9861111111111105E-2</v>
      </c>
      <c r="I201" s="5" t="s">
        <v>25</v>
      </c>
      <c r="L201">
        <v>277</v>
      </c>
      <c r="M201" t="s">
        <v>22</v>
      </c>
      <c r="N201" t="s">
        <v>26</v>
      </c>
      <c r="P201">
        <v>9.8993320995472991E-2</v>
      </c>
      <c r="Q201">
        <f t="shared" si="19"/>
        <v>19</v>
      </c>
      <c r="R201">
        <f ca="1">IF(ISNA(MATCH(P201,OFFSET('age-length key'!O$8,Data!Q201,17,1,5),1)),1,MATCH(P201,OFFSET('age-length key'!O$8,Data!Q201,17,1,5),1)+1)</f>
        <v>3</v>
      </c>
      <c r="S201">
        <f ca="1">IF(D201="Recapture",IF(OFFSET(B$1,MATCH(K201,K$2:K200,0),0)=B201,0,1),1)</f>
        <v>1</v>
      </c>
    </row>
    <row r="202" spans="1:19" x14ac:dyDescent="0.2">
      <c r="A202" s="1">
        <v>44314</v>
      </c>
      <c r="B202" s="28">
        <f t="shared" si="17"/>
        <v>20214</v>
      </c>
      <c r="C202">
        <f>A202-A$2</f>
        <v>338</v>
      </c>
      <c r="D202" s="5" t="s">
        <v>25</v>
      </c>
      <c r="E202" s="22" t="s">
        <v>69</v>
      </c>
      <c r="F202"/>
      <c r="G202"/>
      <c r="H202" s="3"/>
      <c r="I202" t="s">
        <v>25</v>
      </c>
      <c r="J202" s="8"/>
      <c r="K202" s="8"/>
      <c r="L202"/>
      <c r="M202" t="s">
        <v>79</v>
      </c>
      <c r="N202" t="s">
        <v>26</v>
      </c>
      <c r="P202">
        <v>0.78074597091448772</v>
      </c>
      <c r="Q202">
        <f t="shared" si="19"/>
        <v>-9</v>
      </c>
      <c r="R202" s="27">
        <f>MATCH(P202,'age-length key'!P$6:T$6,1)</f>
        <v>2</v>
      </c>
      <c r="S202">
        <f ca="1">IF(D202="Recapture",IF(OFFSET(B$1,MATCH(K202,K$2:K201,0),0)=B202,0,1),1)</f>
        <v>1</v>
      </c>
    </row>
    <row r="203" spans="1:19" x14ac:dyDescent="0.2">
      <c r="A203" s="1">
        <v>44315</v>
      </c>
      <c r="B203" s="28">
        <f t="shared" ref="B203:B266" si="20">YEAR(A203)*10+MONTH(A203)</f>
        <v>20214</v>
      </c>
      <c r="C203">
        <f>A203-A$2</f>
        <v>339</v>
      </c>
      <c r="D203" s="5" t="s">
        <v>25</v>
      </c>
      <c r="E203" s="25" t="s">
        <v>49</v>
      </c>
      <c r="F203" s="4">
        <v>0.41666666666666669</v>
      </c>
      <c r="G203" s="4">
        <v>0.46180555555555558</v>
      </c>
      <c r="H203" s="3">
        <f>G203-F203</f>
        <v>4.5138888888888895E-2</v>
      </c>
      <c r="I203" s="5" t="s">
        <v>25</v>
      </c>
      <c r="L203">
        <v>202</v>
      </c>
      <c r="M203" t="s">
        <v>73</v>
      </c>
      <c r="N203" t="s">
        <v>26</v>
      </c>
      <c r="P203">
        <v>0.99753315979499979</v>
      </c>
      <c r="Q203">
        <f t="shared" si="19"/>
        <v>11</v>
      </c>
      <c r="R203">
        <f ca="1">IF(ISNA(MATCH(P203,OFFSET('age-length key'!O$8,Data!Q203,17,1,5),1)),1,MATCH(P203,OFFSET('age-length key'!O$8,Data!Q203,17,1,5),1)+1)</f>
        <v>3</v>
      </c>
      <c r="S203">
        <f ca="1">IF(D203="Recapture",IF(OFFSET(B$1,MATCH(K203,K$2:K202,0),0)=B203,0,1),1)</f>
        <v>1</v>
      </c>
    </row>
    <row r="204" spans="1:19" x14ac:dyDescent="0.2">
      <c r="A204" s="1">
        <v>44315</v>
      </c>
      <c r="B204" s="28">
        <f t="shared" si="20"/>
        <v>20214</v>
      </c>
      <c r="C204">
        <f>A204-A$2</f>
        <v>339</v>
      </c>
      <c r="D204" s="5" t="s">
        <v>25</v>
      </c>
      <c r="E204" s="25" t="s">
        <v>49</v>
      </c>
      <c r="F204" s="4">
        <v>0.33333333333333331</v>
      </c>
      <c r="G204" s="4">
        <v>0.45555555555555555</v>
      </c>
      <c r="H204" s="3">
        <f>G204-F204</f>
        <v>0.12222222222222223</v>
      </c>
      <c r="I204" s="5" t="s">
        <v>25</v>
      </c>
      <c r="L204">
        <v>328</v>
      </c>
      <c r="M204" t="s">
        <v>14</v>
      </c>
      <c r="N204" t="s">
        <v>26</v>
      </c>
      <c r="P204">
        <v>0.53981667456208571</v>
      </c>
      <c r="Q204">
        <f t="shared" si="19"/>
        <v>24</v>
      </c>
      <c r="R204">
        <f ca="1">IF(ISNA(MATCH(P204,OFFSET('age-length key'!O$8,Data!Q204,17,1,5),1)),1,MATCH(P204,OFFSET('age-length key'!O$8,Data!Q204,17,1,5),1)+1)</f>
        <v>3</v>
      </c>
      <c r="S204">
        <f ca="1">IF(D204="Recapture",IF(OFFSET(B$1,MATCH(K204,K$2:K203,0),0)=B204,0,1),1)</f>
        <v>1</v>
      </c>
    </row>
    <row r="205" spans="1:19" x14ac:dyDescent="0.2">
      <c r="A205" s="1">
        <v>44317</v>
      </c>
      <c r="B205" s="28">
        <f t="shared" si="20"/>
        <v>20215</v>
      </c>
      <c r="C205">
        <f>A205-A$2</f>
        <v>341</v>
      </c>
      <c r="D205" s="5" t="s">
        <v>25</v>
      </c>
      <c r="E205" s="22" t="s">
        <v>70</v>
      </c>
      <c r="F205"/>
      <c r="G205"/>
      <c r="H205" s="3"/>
      <c r="I205" t="s">
        <v>25</v>
      </c>
      <c r="J205" s="8"/>
      <c r="K205" s="8"/>
      <c r="L205">
        <v>290</v>
      </c>
      <c r="M205" t="s">
        <v>73</v>
      </c>
      <c r="N205" t="s">
        <v>26</v>
      </c>
      <c r="P205">
        <v>0.69884936497493155</v>
      </c>
      <c r="Q205">
        <f t="shared" si="19"/>
        <v>20</v>
      </c>
      <c r="R205">
        <f ca="1">IF(ISNA(MATCH(P205,OFFSET('age-length key'!O$8,Data!Q205,17,1,5),1)),1,MATCH(P205,OFFSET('age-length key'!O$8,Data!Q205,17,1,5),1)+1)</f>
        <v>3</v>
      </c>
      <c r="S205">
        <f ca="1">IF(D205="Recapture",IF(OFFSET(B$1,MATCH(K205,K$2:K204,0),0)=B205,0,1),1)</f>
        <v>1</v>
      </c>
    </row>
    <row r="206" spans="1:19" x14ac:dyDescent="0.2">
      <c r="A206" s="1">
        <v>44317</v>
      </c>
      <c r="B206" s="28">
        <f t="shared" si="20"/>
        <v>20215</v>
      </c>
      <c r="C206">
        <f>A206-A$2</f>
        <v>341</v>
      </c>
      <c r="D206" s="5" t="s">
        <v>25</v>
      </c>
      <c r="E206" s="22" t="s">
        <v>70</v>
      </c>
      <c r="H206" s="3"/>
      <c r="I206" t="s">
        <v>25</v>
      </c>
      <c r="J206" s="8"/>
      <c r="K206" s="8"/>
      <c r="L206">
        <v>220</v>
      </c>
      <c r="M206" t="s">
        <v>73</v>
      </c>
      <c r="N206" t="s">
        <v>26</v>
      </c>
      <c r="P206">
        <v>0.56127713367402421</v>
      </c>
      <c r="Q206">
        <f t="shared" si="19"/>
        <v>13</v>
      </c>
      <c r="R206">
        <f ca="1">IF(ISNA(MATCH(P206,OFFSET('age-length key'!O$8,Data!Q206,17,1,5),1)),1,MATCH(P206,OFFSET('age-length key'!O$8,Data!Q206,17,1,5),1)+1)</f>
        <v>2</v>
      </c>
      <c r="S206">
        <f ca="1">IF(D206="Recapture",IF(OFFSET(B$1,MATCH(K206,K$2:K205,0),0)=B206,0,1),1)</f>
        <v>1</v>
      </c>
    </row>
    <row r="207" spans="1:19" x14ac:dyDescent="0.2">
      <c r="A207" s="1">
        <v>44317</v>
      </c>
      <c r="B207" s="28">
        <f t="shared" si="20"/>
        <v>20215</v>
      </c>
      <c r="C207">
        <f>A207-A$2</f>
        <v>341</v>
      </c>
      <c r="D207" s="5" t="s">
        <v>25</v>
      </c>
      <c r="E207" s="22" t="s">
        <v>70</v>
      </c>
      <c r="H207" s="3"/>
      <c r="I207" t="s">
        <v>25</v>
      </c>
      <c r="J207" s="8"/>
      <c r="K207" s="8"/>
      <c r="L207">
        <v>175</v>
      </c>
      <c r="M207" t="s">
        <v>73</v>
      </c>
      <c r="N207" t="s">
        <v>26</v>
      </c>
      <c r="P207">
        <v>0.38478565932474362</v>
      </c>
      <c r="Q207">
        <f t="shared" si="19"/>
        <v>9</v>
      </c>
      <c r="R207">
        <f ca="1">IF(ISNA(MATCH(P207,OFFSET('age-length key'!O$8,Data!Q207,17,1,5),1)),1,MATCH(P207,OFFSET('age-length key'!O$8,Data!Q207,17,1,5),1)+1)</f>
        <v>1</v>
      </c>
      <c r="S207">
        <f ca="1">IF(D207="Recapture",IF(OFFSET(B$1,MATCH(K207,K$2:K206,0),0)=B207,0,1),1)</f>
        <v>1</v>
      </c>
    </row>
    <row r="208" spans="1:19" x14ac:dyDescent="0.2">
      <c r="A208" s="1">
        <v>44317</v>
      </c>
      <c r="B208" s="28">
        <f t="shared" si="20"/>
        <v>20215</v>
      </c>
      <c r="C208">
        <f>A208-A$2</f>
        <v>341</v>
      </c>
      <c r="D208" s="5" t="s">
        <v>25</v>
      </c>
      <c r="E208" s="22" t="s">
        <v>70</v>
      </c>
      <c r="H208" s="3"/>
      <c r="I208" t="s">
        <v>25</v>
      </c>
      <c r="J208" s="8"/>
      <c r="K208" s="8"/>
      <c r="L208">
        <v>310</v>
      </c>
      <c r="M208" t="s">
        <v>80</v>
      </c>
      <c r="N208" t="s">
        <v>26</v>
      </c>
      <c r="P208">
        <v>9.2576270966127638E-2</v>
      </c>
      <c r="Q208">
        <f t="shared" si="19"/>
        <v>22</v>
      </c>
      <c r="R208">
        <f ca="1">IF(ISNA(MATCH(P208,OFFSET('age-length key'!O$8,Data!Q208,17,1,5),1)),1,MATCH(P208,OFFSET('age-length key'!O$8,Data!Q208,17,1,5),1)+1)</f>
        <v>3</v>
      </c>
      <c r="S208">
        <f ca="1">IF(D208="Recapture",IF(OFFSET(B$1,MATCH(K208,K$2:K207,0),0)=B208,0,1),1)</f>
        <v>1</v>
      </c>
    </row>
    <row r="209" spans="1:19" x14ac:dyDescent="0.2">
      <c r="A209" s="1">
        <v>44317</v>
      </c>
      <c r="B209" s="28">
        <f t="shared" si="20"/>
        <v>20215</v>
      </c>
      <c r="C209">
        <f>A209-A$2</f>
        <v>341</v>
      </c>
      <c r="D209" s="5" t="s">
        <v>25</v>
      </c>
      <c r="E209" s="22" t="s">
        <v>70</v>
      </c>
      <c r="H209" s="3"/>
      <c r="I209" t="s">
        <v>25</v>
      </c>
      <c r="J209" s="8"/>
      <c r="K209" s="8"/>
      <c r="L209">
        <v>310</v>
      </c>
      <c r="M209" t="s">
        <v>80</v>
      </c>
      <c r="N209" t="s">
        <v>26</v>
      </c>
      <c r="P209">
        <v>0.92938612770726259</v>
      </c>
      <c r="Q209">
        <f t="shared" si="19"/>
        <v>22</v>
      </c>
      <c r="R209">
        <f ca="1">IF(ISNA(MATCH(P209,OFFSET('age-length key'!O$8,Data!Q209,17,1,5),1)),1,MATCH(P209,OFFSET('age-length key'!O$8,Data!Q209,17,1,5),1)+1)</f>
        <v>3</v>
      </c>
      <c r="S209">
        <f ca="1">IF(D209="Recapture",IF(OFFSET(B$1,MATCH(K209,K$2:K208,0),0)=B209,0,1),1)</f>
        <v>1</v>
      </c>
    </row>
    <row r="210" spans="1:19" x14ac:dyDescent="0.2">
      <c r="A210" s="1">
        <v>44317</v>
      </c>
      <c r="B210" s="28">
        <f t="shared" si="20"/>
        <v>20215</v>
      </c>
      <c r="C210">
        <f>A210-A$2</f>
        <v>341</v>
      </c>
      <c r="D210" s="5" t="s">
        <v>58</v>
      </c>
      <c r="E210" s="22" t="s">
        <v>59</v>
      </c>
      <c r="F210" s="4">
        <v>0.48680555555555555</v>
      </c>
      <c r="G210" s="4">
        <v>0.50347222222222221</v>
      </c>
      <c r="H210" s="3">
        <f t="shared" ref="H210:H244" si="21">G210-F210</f>
        <v>1.6666666666666663E-2</v>
      </c>
      <c r="I210">
        <v>48</v>
      </c>
      <c r="J210" s="8" t="s">
        <v>56</v>
      </c>
      <c r="K210" s="11" t="str">
        <f t="shared" ref="K210:K211" si="22">_xlfn.CONCAT(J210,I210)</f>
        <v>Green48</v>
      </c>
      <c r="L210">
        <v>406</v>
      </c>
      <c r="M210" t="s">
        <v>73</v>
      </c>
      <c r="N210" t="s">
        <v>27</v>
      </c>
      <c r="P210">
        <v>0.19264837596223147</v>
      </c>
      <c r="Q210">
        <f t="shared" si="19"/>
        <v>32</v>
      </c>
      <c r="R210">
        <f ca="1">IF(ISNA(MATCH(P210,OFFSET('age-length key'!O$8,Data!Q210,17,1,5),1)),1,MATCH(P210,OFFSET('age-length key'!O$8,Data!Q210,17,1,5),1)+1)</f>
        <v>4</v>
      </c>
      <c r="S210">
        <f ca="1">IF(D210="Recapture",IF(OFFSET(B$1,MATCH(K210,K$2:K209,0),0)=B210,0,1),1)</f>
        <v>1</v>
      </c>
    </row>
    <row r="211" spans="1:19" x14ac:dyDescent="0.2">
      <c r="A211" s="1">
        <v>44322</v>
      </c>
      <c r="B211" s="28">
        <f t="shared" si="20"/>
        <v>20215</v>
      </c>
      <c r="C211">
        <f>A211-A$2</f>
        <v>346</v>
      </c>
      <c r="D211" s="5" t="s">
        <v>47</v>
      </c>
      <c r="E211" s="25" t="s">
        <v>49</v>
      </c>
      <c r="F211" s="4">
        <v>0.3125</v>
      </c>
      <c r="G211" s="4">
        <v>0.52777777777777779</v>
      </c>
      <c r="H211" s="3">
        <f t="shared" si="21"/>
        <v>0.21527777777777779</v>
      </c>
      <c r="I211" s="5">
        <v>49</v>
      </c>
      <c r="J211" s="5" t="s">
        <v>56</v>
      </c>
      <c r="K211" s="11" t="str">
        <f t="shared" si="22"/>
        <v>Green49</v>
      </c>
      <c r="L211" s="5">
        <v>285</v>
      </c>
      <c r="M211" t="s">
        <v>11</v>
      </c>
      <c r="N211" t="s">
        <v>27</v>
      </c>
      <c r="P211">
        <v>0.84125479722453966</v>
      </c>
      <c r="Q211">
        <f t="shared" si="19"/>
        <v>20</v>
      </c>
      <c r="R211">
        <f ca="1">IF(ISNA(MATCH(P211,OFFSET('age-length key'!O$8,Data!Q211,17,1,5),1)),1,MATCH(P211,OFFSET('age-length key'!O$8,Data!Q211,17,1,5),1)+1)</f>
        <v>3</v>
      </c>
      <c r="S211">
        <f ca="1">IF(D211="Recapture",IF(OFFSET(B$1,MATCH(K211,K$2:K210,0),0)=B211,0,1),1)</f>
        <v>1</v>
      </c>
    </row>
    <row r="212" spans="1:19" x14ac:dyDescent="0.2">
      <c r="A212" s="1">
        <v>44328</v>
      </c>
      <c r="B212" s="28">
        <f t="shared" si="20"/>
        <v>20215</v>
      </c>
      <c r="C212">
        <f>A212-A$2</f>
        <v>352</v>
      </c>
      <c r="D212" s="5" t="s">
        <v>25</v>
      </c>
      <c r="E212" s="25" t="s">
        <v>49</v>
      </c>
      <c r="F212" s="4">
        <v>0.5625</v>
      </c>
      <c r="G212" s="4">
        <v>0.56319444444444444</v>
      </c>
      <c r="H212" s="3">
        <f t="shared" si="21"/>
        <v>6.9444444444444198E-4</v>
      </c>
      <c r="I212" s="5" t="s">
        <v>25</v>
      </c>
      <c r="L212">
        <v>305</v>
      </c>
      <c r="M212" t="s">
        <v>73</v>
      </c>
      <c r="N212" t="s">
        <v>26</v>
      </c>
      <c r="P212">
        <v>0.96937695283879388</v>
      </c>
      <c r="Q212">
        <f t="shared" si="19"/>
        <v>22</v>
      </c>
      <c r="R212">
        <f ca="1">IF(ISNA(MATCH(P212,OFFSET('age-length key'!O$8,Data!Q212,17,1,5),1)),1,MATCH(P212,OFFSET('age-length key'!O$8,Data!Q212,17,1,5),1)+1)</f>
        <v>4</v>
      </c>
      <c r="S212">
        <f ca="1">IF(D212="Recapture",IF(OFFSET(B$1,MATCH(K212,K$2:K211,0),0)=B212,0,1),1)</f>
        <v>1</v>
      </c>
    </row>
    <row r="213" spans="1:19" x14ac:dyDescent="0.2">
      <c r="A213" s="1">
        <v>44328</v>
      </c>
      <c r="B213" s="28">
        <f t="shared" si="20"/>
        <v>20215</v>
      </c>
      <c r="C213">
        <f>A213-A$2</f>
        <v>352</v>
      </c>
      <c r="D213" s="5" t="s">
        <v>25</v>
      </c>
      <c r="E213" s="25" t="s">
        <v>49</v>
      </c>
      <c r="F213" s="4">
        <v>0.37638888888888888</v>
      </c>
      <c r="G213" s="4">
        <v>0.37777777777777777</v>
      </c>
      <c r="H213" s="3">
        <f t="shared" si="21"/>
        <v>1.388888888888884E-3</v>
      </c>
      <c r="I213" s="5" t="s">
        <v>25</v>
      </c>
      <c r="L213">
        <v>310</v>
      </c>
      <c r="M213" t="s">
        <v>28</v>
      </c>
      <c r="N213" t="s">
        <v>26</v>
      </c>
      <c r="P213">
        <v>0.31844636160807982</v>
      </c>
      <c r="Q213">
        <f t="shared" si="19"/>
        <v>22</v>
      </c>
      <c r="R213">
        <f ca="1">IF(ISNA(MATCH(P213,OFFSET('age-length key'!O$8,Data!Q213,17,1,5),1)),1,MATCH(P213,OFFSET('age-length key'!O$8,Data!Q213,17,1,5),1)+1)</f>
        <v>3</v>
      </c>
      <c r="S213">
        <f ca="1">IF(D213="Recapture",IF(OFFSET(B$1,MATCH(K213,K$2:K212,0),0)=B213,0,1),1)</f>
        <v>1</v>
      </c>
    </row>
    <row r="214" spans="1:19" x14ac:dyDescent="0.2">
      <c r="A214" s="1">
        <v>44328</v>
      </c>
      <c r="B214" s="28">
        <f t="shared" si="20"/>
        <v>20215</v>
      </c>
      <c r="C214">
        <f>A214-A$2</f>
        <v>352</v>
      </c>
      <c r="D214" s="5" t="s">
        <v>25</v>
      </c>
      <c r="E214" s="25" t="s">
        <v>49</v>
      </c>
      <c r="F214" s="4">
        <v>0.58333333333333337</v>
      </c>
      <c r="G214" s="4">
        <v>0.58472222222222225</v>
      </c>
      <c r="H214" s="3">
        <f t="shared" si="21"/>
        <v>1.388888888888884E-3</v>
      </c>
      <c r="I214" s="5" t="s">
        <v>25</v>
      </c>
      <c r="L214">
        <v>310</v>
      </c>
      <c r="M214" t="s">
        <v>73</v>
      </c>
      <c r="N214" t="s">
        <v>26</v>
      </c>
      <c r="P214">
        <v>0.12799954699724891</v>
      </c>
      <c r="Q214">
        <f t="shared" si="19"/>
        <v>22</v>
      </c>
      <c r="R214">
        <f ca="1">IF(ISNA(MATCH(P214,OFFSET('age-length key'!O$8,Data!Q214,17,1,5),1)),1,MATCH(P214,OFFSET('age-length key'!O$8,Data!Q214,17,1,5),1)+1)</f>
        <v>3</v>
      </c>
      <c r="S214">
        <f ca="1">IF(D214="Recapture",IF(OFFSET(B$1,MATCH(K214,K$2:K213,0),0)=B214,0,1),1)</f>
        <v>1</v>
      </c>
    </row>
    <row r="215" spans="1:19" x14ac:dyDescent="0.2">
      <c r="A215" s="1">
        <v>44328</v>
      </c>
      <c r="B215" s="28">
        <f t="shared" si="20"/>
        <v>20215</v>
      </c>
      <c r="C215">
        <f>A215-A$2</f>
        <v>352</v>
      </c>
      <c r="D215" s="5" t="s">
        <v>25</v>
      </c>
      <c r="E215" s="25" t="s">
        <v>49</v>
      </c>
      <c r="F215" s="4">
        <v>0.43472222222222223</v>
      </c>
      <c r="G215" s="4">
        <v>0.4368055555555555</v>
      </c>
      <c r="H215" s="3">
        <f t="shared" si="21"/>
        <v>2.0833333333332704E-3</v>
      </c>
      <c r="I215" s="5" t="s">
        <v>25</v>
      </c>
      <c r="L215">
        <v>310</v>
      </c>
      <c r="M215" t="s">
        <v>16</v>
      </c>
      <c r="N215" t="s">
        <v>26</v>
      </c>
      <c r="P215">
        <v>0.2883863827625226</v>
      </c>
      <c r="Q215">
        <f t="shared" si="19"/>
        <v>22</v>
      </c>
      <c r="R215">
        <f ca="1">IF(ISNA(MATCH(P215,OFFSET('age-length key'!O$8,Data!Q215,17,1,5),1)),1,MATCH(P215,OFFSET('age-length key'!O$8,Data!Q215,17,1,5),1)+1)</f>
        <v>3</v>
      </c>
      <c r="S215">
        <f ca="1">IF(D215="Recapture",IF(OFFSET(B$1,MATCH(K215,K$2:K214,0),0)=B215,0,1),1)</f>
        <v>1</v>
      </c>
    </row>
    <row r="216" spans="1:19" x14ac:dyDescent="0.2">
      <c r="A216" s="1">
        <v>44328</v>
      </c>
      <c r="B216" s="28">
        <f t="shared" si="20"/>
        <v>20215</v>
      </c>
      <c r="C216">
        <f>A216-A$2</f>
        <v>352</v>
      </c>
      <c r="D216" s="5" t="s">
        <v>25</v>
      </c>
      <c r="E216" s="25" t="s">
        <v>49</v>
      </c>
      <c r="F216" s="4">
        <v>0.52361111111111114</v>
      </c>
      <c r="G216" s="4">
        <v>0.52569444444444446</v>
      </c>
      <c r="H216" s="3">
        <f t="shared" si="21"/>
        <v>2.0833333333333259E-3</v>
      </c>
      <c r="I216" s="5" t="s">
        <v>25</v>
      </c>
      <c r="L216">
        <v>300</v>
      </c>
      <c r="M216" t="s">
        <v>20</v>
      </c>
      <c r="N216" t="s">
        <v>26</v>
      </c>
      <c r="P216">
        <v>0.90993508971758885</v>
      </c>
      <c r="Q216">
        <f t="shared" si="19"/>
        <v>21</v>
      </c>
      <c r="R216">
        <f ca="1">IF(ISNA(MATCH(P216,OFFSET('age-length key'!O$8,Data!Q216,17,1,5),1)),1,MATCH(P216,OFFSET('age-length key'!O$8,Data!Q216,17,1,5),1)+1)</f>
        <v>3</v>
      </c>
      <c r="S216">
        <f ca="1">IF(D216="Recapture",IF(OFFSET(B$1,MATCH(K216,K$2:K215,0),0)=B216,0,1),1)</f>
        <v>1</v>
      </c>
    </row>
    <row r="217" spans="1:19" x14ac:dyDescent="0.2">
      <c r="A217" s="1">
        <v>44328</v>
      </c>
      <c r="B217" s="28">
        <f t="shared" si="20"/>
        <v>20215</v>
      </c>
      <c r="C217">
        <f>A217-A$2</f>
        <v>352</v>
      </c>
      <c r="D217" s="5" t="s">
        <v>25</v>
      </c>
      <c r="E217" s="25" t="s">
        <v>49</v>
      </c>
      <c r="F217" s="4">
        <v>0.4375</v>
      </c>
      <c r="G217" s="4">
        <v>0.44097222222222227</v>
      </c>
      <c r="H217" s="3">
        <f t="shared" si="21"/>
        <v>3.4722222222222654E-3</v>
      </c>
      <c r="I217" s="5" t="s">
        <v>25</v>
      </c>
      <c r="L217">
        <v>322</v>
      </c>
      <c r="M217" t="s">
        <v>16</v>
      </c>
      <c r="N217" t="s">
        <v>26</v>
      </c>
      <c r="P217">
        <v>0.27905288351655605</v>
      </c>
      <c r="Q217">
        <f t="shared" si="19"/>
        <v>23</v>
      </c>
      <c r="R217">
        <f ca="1">IF(ISNA(MATCH(P217,OFFSET('age-length key'!O$8,Data!Q217,17,1,5),1)),1,MATCH(P217,OFFSET('age-length key'!O$8,Data!Q217,17,1,5),1)+1)</f>
        <v>3</v>
      </c>
      <c r="S217">
        <f ca="1">IF(D217="Recapture",IF(OFFSET(B$1,MATCH(K217,K$2:K216,0),0)=B217,0,1),1)</f>
        <v>1</v>
      </c>
    </row>
    <row r="218" spans="1:19" x14ac:dyDescent="0.2">
      <c r="A218" s="1">
        <v>44328</v>
      </c>
      <c r="B218" s="28">
        <f t="shared" si="20"/>
        <v>20215</v>
      </c>
      <c r="C218">
        <f>A218-A$2</f>
        <v>352</v>
      </c>
      <c r="D218" s="5" t="s">
        <v>25</v>
      </c>
      <c r="E218" s="25" t="s">
        <v>49</v>
      </c>
      <c r="F218" s="4">
        <v>0.44166666666666665</v>
      </c>
      <c r="G218" s="4">
        <v>0.44513888888888892</v>
      </c>
      <c r="H218" s="3">
        <f t="shared" si="21"/>
        <v>3.4722222222222654E-3</v>
      </c>
      <c r="I218" s="5" t="s">
        <v>25</v>
      </c>
      <c r="L218">
        <v>300</v>
      </c>
      <c r="M218" t="s">
        <v>16</v>
      </c>
      <c r="N218" t="s">
        <v>26</v>
      </c>
      <c r="P218">
        <v>4.181326275775827E-2</v>
      </c>
      <c r="Q218">
        <f t="shared" si="19"/>
        <v>21</v>
      </c>
      <c r="R218">
        <f ca="1">IF(ISNA(MATCH(P218,OFFSET('age-length key'!O$8,Data!Q218,17,1,5),1)),1,MATCH(P218,OFFSET('age-length key'!O$8,Data!Q218,17,1,5),1)+1)</f>
        <v>3</v>
      </c>
      <c r="S218">
        <f ca="1">IF(D218="Recapture",IF(OFFSET(B$1,MATCH(K218,K$2:K217,0),0)=B218,0,1),1)</f>
        <v>1</v>
      </c>
    </row>
    <row r="219" spans="1:19" x14ac:dyDescent="0.2">
      <c r="A219" s="1">
        <v>44328</v>
      </c>
      <c r="B219" s="28">
        <f t="shared" si="20"/>
        <v>20215</v>
      </c>
      <c r="C219">
        <f>A219-A$2</f>
        <v>352</v>
      </c>
      <c r="D219" s="5" t="s">
        <v>25</v>
      </c>
      <c r="E219" s="25" t="s">
        <v>49</v>
      </c>
      <c r="F219" s="4">
        <v>0.33333333333333331</v>
      </c>
      <c r="G219" s="4">
        <v>0.33749999999999997</v>
      </c>
      <c r="H219" s="3">
        <f t="shared" si="21"/>
        <v>4.1666666666666519E-3</v>
      </c>
      <c r="I219" s="5" t="s">
        <v>25</v>
      </c>
      <c r="L219">
        <v>295</v>
      </c>
      <c r="M219" t="s">
        <v>9</v>
      </c>
      <c r="N219" t="s">
        <v>26</v>
      </c>
      <c r="P219">
        <v>0.75550716964318754</v>
      </c>
      <c r="Q219">
        <f t="shared" si="19"/>
        <v>21</v>
      </c>
      <c r="R219">
        <f ca="1">IF(ISNA(MATCH(P219,OFFSET('age-length key'!O$8,Data!Q219,17,1,5),1)),1,MATCH(P219,OFFSET('age-length key'!O$8,Data!Q219,17,1,5),1)+1)</f>
        <v>3</v>
      </c>
      <c r="S219">
        <f ca="1">IF(D219="Recapture",IF(OFFSET(B$1,MATCH(K219,K$2:K218,0),0)=B219,0,1),1)</f>
        <v>1</v>
      </c>
    </row>
    <row r="220" spans="1:19" x14ac:dyDescent="0.2">
      <c r="A220" s="1">
        <v>44328</v>
      </c>
      <c r="B220" s="28">
        <f t="shared" si="20"/>
        <v>20215</v>
      </c>
      <c r="C220">
        <f>A220-A$2</f>
        <v>352</v>
      </c>
      <c r="D220" s="5" t="s">
        <v>25</v>
      </c>
      <c r="E220" s="25" t="s">
        <v>49</v>
      </c>
      <c r="F220" s="4">
        <v>0.4597222222222222</v>
      </c>
      <c r="G220" s="4">
        <v>0.46527777777777773</v>
      </c>
      <c r="H220" s="3">
        <f t="shared" si="21"/>
        <v>5.5555555555555358E-3</v>
      </c>
      <c r="I220" s="5" t="s">
        <v>25</v>
      </c>
      <c r="L220">
        <v>325</v>
      </c>
      <c r="M220" t="s">
        <v>12</v>
      </c>
      <c r="N220" t="s">
        <v>26</v>
      </c>
      <c r="P220">
        <v>0.80900019305245963</v>
      </c>
      <c r="Q220">
        <f t="shared" si="19"/>
        <v>24</v>
      </c>
      <c r="R220">
        <f ca="1">IF(ISNA(MATCH(P220,OFFSET('age-length key'!O$8,Data!Q220,17,1,5),1)),1,MATCH(P220,OFFSET('age-length key'!O$8,Data!Q220,17,1,5),1)+1)</f>
        <v>3</v>
      </c>
      <c r="S220">
        <f ca="1">IF(D220="Recapture",IF(OFFSET(B$1,MATCH(K220,K$2:K219,0),0)=B220,0,1),1)</f>
        <v>1</v>
      </c>
    </row>
    <row r="221" spans="1:19" x14ac:dyDescent="0.2">
      <c r="A221" s="1">
        <v>44328</v>
      </c>
      <c r="B221" s="28">
        <f t="shared" si="20"/>
        <v>20215</v>
      </c>
      <c r="C221">
        <f>A221-A$2</f>
        <v>352</v>
      </c>
      <c r="D221" s="5" t="s">
        <v>25</v>
      </c>
      <c r="E221" s="25" t="s">
        <v>49</v>
      </c>
      <c r="F221" s="4">
        <v>0.53263888888888888</v>
      </c>
      <c r="G221" s="4">
        <v>0.53819444444444442</v>
      </c>
      <c r="H221" s="3">
        <f t="shared" si="21"/>
        <v>5.5555555555555358E-3</v>
      </c>
      <c r="I221" s="5" t="s">
        <v>25</v>
      </c>
      <c r="L221">
        <v>320</v>
      </c>
      <c r="M221" t="s">
        <v>20</v>
      </c>
      <c r="N221" t="s">
        <v>26</v>
      </c>
      <c r="P221">
        <v>0.86624463268846486</v>
      </c>
      <c r="Q221">
        <f t="shared" si="19"/>
        <v>23</v>
      </c>
      <c r="R221">
        <f ca="1">IF(ISNA(MATCH(P221,OFFSET('age-length key'!O$8,Data!Q221,17,1,5),1)),1,MATCH(P221,OFFSET('age-length key'!O$8,Data!Q221,17,1,5),1)+1)</f>
        <v>3</v>
      </c>
      <c r="S221">
        <f ca="1">IF(D221="Recapture",IF(OFFSET(B$1,MATCH(K221,K$2:K220,0),0)=B221,0,1),1)</f>
        <v>1</v>
      </c>
    </row>
    <row r="222" spans="1:19" x14ac:dyDescent="0.2">
      <c r="A222" s="1">
        <v>44328</v>
      </c>
      <c r="B222" s="28">
        <f t="shared" si="20"/>
        <v>20215</v>
      </c>
      <c r="C222">
        <f>A222-A$2</f>
        <v>352</v>
      </c>
      <c r="D222" s="5" t="s">
        <v>25</v>
      </c>
      <c r="E222" s="25" t="s">
        <v>49</v>
      </c>
      <c r="F222" s="4">
        <v>0.55277777777777781</v>
      </c>
      <c r="G222" s="4">
        <v>0.55902777777777779</v>
      </c>
      <c r="H222" s="3">
        <f t="shared" si="21"/>
        <v>6.2499999999999778E-3</v>
      </c>
      <c r="I222" s="5" t="s">
        <v>25</v>
      </c>
      <c r="L222">
        <v>315</v>
      </c>
      <c r="M222" t="s">
        <v>73</v>
      </c>
      <c r="N222" t="s">
        <v>26</v>
      </c>
      <c r="P222">
        <v>0.97354159502943116</v>
      </c>
      <c r="Q222">
        <f t="shared" si="19"/>
        <v>23</v>
      </c>
      <c r="R222">
        <f ca="1">IF(ISNA(MATCH(P222,OFFSET('age-length key'!O$8,Data!Q222,17,1,5),1)),1,MATCH(P222,OFFSET('age-length key'!O$8,Data!Q222,17,1,5),1)+1)</f>
        <v>4</v>
      </c>
      <c r="S222">
        <f ca="1">IF(D222="Recapture",IF(OFFSET(B$1,MATCH(K222,K$2:K221,0),0)=B222,0,1),1)</f>
        <v>1</v>
      </c>
    </row>
    <row r="223" spans="1:19" x14ac:dyDescent="0.2">
      <c r="A223" s="1">
        <v>44328</v>
      </c>
      <c r="B223" s="28">
        <f t="shared" si="20"/>
        <v>20215</v>
      </c>
      <c r="C223">
        <f>A223-A$2</f>
        <v>352</v>
      </c>
      <c r="D223" s="5" t="s">
        <v>25</v>
      </c>
      <c r="E223" s="25" t="s">
        <v>49</v>
      </c>
      <c r="F223" s="4">
        <v>0.52638888888888891</v>
      </c>
      <c r="G223" s="4">
        <v>0.53263888888888888</v>
      </c>
      <c r="H223" s="3">
        <f t="shared" si="21"/>
        <v>6.2499999999999778E-3</v>
      </c>
      <c r="I223" s="5" t="s">
        <v>25</v>
      </c>
      <c r="L223">
        <v>310</v>
      </c>
      <c r="M223" t="s">
        <v>20</v>
      </c>
      <c r="N223" t="s">
        <v>26</v>
      </c>
      <c r="P223">
        <v>0.31358765965029023</v>
      </c>
      <c r="Q223">
        <f t="shared" si="19"/>
        <v>22</v>
      </c>
      <c r="R223">
        <f ca="1">IF(ISNA(MATCH(P223,OFFSET('age-length key'!O$8,Data!Q223,17,1,5),1)),1,MATCH(P223,OFFSET('age-length key'!O$8,Data!Q223,17,1,5),1)+1)</f>
        <v>3</v>
      </c>
      <c r="S223">
        <f ca="1">IF(D223="Recapture",IF(OFFSET(B$1,MATCH(K223,K$2:K222,0),0)=B223,0,1),1)</f>
        <v>1</v>
      </c>
    </row>
    <row r="224" spans="1:19" x14ac:dyDescent="0.2">
      <c r="A224" s="1">
        <v>44328</v>
      </c>
      <c r="B224" s="28">
        <f t="shared" si="20"/>
        <v>20215</v>
      </c>
      <c r="C224">
        <f>A224-A$2</f>
        <v>352</v>
      </c>
      <c r="D224" s="5" t="s">
        <v>25</v>
      </c>
      <c r="E224" s="25" t="s">
        <v>49</v>
      </c>
      <c r="F224" s="4">
        <v>0.32361111111111113</v>
      </c>
      <c r="G224" s="4">
        <v>0.33333333333333331</v>
      </c>
      <c r="H224" s="3">
        <f t="shared" si="21"/>
        <v>9.7222222222221877E-3</v>
      </c>
      <c r="I224" s="5" t="s">
        <v>25</v>
      </c>
      <c r="L224">
        <v>318</v>
      </c>
      <c r="M224" t="s">
        <v>9</v>
      </c>
      <c r="N224" t="s">
        <v>26</v>
      </c>
      <c r="P224">
        <v>0.46779574242783512</v>
      </c>
      <c r="Q224">
        <f t="shared" si="19"/>
        <v>23</v>
      </c>
      <c r="R224">
        <f ca="1">IF(ISNA(MATCH(P224,OFFSET('age-length key'!O$8,Data!Q224,17,1,5),1)),1,MATCH(P224,OFFSET('age-length key'!O$8,Data!Q224,17,1,5),1)+1)</f>
        <v>3</v>
      </c>
      <c r="S224">
        <f ca="1">IF(D224="Recapture",IF(OFFSET(B$1,MATCH(K224,K$2:K223,0),0)=B224,0,1),1)</f>
        <v>1</v>
      </c>
    </row>
    <row r="225" spans="1:19" x14ac:dyDescent="0.2">
      <c r="A225" s="1">
        <v>44328</v>
      </c>
      <c r="B225" s="28">
        <f t="shared" si="20"/>
        <v>20215</v>
      </c>
      <c r="C225">
        <f>A225-A$2</f>
        <v>352</v>
      </c>
      <c r="D225" s="5" t="s">
        <v>25</v>
      </c>
      <c r="E225" s="25" t="s">
        <v>49</v>
      </c>
      <c r="F225" s="4">
        <v>0.39652777777777781</v>
      </c>
      <c r="G225" s="4">
        <v>0.40625</v>
      </c>
      <c r="H225" s="3">
        <f t="shared" si="21"/>
        <v>9.7222222222221877E-3</v>
      </c>
      <c r="I225" s="5" t="s">
        <v>25</v>
      </c>
      <c r="L225">
        <v>310</v>
      </c>
      <c r="M225" t="s">
        <v>23</v>
      </c>
      <c r="N225" t="s">
        <v>26</v>
      </c>
      <c r="P225">
        <v>0.24304298462487897</v>
      </c>
      <c r="Q225">
        <f t="shared" si="19"/>
        <v>22</v>
      </c>
      <c r="R225">
        <f ca="1">IF(ISNA(MATCH(P225,OFFSET('age-length key'!O$8,Data!Q225,17,1,5),1)),1,MATCH(P225,OFFSET('age-length key'!O$8,Data!Q225,17,1,5),1)+1)</f>
        <v>3</v>
      </c>
      <c r="S225">
        <f ca="1">IF(D225="Recapture",IF(OFFSET(B$1,MATCH(K225,K$2:K224,0),0)=B225,0,1),1)</f>
        <v>1</v>
      </c>
    </row>
    <row r="226" spans="1:19" x14ac:dyDescent="0.2">
      <c r="A226" s="1">
        <v>44328</v>
      </c>
      <c r="B226" s="28">
        <f t="shared" si="20"/>
        <v>20215</v>
      </c>
      <c r="C226">
        <f>A226-A$2</f>
        <v>352</v>
      </c>
      <c r="D226" s="5" t="s">
        <v>25</v>
      </c>
      <c r="E226" s="25" t="s">
        <v>49</v>
      </c>
      <c r="F226" s="4">
        <v>0.40625</v>
      </c>
      <c r="G226" s="4">
        <v>0.41805555555555557</v>
      </c>
      <c r="H226" s="3">
        <f t="shared" si="21"/>
        <v>1.1805555555555569E-2</v>
      </c>
      <c r="I226" s="5" t="s">
        <v>25</v>
      </c>
      <c r="L226">
        <v>343</v>
      </c>
      <c r="M226" t="s">
        <v>23</v>
      </c>
      <c r="N226" t="s">
        <v>26</v>
      </c>
      <c r="P226">
        <v>0.82344259034071243</v>
      </c>
      <c r="Q226">
        <f t="shared" si="19"/>
        <v>25</v>
      </c>
      <c r="R226">
        <f ca="1">IF(ISNA(MATCH(P226,OFFSET('age-length key'!O$8,Data!Q226,17,1,5),1)),1,MATCH(P226,OFFSET('age-length key'!O$8,Data!Q226,17,1,5),1)+1)</f>
        <v>4</v>
      </c>
      <c r="S226">
        <f ca="1">IF(D226="Recapture",IF(OFFSET(B$1,MATCH(K226,K$2:K225,0),0)=B226,0,1),1)</f>
        <v>1</v>
      </c>
    </row>
    <row r="227" spans="1:19" x14ac:dyDescent="0.2">
      <c r="A227" s="1">
        <v>44328</v>
      </c>
      <c r="B227" s="28">
        <f t="shared" si="20"/>
        <v>20215</v>
      </c>
      <c r="C227">
        <f>A227-A$2</f>
        <v>352</v>
      </c>
      <c r="D227" s="5" t="s">
        <v>25</v>
      </c>
      <c r="E227" s="25" t="s">
        <v>49</v>
      </c>
      <c r="F227" s="4">
        <v>0.3611111111111111</v>
      </c>
      <c r="G227" s="4">
        <v>0.375</v>
      </c>
      <c r="H227" s="3">
        <f t="shared" si="21"/>
        <v>1.3888888888888895E-2</v>
      </c>
      <c r="I227" s="5" t="s">
        <v>25</v>
      </c>
      <c r="L227">
        <v>310</v>
      </c>
      <c r="M227" t="s">
        <v>28</v>
      </c>
      <c r="N227" t="s">
        <v>26</v>
      </c>
      <c r="P227">
        <v>0.59961585635301462</v>
      </c>
      <c r="Q227">
        <f t="shared" si="19"/>
        <v>22</v>
      </c>
      <c r="R227">
        <f ca="1">IF(ISNA(MATCH(P227,OFFSET('age-length key'!O$8,Data!Q227,17,1,5),1)),1,MATCH(P227,OFFSET('age-length key'!O$8,Data!Q227,17,1,5),1)+1)</f>
        <v>3</v>
      </c>
      <c r="S227">
        <f ca="1">IF(D227="Recapture",IF(OFFSET(B$1,MATCH(K227,K$2:K226,0),0)=B227,0,1),1)</f>
        <v>1</v>
      </c>
    </row>
    <row r="228" spans="1:19" x14ac:dyDescent="0.2">
      <c r="A228" s="1">
        <v>44328</v>
      </c>
      <c r="B228" s="28">
        <f t="shared" si="20"/>
        <v>20215</v>
      </c>
      <c r="C228">
        <f>A228-A$2</f>
        <v>352</v>
      </c>
      <c r="D228" s="5" t="s">
        <v>25</v>
      </c>
      <c r="E228" s="25" t="s">
        <v>49</v>
      </c>
      <c r="F228" s="4">
        <v>0.53819444444444442</v>
      </c>
      <c r="G228" s="4">
        <v>0.55277777777777781</v>
      </c>
      <c r="H228" s="3">
        <f t="shared" si="21"/>
        <v>1.4583333333333393E-2</v>
      </c>
      <c r="I228" s="5" t="s">
        <v>25</v>
      </c>
      <c r="L228">
        <v>308</v>
      </c>
      <c r="M228" t="s">
        <v>73</v>
      </c>
      <c r="N228" t="s">
        <v>26</v>
      </c>
      <c r="P228">
        <v>0.74369772511706578</v>
      </c>
      <c r="Q228">
        <f t="shared" si="19"/>
        <v>22</v>
      </c>
      <c r="R228">
        <f ca="1">IF(ISNA(MATCH(P228,OFFSET('age-length key'!O$8,Data!Q228,17,1,5),1)),1,MATCH(P228,OFFSET('age-length key'!O$8,Data!Q228,17,1,5),1)+1)</f>
        <v>3</v>
      </c>
      <c r="S228">
        <f ca="1">IF(D228="Recapture",IF(OFFSET(B$1,MATCH(K228,K$2:K227,0),0)=B228,0,1),1)</f>
        <v>1</v>
      </c>
    </row>
    <row r="229" spans="1:19" x14ac:dyDescent="0.2">
      <c r="A229" s="1">
        <v>44328</v>
      </c>
      <c r="B229" s="28">
        <f t="shared" si="20"/>
        <v>20215</v>
      </c>
      <c r="C229">
        <f>A229-A$2</f>
        <v>352</v>
      </c>
      <c r="D229" s="5" t="s">
        <v>25</v>
      </c>
      <c r="E229" s="25" t="s">
        <v>49</v>
      </c>
      <c r="F229" s="4">
        <v>0.41875000000000001</v>
      </c>
      <c r="G229" s="4">
        <v>0.43402777777777773</v>
      </c>
      <c r="H229" s="3">
        <f t="shared" si="21"/>
        <v>1.5277777777777724E-2</v>
      </c>
      <c r="I229" s="5" t="s">
        <v>25</v>
      </c>
      <c r="L229">
        <v>333</v>
      </c>
      <c r="M229" t="s">
        <v>17</v>
      </c>
      <c r="N229" t="s">
        <v>26</v>
      </c>
      <c r="P229">
        <v>0.32766604252516573</v>
      </c>
      <c r="Q229">
        <f t="shared" si="19"/>
        <v>24</v>
      </c>
      <c r="R229">
        <f ca="1">IF(ISNA(MATCH(P229,OFFSET('age-length key'!O$8,Data!Q229,17,1,5),1)),1,MATCH(P229,OFFSET('age-length key'!O$8,Data!Q229,17,1,5),1)+1)</f>
        <v>3</v>
      </c>
      <c r="S229">
        <f ca="1">IF(D229="Recapture",IF(OFFSET(B$1,MATCH(K229,K$2:K228,0),0)=B229,0,1),1)</f>
        <v>1</v>
      </c>
    </row>
    <row r="230" spans="1:19" x14ac:dyDescent="0.2">
      <c r="A230" s="1">
        <v>44328</v>
      </c>
      <c r="B230" s="28">
        <f t="shared" si="20"/>
        <v>20215</v>
      </c>
      <c r="C230">
        <f>A230-A$2</f>
        <v>352</v>
      </c>
      <c r="D230" s="5" t="s">
        <v>25</v>
      </c>
      <c r="E230" s="25" t="s">
        <v>49</v>
      </c>
      <c r="F230" s="4">
        <v>0.56319444444444444</v>
      </c>
      <c r="G230" s="4">
        <v>0.58333333333333337</v>
      </c>
      <c r="H230" s="3">
        <f t="shared" si="21"/>
        <v>2.0138888888888928E-2</v>
      </c>
      <c r="I230" s="5" t="s">
        <v>25</v>
      </c>
      <c r="L230">
        <v>295</v>
      </c>
      <c r="M230" t="s">
        <v>73</v>
      </c>
      <c r="N230" t="s">
        <v>26</v>
      </c>
      <c r="P230">
        <v>8.3176720460493458E-2</v>
      </c>
      <c r="Q230">
        <f t="shared" si="19"/>
        <v>21</v>
      </c>
      <c r="R230">
        <f ca="1">IF(ISNA(MATCH(P230,OFFSET('age-length key'!O$8,Data!Q230,17,1,5),1)),1,MATCH(P230,OFFSET('age-length key'!O$8,Data!Q230,17,1,5),1)+1)</f>
        <v>3</v>
      </c>
      <c r="S230">
        <f ca="1">IF(D230="Recapture",IF(OFFSET(B$1,MATCH(K230,K$2:K229,0),0)=B230,0,1),1)</f>
        <v>1</v>
      </c>
    </row>
    <row r="231" spans="1:19" x14ac:dyDescent="0.2">
      <c r="A231" s="1">
        <v>44328</v>
      </c>
      <c r="B231" s="28">
        <f t="shared" si="20"/>
        <v>20215</v>
      </c>
      <c r="C231">
        <f>A231-A$2</f>
        <v>352</v>
      </c>
      <c r="D231" s="5" t="s">
        <v>25</v>
      </c>
      <c r="E231" s="25" t="s">
        <v>49</v>
      </c>
      <c r="F231" s="4">
        <v>0.5</v>
      </c>
      <c r="G231" s="4">
        <v>0.5229166666666667</v>
      </c>
      <c r="H231" s="3">
        <f t="shared" si="21"/>
        <v>2.2916666666666696E-2</v>
      </c>
      <c r="I231" s="5" t="s">
        <v>25</v>
      </c>
      <c r="L231">
        <v>305</v>
      </c>
      <c r="M231" t="s">
        <v>20</v>
      </c>
      <c r="N231" t="s">
        <v>26</v>
      </c>
      <c r="P231">
        <v>0.95114077951346565</v>
      </c>
      <c r="Q231">
        <f t="shared" si="19"/>
        <v>22</v>
      </c>
      <c r="R231">
        <f ca="1">IF(ISNA(MATCH(P231,OFFSET('age-length key'!O$8,Data!Q231,17,1,5),1)),1,MATCH(P231,OFFSET('age-length key'!O$8,Data!Q231,17,1,5),1)+1)</f>
        <v>3</v>
      </c>
      <c r="S231">
        <f ca="1">IF(D231="Recapture",IF(OFFSET(B$1,MATCH(K231,K$2:K230,0),0)=B231,0,1),1)</f>
        <v>1</v>
      </c>
    </row>
    <row r="232" spans="1:19" x14ac:dyDescent="0.2">
      <c r="A232" s="1">
        <v>44328</v>
      </c>
      <c r="B232" s="28">
        <f t="shared" si="20"/>
        <v>20215</v>
      </c>
      <c r="C232">
        <f>A232-A$2</f>
        <v>352</v>
      </c>
      <c r="D232" s="5" t="s">
        <v>58</v>
      </c>
      <c r="E232" s="22" t="s">
        <v>49</v>
      </c>
      <c r="F232" s="4">
        <v>0.52083333333333337</v>
      </c>
      <c r="G232" s="4">
        <v>0.52152777777777781</v>
      </c>
      <c r="H232" s="3">
        <f t="shared" si="21"/>
        <v>6.9444444444444198E-4</v>
      </c>
      <c r="I232">
        <v>2</v>
      </c>
      <c r="J232" s="8" t="s">
        <v>57</v>
      </c>
      <c r="K232" s="11" t="str">
        <f t="shared" ref="K232:K244" si="23">_xlfn.CONCAT(J232,I232)</f>
        <v>Pink2</v>
      </c>
      <c r="L232">
        <v>305</v>
      </c>
      <c r="M232" t="s">
        <v>28</v>
      </c>
      <c r="N232" t="s">
        <v>27</v>
      </c>
      <c r="P232">
        <v>0.82308128281639947</v>
      </c>
      <c r="Q232">
        <f t="shared" si="19"/>
        <v>22</v>
      </c>
      <c r="R232">
        <f ca="1">IF(ISNA(MATCH(P232,OFFSET('age-length key'!O$8,Data!Q232,17,1,5),1)),1,MATCH(P232,OFFSET('age-length key'!O$8,Data!Q232,17,1,5),1)+1)</f>
        <v>3</v>
      </c>
      <c r="S232">
        <f ca="1">IF(D232="Recapture",IF(OFFSET(B$1,MATCH(K232,K$2:K231,0),0)=B232,0,1),1)</f>
        <v>1</v>
      </c>
    </row>
    <row r="233" spans="1:19" x14ac:dyDescent="0.2">
      <c r="A233" s="1">
        <v>44328</v>
      </c>
      <c r="B233" s="28">
        <f t="shared" si="20"/>
        <v>20215</v>
      </c>
      <c r="C233">
        <f>A233-A$2</f>
        <v>352</v>
      </c>
      <c r="D233" t="s">
        <v>58</v>
      </c>
      <c r="E233" s="25" t="s">
        <v>49</v>
      </c>
      <c r="F233" s="4">
        <v>0.45624999999999999</v>
      </c>
      <c r="G233" s="4">
        <v>0.45902777777777781</v>
      </c>
      <c r="H233" s="3">
        <f t="shared" si="21"/>
        <v>2.7777777777778234E-3</v>
      </c>
      <c r="I233" s="5">
        <v>10</v>
      </c>
      <c r="J233" s="5" t="s">
        <v>57</v>
      </c>
      <c r="K233" s="11" t="str">
        <f t="shared" si="23"/>
        <v>Pink10</v>
      </c>
      <c r="L233">
        <v>375</v>
      </c>
      <c r="M233" t="s">
        <v>12</v>
      </c>
      <c r="N233" t="s">
        <v>26</v>
      </c>
      <c r="P233">
        <v>0.52712029522616433</v>
      </c>
      <c r="Q233">
        <f t="shared" si="19"/>
        <v>29</v>
      </c>
      <c r="R233">
        <f ca="1">IF(ISNA(MATCH(P233,OFFSET('age-length key'!O$8,Data!Q233,17,1,5),1)),1,MATCH(P233,OFFSET('age-length key'!O$8,Data!Q233,17,1,5),1)+1)</f>
        <v>4</v>
      </c>
      <c r="S233">
        <f ca="1">IF(D233="Recapture",IF(OFFSET(B$1,MATCH(K233,K$2:K232,0),0)=B233,0,1),1)</f>
        <v>1</v>
      </c>
    </row>
    <row r="234" spans="1:19" x14ac:dyDescent="0.2">
      <c r="A234" s="1">
        <v>44328</v>
      </c>
      <c r="B234" s="28">
        <f t="shared" si="20"/>
        <v>20215</v>
      </c>
      <c r="C234">
        <f>A234-A$2</f>
        <v>352</v>
      </c>
      <c r="D234" t="s">
        <v>58</v>
      </c>
      <c r="E234" s="25" t="s">
        <v>49</v>
      </c>
      <c r="F234" s="4">
        <v>0.44513888888888892</v>
      </c>
      <c r="G234" s="4">
        <v>0.45208333333333334</v>
      </c>
      <c r="H234" s="3">
        <f t="shared" si="21"/>
        <v>6.9444444444444198E-3</v>
      </c>
      <c r="I234" s="5">
        <v>23</v>
      </c>
      <c r="J234" s="5" t="s">
        <v>57</v>
      </c>
      <c r="K234" s="11" t="str">
        <f t="shared" si="23"/>
        <v>Pink23</v>
      </c>
      <c r="L234">
        <v>440</v>
      </c>
      <c r="M234" t="s">
        <v>9</v>
      </c>
      <c r="N234" t="s">
        <v>26</v>
      </c>
      <c r="P234">
        <v>0.31080186614338395</v>
      </c>
      <c r="Q234">
        <f t="shared" si="19"/>
        <v>35</v>
      </c>
      <c r="R234">
        <f ca="1">IF(ISNA(MATCH(P234,OFFSET('age-length key'!O$8,Data!Q234,17,1,5),1)),1,MATCH(P234,OFFSET('age-length key'!O$8,Data!Q234,17,1,5),1)+1)</f>
        <v>1</v>
      </c>
      <c r="S234">
        <f ca="1">IF(D234="Recapture",IF(OFFSET(B$1,MATCH(K234,K$2:K233,0),0)=B234,0,1),1)</f>
        <v>1</v>
      </c>
    </row>
    <row r="235" spans="1:19" x14ac:dyDescent="0.2">
      <c r="A235" s="1">
        <v>44328</v>
      </c>
      <c r="B235" s="28">
        <f t="shared" si="20"/>
        <v>20215</v>
      </c>
      <c r="C235">
        <f>A235-A$2</f>
        <v>352</v>
      </c>
      <c r="D235" s="5" t="s">
        <v>58</v>
      </c>
      <c r="E235" s="22" t="s">
        <v>49</v>
      </c>
      <c r="F235" s="4">
        <v>0.38194444444444442</v>
      </c>
      <c r="G235" s="4">
        <v>0.39930555555555558</v>
      </c>
      <c r="H235" s="3">
        <f t="shared" si="21"/>
        <v>1.736111111111116E-2</v>
      </c>
      <c r="I235">
        <v>13</v>
      </c>
      <c r="J235" s="8" t="s">
        <v>57</v>
      </c>
      <c r="K235" s="11" t="str">
        <f t="shared" si="23"/>
        <v>Pink13</v>
      </c>
      <c r="L235">
        <v>300</v>
      </c>
      <c r="M235" t="s">
        <v>21</v>
      </c>
      <c r="N235" t="s">
        <v>26</v>
      </c>
      <c r="P235">
        <v>0.64696427185412697</v>
      </c>
      <c r="Q235">
        <f t="shared" si="19"/>
        <v>21</v>
      </c>
      <c r="R235">
        <f ca="1">IF(ISNA(MATCH(P235,OFFSET('age-length key'!O$8,Data!Q235,17,1,5),1)),1,MATCH(P235,OFFSET('age-length key'!O$8,Data!Q235,17,1,5),1)+1)</f>
        <v>3</v>
      </c>
      <c r="S235">
        <f ca="1">IF(D235="Recapture",IF(OFFSET(B$1,MATCH(K235,K$2:K234,0),0)=B235,0,1),1)</f>
        <v>1</v>
      </c>
    </row>
    <row r="236" spans="1:19" x14ac:dyDescent="0.2">
      <c r="A236" s="1">
        <v>44328</v>
      </c>
      <c r="B236" s="28">
        <f t="shared" si="20"/>
        <v>20215</v>
      </c>
      <c r="C236">
        <f>A236-A$2</f>
        <v>352</v>
      </c>
      <c r="D236" s="5" t="s">
        <v>47</v>
      </c>
      <c r="E236" s="25" t="s">
        <v>49</v>
      </c>
      <c r="F236" s="4">
        <v>0.33819444444444446</v>
      </c>
      <c r="G236" s="4">
        <v>0.33888888888888885</v>
      </c>
      <c r="H236" s="3">
        <f t="shared" si="21"/>
        <v>6.9444444444438647E-4</v>
      </c>
      <c r="I236" s="5">
        <v>53</v>
      </c>
      <c r="J236" s="5" t="s">
        <v>56</v>
      </c>
      <c r="K236" s="11" t="str">
        <f t="shared" si="23"/>
        <v>Green53</v>
      </c>
      <c r="L236" s="5">
        <v>270</v>
      </c>
      <c r="M236" t="s">
        <v>9</v>
      </c>
      <c r="N236" t="s">
        <v>27</v>
      </c>
      <c r="P236">
        <v>0.52851705231169099</v>
      </c>
      <c r="Q236">
        <f t="shared" si="19"/>
        <v>18</v>
      </c>
      <c r="R236">
        <f ca="1">IF(ISNA(MATCH(P236,OFFSET('age-length key'!O$8,Data!Q236,17,1,5),1)),1,MATCH(P236,OFFSET('age-length key'!O$8,Data!Q236,17,1,5),1)+1)</f>
        <v>3</v>
      </c>
      <c r="S236">
        <f ca="1">IF(D236="Recapture",IF(OFFSET(B$1,MATCH(K236,K$2:K235,0),0)=B236,0,1),1)</f>
        <v>1</v>
      </c>
    </row>
    <row r="237" spans="1:19" x14ac:dyDescent="0.2">
      <c r="A237" s="1">
        <v>44328</v>
      </c>
      <c r="B237" s="28">
        <f t="shared" si="20"/>
        <v>20215</v>
      </c>
      <c r="C237">
        <f>A237-A$2</f>
        <v>352</v>
      </c>
      <c r="D237" s="5" t="s">
        <v>47</v>
      </c>
      <c r="E237" s="25" t="s">
        <v>49</v>
      </c>
      <c r="F237" s="4">
        <v>0.32291666666666669</v>
      </c>
      <c r="G237" s="4">
        <v>0.32361111111111113</v>
      </c>
      <c r="H237" s="3">
        <f t="shared" si="21"/>
        <v>6.9444444444444198E-4</v>
      </c>
      <c r="I237" s="5">
        <v>52</v>
      </c>
      <c r="J237" s="5" t="s">
        <v>56</v>
      </c>
      <c r="K237" s="11" t="str">
        <f t="shared" si="23"/>
        <v>Green52</v>
      </c>
      <c r="L237" s="5">
        <v>210</v>
      </c>
      <c r="M237" t="s">
        <v>6</v>
      </c>
      <c r="N237" t="s">
        <v>27</v>
      </c>
      <c r="P237">
        <v>0.78609820259087637</v>
      </c>
      <c r="Q237">
        <f t="shared" si="19"/>
        <v>12</v>
      </c>
      <c r="R237">
        <f ca="1">IF(ISNA(MATCH(P237,OFFSET('age-length key'!O$8,Data!Q237,17,1,5),1)),1,MATCH(P237,OFFSET('age-length key'!O$8,Data!Q237,17,1,5),1)+1)</f>
        <v>2</v>
      </c>
      <c r="S237">
        <f ca="1">IF(D237="Recapture",IF(OFFSET(B$1,MATCH(K237,K$2:K236,0),0)=B237,0,1),1)</f>
        <v>1</v>
      </c>
    </row>
    <row r="238" spans="1:19" x14ac:dyDescent="0.2">
      <c r="A238" s="1">
        <v>44328</v>
      </c>
      <c r="B238" s="28">
        <f t="shared" si="20"/>
        <v>20215</v>
      </c>
      <c r="C238">
        <f>A238-A$2</f>
        <v>352</v>
      </c>
      <c r="D238" s="5" t="s">
        <v>47</v>
      </c>
      <c r="E238" s="25" t="s">
        <v>49</v>
      </c>
      <c r="F238" s="4">
        <v>0.32083333333333336</v>
      </c>
      <c r="G238" s="4">
        <v>0.32222222222222224</v>
      </c>
      <c r="H238" s="3">
        <f t="shared" si="21"/>
        <v>1.388888888888884E-3</v>
      </c>
      <c r="I238" s="5">
        <v>51</v>
      </c>
      <c r="J238" s="5" t="s">
        <v>56</v>
      </c>
      <c r="K238" s="11" t="str">
        <f t="shared" si="23"/>
        <v>Green51</v>
      </c>
      <c r="L238" s="5">
        <v>190</v>
      </c>
      <c r="M238" t="s">
        <v>6</v>
      </c>
      <c r="N238" t="s">
        <v>27</v>
      </c>
      <c r="P238">
        <v>0.95249094485886909</v>
      </c>
      <c r="Q238">
        <f t="shared" si="19"/>
        <v>10</v>
      </c>
      <c r="R238">
        <f ca="1">IF(ISNA(MATCH(P238,OFFSET('age-length key'!O$8,Data!Q238,17,1,5),1)),1,MATCH(P238,OFFSET('age-length key'!O$8,Data!Q238,17,1,5),1)+1)</f>
        <v>2</v>
      </c>
      <c r="S238">
        <f ca="1">IF(D238="Recapture",IF(OFFSET(B$1,MATCH(K238,K$2:K237,0),0)=B238,0,1),1)</f>
        <v>1</v>
      </c>
    </row>
    <row r="239" spans="1:19" x14ac:dyDescent="0.2">
      <c r="A239" s="1">
        <v>44328</v>
      </c>
      <c r="B239" s="28">
        <f t="shared" si="20"/>
        <v>20215</v>
      </c>
      <c r="C239">
        <f>A239-A$2</f>
        <v>352</v>
      </c>
      <c r="D239" s="5" t="s">
        <v>47</v>
      </c>
      <c r="E239" s="25" t="s">
        <v>49</v>
      </c>
      <c r="F239" s="4">
        <v>0.55902777777777779</v>
      </c>
      <c r="G239" s="4">
        <v>0.5625</v>
      </c>
      <c r="H239" s="3">
        <f t="shared" si="21"/>
        <v>3.4722222222222099E-3</v>
      </c>
      <c r="I239" s="5">
        <v>58</v>
      </c>
      <c r="J239" s="5" t="s">
        <v>56</v>
      </c>
      <c r="K239" s="11" t="str">
        <f t="shared" si="23"/>
        <v>Green58</v>
      </c>
      <c r="L239" s="5">
        <v>200</v>
      </c>
      <c r="M239" t="s">
        <v>7</v>
      </c>
      <c r="N239" t="s">
        <v>27</v>
      </c>
      <c r="P239">
        <v>0.51531024301206241</v>
      </c>
      <c r="Q239">
        <f t="shared" si="19"/>
        <v>11</v>
      </c>
      <c r="R239">
        <f ca="1">IF(ISNA(MATCH(P239,OFFSET('age-length key'!O$8,Data!Q239,17,1,5),1)),1,MATCH(P239,OFFSET('age-length key'!O$8,Data!Q239,17,1,5),1)+1)</f>
        <v>2</v>
      </c>
      <c r="S239">
        <f ca="1">IF(D239="Recapture",IF(OFFSET(B$1,MATCH(K239,K$2:K238,0),0)=B239,0,1),1)</f>
        <v>1</v>
      </c>
    </row>
    <row r="240" spans="1:19" x14ac:dyDescent="0.2">
      <c r="A240" s="1">
        <v>44328</v>
      </c>
      <c r="B240" s="28">
        <f t="shared" si="20"/>
        <v>20215</v>
      </c>
      <c r="C240">
        <f>A240-A$2</f>
        <v>352</v>
      </c>
      <c r="D240" s="5" t="s">
        <v>47</v>
      </c>
      <c r="E240" s="25" t="s">
        <v>49</v>
      </c>
      <c r="F240" s="4">
        <v>0.45208333333333334</v>
      </c>
      <c r="G240" s="4">
        <v>0.45624999999999999</v>
      </c>
      <c r="H240" s="3">
        <f t="shared" si="21"/>
        <v>4.1666666666666519E-3</v>
      </c>
      <c r="I240" s="5">
        <v>56</v>
      </c>
      <c r="J240" s="5" t="s">
        <v>56</v>
      </c>
      <c r="K240" s="11" t="str">
        <f t="shared" si="23"/>
        <v>Green56</v>
      </c>
      <c r="L240" s="5">
        <v>230</v>
      </c>
      <c r="M240" t="s">
        <v>12</v>
      </c>
      <c r="N240" t="s">
        <v>27</v>
      </c>
      <c r="P240">
        <v>0.81925430373253971</v>
      </c>
      <c r="Q240">
        <f t="shared" si="19"/>
        <v>14</v>
      </c>
      <c r="R240">
        <f ca="1">IF(ISNA(MATCH(P240,OFFSET('age-length key'!O$8,Data!Q240,17,1,5),1)),1,MATCH(P240,OFFSET('age-length key'!O$8,Data!Q240,17,1,5),1)+1)</f>
        <v>2</v>
      </c>
      <c r="S240">
        <f ca="1">IF(D240="Recapture",IF(OFFSET(B$1,MATCH(K240,K$2:K239,0),0)=B240,0,1),1)</f>
        <v>1</v>
      </c>
    </row>
    <row r="241" spans="1:19" x14ac:dyDescent="0.2">
      <c r="A241" s="1">
        <v>44328</v>
      </c>
      <c r="B241" s="28">
        <f t="shared" si="20"/>
        <v>20215</v>
      </c>
      <c r="C241">
        <f>A241-A$2</f>
        <v>352</v>
      </c>
      <c r="D241" s="5" t="s">
        <v>47</v>
      </c>
      <c r="E241" s="25" t="s">
        <v>49</v>
      </c>
      <c r="F241" s="4">
        <v>0.33888888888888885</v>
      </c>
      <c r="G241" s="4">
        <v>0.34513888888888888</v>
      </c>
      <c r="H241" s="3">
        <f t="shared" si="21"/>
        <v>6.2500000000000333E-3</v>
      </c>
      <c r="I241" s="5">
        <v>54</v>
      </c>
      <c r="J241" s="5" t="s">
        <v>56</v>
      </c>
      <c r="K241" s="11" t="str">
        <f t="shared" si="23"/>
        <v>Green54</v>
      </c>
      <c r="L241" s="5">
        <v>250</v>
      </c>
      <c r="M241" t="s">
        <v>9</v>
      </c>
      <c r="N241" t="s">
        <v>27</v>
      </c>
      <c r="P241">
        <v>0.20708283279420939</v>
      </c>
      <c r="Q241">
        <f t="shared" si="19"/>
        <v>16</v>
      </c>
      <c r="R241">
        <f ca="1">IF(ISNA(MATCH(P241,OFFSET('age-length key'!O$8,Data!Q241,17,1,5),1)),1,MATCH(P241,OFFSET('age-length key'!O$8,Data!Q241,17,1,5),1)+1)</f>
        <v>2</v>
      </c>
      <c r="S241">
        <f ca="1">IF(D241="Recapture",IF(OFFSET(B$1,MATCH(K241,K$2:K240,0),0)=B241,0,1),1)</f>
        <v>1</v>
      </c>
    </row>
    <row r="242" spans="1:19" x14ac:dyDescent="0.2">
      <c r="A242" s="1">
        <v>44328</v>
      </c>
      <c r="B242" s="28">
        <f t="shared" si="20"/>
        <v>20215</v>
      </c>
      <c r="C242">
        <f>A242-A$2</f>
        <v>352</v>
      </c>
      <c r="D242" s="5" t="s">
        <v>47</v>
      </c>
      <c r="E242" s="25" t="s">
        <v>49</v>
      </c>
      <c r="F242" s="4">
        <v>0.3125</v>
      </c>
      <c r="G242" s="4">
        <v>0.31944444444444448</v>
      </c>
      <c r="H242" s="3">
        <f t="shared" si="21"/>
        <v>6.9444444444444753E-3</v>
      </c>
      <c r="I242" s="5">
        <v>50</v>
      </c>
      <c r="J242" s="5" t="s">
        <v>56</v>
      </c>
      <c r="K242" s="11" t="str">
        <f t="shared" si="23"/>
        <v>Green50</v>
      </c>
      <c r="L242" s="5">
        <v>200</v>
      </c>
      <c r="M242" t="s">
        <v>6</v>
      </c>
      <c r="N242" t="s">
        <v>27</v>
      </c>
      <c r="P242">
        <v>0.44117077227736395</v>
      </c>
      <c r="Q242">
        <f t="shared" si="19"/>
        <v>11</v>
      </c>
      <c r="R242">
        <f ca="1">IF(ISNA(MATCH(P242,OFFSET('age-length key'!O$8,Data!Q242,17,1,5),1)),1,MATCH(P242,OFFSET('age-length key'!O$8,Data!Q242,17,1,5),1)+1)</f>
        <v>2</v>
      </c>
      <c r="S242">
        <f ca="1">IF(D242="Recapture",IF(OFFSET(B$1,MATCH(K242,K$2:K241,0),0)=B242,0,1),1)</f>
        <v>1</v>
      </c>
    </row>
    <row r="243" spans="1:19" x14ac:dyDescent="0.2">
      <c r="A243" s="1">
        <v>44328</v>
      </c>
      <c r="B243" s="28">
        <f t="shared" si="20"/>
        <v>20215</v>
      </c>
      <c r="C243">
        <f>A243-A$2</f>
        <v>352</v>
      </c>
      <c r="D243" s="5" t="s">
        <v>47</v>
      </c>
      <c r="E243" s="25" t="s">
        <v>49</v>
      </c>
      <c r="F243" s="4">
        <v>0.58472222222222225</v>
      </c>
      <c r="G243" s="4">
        <v>0.59375</v>
      </c>
      <c r="H243" s="3">
        <f t="shared" si="21"/>
        <v>9.0277777777777457E-3</v>
      </c>
      <c r="I243" s="5">
        <v>62</v>
      </c>
      <c r="J243" s="5" t="s">
        <v>56</v>
      </c>
      <c r="K243" s="11" t="str">
        <f t="shared" si="23"/>
        <v>Green62</v>
      </c>
      <c r="L243" s="5">
        <v>220</v>
      </c>
      <c r="M243" t="s">
        <v>7</v>
      </c>
      <c r="N243" t="s">
        <v>27</v>
      </c>
      <c r="P243">
        <v>0.7571696656556659</v>
      </c>
      <c r="Q243">
        <f t="shared" si="19"/>
        <v>13</v>
      </c>
      <c r="R243">
        <f ca="1">IF(ISNA(MATCH(P243,OFFSET('age-length key'!O$8,Data!Q243,17,1,5),1)),1,MATCH(P243,OFFSET('age-length key'!O$8,Data!Q243,17,1,5),1)+1)</f>
        <v>2</v>
      </c>
      <c r="S243">
        <f ca="1">IF(D243="Recapture",IF(OFFSET(B$1,MATCH(K243,K$2:K242,0),0)=B243,0,1),1)</f>
        <v>1</v>
      </c>
    </row>
    <row r="244" spans="1:19" x14ac:dyDescent="0.2">
      <c r="A244" s="1">
        <v>44328</v>
      </c>
      <c r="B244" s="28">
        <f t="shared" si="20"/>
        <v>20215</v>
      </c>
      <c r="C244">
        <f>A244-A$2</f>
        <v>352</v>
      </c>
      <c r="D244" s="5" t="s">
        <v>47</v>
      </c>
      <c r="E244" s="25" t="s">
        <v>49</v>
      </c>
      <c r="F244" s="4">
        <v>0.34513888888888888</v>
      </c>
      <c r="G244" s="4">
        <v>0.35833333333333334</v>
      </c>
      <c r="H244" s="3">
        <f t="shared" si="21"/>
        <v>1.3194444444444453E-2</v>
      </c>
      <c r="I244" s="5">
        <v>55</v>
      </c>
      <c r="J244" s="5" t="s">
        <v>56</v>
      </c>
      <c r="K244" s="11" t="str">
        <f t="shared" si="23"/>
        <v>Green55</v>
      </c>
      <c r="L244" s="5">
        <v>220</v>
      </c>
      <c r="M244" t="s">
        <v>9</v>
      </c>
      <c r="N244" t="s">
        <v>27</v>
      </c>
      <c r="P244">
        <v>0.75057067477636541</v>
      </c>
      <c r="Q244">
        <f t="shared" si="19"/>
        <v>13</v>
      </c>
      <c r="R244">
        <f ca="1">IF(ISNA(MATCH(P244,OFFSET('age-length key'!O$8,Data!Q244,17,1,5),1)),1,MATCH(P244,OFFSET('age-length key'!O$8,Data!Q244,17,1,5),1)+1)</f>
        <v>2</v>
      </c>
      <c r="S244">
        <f ca="1">IF(D244="Recapture",IF(OFFSET(B$1,MATCH(K244,K$2:K243,0),0)=B244,0,1),1)</f>
        <v>1</v>
      </c>
    </row>
    <row r="245" spans="1:19" x14ac:dyDescent="0.2">
      <c r="A245" s="1">
        <v>44329</v>
      </c>
      <c r="B245" s="28">
        <f t="shared" si="20"/>
        <v>20215</v>
      </c>
      <c r="C245">
        <f>A245-A$2</f>
        <v>353</v>
      </c>
      <c r="D245" s="5" t="s">
        <v>25</v>
      </c>
      <c r="E245" s="22" t="s">
        <v>70</v>
      </c>
      <c r="H245" s="3"/>
      <c r="I245" t="s">
        <v>25</v>
      </c>
      <c r="J245" s="8"/>
      <c r="K245" s="8"/>
      <c r="L245">
        <v>280</v>
      </c>
      <c r="M245" t="s">
        <v>73</v>
      </c>
      <c r="N245" t="s">
        <v>26</v>
      </c>
      <c r="P245">
        <v>0.84133096637266269</v>
      </c>
      <c r="Q245">
        <f t="shared" si="19"/>
        <v>19</v>
      </c>
      <c r="R245">
        <f ca="1">IF(ISNA(MATCH(P245,OFFSET('age-length key'!O$8,Data!Q245,17,1,5),1)),1,MATCH(P245,OFFSET('age-length key'!O$8,Data!Q245,17,1,5),1)+1)</f>
        <v>3</v>
      </c>
      <c r="S245">
        <f ca="1">IF(D245="Recapture",IF(OFFSET(B$1,MATCH(K245,K$2:K244,0),0)=B245,0,1),1)</f>
        <v>1</v>
      </c>
    </row>
    <row r="246" spans="1:19" x14ac:dyDescent="0.2">
      <c r="A246" s="1">
        <v>44329</v>
      </c>
      <c r="B246" s="28">
        <f t="shared" si="20"/>
        <v>20215</v>
      </c>
      <c r="C246">
        <f>A246-A$2</f>
        <v>353</v>
      </c>
      <c r="D246" s="5" t="s">
        <v>25</v>
      </c>
      <c r="E246" s="22" t="s">
        <v>70</v>
      </c>
      <c r="H246" s="3"/>
      <c r="I246" t="s">
        <v>25</v>
      </c>
      <c r="J246" s="8"/>
      <c r="K246" s="8"/>
      <c r="L246">
        <v>310</v>
      </c>
      <c r="M246" t="s">
        <v>73</v>
      </c>
      <c r="N246" t="s">
        <v>26</v>
      </c>
      <c r="P246">
        <v>0.24955182534155987</v>
      </c>
      <c r="Q246">
        <f t="shared" si="19"/>
        <v>22</v>
      </c>
      <c r="R246">
        <f ca="1">IF(ISNA(MATCH(P246,OFFSET('age-length key'!O$8,Data!Q246,17,1,5),1)),1,MATCH(P246,OFFSET('age-length key'!O$8,Data!Q246,17,1,5),1)+1)</f>
        <v>3</v>
      </c>
      <c r="S246">
        <f ca="1">IF(D246="Recapture",IF(OFFSET(B$1,MATCH(K246,K$2:K245,0),0)=B246,0,1),1)</f>
        <v>1</v>
      </c>
    </row>
    <row r="247" spans="1:19" x14ac:dyDescent="0.2">
      <c r="A247" s="1">
        <v>44329</v>
      </c>
      <c r="B247" s="28">
        <f t="shared" si="20"/>
        <v>20215</v>
      </c>
      <c r="C247">
        <f>A247-A$2</f>
        <v>353</v>
      </c>
      <c r="D247" s="5" t="s">
        <v>25</v>
      </c>
      <c r="E247" s="22" t="s">
        <v>70</v>
      </c>
      <c r="H247" s="3"/>
      <c r="I247" t="s">
        <v>25</v>
      </c>
      <c r="J247" s="8"/>
      <c r="K247" s="8"/>
      <c r="L247">
        <v>240</v>
      </c>
      <c r="M247" t="s">
        <v>73</v>
      </c>
      <c r="N247" t="s">
        <v>26</v>
      </c>
      <c r="P247">
        <v>0.21752851559665451</v>
      </c>
      <c r="Q247">
        <f t="shared" si="19"/>
        <v>15</v>
      </c>
      <c r="R247">
        <f ca="1">IF(ISNA(MATCH(P247,OFFSET('age-length key'!O$8,Data!Q247,17,1,5),1)),1,MATCH(P247,OFFSET('age-length key'!O$8,Data!Q247,17,1,5),1)+1)</f>
        <v>2</v>
      </c>
      <c r="S247">
        <f ca="1">IF(D247="Recapture",IF(OFFSET(B$1,MATCH(K247,K$2:K246,0),0)=B247,0,1),1)</f>
        <v>1</v>
      </c>
    </row>
    <row r="248" spans="1:19" x14ac:dyDescent="0.2">
      <c r="A248" s="1">
        <v>44329</v>
      </c>
      <c r="B248" s="28">
        <f t="shared" si="20"/>
        <v>20215</v>
      </c>
      <c r="C248">
        <f>A248-A$2</f>
        <v>353</v>
      </c>
      <c r="D248" s="5" t="s">
        <v>25</v>
      </c>
      <c r="E248" s="22" t="s">
        <v>70</v>
      </c>
      <c r="H248" s="3"/>
      <c r="I248" t="s">
        <v>25</v>
      </c>
      <c r="J248" s="8"/>
      <c r="K248" s="8"/>
      <c r="L248">
        <v>310</v>
      </c>
      <c r="M248" t="s">
        <v>73</v>
      </c>
      <c r="N248" t="s">
        <v>26</v>
      </c>
      <c r="P248">
        <v>1.7616329722859119E-3</v>
      </c>
      <c r="Q248">
        <f t="shared" si="19"/>
        <v>22</v>
      </c>
      <c r="R248">
        <f ca="1">IF(ISNA(MATCH(P248,OFFSET('age-length key'!O$8,Data!Q248,17,1,5),1)),1,MATCH(P248,OFFSET('age-length key'!O$8,Data!Q248,17,1,5),1)+1)</f>
        <v>2</v>
      </c>
      <c r="S248">
        <f ca="1">IF(D248="Recapture",IF(OFFSET(B$1,MATCH(K248,K$2:K247,0),0)=B248,0,1),1)</f>
        <v>1</v>
      </c>
    </row>
    <row r="249" spans="1:19" x14ac:dyDescent="0.2">
      <c r="A249" s="1">
        <v>44329</v>
      </c>
      <c r="B249" s="28">
        <f t="shared" si="20"/>
        <v>20215</v>
      </c>
      <c r="C249">
        <f>A249-A$2</f>
        <v>353</v>
      </c>
      <c r="D249" s="5" t="s">
        <v>58</v>
      </c>
      <c r="E249" s="22" t="s">
        <v>60</v>
      </c>
      <c r="G249" s="4">
        <v>0.48055555555555557</v>
      </c>
      <c r="H249" s="3"/>
      <c r="I249">
        <v>54</v>
      </c>
      <c r="J249" s="8" t="s">
        <v>56</v>
      </c>
      <c r="K249" s="11" t="str">
        <f t="shared" ref="K249:K264" si="24">_xlfn.CONCAT(J249,I249)</f>
        <v>Green54</v>
      </c>
      <c r="L249" s="26">
        <f ca="1">OFFSET(K$1,MATCH(K249,K$2:K248,0),1)</f>
        <v>250</v>
      </c>
      <c r="M249" t="s">
        <v>73</v>
      </c>
      <c r="N249" t="s">
        <v>27</v>
      </c>
      <c r="P249">
        <v>0.60776536520932123</v>
      </c>
      <c r="Q249">
        <f t="shared" ca="1" si="19"/>
        <v>16</v>
      </c>
      <c r="R249" s="26">
        <f ca="1">OFFSET(Q$1,MATCH(K249,K$2:K248,0),1)</f>
        <v>2</v>
      </c>
      <c r="S249">
        <f ca="1">IF(D249="Recapture",IF(OFFSET(B$1,MATCH(K249,K$2:K248,0),0)=B249,0,1),1)</f>
        <v>0</v>
      </c>
    </row>
    <row r="250" spans="1:19" x14ac:dyDescent="0.2">
      <c r="A250" s="1">
        <v>44330</v>
      </c>
      <c r="B250" s="28">
        <f t="shared" si="20"/>
        <v>20215</v>
      </c>
      <c r="C250">
        <f>A250-A$2</f>
        <v>354</v>
      </c>
      <c r="D250" s="5" t="s">
        <v>58</v>
      </c>
      <c r="E250" s="22" t="s">
        <v>49</v>
      </c>
      <c r="F250" s="4">
        <v>0.43194444444444446</v>
      </c>
      <c r="G250" s="4">
        <v>0.43472222222222223</v>
      </c>
      <c r="H250" s="3">
        <f t="shared" ref="H250:H291" si="25">G250-F250</f>
        <v>2.7777777777777679E-3</v>
      </c>
      <c r="I250">
        <v>53</v>
      </c>
      <c r="J250" s="8" t="s">
        <v>56</v>
      </c>
      <c r="K250" s="11" t="str">
        <f t="shared" si="24"/>
        <v>Green53</v>
      </c>
      <c r="L250" s="26">
        <f ca="1">OFFSET(K$1,MATCH(K250,K$2:K249,0),1)</f>
        <v>270</v>
      </c>
      <c r="M250" t="s">
        <v>9</v>
      </c>
      <c r="N250" t="s">
        <v>27</v>
      </c>
      <c r="P250">
        <v>0.71249307306133824</v>
      </c>
      <c r="Q250">
        <f t="shared" ca="1" si="19"/>
        <v>18</v>
      </c>
      <c r="R250" s="26">
        <f ca="1">OFFSET(Q$1,MATCH(K250,K$2:K249,0),1)</f>
        <v>3</v>
      </c>
      <c r="S250">
        <f ca="1">IF(D250="Recapture",IF(OFFSET(B$1,MATCH(K250,K$2:K249,0),0)=B250,0,1),1)</f>
        <v>0</v>
      </c>
    </row>
    <row r="251" spans="1:19" x14ac:dyDescent="0.2">
      <c r="A251" s="1">
        <v>44330</v>
      </c>
      <c r="B251" s="28">
        <f t="shared" si="20"/>
        <v>20215</v>
      </c>
      <c r="C251">
        <f>A251-A$2</f>
        <v>354</v>
      </c>
      <c r="D251" s="5" t="s">
        <v>47</v>
      </c>
      <c r="E251" s="25" t="s">
        <v>49</v>
      </c>
      <c r="F251" s="4">
        <v>0.35138888888888892</v>
      </c>
      <c r="G251" s="4">
        <v>0.3520833333333333</v>
      </c>
      <c r="H251" s="3">
        <f t="shared" si="25"/>
        <v>6.9444444444438647E-4</v>
      </c>
      <c r="I251" s="5">
        <v>67</v>
      </c>
      <c r="J251" s="5" t="s">
        <v>56</v>
      </c>
      <c r="K251" s="11" t="str">
        <f t="shared" si="24"/>
        <v>Green67</v>
      </c>
      <c r="L251" s="5">
        <v>180</v>
      </c>
      <c r="M251" t="s">
        <v>6</v>
      </c>
      <c r="N251" t="s">
        <v>27</v>
      </c>
      <c r="P251">
        <v>0.87107894191103008</v>
      </c>
      <c r="Q251">
        <f t="shared" si="19"/>
        <v>9</v>
      </c>
      <c r="R251">
        <f ca="1">IF(ISNA(MATCH(P251,OFFSET('age-length key'!O$8,Data!Q251,17,1,5),1)),1,MATCH(P251,OFFSET('age-length key'!O$8,Data!Q251,17,1,5),1)+1)</f>
        <v>2</v>
      </c>
      <c r="S251">
        <f ca="1">IF(D251="Recapture",IF(OFFSET(B$1,MATCH(K251,K$2:K250,0),0)=B251,0,1),1)</f>
        <v>1</v>
      </c>
    </row>
    <row r="252" spans="1:19" x14ac:dyDescent="0.2">
      <c r="A252" s="1">
        <v>44330</v>
      </c>
      <c r="B252" s="28">
        <f t="shared" si="20"/>
        <v>20215</v>
      </c>
      <c r="C252">
        <f>A252-A$2</f>
        <v>354</v>
      </c>
      <c r="D252" s="5" t="s">
        <v>47</v>
      </c>
      <c r="E252" s="25" t="s">
        <v>49</v>
      </c>
      <c r="F252" s="4">
        <v>0.37986111111111115</v>
      </c>
      <c r="G252" s="4">
        <v>0.38055555555555554</v>
      </c>
      <c r="H252" s="3">
        <f t="shared" si="25"/>
        <v>6.9444444444438647E-4</v>
      </c>
      <c r="I252" s="5">
        <v>71</v>
      </c>
      <c r="J252" s="5" t="s">
        <v>56</v>
      </c>
      <c r="K252" s="11" t="str">
        <f t="shared" si="24"/>
        <v>Green71</v>
      </c>
      <c r="L252" s="5">
        <v>190</v>
      </c>
      <c r="M252" t="s">
        <v>7</v>
      </c>
      <c r="N252" t="s">
        <v>27</v>
      </c>
      <c r="P252">
        <v>0.22377669868235323</v>
      </c>
      <c r="Q252">
        <f t="shared" si="19"/>
        <v>10</v>
      </c>
      <c r="R252">
        <f ca="1">IF(ISNA(MATCH(P252,OFFSET('age-length key'!O$8,Data!Q252,17,1,5),1)),1,MATCH(P252,OFFSET('age-length key'!O$8,Data!Q252,17,1,5),1)+1)</f>
        <v>2</v>
      </c>
      <c r="S252">
        <f ca="1">IF(D252="Recapture",IF(OFFSET(B$1,MATCH(K252,K$2:K251,0),0)=B252,0,1),1)</f>
        <v>1</v>
      </c>
    </row>
    <row r="253" spans="1:19" x14ac:dyDescent="0.2">
      <c r="A253" s="1">
        <v>44330</v>
      </c>
      <c r="B253" s="28">
        <f t="shared" si="20"/>
        <v>20215</v>
      </c>
      <c r="C253">
        <f>A253-A$2</f>
        <v>354</v>
      </c>
      <c r="D253" s="5" t="s">
        <v>47</v>
      </c>
      <c r="E253" s="25" t="s">
        <v>49</v>
      </c>
      <c r="F253" s="4">
        <v>0.35069444444444442</v>
      </c>
      <c r="G253" s="4">
        <v>0.35138888888888892</v>
      </c>
      <c r="H253" s="3">
        <f t="shared" si="25"/>
        <v>6.9444444444449749E-4</v>
      </c>
      <c r="I253" s="5">
        <v>66</v>
      </c>
      <c r="J253" s="5" t="s">
        <v>56</v>
      </c>
      <c r="K253" s="11" t="str">
        <f t="shared" si="24"/>
        <v>Green66</v>
      </c>
      <c r="L253" s="5">
        <v>220</v>
      </c>
      <c r="M253" t="s">
        <v>6</v>
      </c>
      <c r="N253" t="s">
        <v>27</v>
      </c>
      <c r="P253">
        <v>1.4974754310666935E-2</v>
      </c>
      <c r="Q253">
        <f t="shared" si="19"/>
        <v>13</v>
      </c>
      <c r="R253">
        <f ca="1">IF(ISNA(MATCH(P253,OFFSET('age-length key'!O$8,Data!Q253,17,1,5),1)),1,MATCH(P253,OFFSET('age-length key'!O$8,Data!Q253,17,1,5),1)+1)</f>
        <v>2</v>
      </c>
      <c r="S253">
        <f ca="1">IF(D253="Recapture",IF(OFFSET(B$1,MATCH(K253,K$2:K252,0),0)=B253,0,1),1)</f>
        <v>1</v>
      </c>
    </row>
    <row r="254" spans="1:19" x14ac:dyDescent="0.2">
      <c r="A254" s="1">
        <v>44330</v>
      </c>
      <c r="B254" s="28">
        <f t="shared" si="20"/>
        <v>20215</v>
      </c>
      <c r="C254">
        <f>A254-A$2</f>
        <v>354</v>
      </c>
      <c r="D254" s="5" t="s">
        <v>47</v>
      </c>
      <c r="E254" s="25" t="s">
        <v>49</v>
      </c>
      <c r="F254" s="4">
        <v>0.38472222222222219</v>
      </c>
      <c r="G254" s="4">
        <v>0.38541666666666669</v>
      </c>
      <c r="H254" s="3">
        <f t="shared" si="25"/>
        <v>6.9444444444449749E-4</v>
      </c>
      <c r="I254" s="5">
        <v>72</v>
      </c>
      <c r="J254" s="5" t="s">
        <v>56</v>
      </c>
      <c r="K254" s="11" t="str">
        <f t="shared" si="24"/>
        <v>Green72</v>
      </c>
      <c r="L254" s="5">
        <v>210</v>
      </c>
      <c r="M254" t="s">
        <v>7</v>
      </c>
      <c r="N254" t="s">
        <v>27</v>
      </c>
      <c r="P254">
        <v>0.68069569937917207</v>
      </c>
      <c r="Q254">
        <f t="shared" si="19"/>
        <v>12</v>
      </c>
      <c r="R254">
        <f ca="1">IF(ISNA(MATCH(P254,OFFSET('age-length key'!O$8,Data!Q254,17,1,5),1)),1,MATCH(P254,OFFSET('age-length key'!O$8,Data!Q254,17,1,5),1)+1)</f>
        <v>2</v>
      </c>
      <c r="S254">
        <f ca="1">IF(D254="Recapture",IF(OFFSET(B$1,MATCH(K254,K$2:K253,0),0)=B254,0,1),1)</f>
        <v>1</v>
      </c>
    </row>
    <row r="255" spans="1:19" x14ac:dyDescent="0.2">
      <c r="A255" s="1">
        <v>44330</v>
      </c>
      <c r="B255" s="28">
        <f t="shared" si="20"/>
        <v>20215</v>
      </c>
      <c r="C255">
        <f>A255-A$2</f>
        <v>354</v>
      </c>
      <c r="D255" s="5" t="s">
        <v>47</v>
      </c>
      <c r="E255" s="25" t="s">
        <v>49</v>
      </c>
      <c r="F255" s="4">
        <v>0.40625</v>
      </c>
      <c r="G255" s="4">
        <v>0.4069444444444445</v>
      </c>
      <c r="H255" s="3">
        <f t="shared" si="25"/>
        <v>6.9444444444449749E-4</v>
      </c>
      <c r="I255" s="5">
        <v>74</v>
      </c>
      <c r="J255" s="5" t="s">
        <v>56</v>
      </c>
      <c r="K255" s="11" t="str">
        <f t="shared" si="24"/>
        <v>Green74</v>
      </c>
      <c r="L255" s="5">
        <v>210</v>
      </c>
      <c r="M255" t="s">
        <v>7</v>
      </c>
      <c r="N255" t="s">
        <v>27</v>
      </c>
      <c r="P255">
        <v>0.45261946574441131</v>
      </c>
      <c r="Q255">
        <f t="shared" si="19"/>
        <v>12</v>
      </c>
      <c r="R255">
        <f ca="1">IF(ISNA(MATCH(P255,OFFSET('age-length key'!O$8,Data!Q255,17,1,5),1)),1,MATCH(P255,OFFSET('age-length key'!O$8,Data!Q255,17,1,5),1)+1)</f>
        <v>2</v>
      </c>
      <c r="S255">
        <f ca="1">IF(D255="Recapture",IF(OFFSET(B$1,MATCH(K255,K$2:K254,0),0)=B255,0,1),1)</f>
        <v>1</v>
      </c>
    </row>
    <row r="256" spans="1:19" x14ac:dyDescent="0.2">
      <c r="A256" s="1">
        <v>44330</v>
      </c>
      <c r="B256" s="28">
        <f t="shared" si="20"/>
        <v>20215</v>
      </c>
      <c r="C256">
        <f>A256-A$2</f>
        <v>354</v>
      </c>
      <c r="D256" s="5" t="s">
        <v>47</v>
      </c>
      <c r="E256" s="25" t="s">
        <v>49</v>
      </c>
      <c r="F256" s="4">
        <v>0.35347222222222219</v>
      </c>
      <c r="G256" s="4">
        <v>0.35555555555555557</v>
      </c>
      <c r="H256" s="3">
        <f t="shared" si="25"/>
        <v>2.0833333333333814E-3</v>
      </c>
      <c r="I256" s="5">
        <v>68</v>
      </c>
      <c r="J256" s="5" t="s">
        <v>56</v>
      </c>
      <c r="K256" s="11" t="str">
        <f t="shared" si="24"/>
        <v>Green68</v>
      </c>
      <c r="L256" s="5">
        <v>230</v>
      </c>
      <c r="M256" t="s">
        <v>6</v>
      </c>
      <c r="N256" t="s">
        <v>27</v>
      </c>
      <c r="P256">
        <v>0.17536076632112299</v>
      </c>
      <c r="Q256">
        <f t="shared" si="19"/>
        <v>14</v>
      </c>
      <c r="R256">
        <f ca="1">IF(ISNA(MATCH(P256,OFFSET('age-length key'!O$8,Data!Q256,17,1,5),1)),1,MATCH(P256,OFFSET('age-length key'!O$8,Data!Q256,17,1,5),1)+1)</f>
        <v>2</v>
      </c>
      <c r="S256">
        <f ca="1">IF(D256="Recapture",IF(OFFSET(B$1,MATCH(K256,K$2:K255,0),0)=B256,0,1),1)</f>
        <v>1</v>
      </c>
    </row>
    <row r="257" spans="1:19" x14ac:dyDescent="0.2">
      <c r="A257" s="1">
        <v>44330</v>
      </c>
      <c r="B257" s="28">
        <f t="shared" si="20"/>
        <v>20215</v>
      </c>
      <c r="C257">
        <f>A257-A$2</f>
        <v>354</v>
      </c>
      <c r="D257" s="5" t="s">
        <v>47</v>
      </c>
      <c r="E257" s="25" t="s">
        <v>49</v>
      </c>
      <c r="F257" s="4">
        <v>0.3125</v>
      </c>
      <c r="G257" s="4">
        <v>0.31527777777777777</v>
      </c>
      <c r="H257" s="3">
        <f t="shared" si="25"/>
        <v>2.7777777777777679E-3</v>
      </c>
      <c r="I257" s="5">
        <v>65</v>
      </c>
      <c r="J257" s="5" t="s">
        <v>56</v>
      </c>
      <c r="K257" s="11" t="str">
        <f t="shared" si="24"/>
        <v>Green65</v>
      </c>
      <c r="L257" s="5">
        <v>160</v>
      </c>
      <c r="M257" t="s">
        <v>6</v>
      </c>
      <c r="N257" t="s">
        <v>27</v>
      </c>
      <c r="P257">
        <v>0.28839955911431442</v>
      </c>
      <c r="Q257">
        <f t="shared" si="19"/>
        <v>7</v>
      </c>
      <c r="R257">
        <f ca="1">IF(ISNA(MATCH(P257,OFFSET('age-length key'!O$8,Data!Q257,17,1,5),1)),1,MATCH(P257,OFFSET('age-length key'!O$8,Data!Q257,17,1,5),1)+1)</f>
        <v>1</v>
      </c>
      <c r="S257">
        <f ca="1">IF(D257="Recapture",IF(OFFSET(B$1,MATCH(K257,K$2:K256,0),0)=B257,0,1),1)</f>
        <v>1</v>
      </c>
    </row>
    <row r="258" spans="1:19" x14ac:dyDescent="0.2">
      <c r="A258" s="1">
        <v>44330</v>
      </c>
      <c r="B258" s="28">
        <f t="shared" si="20"/>
        <v>20215</v>
      </c>
      <c r="C258">
        <f>A258-A$2</f>
        <v>354</v>
      </c>
      <c r="D258" s="5" t="s">
        <v>47</v>
      </c>
      <c r="E258" s="25" t="s">
        <v>49</v>
      </c>
      <c r="F258" s="4">
        <v>0.35555555555555557</v>
      </c>
      <c r="G258" s="4">
        <v>0.35902777777777778</v>
      </c>
      <c r="H258" s="3">
        <f t="shared" si="25"/>
        <v>3.4722222222222099E-3</v>
      </c>
      <c r="I258" s="5">
        <v>69</v>
      </c>
      <c r="J258" s="5" t="s">
        <v>56</v>
      </c>
      <c r="K258" s="11" t="str">
        <f t="shared" si="24"/>
        <v>Green69</v>
      </c>
      <c r="L258" s="5">
        <v>220</v>
      </c>
      <c r="M258" t="s">
        <v>6</v>
      </c>
      <c r="N258" t="s">
        <v>27</v>
      </c>
      <c r="P258">
        <v>0.13139003428229598</v>
      </c>
      <c r="Q258">
        <f t="shared" ref="Q258:Q321" si="26">INT((L258-95)/10)+1</f>
        <v>13</v>
      </c>
      <c r="R258">
        <f ca="1">IF(ISNA(MATCH(P258,OFFSET('age-length key'!O$8,Data!Q258,17,1,5),1)),1,MATCH(P258,OFFSET('age-length key'!O$8,Data!Q258,17,1,5),1)+1)</f>
        <v>2</v>
      </c>
      <c r="S258">
        <f ca="1">IF(D258="Recapture",IF(OFFSET(B$1,MATCH(K258,K$2:K257,0),0)=B258,0,1),1)</f>
        <v>1</v>
      </c>
    </row>
    <row r="259" spans="1:19" x14ac:dyDescent="0.2">
      <c r="A259" s="1">
        <v>44330</v>
      </c>
      <c r="B259" s="28">
        <f t="shared" si="20"/>
        <v>20215</v>
      </c>
      <c r="C259">
        <f>A259-A$2</f>
        <v>354</v>
      </c>
      <c r="D259" s="5" t="s">
        <v>47</v>
      </c>
      <c r="E259" s="25" t="s">
        <v>49</v>
      </c>
      <c r="F259" s="4">
        <v>0.31597222222222221</v>
      </c>
      <c r="G259" s="4">
        <v>0.32291666666666669</v>
      </c>
      <c r="H259" s="3">
        <f t="shared" si="25"/>
        <v>6.9444444444444753E-3</v>
      </c>
      <c r="I259" s="5">
        <v>64</v>
      </c>
      <c r="J259" s="5" t="s">
        <v>56</v>
      </c>
      <c r="K259" s="11" t="str">
        <f t="shared" si="24"/>
        <v>Green64</v>
      </c>
      <c r="L259" s="5">
        <v>150</v>
      </c>
      <c r="M259" t="s">
        <v>6</v>
      </c>
      <c r="N259" t="s">
        <v>27</v>
      </c>
      <c r="P259">
        <v>0.27230618254854633</v>
      </c>
      <c r="Q259">
        <f t="shared" si="26"/>
        <v>6</v>
      </c>
      <c r="R259">
        <f ca="1">IF(ISNA(MATCH(P259,OFFSET('age-length key'!O$8,Data!Q259,17,1,5),1)),1,MATCH(P259,OFFSET('age-length key'!O$8,Data!Q259,17,1,5),1)+1)</f>
        <v>1</v>
      </c>
      <c r="S259">
        <f ca="1">IF(D259="Recapture",IF(OFFSET(B$1,MATCH(K259,K$2:K258,0),0)=B259,0,1),1)</f>
        <v>1</v>
      </c>
    </row>
    <row r="260" spans="1:19" x14ac:dyDescent="0.2">
      <c r="A260" s="1">
        <v>44330</v>
      </c>
      <c r="B260" s="28">
        <f t="shared" si="20"/>
        <v>20215</v>
      </c>
      <c r="C260">
        <f>A260-A$2</f>
        <v>354</v>
      </c>
      <c r="D260" s="5" t="s">
        <v>47</v>
      </c>
      <c r="E260" s="25" t="s">
        <v>49</v>
      </c>
      <c r="F260" s="4">
        <v>0.34166666666666662</v>
      </c>
      <c r="G260" s="4">
        <v>0.34930555555555554</v>
      </c>
      <c r="H260" s="3">
        <f t="shared" si="25"/>
        <v>7.6388888888889173E-3</v>
      </c>
      <c r="I260" s="5">
        <v>63</v>
      </c>
      <c r="J260" s="5" t="s">
        <v>56</v>
      </c>
      <c r="K260" s="11" t="str">
        <f t="shared" si="24"/>
        <v>Green63</v>
      </c>
      <c r="L260" s="5">
        <v>230</v>
      </c>
      <c r="M260" t="s">
        <v>6</v>
      </c>
      <c r="N260" t="s">
        <v>27</v>
      </c>
      <c r="P260">
        <v>0.65001009341795468</v>
      </c>
      <c r="Q260">
        <f t="shared" si="26"/>
        <v>14</v>
      </c>
      <c r="R260">
        <f ca="1">IF(ISNA(MATCH(P260,OFFSET('age-length key'!O$8,Data!Q260,17,1,5),1)),1,MATCH(P260,OFFSET('age-length key'!O$8,Data!Q260,17,1,5),1)+1)</f>
        <v>2</v>
      </c>
      <c r="S260">
        <f ca="1">IF(D260="Recapture",IF(OFFSET(B$1,MATCH(K260,K$2:K259,0),0)=B260,0,1),1)</f>
        <v>1</v>
      </c>
    </row>
    <row r="261" spans="1:19" x14ac:dyDescent="0.2">
      <c r="A261" s="1">
        <v>44330</v>
      </c>
      <c r="B261" s="28">
        <f t="shared" si="20"/>
        <v>20215</v>
      </c>
      <c r="C261">
        <f>A261-A$2</f>
        <v>354</v>
      </c>
      <c r="D261" s="5" t="s">
        <v>47</v>
      </c>
      <c r="E261" s="25" t="s">
        <v>49</v>
      </c>
      <c r="F261" s="4">
        <v>0.38541666666666669</v>
      </c>
      <c r="G261" s="4">
        <v>0.40625</v>
      </c>
      <c r="H261" s="3">
        <f t="shared" si="25"/>
        <v>2.0833333333333315E-2</v>
      </c>
      <c r="I261" s="5">
        <v>73</v>
      </c>
      <c r="J261" s="5" t="s">
        <v>56</v>
      </c>
      <c r="K261" s="11" t="str">
        <f t="shared" si="24"/>
        <v>Green73</v>
      </c>
      <c r="L261" s="5">
        <v>245</v>
      </c>
      <c r="M261" t="s">
        <v>7</v>
      </c>
      <c r="N261" t="s">
        <v>27</v>
      </c>
      <c r="P261">
        <v>0.71964007556421683</v>
      </c>
      <c r="Q261">
        <f t="shared" si="26"/>
        <v>16</v>
      </c>
      <c r="R261">
        <f ca="1">IF(ISNA(MATCH(P261,OFFSET('age-length key'!O$8,Data!Q261,17,1,5),1)),1,MATCH(P261,OFFSET('age-length key'!O$8,Data!Q261,17,1,5),1)+1)</f>
        <v>3</v>
      </c>
      <c r="S261">
        <f ca="1">IF(D261="Recapture",IF(OFFSET(B$1,MATCH(K261,K$2:K260,0),0)=B261,0,1),1)</f>
        <v>1</v>
      </c>
    </row>
    <row r="262" spans="1:19" x14ac:dyDescent="0.2">
      <c r="A262" s="1">
        <v>44330</v>
      </c>
      <c r="B262" s="28">
        <f t="shared" si="20"/>
        <v>20215</v>
      </c>
      <c r="C262">
        <f>A262-A$2</f>
        <v>354</v>
      </c>
      <c r="D262" s="5" t="s">
        <v>47</v>
      </c>
      <c r="E262" s="25" t="s">
        <v>49</v>
      </c>
      <c r="F262" s="4">
        <v>0.35902777777777778</v>
      </c>
      <c r="G262" s="4">
        <v>0.37986111111111115</v>
      </c>
      <c r="H262" s="3">
        <f t="shared" si="25"/>
        <v>2.083333333333337E-2</v>
      </c>
      <c r="I262" s="5">
        <v>70</v>
      </c>
      <c r="J262" s="5" t="s">
        <v>56</v>
      </c>
      <c r="K262" s="11" t="str">
        <f t="shared" si="24"/>
        <v>Green70</v>
      </c>
      <c r="L262" s="5">
        <v>210</v>
      </c>
      <c r="M262" t="s">
        <v>7</v>
      </c>
      <c r="N262" t="s">
        <v>27</v>
      </c>
      <c r="P262">
        <v>0.99075000779272526</v>
      </c>
      <c r="Q262">
        <f t="shared" si="26"/>
        <v>12</v>
      </c>
      <c r="R262">
        <f ca="1">IF(ISNA(MATCH(P262,OFFSET('age-length key'!O$8,Data!Q262,17,1,5),1)),1,MATCH(P262,OFFSET('age-length key'!O$8,Data!Q262,17,1,5),1)+1)</f>
        <v>3</v>
      </c>
      <c r="S262">
        <f ca="1">IF(D262="Recapture",IF(OFFSET(B$1,MATCH(K262,K$2:K261,0),0)=B262,0,1),1)</f>
        <v>1</v>
      </c>
    </row>
    <row r="263" spans="1:19" x14ac:dyDescent="0.2">
      <c r="A263" s="1">
        <v>44330</v>
      </c>
      <c r="B263" s="28">
        <f t="shared" si="20"/>
        <v>20215</v>
      </c>
      <c r="C263">
        <f>A263-A$2</f>
        <v>354</v>
      </c>
      <c r="D263" s="5" t="s">
        <v>47</v>
      </c>
      <c r="E263" s="25" t="s">
        <v>49</v>
      </c>
      <c r="F263" s="4">
        <v>0.4548611111111111</v>
      </c>
      <c r="G263" s="4">
        <v>0.49652777777777773</v>
      </c>
      <c r="H263" s="3">
        <f t="shared" si="25"/>
        <v>4.166666666666663E-2</v>
      </c>
      <c r="I263" s="5">
        <v>76</v>
      </c>
      <c r="J263" s="5" t="s">
        <v>56</v>
      </c>
      <c r="K263" s="11" t="str">
        <f t="shared" si="24"/>
        <v>Green76</v>
      </c>
      <c r="L263" s="5">
        <v>380</v>
      </c>
      <c r="M263" t="s">
        <v>9</v>
      </c>
      <c r="N263" t="s">
        <v>27</v>
      </c>
      <c r="P263">
        <v>0.53538097233296422</v>
      </c>
      <c r="Q263">
        <f t="shared" si="26"/>
        <v>29</v>
      </c>
      <c r="R263">
        <f ca="1">IF(ISNA(MATCH(P263,OFFSET('age-length key'!O$8,Data!Q263,17,1,5),1)),1,MATCH(P263,OFFSET('age-length key'!O$8,Data!Q263,17,1,5),1)+1)</f>
        <v>4</v>
      </c>
      <c r="S263">
        <f ca="1">IF(D263="Recapture",IF(OFFSET(B$1,MATCH(K263,K$2:K262,0),0)=B263,0,1),1)</f>
        <v>1</v>
      </c>
    </row>
    <row r="264" spans="1:19" x14ac:dyDescent="0.2">
      <c r="A264" s="1">
        <v>44330</v>
      </c>
      <c r="B264" s="28">
        <f t="shared" si="20"/>
        <v>20215</v>
      </c>
      <c r="C264">
        <f>A264-A$2</f>
        <v>354</v>
      </c>
      <c r="D264" s="5" t="s">
        <v>47</v>
      </c>
      <c r="E264" s="25" t="s">
        <v>49</v>
      </c>
      <c r="F264" s="4">
        <v>0.4069444444444445</v>
      </c>
      <c r="G264" s="4">
        <v>0.4548611111111111</v>
      </c>
      <c r="H264" s="3">
        <f t="shared" si="25"/>
        <v>4.7916666666666607E-2</v>
      </c>
      <c r="I264" s="5">
        <v>75</v>
      </c>
      <c r="J264" s="5" t="s">
        <v>56</v>
      </c>
      <c r="K264" s="11" t="str">
        <f t="shared" si="24"/>
        <v>Green75</v>
      </c>
      <c r="L264" s="5">
        <v>270</v>
      </c>
      <c r="M264" t="s">
        <v>8</v>
      </c>
      <c r="N264" t="s">
        <v>27</v>
      </c>
      <c r="P264">
        <v>0.14800200012885129</v>
      </c>
      <c r="Q264">
        <f t="shared" si="26"/>
        <v>18</v>
      </c>
      <c r="R264">
        <f ca="1">IF(ISNA(MATCH(P264,OFFSET('age-length key'!O$8,Data!Q264,17,1,5),1)),1,MATCH(P264,OFFSET('age-length key'!O$8,Data!Q264,17,1,5),1)+1)</f>
        <v>2</v>
      </c>
      <c r="S264">
        <f ca="1">IF(D264="Recapture",IF(OFFSET(B$1,MATCH(K264,K$2:K263,0),0)=B264,0,1),1)</f>
        <v>1</v>
      </c>
    </row>
    <row r="265" spans="1:19" x14ac:dyDescent="0.2">
      <c r="A265" s="1">
        <v>44335</v>
      </c>
      <c r="B265" s="28">
        <f t="shared" si="20"/>
        <v>20215</v>
      </c>
      <c r="C265">
        <f>A265-A$2</f>
        <v>359</v>
      </c>
      <c r="D265" s="5" t="s">
        <v>25</v>
      </c>
      <c r="E265" s="25" t="s">
        <v>49</v>
      </c>
      <c r="F265" s="4">
        <v>0.30555555555555552</v>
      </c>
      <c r="G265" s="4">
        <v>0.30624999999999997</v>
      </c>
      <c r="H265" s="3">
        <f t="shared" si="25"/>
        <v>6.9444444444444198E-4</v>
      </c>
      <c r="I265" s="5" t="s">
        <v>25</v>
      </c>
      <c r="L265">
        <v>310</v>
      </c>
      <c r="M265" t="s">
        <v>6</v>
      </c>
      <c r="N265" t="s">
        <v>26</v>
      </c>
      <c r="P265">
        <v>0.4696161656033323</v>
      </c>
      <c r="Q265">
        <f t="shared" si="26"/>
        <v>22</v>
      </c>
      <c r="R265">
        <f ca="1">IF(ISNA(MATCH(P265,OFFSET('age-length key'!O$8,Data!Q265,17,1,5),1)),1,MATCH(P265,OFFSET('age-length key'!O$8,Data!Q265,17,1,5),1)+1)</f>
        <v>3</v>
      </c>
      <c r="S265">
        <f ca="1">IF(D265="Recapture",IF(OFFSET(B$1,MATCH(K265,K$2:K264,0),0)=B265,0,1),1)</f>
        <v>1</v>
      </c>
    </row>
    <row r="266" spans="1:19" x14ac:dyDescent="0.2">
      <c r="A266" s="1">
        <v>44335</v>
      </c>
      <c r="B266" s="28">
        <f t="shared" si="20"/>
        <v>20215</v>
      </c>
      <c r="C266">
        <f>A266-A$2</f>
        <v>359</v>
      </c>
      <c r="D266" s="5" t="s">
        <v>25</v>
      </c>
      <c r="E266" s="25" t="s">
        <v>49</v>
      </c>
      <c r="F266" s="4">
        <v>0.32916666666666666</v>
      </c>
      <c r="G266" s="4">
        <v>0.3298611111111111</v>
      </c>
      <c r="H266" s="3">
        <f t="shared" si="25"/>
        <v>6.9444444444444198E-4</v>
      </c>
      <c r="I266" s="5" t="s">
        <v>25</v>
      </c>
      <c r="L266">
        <v>177</v>
      </c>
      <c r="M266" t="s">
        <v>6</v>
      </c>
      <c r="N266" t="s">
        <v>26</v>
      </c>
      <c r="P266">
        <v>0.83889529520594297</v>
      </c>
      <c r="Q266">
        <f t="shared" si="26"/>
        <v>9</v>
      </c>
      <c r="R266">
        <f ca="1">IF(ISNA(MATCH(P266,OFFSET('age-length key'!O$8,Data!Q266,17,1,5),1)),1,MATCH(P266,OFFSET('age-length key'!O$8,Data!Q266,17,1,5),1)+1)</f>
        <v>2</v>
      </c>
      <c r="S266">
        <f ca="1">IF(D266="Recapture",IF(OFFSET(B$1,MATCH(K266,K$2:K265,0),0)=B266,0,1),1)</f>
        <v>1</v>
      </c>
    </row>
    <row r="267" spans="1:19" x14ac:dyDescent="0.2">
      <c r="A267" s="1">
        <v>44335</v>
      </c>
      <c r="B267" s="28">
        <f t="shared" ref="B267:B330" si="27">YEAR(A267)*10+MONTH(A267)</f>
        <v>20215</v>
      </c>
      <c r="C267">
        <f>A267-A$2</f>
        <v>359</v>
      </c>
      <c r="D267" s="5" t="s">
        <v>25</v>
      </c>
      <c r="E267" s="25" t="s">
        <v>49</v>
      </c>
      <c r="F267" s="4">
        <v>0.33333333333333331</v>
      </c>
      <c r="G267" s="4">
        <v>0.33402777777777781</v>
      </c>
      <c r="H267" s="3">
        <f t="shared" si="25"/>
        <v>6.9444444444449749E-4</v>
      </c>
      <c r="I267" s="5" t="s">
        <v>25</v>
      </c>
      <c r="L267">
        <v>168</v>
      </c>
      <c r="M267" t="s">
        <v>6</v>
      </c>
      <c r="N267" t="s">
        <v>26</v>
      </c>
      <c r="P267">
        <v>0.31322652628329889</v>
      </c>
      <c r="Q267">
        <f t="shared" si="26"/>
        <v>8</v>
      </c>
      <c r="R267">
        <f ca="1">IF(ISNA(MATCH(P267,OFFSET('age-length key'!O$8,Data!Q267,17,1,5),1)),1,MATCH(P267,OFFSET('age-length key'!O$8,Data!Q267,17,1,5),1)+1)</f>
        <v>1</v>
      </c>
      <c r="S267">
        <f ca="1">IF(D267="Recapture",IF(OFFSET(B$1,MATCH(K267,K$2:K266,0),0)=B267,0,1),1)</f>
        <v>1</v>
      </c>
    </row>
    <row r="268" spans="1:19" x14ac:dyDescent="0.2">
      <c r="A268" s="1">
        <v>44335</v>
      </c>
      <c r="B268" s="28">
        <f t="shared" si="27"/>
        <v>20215</v>
      </c>
      <c r="C268">
        <f>A268-A$2</f>
        <v>359</v>
      </c>
      <c r="D268" s="5" t="s">
        <v>25</v>
      </c>
      <c r="E268" s="25" t="s">
        <v>49</v>
      </c>
      <c r="F268" s="4">
        <v>0.39652777777777781</v>
      </c>
      <c r="G268" s="4">
        <v>0.3979166666666667</v>
      </c>
      <c r="H268" s="3">
        <f t="shared" si="25"/>
        <v>1.388888888888884E-3</v>
      </c>
      <c r="I268" s="5" t="s">
        <v>25</v>
      </c>
      <c r="L268">
        <v>290</v>
      </c>
      <c r="M268" t="s">
        <v>22</v>
      </c>
      <c r="N268" t="s">
        <v>26</v>
      </c>
      <c r="P268">
        <v>0.39822724340400995</v>
      </c>
      <c r="Q268">
        <f t="shared" si="26"/>
        <v>20</v>
      </c>
      <c r="R268">
        <f ca="1">IF(ISNA(MATCH(P268,OFFSET('age-length key'!O$8,Data!Q268,17,1,5),1)),1,MATCH(P268,OFFSET('age-length key'!O$8,Data!Q268,17,1,5),1)+1)</f>
        <v>3</v>
      </c>
      <c r="S268">
        <f ca="1">IF(D268="Recapture",IF(OFFSET(B$1,MATCH(K268,K$2:K267,0),0)=B268,0,1),1)</f>
        <v>1</v>
      </c>
    </row>
    <row r="269" spans="1:19" x14ac:dyDescent="0.2">
      <c r="A269" s="1">
        <v>44335</v>
      </c>
      <c r="B269" s="28">
        <f t="shared" si="27"/>
        <v>20215</v>
      </c>
      <c r="C269">
        <f>A269-A$2</f>
        <v>359</v>
      </c>
      <c r="D269" s="5" t="s">
        <v>25</v>
      </c>
      <c r="E269" s="25" t="s">
        <v>49</v>
      </c>
      <c r="F269" s="4">
        <v>0.36180555555555555</v>
      </c>
      <c r="G269" s="4">
        <v>0.36388888888888887</v>
      </c>
      <c r="H269" s="3">
        <f t="shared" si="25"/>
        <v>2.0833333333333259E-3</v>
      </c>
      <c r="I269" s="5" t="s">
        <v>25</v>
      </c>
      <c r="L269">
        <v>295</v>
      </c>
      <c r="M269" t="s">
        <v>21</v>
      </c>
      <c r="N269" t="s">
        <v>26</v>
      </c>
      <c r="P269">
        <v>5.2798911953716963E-3</v>
      </c>
      <c r="Q269">
        <f t="shared" si="26"/>
        <v>21</v>
      </c>
      <c r="R269">
        <f ca="1">IF(ISNA(MATCH(P269,OFFSET('age-length key'!O$8,Data!Q269,17,1,5),1)),1,MATCH(P269,OFFSET('age-length key'!O$8,Data!Q269,17,1,5),1)+1)</f>
        <v>2</v>
      </c>
      <c r="S269">
        <f ca="1">IF(D269="Recapture",IF(OFFSET(B$1,MATCH(K269,K$2:K268,0),0)=B269,0,1),1)</f>
        <v>1</v>
      </c>
    </row>
    <row r="270" spans="1:19" x14ac:dyDescent="0.2">
      <c r="A270" s="1">
        <v>44335</v>
      </c>
      <c r="B270" s="28">
        <f t="shared" si="27"/>
        <v>20215</v>
      </c>
      <c r="C270">
        <f>A270-A$2</f>
        <v>359</v>
      </c>
      <c r="D270" s="5" t="s">
        <v>25</v>
      </c>
      <c r="E270" s="25" t="s">
        <v>49</v>
      </c>
      <c r="F270" s="4">
        <v>0.39305555555555555</v>
      </c>
      <c r="G270" s="4">
        <v>0.39583333333333331</v>
      </c>
      <c r="H270" s="3">
        <f t="shared" si="25"/>
        <v>2.7777777777777679E-3</v>
      </c>
      <c r="I270" s="5" t="s">
        <v>25</v>
      </c>
      <c r="L270">
        <v>226</v>
      </c>
      <c r="M270" t="s">
        <v>22</v>
      </c>
      <c r="N270" t="s">
        <v>26</v>
      </c>
      <c r="P270">
        <v>0.73913132061210052</v>
      </c>
      <c r="Q270">
        <f t="shared" si="26"/>
        <v>14</v>
      </c>
      <c r="R270">
        <f ca="1">IF(ISNA(MATCH(P270,OFFSET('age-length key'!O$8,Data!Q270,17,1,5),1)),1,MATCH(P270,OFFSET('age-length key'!O$8,Data!Q270,17,1,5),1)+1)</f>
        <v>2</v>
      </c>
      <c r="S270">
        <f ca="1">IF(D270="Recapture",IF(OFFSET(B$1,MATCH(K270,K$2:K269,0),0)=B270,0,1),1)</f>
        <v>1</v>
      </c>
    </row>
    <row r="271" spans="1:19" x14ac:dyDescent="0.2">
      <c r="A271" s="1">
        <v>44335</v>
      </c>
      <c r="B271" s="28">
        <f t="shared" si="27"/>
        <v>20215</v>
      </c>
      <c r="C271">
        <f>A271-A$2</f>
        <v>359</v>
      </c>
      <c r="D271" s="5" t="s">
        <v>25</v>
      </c>
      <c r="E271" s="25" t="s">
        <v>49</v>
      </c>
      <c r="F271" s="4">
        <v>0.54305555555555551</v>
      </c>
      <c r="G271" s="4">
        <v>0.54583333333333328</v>
      </c>
      <c r="H271" s="3">
        <f t="shared" si="25"/>
        <v>2.7777777777777679E-3</v>
      </c>
      <c r="I271" s="5" t="s">
        <v>25</v>
      </c>
      <c r="L271">
        <v>212</v>
      </c>
      <c r="M271" t="s">
        <v>89</v>
      </c>
      <c r="N271" t="s">
        <v>26</v>
      </c>
      <c r="P271">
        <v>0.58010552757424561</v>
      </c>
      <c r="Q271">
        <f t="shared" si="26"/>
        <v>12</v>
      </c>
      <c r="R271">
        <f ca="1">IF(ISNA(MATCH(P271,OFFSET('age-length key'!O$8,Data!Q271,17,1,5),1)),1,MATCH(P271,OFFSET('age-length key'!O$8,Data!Q271,17,1,5),1)+1)</f>
        <v>2</v>
      </c>
      <c r="S271">
        <f ca="1">IF(D271="Recapture",IF(OFFSET(B$1,MATCH(K271,K$2:K270,0),0)=B271,0,1),1)</f>
        <v>1</v>
      </c>
    </row>
    <row r="272" spans="1:19" x14ac:dyDescent="0.2">
      <c r="A272" s="1">
        <v>44335</v>
      </c>
      <c r="B272" s="28">
        <f t="shared" si="27"/>
        <v>20215</v>
      </c>
      <c r="C272">
        <f>A272-A$2</f>
        <v>359</v>
      </c>
      <c r="D272" s="5" t="s">
        <v>25</v>
      </c>
      <c r="E272" s="25" t="s">
        <v>49</v>
      </c>
      <c r="F272" s="4">
        <v>0.46666666666666662</v>
      </c>
      <c r="G272" s="4">
        <v>0.4694444444444445</v>
      </c>
      <c r="H272" s="3">
        <f t="shared" si="25"/>
        <v>2.7777777777778789E-3</v>
      </c>
      <c r="I272" s="5" t="s">
        <v>25</v>
      </c>
      <c r="L272">
        <v>325</v>
      </c>
      <c r="M272" t="s">
        <v>8</v>
      </c>
      <c r="N272" t="s">
        <v>26</v>
      </c>
      <c r="P272">
        <v>0.83360194034576507</v>
      </c>
      <c r="Q272">
        <f t="shared" si="26"/>
        <v>24</v>
      </c>
      <c r="R272">
        <f ca="1">IF(ISNA(MATCH(P272,OFFSET('age-length key'!O$8,Data!Q272,17,1,5),1)),1,MATCH(P272,OFFSET('age-length key'!O$8,Data!Q272,17,1,5),1)+1)</f>
        <v>3</v>
      </c>
      <c r="S272">
        <f ca="1">IF(D272="Recapture",IF(OFFSET(B$1,MATCH(K272,K$2:K271,0),0)=B272,0,1),1)</f>
        <v>1</v>
      </c>
    </row>
    <row r="273" spans="1:19" x14ac:dyDescent="0.2">
      <c r="A273" s="1">
        <v>44335</v>
      </c>
      <c r="B273" s="28">
        <f t="shared" si="27"/>
        <v>20215</v>
      </c>
      <c r="C273">
        <f>A273-A$2</f>
        <v>359</v>
      </c>
      <c r="D273" s="5" t="s">
        <v>25</v>
      </c>
      <c r="E273" s="25" t="s">
        <v>49</v>
      </c>
      <c r="F273" s="4">
        <v>0.39930555555555558</v>
      </c>
      <c r="G273" s="4">
        <v>0.40277777777777773</v>
      </c>
      <c r="H273" s="3">
        <f t="shared" si="25"/>
        <v>3.4722222222221544E-3</v>
      </c>
      <c r="I273" s="5" t="s">
        <v>25</v>
      </c>
      <c r="L273">
        <v>317</v>
      </c>
      <c r="M273" t="s">
        <v>22</v>
      </c>
      <c r="N273" t="s">
        <v>26</v>
      </c>
      <c r="P273">
        <v>0.34781139127342559</v>
      </c>
      <c r="Q273">
        <f t="shared" si="26"/>
        <v>23</v>
      </c>
      <c r="R273">
        <f ca="1">IF(ISNA(MATCH(P273,OFFSET('age-length key'!O$8,Data!Q273,17,1,5),1)),1,MATCH(P273,OFFSET('age-length key'!O$8,Data!Q273,17,1,5),1)+1)</f>
        <v>3</v>
      </c>
      <c r="S273">
        <f ca="1">IF(D273="Recapture",IF(OFFSET(B$1,MATCH(K273,K$2:K272,0),0)=B273,0,1),1)</f>
        <v>1</v>
      </c>
    </row>
    <row r="274" spans="1:19" x14ac:dyDescent="0.2">
      <c r="A274" s="1">
        <v>44335</v>
      </c>
      <c r="B274" s="28">
        <f t="shared" si="27"/>
        <v>20215</v>
      </c>
      <c r="C274">
        <f>A274-A$2</f>
        <v>359</v>
      </c>
      <c r="D274" s="5" t="s">
        <v>25</v>
      </c>
      <c r="E274" s="25" t="s">
        <v>49</v>
      </c>
      <c r="F274" s="4">
        <v>0.37777777777777777</v>
      </c>
      <c r="G274" s="4">
        <v>0.38194444444444442</v>
      </c>
      <c r="H274" s="3">
        <f t="shared" si="25"/>
        <v>4.1666666666666519E-3</v>
      </c>
      <c r="I274" s="5" t="s">
        <v>25</v>
      </c>
      <c r="L274">
        <v>343</v>
      </c>
      <c r="M274" t="s">
        <v>22</v>
      </c>
      <c r="N274" t="s">
        <v>26</v>
      </c>
      <c r="P274">
        <v>0.66605313246420261</v>
      </c>
      <c r="Q274">
        <f t="shared" si="26"/>
        <v>25</v>
      </c>
      <c r="R274">
        <f ca="1">IF(ISNA(MATCH(P274,OFFSET('age-length key'!O$8,Data!Q274,17,1,5),1)),1,MATCH(P274,OFFSET('age-length key'!O$8,Data!Q274,17,1,5),1)+1)</f>
        <v>3</v>
      </c>
      <c r="S274">
        <f ca="1">IF(D274="Recapture",IF(OFFSET(B$1,MATCH(K274,K$2:K273,0),0)=B274,0,1),1)</f>
        <v>1</v>
      </c>
    </row>
    <row r="275" spans="1:19" x14ac:dyDescent="0.2">
      <c r="A275" s="1">
        <v>44335</v>
      </c>
      <c r="B275" s="28">
        <f t="shared" si="27"/>
        <v>20215</v>
      </c>
      <c r="C275">
        <f>A275-A$2</f>
        <v>359</v>
      </c>
      <c r="D275" s="5" t="s">
        <v>25</v>
      </c>
      <c r="E275" s="25" t="s">
        <v>49</v>
      </c>
      <c r="F275" s="4">
        <v>0.37222222222222223</v>
      </c>
      <c r="G275" s="4">
        <v>0.37708333333333338</v>
      </c>
      <c r="H275" s="3">
        <f t="shared" si="25"/>
        <v>4.8611111111111494E-3</v>
      </c>
      <c r="I275" s="5" t="s">
        <v>25</v>
      </c>
      <c r="L275">
        <v>303</v>
      </c>
      <c r="M275" t="s">
        <v>21</v>
      </c>
      <c r="N275" t="s">
        <v>26</v>
      </c>
      <c r="P275">
        <v>0.35499732585390903</v>
      </c>
      <c r="Q275">
        <f t="shared" si="26"/>
        <v>21</v>
      </c>
      <c r="R275">
        <f ca="1">IF(ISNA(MATCH(P275,OFFSET('age-length key'!O$8,Data!Q275,17,1,5),1)),1,MATCH(P275,OFFSET('age-length key'!O$8,Data!Q275,17,1,5),1)+1)</f>
        <v>3</v>
      </c>
      <c r="S275">
        <f ca="1">IF(D275="Recapture",IF(OFFSET(B$1,MATCH(K275,K$2:K274,0),0)=B275,0,1),1)</f>
        <v>1</v>
      </c>
    </row>
    <row r="276" spans="1:19" x14ac:dyDescent="0.2">
      <c r="A276" s="1">
        <v>44335</v>
      </c>
      <c r="B276" s="28">
        <f t="shared" si="27"/>
        <v>20215</v>
      </c>
      <c r="C276">
        <f>A276-A$2</f>
        <v>359</v>
      </c>
      <c r="D276" s="5" t="s">
        <v>25</v>
      </c>
      <c r="E276" s="25" t="s">
        <v>49</v>
      </c>
      <c r="F276" s="4">
        <v>0.30624999999999997</v>
      </c>
      <c r="G276" s="4">
        <v>0.31180555555555556</v>
      </c>
      <c r="H276" s="3">
        <f t="shared" si="25"/>
        <v>5.5555555555555913E-3</v>
      </c>
      <c r="I276" s="5" t="s">
        <v>25</v>
      </c>
      <c r="L276">
        <v>183</v>
      </c>
      <c r="M276" t="s">
        <v>6</v>
      </c>
      <c r="N276" t="s">
        <v>26</v>
      </c>
      <c r="P276">
        <v>0.44005562664943543</v>
      </c>
      <c r="Q276">
        <f t="shared" si="26"/>
        <v>9</v>
      </c>
      <c r="R276">
        <f ca="1">IF(ISNA(MATCH(P276,OFFSET('age-length key'!O$8,Data!Q276,17,1,5),1)),1,MATCH(P276,OFFSET('age-length key'!O$8,Data!Q276,17,1,5),1)+1)</f>
        <v>1</v>
      </c>
      <c r="S276">
        <f ca="1">IF(D276="Recapture",IF(OFFSET(B$1,MATCH(K276,K$2:K275,0),0)=B276,0,1),1)</f>
        <v>1</v>
      </c>
    </row>
    <row r="277" spans="1:19" x14ac:dyDescent="0.2">
      <c r="A277" s="1">
        <v>44335</v>
      </c>
      <c r="B277" s="28">
        <f t="shared" si="27"/>
        <v>20215</v>
      </c>
      <c r="C277">
        <f>A277-A$2</f>
        <v>359</v>
      </c>
      <c r="D277" s="5" t="s">
        <v>25</v>
      </c>
      <c r="E277" s="25" t="s">
        <v>49</v>
      </c>
      <c r="F277" s="4">
        <v>0.48819444444444443</v>
      </c>
      <c r="G277" s="4">
        <v>0.49444444444444446</v>
      </c>
      <c r="H277" s="3">
        <f t="shared" si="25"/>
        <v>6.2500000000000333E-3</v>
      </c>
      <c r="I277" s="5" t="s">
        <v>25</v>
      </c>
      <c r="L277">
        <v>308</v>
      </c>
      <c r="M277" t="s">
        <v>18</v>
      </c>
      <c r="N277" t="s">
        <v>26</v>
      </c>
      <c r="P277">
        <v>1.4917097061368217E-2</v>
      </c>
      <c r="Q277">
        <f t="shared" si="26"/>
        <v>22</v>
      </c>
      <c r="R277">
        <f ca="1">IF(ISNA(MATCH(P277,OFFSET('age-length key'!O$8,Data!Q277,17,1,5),1)),1,MATCH(P277,OFFSET('age-length key'!O$8,Data!Q277,17,1,5),1)+1)</f>
        <v>3</v>
      </c>
      <c r="S277">
        <f ca="1">IF(D277="Recapture",IF(OFFSET(B$1,MATCH(K277,K$2:K276,0),0)=B277,0,1),1)</f>
        <v>1</v>
      </c>
    </row>
    <row r="278" spans="1:19" x14ac:dyDescent="0.2">
      <c r="A278" s="1">
        <v>44335</v>
      </c>
      <c r="B278" s="28">
        <f t="shared" si="27"/>
        <v>20215</v>
      </c>
      <c r="C278">
        <f>A278-A$2</f>
        <v>359</v>
      </c>
      <c r="D278" s="5" t="s">
        <v>25</v>
      </c>
      <c r="E278" s="25" t="s">
        <v>49</v>
      </c>
      <c r="F278" s="4">
        <v>0.36458333333333331</v>
      </c>
      <c r="G278" s="4">
        <v>0.37152777777777773</v>
      </c>
      <c r="H278" s="3">
        <f t="shared" si="25"/>
        <v>6.9444444444444198E-3</v>
      </c>
      <c r="I278" s="5" t="s">
        <v>25</v>
      </c>
      <c r="L278">
        <v>275</v>
      </c>
      <c r="M278" t="s">
        <v>21</v>
      </c>
      <c r="N278" t="s">
        <v>26</v>
      </c>
      <c r="P278">
        <v>0.71165031041561178</v>
      </c>
      <c r="Q278">
        <f t="shared" si="26"/>
        <v>19</v>
      </c>
      <c r="R278">
        <f ca="1">IF(ISNA(MATCH(P278,OFFSET('age-length key'!O$8,Data!Q278,17,1,5),1)),1,MATCH(P278,OFFSET('age-length key'!O$8,Data!Q278,17,1,5),1)+1)</f>
        <v>3</v>
      </c>
      <c r="S278">
        <f ca="1">IF(D278="Recapture",IF(OFFSET(B$1,MATCH(K278,K$2:K277,0),0)=B278,0,1),1)</f>
        <v>1</v>
      </c>
    </row>
    <row r="279" spans="1:19" x14ac:dyDescent="0.2">
      <c r="A279" s="1">
        <v>44335</v>
      </c>
      <c r="B279" s="28">
        <f t="shared" si="27"/>
        <v>20215</v>
      </c>
      <c r="C279">
        <f>A279-A$2</f>
        <v>359</v>
      </c>
      <c r="D279" s="5" t="s">
        <v>25</v>
      </c>
      <c r="E279" s="25" t="s">
        <v>49</v>
      </c>
      <c r="F279" s="4">
        <v>0.3215277777777778</v>
      </c>
      <c r="G279" s="4">
        <v>0.32847222222222222</v>
      </c>
      <c r="H279" s="3">
        <f t="shared" si="25"/>
        <v>6.9444444444444198E-3</v>
      </c>
      <c r="I279" s="5" t="s">
        <v>25</v>
      </c>
      <c r="L279">
        <v>184</v>
      </c>
      <c r="M279" t="s">
        <v>6</v>
      </c>
      <c r="N279" t="s">
        <v>26</v>
      </c>
      <c r="P279">
        <v>0.70676715518663036</v>
      </c>
      <c r="Q279">
        <f t="shared" si="26"/>
        <v>9</v>
      </c>
      <c r="R279">
        <f ca="1">IF(ISNA(MATCH(P279,OFFSET('age-length key'!O$8,Data!Q279,17,1,5),1)),1,MATCH(P279,OFFSET('age-length key'!O$8,Data!Q279,17,1,5),1)+1)</f>
        <v>2</v>
      </c>
      <c r="S279">
        <f ca="1">IF(D279="Recapture",IF(OFFSET(B$1,MATCH(K279,K$2:K278,0),0)=B279,0,1),1)</f>
        <v>1</v>
      </c>
    </row>
    <row r="280" spans="1:19" x14ac:dyDescent="0.2">
      <c r="A280" s="1">
        <v>44335</v>
      </c>
      <c r="B280" s="28">
        <f t="shared" si="27"/>
        <v>20215</v>
      </c>
      <c r="C280">
        <f>A280-A$2</f>
        <v>359</v>
      </c>
      <c r="D280" s="5" t="s">
        <v>25</v>
      </c>
      <c r="E280" s="25" t="s">
        <v>49</v>
      </c>
      <c r="F280" s="4">
        <v>0.35416666666666669</v>
      </c>
      <c r="G280" s="4">
        <v>0.3611111111111111</v>
      </c>
      <c r="H280" s="3">
        <f t="shared" si="25"/>
        <v>6.9444444444444198E-3</v>
      </c>
      <c r="I280" s="5" t="s">
        <v>25</v>
      </c>
      <c r="L280">
        <v>213</v>
      </c>
      <c r="M280" t="s">
        <v>21</v>
      </c>
      <c r="N280" t="s">
        <v>26</v>
      </c>
      <c r="P280">
        <v>0.63557722169699948</v>
      </c>
      <c r="Q280">
        <f t="shared" si="26"/>
        <v>12</v>
      </c>
      <c r="R280">
        <f ca="1">IF(ISNA(MATCH(P280,OFFSET('age-length key'!O$8,Data!Q280,17,1,5),1)),1,MATCH(P280,OFFSET('age-length key'!O$8,Data!Q280,17,1,5),1)+1)</f>
        <v>2</v>
      </c>
      <c r="S280">
        <f ca="1">IF(D280="Recapture",IF(OFFSET(B$1,MATCH(K280,K$2:K279,0),0)=B280,0,1),1)</f>
        <v>1</v>
      </c>
    </row>
    <row r="281" spans="1:19" x14ac:dyDescent="0.2">
      <c r="A281" s="1">
        <v>44335</v>
      </c>
      <c r="B281" s="28">
        <f t="shared" si="27"/>
        <v>20215</v>
      </c>
      <c r="C281">
        <f>A281-A$2</f>
        <v>359</v>
      </c>
      <c r="D281" s="5" t="s">
        <v>25</v>
      </c>
      <c r="E281" s="25" t="s">
        <v>49</v>
      </c>
      <c r="F281" s="4">
        <v>0.3125</v>
      </c>
      <c r="G281" s="4">
        <v>0.32083333333333336</v>
      </c>
      <c r="H281" s="3">
        <f t="shared" si="25"/>
        <v>8.3333333333333592E-3</v>
      </c>
      <c r="I281" s="5" t="s">
        <v>25</v>
      </c>
      <c r="L281">
        <v>209</v>
      </c>
      <c r="M281" t="s">
        <v>6</v>
      </c>
      <c r="N281" t="s">
        <v>26</v>
      </c>
      <c r="P281">
        <v>0.1463650614704774</v>
      </c>
      <c r="Q281">
        <f t="shared" si="26"/>
        <v>12</v>
      </c>
      <c r="R281">
        <f ca="1">IF(ISNA(MATCH(P281,OFFSET('age-length key'!O$8,Data!Q281,17,1,5),1)),1,MATCH(P281,OFFSET('age-length key'!O$8,Data!Q281,17,1,5),1)+1)</f>
        <v>2</v>
      </c>
      <c r="S281">
        <f ca="1">IF(D281="Recapture",IF(OFFSET(B$1,MATCH(K281,K$2:K280,0),0)=B281,0,1),1)</f>
        <v>1</v>
      </c>
    </row>
    <row r="282" spans="1:19" x14ac:dyDescent="0.2">
      <c r="A282" s="1">
        <v>44335</v>
      </c>
      <c r="B282" s="28">
        <f t="shared" si="27"/>
        <v>20215</v>
      </c>
      <c r="C282">
        <f>A282-A$2</f>
        <v>359</v>
      </c>
      <c r="D282" s="5" t="s">
        <v>25</v>
      </c>
      <c r="E282" s="25" t="s">
        <v>49</v>
      </c>
      <c r="F282" s="4">
        <v>0.47916666666666669</v>
      </c>
      <c r="G282" s="4">
        <v>0.48819444444444443</v>
      </c>
      <c r="H282" s="3">
        <f t="shared" si="25"/>
        <v>9.0277777777777457E-3</v>
      </c>
      <c r="I282" s="5" t="s">
        <v>25</v>
      </c>
      <c r="L282">
        <v>333</v>
      </c>
      <c r="M282" t="s">
        <v>18</v>
      </c>
      <c r="N282" t="s">
        <v>26</v>
      </c>
      <c r="P282">
        <v>0.95758813431374179</v>
      </c>
      <c r="Q282">
        <f t="shared" si="26"/>
        <v>24</v>
      </c>
      <c r="R282">
        <f ca="1">IF(ISNA(MATCH(P282,OFFSET('age-length key'!O$8,Data!Q282,17,1,5),1)),1,MATCH(P282,OFFSET('age-length key'!O$8,Data!Q282,17,1,5),1)+1)</f>
        <v>4</v>
      </c>
      <c r="S282">
        <f ca="1">IF(D282="Recapture",IF(OFFSET(B$1,MATCH(K282,K$2:K281,0),0)=B282,0,1),1)</f>
        <v>1</v>
      </c>
    </row>
    <row r="283" spans="1:19" x14ac:dyDescent="0.2">
      <c r="A283" s="1">
        <v>44335</v>
      </c>
      <c r="B283" s="28">
        <f t="shared" si="27"/>
        <v>20215</v>
      </c>
      <c r="C283">
        <f>A283-A$2</f>
        <v>359</v>
      </c>
      <c r="D283" s="5" t="s">
        <v>25</v>
      </c>
      <c r="E283" s="25" t="s">
        <v>49</v>
      </c>
      <c r="F283" s="4">
        <v>0.4694444444444445</v>
      </c>
      <c r="G283" s="4">
        <v>0.47916666666666669</v>
      </c>
      <c r="H283" s="3">
        <f t="shared" si="25"/>
        <v>9.7222222222221877E-3</v>
      </c>
      <c r="I283" s="5" t="s">
        <v>25</v>
      </c>
      <c r="L283">
        <v>215</v>
      </c>
      <c r="M283" t="s">
        <v>12</v>
      </c>
      <c r="N283" t="s">
        <v>26</v>
      </c>
      <c r="P283">
        <v>0.18377341105778394</v>
      </c>
      <c r="Q283">
        <f t="shared" si="26"/>
        <v>13</v>
      </c>
      <c r="R283">
        <f ca="1">IF(ISNA(MATCH(P283,OFFSET('age-length key'!O$8,Data!Q283,17,1,5),1)),1,MATCH(P283,OFFSET('age-length key'!O$8,Data!Q283,17,1,5),1)+1)</f>
        <v>2</v>
      </c>
      <c r="S283">
        <f ca="1">IF(D283="Recapture",IF(OFFSET(B$1,MATCH(K283,K$2:K282,0),0)=B283,0,1),1)</f>
        <v>1</v>
      </c>
    </row>
    <row r="284" spans="1:19" x14ac:dyDescent="0.2">
      <c r="A284" s="1">
        <v>44335</v>
      </c>
      <c r="B284" s="28">
        <f t="shared" si="27"/>
        <v>20215</v>
      </c>
      <c r="C284">
        <f>A284-A$2</f>
        <v>359</v>
      </c>
      <c r="D284" s="5" t="s">
        <v>25</v>
      </c>
      <c r="E284" s="25" t="s">
        <v>49</v>
      </c>
      <c r="F284" s="4">
        <v>0.40277777777777773</v>
      </c>
      <c r="G284" s="4">
        <v>0.41319444444444442</v>
      </c>
      <c r="H284" s="3">
        <f t="shared" si="25"/>
        <v>1.0416666666666685E-2</v>
      </c>
      <c r="I284" s="5" t="s">
        <v>25</v>
      </c>
      <c r="L284">
        <v>224</v>
      </c>
      <c r="M284" t="s">
        <v>23</v>
      </c>
      <c r="N284" t="s">
        <v>26</v>
      </c>
      <c r="P284">
        <v>0.67971964817481101</v>
      </c>
      <c r="Q284">
        <f t="shared" si="26"/>
        <v>13</v>
      </c>
      <c r="R284">
        <f ca="1">IF(ISNA(MATCH(P284,OFFSET('age-length key'!O$8,Data!Q284,17,1,5),1)),1,MATCH(P284,OFFSET('age-length key'!O$8,Data!Q284,17,1,5),1)+1)</f>
        <v>2</v>
      </c>
      <c r="S284">
        <f ca="1">IF(D284="Recapture",IF(OFFSET(B$1,MATCH(K284,K$2:K283,0),0)=B284,0,1),1)</f>
        <v>1</v>
      </c>
    </row>
    <row r="285" spans="1:19" x14ac:dyDescent="0.2">
      <c r="A285" s="1">
        <v>44335</v>
      </c>
      <c r="B285" s="28">
        <f t="shared" si="27"/>
        <v>20215</v>
      </c>
      <c r="C285">
        <f>A285-A$2</f>
        <v>359</v>
      </c>
      <c r="D285" s="5" t="s">
        <v>25</v>
      </c>
      <c r="E285" s="25" t="s">
        <v>49</v>
      </c>
      <c r="F285" s="4">
        <v>0.3347222222222222</v>
      </c>
      <c r="G285" s="4">
        <v>0.35347222222222219</v>
      </c>
      <c r="H285" s="3">
        <f t="shared" si="25"/>
        <v>1.8749999999999989E-2</v>
      </c>
      <c r="I285" s="5" t="s">
        <v>25</v>
      </c>
      <c r="L285">
        <v>368</v>
      </c>
      <c r="M285" t="s">
        <v>21</v>
      </c>
      <c r="N285" t="s">
        <v>26</v>
      </c>
      <c r="P285">
        <v>4.8126874048321916E-2</v>
      </c>
      <c r="Q285">
        <f t="shared" si="26"/>
        <v>28</v>
      </c>
      <c r="R285">
        <f ca="1">IF(ISNA(MATCH(P285,OFFSET('age-length key'!O$8,Data!Q285,17,1,5),1)),1,MATCH(P285,OFFSET('age-length key'!O$8,Data!Q285,17,1,5),1)+1)</f>
        <v>3</v>
      </c>
      <c r="S285">
        <f ca="1">IF(D285="Recapture",IF(OFFSET(B$1,MATCH(K285,K$2:K284,0),0)=B285,0,1),1)</f>
        <v>1</v>
      </c>
    </row>
    <row r="286" spans="1:19" x14ac:dyDescent="0.2">
      <c r="A286" s="1">
        <v>44335</v>
      </c>
      <c r="B286" s="28">
        <f t="shared" si="27"/>
        <v>20215</v>
      </c>
      <c r="C286">
        <f>A286-A$2</f>
        <v>359</v>
      </c>
      <c r="D286" s="5" t="s">
        <v>25</v>
      </c>
      <c r="E286" s="25" t="s">
        <v>49</v>
      </c>
      <c r="F286" s="4">
        <v>0.49444444444444446</v>
      </c>
      <c r="G286" s="4">
        <v>0.51388888888888895</v>
      </c>
      <c r="H286" s="3">
        <f t="shared" si="25"/>
        <v>1.9444444444444486E-2</v>
      </c>
      <c r="I286" s="5" t="s">
        <v>25</v>
      </c>
      <c r="L286">
        <v>312</v>
      </c>
      <c r="M286" t="s">
        <v>19</v>
      </c>
      <c r="N286" t="s">
        <v>26</v>
      </c>
      <c r="P286">
        <v>0.86837213014642345</v>
      </c>
      <c r="Q286">
        <f t="shared" si="26"/>
        <v>22</v>
      </c>
      <c r="R286">
        <f ca="1">IF(ISNA(MATCH(P286,OFFSET('age-length key'!O$8,Data!Q286,17,1,5),1)),1,MATCH(P286,OFFSET('age-length key'!O$8,Data!Q286,17,1,5),1)+1)</f>
        <v>3</v>
      </c>
      <c r="S286">
        <f ca="1">IF(D286="Recapture",IF(OFFSET(B$1,MATCH(K286,K$2:K285,0),0)=B286,0,1),1)</f>
        <v>1</v>
      </c>
    </row>
    <row r="287" spans="1:19" x14ac:dyDescent="0.2">
      <c r="A287" s="1">
        <v>44335</v>
      </c>
      <c r="B287" s="28">
        <f t="shared" si="27"/>
        <v>20215</v>
      </c>
      <c r="C287">
        <f>A287-A$2</f>
        <v>359</v>
      </c>
      <c r="D287" s="5" t="s">
        <v>25</v>
      </c>
      <c r="E287" s="25" t="s">
        <v>49</v>
      </c>
      <c r="F287" s="4">
        <v>0.41388888888888892</v>
      </c>
      <c r="G287" s="4">
        <v>0.43611111111111112</v>
      </c>
      <c r="H287" s="3">
        <f t="shared" si="25"/>
        <v>2.2222222222222199E-2</v>
      </c>
      <c r="I287" s="5" t="s">
        <v>25</v>
      </c>
      <c r="L287">
        <v>357</v>
      </c>
      <c r="M287" t="s">
        <v>16</v>
      </c>
      <c r="N287" t="s">
        <v>26</v>
      </c>
      <c r="P287">
        <v>0.73039137093834172</v>
      </c>
      <c r="Q287">
        <f t="shared" si="26"/>
        <v>27</v>
      </c>
      <c r="R287">
        <f ca="1">IF(ISNA(MATCH(P287,OFFSET('age-length key'!O$8,Data!Q287,17,1,5),1)),1,MATCH(P287,OFFSET('age-length key'!O$8,Data!Q287,17,1,5),1)+1)</f>
        <v>4</v>
      </c>
      <c r="S287">
        <f ca="1">IF(D287="Recapture",IF(OFFSET(B$1,MATCH(K287,K$2:K286,0),0)=B287,0,1),1)</f>
        <v>1</v>
      </c>
    </row>
    <row r="288" spans="1:19" x14ac:dyDescent="0.2">
      <c r="A288" s="1">
        <v>44335</v>
      </c>
      <c r="B288" s="28">
        <f t="shared" si="27"/>
        <v>20215</v>
      </c>
      <c r="C288">
        <f>A288-A$2</f>
        <v>359</v>
      </c>
      <c r="D288" s="5" t="s">
        <v>25</v>
      </c>
      <c r="E288" s="25" t="s">
        <v>49</v>
      </c>
      <c r="F288" s="4">
        <v>0.51458333333333328</v>
      </c>
      <c r="G288" s="4">
        <v>0.54305555555555551</v>
      </c>
      <c r="H288" s="3">
        <f t="shared" si="25"/>
        <v>2.8472222222222232E-2</v>
      </c>
      <c r="I288" s="5" t="s">
        <v>25</v>
      </c>
      <c r="L288">
        <v>280</v>
      </c>
      <c r="M288" t="s">
        <v>89</v>
      </c>
      <c r="N288" t="s">
        <v>26</v>
      </c>
      <c r="P288">
        <v>0.68777136071015676</v>
      </c>
      <c r="Q288">
        <f t="shared" si="26"/>
        <v>19</v>
      </c>
      <c r="R288">
        <f ca="1">IF(ISNA(MATCH(P288,OFFSET('age-length key'!O$8,Data!Q288,17,1,5),1)),1,MATCH(P288,OFFSET('age-length key'!O$8,Data!Q288,17,1,5),1)+1)</f>
        <v>3</v>
      </c>
      <c r="S288">
        <f ca="1">IF(D288="Recapture",IF(OFFSET(B$1,MATCH(K288,K$2:K287,0),0)=B288,0,1),1)</f>
        <v>1</v>
      </c>
    </row>
    <row r="289" spans="1:19" x14ac:dyDescent="0.2">
      <c r="A289" s="1">
        <v>44335</v>
      </c>
      <c r="B289" s="28">
        <f t="shared" si="27"/>
        <v>20215</v>
      </c>
      <c r="C289">
        <f>A289-A$2</f>
        <v>359</v>
      </c>
      <c r="D289" s="5" t="s">
        <v>25</v>
      </c>
      <c r="E289" s="25" t="s">
        <v>49</v>
      </c>
      <c r="F289" s="4">
        <v>0.43611111111111112</v>
      </c>
      <c r="G289" s="4">
        <v>0.46666666666666662</v>
      </c>
      <c r="H289" s="3">
        <f t="shared" si="25"/>
        <v>3.0555555555555503E-2</v>
      </c>
      <c r="I289" s="5" t="s">
        <v>25</v>
      </c>
      <c r="L289">
        <v>190</v>
      </c>
      <c r="M289" t="s">
        <v>8</v>
      </c>
      <c r="N289" t="s">
        <v>26</v>
      </c>
      <c r="P289">
        <v>0.37325945560506518</v>
      </c>
      <c r="Q289">
        <f t="shared" si="26"/>
        <v>10</v>
      </c>
      <c r="R289">
        <f ca="1">IF(ISNA(MATCH(P289,OFFSET('age-length key'!O$8,Data!Q289,17,1,5),1)),1,MATCH(P289,OFFSET('age-length key'!O$8,Data!Q289,17,1,5),1)+1)</f>
        <v>2</v>
      </c>
      <c r="S289">
        <f ca="1">IF(D289="Recapture",IF(OFFSET(B$1,MATCH(K289,K$2:K288,0),0)=B289,0,1),1)</f>
        <v>1</v>
      </c>
    </row>
    <row r="290" spans="1:19" x14ac:dyDescent="0.2">
      <c r="A290" s="1">
        <v>44335</v>
      </c>
      <c r="B290" s="28">
        <f t="shared" si="27"/>
        <v>20215</v>
      </c>
      <c r="C290">
        <f>A290-A$2</f>
        <v>359</v>
      </c>
      <c r="D290" s="5" t="s">
        <v>58</v>
      </c>
      <c r="E290" s="22" t="s">
        <v>49</v>
      </c>
      <c r="F290" s="4">
        <v>0.53194444444444444</v>
      </c>
      <c r="G290" s="4">
        <v>0.53541666666666665</v>
      </c>
      <c r="H290" s="3">
        <f t="shared" si="25"/>
        <v>3.4722222222222099E-3</v>
      </c>
      <c r="I290">
        <v>2</v>
      </c>
      <c r="J290" s="8" t="s">
        <v>57</v>
      </c>
      <c r="K290" s="11" t="str">
        <f t="shared" ref="K290:K353" si="28">_xlfn.CONCAT(J290,I290)</f>
        <v>Pink2</v>
      </c>
      <c r="L290">
        <v>310</v>
      </c>
      <c r="M290" t="s">
        <v>22</v>
      </c>
      <c r="N290" t="s">
        <v>27</v>
      </c>
      <c r="P290">
        <v>0.37167035433075873</v>
      </c>
      <c r="Q290">
        <f t="shared" si="26"/>
        <v>22</v>
      </c>
      <c r="R290">
        <f ca="1">IF(ISNA(MATCH(P290,OFFSET('age-length key'!O$8,Data!Q290,17,1,5),1)),1,MATCH(P290,OFFSET('age-length key'!O$8,Data!Q290,17,1,5),1)+1)</f>
        <v>3</v>
      </c>
      <c r="S290">
        <f ca="1">IF(D290="Recapture",IF(OFFSET(B$1,MATCH(K290,K$2:K289,0),0)=B290,0,1),1)</f>
        <v>1</v>
      </c>
    </row>
    <row r="291" spans="1:19" x14ac:dyDescent="0.2">
      <c r="A291" s="1">
        <v>44337</v>
      </c>
      <c r="B291" s="28">
        <f t="shared" si="27"/>
        <v>20215</v>
      </c>
      <c r="C291">
        <f>A291-A$2</f>
        <v>361</v>
      </c>
      <c r="D291" s="5" t="s">
        <v>47</v>
      </c>
      <c r="E291" s="22" t="s">
        <v>49</v>
      </c>
      <c r="F291" s="4">
        <v>0.4375</v>
      </c>
      <c r="G291" s="4">
        <v>0.4381944444444445</v>
      </c>
      <c r="H291" s="3">
        <f t="shared" si="25"/>
        <v>6.9444444444449749E-4</v>
      </c>
      <c r="I291">
        <v>85</v>
      </c>
      <c r="J291" s="8" t="s">
        <v>56</v>
      </c>
      <c r="K291" s="11" t="str">
        <f t="shared" si="28"/>
        <v>Green85</v>
      </c>
      <c r="L291">
        <v>295</v>
      </c>
      <c r="M291" t="s">
        <v>8</v>
      </c>
      <c r="N291" t="s">
        <v>27</v>
      </c>
      <c r="P291">
        <v>0.66364523706196121</v>
      </c>
      <c r="Q291">
        <f t="shared" si="26"/>
        <v>21</v>
      </c>
      <c r="R291">
        <f ca="1">IF(ISNA(MATCH(P291,OFFSET('age-length key'!O$8,Data!Q291,17,1,5),1)),1,MATCH(P291,OFFSET('age-length key'!O$8,Data!Q291,17,1,5),1)+1)</f>
        <v>3</v>
      </c>
      <c r="S291">
        <f ca="1">IF(D291="Recapture",IF(OFFSET(B$1,MATCH(K291,K$2:K290,0),0)=B291,0,1),1)</f>
        <v>1</v>
      </c>
    </row>
    <row r="292" spans="1:19" x14ac:dyDescent="0.2">
      <c r="A292" s="10">
        <v>44337</v>
      </c>
      <c r="B292" s="28">
        <f t="shared" si="27"/>
        <v>20215</v>
      </c>
      <c r="C292">
        <f>A292-A$2</f>
        <v>361</v>
      </c>
      <c r="D292" s="11" t="s">
        <v>47</v>
      </c>
      <c r="E292" s="24" t="s">
        <v>49</v>
      </c>
      <c r="F292" s="13"/>
      <c r="G292" s="13"/>
      <c r="H292" s="3"/>
      <c r="I292" s="12">
        <v>31</v>
      </c>
      <c r="J292" s="11" t="s">
        <v>57</v>
      </c>
      <c r="K292" s="11" t="str">
        <f t="shared" si="28"/>
        <v>Pink31</v>
      </c>
      <c r="L292" s="12">
        <v>325</v>
      </c>
      <c r="M292" s="12" t="s">
        <v>13</v>
      </c>
      <c r="N292" s="12" t="s">
        <v>27</v>
      </c>
      <c r="O292" s="12"/>
      <c r="P292">
        <v>0.88549930038186686</v>
      </c>
      <c r="Q292">
        <f t="shared" si="26"/>
        <v>24</v>
      </c>
      <c r="R292">
        <f ca="1">IF(ISNA(MATCH(P292,OFFSET('age-length key'!O$8,Data!Q292,17,1,5),1)),1,MATCH(P292,OFFSET('age-length key'!O$8,Data!Q292,17,1,5),1)+1)</f>
        <v>4</v>
      </c>
      <c r="S292">
        <f ca="1">IF(D292="Recapture",IF(OFFSET(B$1,MATCH(K292,K$2:K291,0),0)=B292,0,1),1)</f>
        <v>1</v>
      </c>
    </row>
    <row r="293" spans="1:19" x14ac:dyDescent="0.2">
      <c r="A293" s="9">
        <v>44337</v>
      </c>
      <c r="B293" s="28">
        <f t="shared" si="27"/>
        <v>20215</v>
      </c>
      <c r="C293">
        <f>A293-A$2</f>
        <v>361</v>
      </c>
      <c r="D293" s="5" t="s">
        <v>47</v>
      </c>
      <c r="E293" s="22" t="s">
        <v>49</v>
      </c>
      <c r="H293" s="3"/>
      <c r="I293">
        <v>33</v>
      </c>
      <c r="J293" s="5" t="s">
        <v>57</v>
      </c>
      <c r="K293" s="11" t="str">
        <f t="shared" si="28"/>
        <v>Pink33</v>
      </c>
      <c r="L293">
        <v>310</v>
      </c>
      <c r="M293" t="s">
        <v>13</v>
      </c>
      <c r="N293" t="s">
        <v>27</v>
      </c>
      <c r="P293">
        <v>0.58674151803680763</v>
      </c>
      <c r="Q293">
        <f t="shared" si="26"/>
        <v>22</v>
      </c>
      <c r="R293">
        <f ca="1">IF(ISNA(MATCH(P293,OFFSET('age-length key'!O$8,Data!Q293,17,1,5),1)),1,MATCH(P293,OFFSET('age-length key'!O$8,Data!Q293,17,1,5),1)+1)</f>
        <v>3</v>
      </c>
      <c r="S293">
        <f ca="1">IF(D293="Recapture",IF(OFFSET(B$1,MATCH(K293,K$2:K292,0),0)=B293,0,1),1)</f>
        <v>1</v>
      </c>
    </row>
    <row r="294" spans="1:19" x14ac:dyDescent="0.2">
      <c r="A294" s="9">
        <v>44337</v>
      </c>
      <c r="B294" s="28">
        <f t="shared" si="27"/>
        <v>20215</v>
      </c>
      <c r="C294">
        <f>A294-A$2</f>
        <v>361</v>
      </c>
      <c r="D294" s="5" t="s">
        <v>47</v>
      </c>
      <c r="E294" s="22" t="s">
        <v>49</v>
      </c>
      <c r="H294" s="3"/>
      <c r="I294">
        <v>34</v>
      </c>
      <c r="J294" s="5" t="s">
        <v>57</v>
      </c>
      <c r="K294" s="11" t="str">
        <f t="shared" si="28"/>
        <v>Pink34</v>
      </c>
      <c r="L294">
        <v>355</v>
      </c>
      <c r="M294" t="s">
        <v>9</v>
      </c>
      <c r="N294" t="s">
        <v>27</v>
      </c>
      <c r="P294">
        <v>0.36469364462638909</v>
      </c>
      <c r="Q294">
        <f t="shared" si="26"/>
        <v>27</v>
      </c>
      <c r="R294">
        <f ca="1">IF(ISNA(MATCH(P294,OFFSET('age-length key'!O$8,Data!Q294,17,1,5),1)),1,MATCH(P294,OFFSET('age-length key'!O$8,Data!Q294,17,1,5),1)+1)</f>
        <v>3</v>
      </c>
      <c r="S294">
        <f ca="1">IF(D294="Recapture",IF(OFFSET(B$1,MATCH(K294,K$2:K293,0),0)=B294,0,1),1)</f>
        <v>1</v>
      </c>
    </row>
    <row r="295" spans="1:19" x14ac:dyDescent="0.2">
      <c r="A295" s="1">
        <v>44337</v>
      </c>
      <c r="B295" s="28">
        <f t="shared" si="27"/>
        <v>20215</v>
      </c>
      <c r="C295">
        <f>A295-A$2</f>
        <v>361</v>
      </c>
      <c r="D295" s="5" t="s">
        <v>47</v>
      </c>
      <c r="E295" s="25" t="s">
        <v>49</v>
      </c>
      <c r="F295" s="4">
        <v>0.42291666666666666</v>
      </c>
      <c r="G295" s="4">
        <v>0.4236111111111111</v>
      </c>
      <c r="H295" s="3">
        <f t="shared" ref="H295:H318" si="29">G295-F295</f>
        <v>6.9444444444444198E-4</v>
      </c>
      <c r="I295" s="5">
        <v>78</v>
      </c>
      <c r="J295" s="5" t="s">
        <v>56</v>
      </c>
      <c r="K295" s="11" t="str">
        <f t="shared" si="28"/>
        <v>Green78</v>
      </c>
      <c r="L295" s="5">
        <v>330</v>
      </c>
      <c r="M295" t="s">
        <v>15</v>
      </c>
      <c r="N295" t="s">
        <v>27</v>
      </c>
      <c r="P295">
        <v>0.40608523572147137</v>
      </c>
      <c r="Q295">
        <f t="shared" si="26"/>
        <v>24</v>
      </c>
      <c r="R295">
        <f ca="1">IF(ISNA(MATCH(P295,OFFSET('age-length key'!O$8,Data!Q295,17,1,5),1)),1,MATCH(P295,OFFSET('age-length key'!O$8,Data!Q295,17,1,5),1)+1)</f>
        <v>3</v>
      </c>
      <c r="S295">
        <f ca="1">IF(D295="Recapture",IF(OFFSET(B$1,MATCH(K295,K$2:K294,0),0)=B295,0,1),1)</f>
        <v>1</v>
      </c>
    </row>
    <row r="296" spans="1:19" x14ac:dyDescent="0.2">
      <c r="A296" s="1">
        <v>44337</v>
      </c>
      <c r="B296" s="28">
        <f t="shared" si="27"/>
        <v>20215</v>
      </c>
      <c r="C296">
        <f>A296-A$2</f>
        <v>361</v>
      </c>
      <c r="D296" s="5" t="s">
        <v>47</v>
      </c>
      <c r="E296" s="25" t="s">
        <v>49</v>
      </c>
      <c r="F296" s="4">
        <v>0.45416666666666666</v>
      </c>
      <c r="G296" s="4">
        <v>0.4548611111111111</v>
      </c>
      <c r="H296" s="3">
        <f t="shared" si="29"/>
        <v>6.9444444444444198E-4</v>
      </c>
      <c r="I296" s="5">
        <v>82</v>
      </c>
      <c r="J296" s="5" t="s">
        <v>56</v>
      </c>
      <c r="K296" s="11" t="str">
        <f t="shared" si="28"/>
        <v>Green82</v>
      </c>
      <c r="L296" s="5">
        <v>250</v>
      </c>
      <c r="M296" t="s">
        <v>16</v>
      </c>
      <c r="N296" t="s">
        <v>27</v>
      </c>
      <c r="P296">
        <v>7.4556770769207165E-2</v>
      </c>
      <c r="Q296">
        <f t="shared" si="26"/>
        <v>16</v>
      </c>
      <c r="R296">
        <f ca="1">IF(ISNA(MATCH(P296,OFFSET('age-length key'!O$8,Data!Q296,17,1,5),1)),1,MATCH(P296,OFFSET('age-length key'!O$8,Data!Q296,17,1,5),1)+1)</f>
        <v>2</v>
      </c>
      <c r="S296">
        <f ca="1">IF(D296="Recapture",IF(OFFSET(B$1,MATCH(K296,K$2:K295,0),0)=B296,0,1),1)</f>
        <v>1</v>
      </c>
    </row>
    <row r="297" spans="1:19" x14ac:dyDescent="0.2">
      <c r="A297" s="1">
        <v>44337</v>
      </c>
      <c r="B297" s="28">
        <f t="shared" si="27"/>
        <v>20215</v>
      </c>
      <c r="C297">
        <f>A297-A$2</f>
        <v>361</v>
      </c>
      <c r="D297" s="5" t="s">
        <v>47</v>
      </c>
      <c r="E297" s="25" t="s">
        <v>49</v>
      </c>
      <c r="F297" s="4">
        <v>0.4861111111111111</v>
      </c>
      <c r="G297" s="4">
        <v>0.48749999999999999</v>
      </c>
      <c r="H297" s="3">
        <f t="shared" si="29"/>
        <v>1.388888888888884E-3</v>
      </c>
      <c r="I297" s="5">
        <v>86</v>
      </c>
      <c r="J297" s="5" t="s">
        <v>56</v>
      </c>
      <c r="K297" s="11" t="str">
        <f t="shared" si="28"/>
        <v>Green86</v>
      </c>
      <c r="L297" s="5">
        <v>300</v>
      </c>
      <c r="M297" t="s">
        <v>8</v>
      </c>
      <c r="N297" t="s">
        <v>27</v>
      </c>
      <c r="P297">
        <v>7.5646318064837861E-2</v>
      </c>
      <c r="Q297">
        <f t="shared" si="26"/>
        <v>21</v>
      </c>
      <c r="R297">
        <f ca="1">IF(ISNA(MATCH(P297,OFFSET('age-length key'!O$8,Data!Q297,17,1,5),1)),1,MATCH(P297,OFFSET('age-length key'!O$8,Data!Q297,17,1,5),1)+1)</f>
        <v>3</v>
      </c>
      <c r="S297">
        <f ca="1">IF(D297="Recapture",IF(OFFSET(B$1,MATCH(K297,K$2:K296,0),0)=B297,0,1),1)</f>
        <v>1</v>
      </c>
    </row>
    <row r="298" spans="1:19" x14ac:dyDescent="0.2">
      <c r="A298" s="1">
        <v>44337</v>
      </c>
      <c r="B298" s="28">
        <f t="shared" si="27"/>
        <v>20215</v>
      </c>
      <c r="C298">
        <f>A298-A$2</f>
        <v>361</v>
      </c>
      <c r="D298" s="5" t="s">
        <v>47</v>
      </c>
      <c r="E298" s="25" t="s">
        <v>49</v>
      </c>
      <c r="F298" s="4">
        <v>0.5180555555555556</v>
      </c>
      <c r="G298" s="4">
        <v>0.52013888888888882</v>
      </c>
      <c r="H298" s="3">
        <f t="shared" si="29"/>
        <v>2.0833333333332149E-3</v>
      </c>
      <c r="I298" s="5">
        <v>91</v>
      </c>
      <c r="J298" s="5" t="s">
        <v>56</v>
      </c>
      <c r="K298" s="11" t="str">
        <f t="shared" si="28"/>
        <v>Green91</v>
      </c>
      <c r="L298" s="5">
        <v>285</v>
      </c>
      <c r="M298" t="s">
        <v>20</v>
      </c>
      <c r="N298" t="s">
        <v>27</v>
      </c>
      <c r="P298">
        <v>0.38766771572999087</v>
      </c>
      <c r="Q298">
        <f t="shared" si="26"/>
        <v>20</v>
      </c>
      <c r="R298">
        <f ca="1">IF(ISNA(MATCH(P298,OFFSET('age-length key'!O$8,Data!Q298,17,1,5),1)),1,MATCH(P298,OFFSET('age-length key'!O$8,Data!Q298,17,1,5),1)+1)</f>
        <v>3</v>
      </c>
      <c r="S298">
        <f ca="1">IF(D298="Recapture",IF(OFFSET(B$1,MATCH(K298,K$2:K297,0),0)=B298,0,1),1)</f>
        <v>1</v>
      </c>
    </row>
    <row r="299" spans="1:19" x14ac:dyDescent="0.2">
      <c r="A299" s="1">
        <v>44337</v>
      </c>
      <c r="B299" s="28">
        <f t="shared" si="27"/>
        <v>20215</v>
      </c>
      <c r="C299">
        <f>A299-A$2</f>
        <v>361</v>
      </c>
      <c r="D299" s="5" t="s">
        <v>47</v>
      </c>
      <c r="E299" s="25" t="s">
        <v>49</v>
      </c>
      <c r="F299" s="4">
        <v>0.48819444444444443</v>
      </c>
      <c r="G299" s="4">
        <v>0.49027777777777781</v>
      </c>
      <c r="H299" s="3">
        <f t="shared" si="29"/>
        <v>2.0833333333333814E-3</v>
      </c>
      <c r="I299" s="5">
        <v>87</v>
      </c>
      <c r="J299" s="5" t="s">
        <v>56</v>
      </c>
      <c r="K299" s="11" t="str">
        <f t="shared" si="28"/>
        <v>Green87</v>
      </c>
      <c r="L299" s="5">
        <v>290</v>
      </c>
      <c r="M299" t="s">
        <v>8</v>
      </c>
      <c r="N299" t="s">
        <v>27</v>
      </c>
      <c r="P299">
        <v>0.53129827395607632</v>
      </c>
      <c r="Q299">
        <f t="shared" si="26"/>
        <v>20</v>
      </c>
      <c r="R299">
        <f ca="1">IF(ISNA(MATCH(P299,OFFSET('age-length key'!O$8,Data!Q299,17,1,5),1)),1,MATCH(P299,OFFSET('age-length key'!O$8,Data!Q299,17,1,5),1)+1)</f>
        <v>3</v>
      </c>
      <c r="S299">
        <f ca="1">IF(D299="Recapture",IF(OFFSET(B$1,MATCH(K299,K$2:K298,0),0)=B299,0,1),1)</f>
        <v>1</v>
      </c>
    </row>
    <row r="300" spans="1:19" x14ac:dyDescent="0.2">
      <c r="A300" s="1">
        <v>44337</v>
      </c>
      <c r="B300" s="28">
        <f t="shared" si="27"/>
        <v>20215</v>
      </c>
      <c r="C300">
        <f>A300-A$2</f>
        <v>361</v>
      </c>
      <c r="D300" s="5" t="s">
        <v>47</v>
      </c>
      <c r="E300" s="25" t="s">
        <v>49</v>
      </c>
      <c r="F300" s="4">
        <v>0.4513888888888889</v>
      </c>
      <c r="G300" s="4">
        <v>0.45416666666666666</v>
      </c>
      <c r="H300" s="3">
        <f t="shared" si="29"/>
        <v>2.7777777777777679E-3</v>
      </c>
      <c r="I300" s="5">
        <v>81</v>
      </c>
      <c r="J300" s="5" t="s">
        <v>56</v>
      </c>
      <c r="K300" s="11" t="str">
        <f t="shared" si="28"/>
        <v>Green81</v>
      </c>
      <c r="L300" s="5">
        <v>295</v>
      </c>
      <c r="M300" t="s">
        <v>16</v>
      </c>
      <c r="N300" t="s">
        <v>27</v>
      </c>
      <c r="P300">
        <v>0.53009037977554385</v>
      </c>
      <c r="Q300">
        <f t="shared" si="26"/>
        <v>21</v>
      </c>
      <c r="R300">
        <f ca="1">IF(ISNA(MATCH(P300,OFFSET('age-length key'!O$8,Data!Q300,17,1,5),1)),1,MATCH(P300,OFFSET('age-length key'!O$8,Data!Q300,17,1,5),1)+1)</f>
        <v>3</v>
      </c>
      <c r="S300">
        <f ca="1">IF(D300="Recapture",IF(OFFSET(B$1,MATCH(K300,K$2:K299,0),0)=B300,0,1),1)</f>
        <v>1</v>
      </c>
    </row>
    <row r="301" spans="1:19" x14ac:dyDescent="0.2">
      <c r="A301" s="1">
        <v>44337</v>
      </c>
      <c r="B301" s="28">
        <f t="shared" si="27"/>
        <v>20215</v>
      </c>
      <c r="C301">
        <f>A301-A$2</f>
        <v>361</v>
      </c>
      <c r="D301" s="5" t="s">
        <v>47</v>
      </c>
      <c r="E301" s="25" t="s">
        <v>49</v>
      </c>
      <c r="F301" s="4">
        <v>0.34027777777777773</v>
      </c>
      <c r="G301" s="4">
        <v>0.3430555555555555</v>
      </c>
      <c r="H301" s="3">
        <f t="shared" si="29"/>
        <v>2.7777777777777679E-3</v>
      </c>
      <c r="I301" s="5">
        <v>118</v>
      </c>
      <c r="J301" s="5" t="s">
        <v>56</v>
      </c>
      <c r="K301" s="11" t="str">
        <f t="shared" si="28"/>
        <v>Green118</v>
      </c>
      <c r="L301" s="5">
        <v>320</v>
      </c>
      <c r="M301" t="s">
        <v>13</v>
      </c>
      <c r="N301" t="s">
        <v>27</v>
      </c>
      <c r="P301">
        <v>0.22901288756589075</v>
      </c>
      <c r="Q301">
        <f t="shared" si="26"/>
        <v>23</v>
      </c>
      <c r="R301">
        <f ca="1">IF(ISNA(MATCH(P301,OFFSET('age-length key'!O$8,Data!Q301,17,1,5),1)),1,MATCH(P301,OFFSET('age-length key'!O$8,Data!Q301,17,1,5),1)+1)</f>
        <v>3</v>
      </c>
      <c r="S301">
        <f ca="1">IF(D301="Recapture",IF(OFFSET(B$1,MATCH(K301,K$2:K300,0),0)=B301,0,1),1)</f>
        <v>1</v>
      </c>
    </row>
    <row r="302" spans="1:19" x14ac:dyDescent="0.2">
      <c r="A302" s="1">
        <v>44337</v>
      </c>
      <c r="B302" s="28">
        <f t="shared" si="27"/>
        <v>20215</v>
      </c>
      <c r="C302">
        <f>A302-A$2</f>
        <v>361</v>
      </c>
      <c r="D302" s="5" t="s">
        <v>47</v>
      </c>
      <c r="E302" s="25" t="s">
        <v>49</v>
      </c>
      <c r="F302" s="4">
        <v>0.44791666666666669</v>
      </c>
      <c r="G302" s="4">
        <v>0.4513888888888889</v>
      </c>
      <c r="H302" s="3">
        <f t="shared" si="29"/>
        <v>3.4722222222222099E-3</v>
      </c>
      <c r="I302" s="5">
        <v>80</v>
      </c>
      <c r="J302" s="5" t="s">
        <v>56</v>
      </c>
      <c r="K302" s="11" t="str">
        <f t="shared" si="28"/>
        <v>Green80</v>
      </c>
      <c r="L302" s="5">
        <v>210</v>
      </c>
      <c r="M302" t="s">
        <v>16</v>
      </c>
      <c r="N302" t="s">
        <v>27</v>
      </c>
      <c r="P302">
        <v>1.9601319925673922E-2</v>
      </c>
      <c r="Q302">
        <f t="shared" si="26"/>
        <v>12</v>
      </c>
      <c r="R302">
        <f ca="1">IF(ISNA(MATCH(P302,OFFSET('age-length key'!O$8,Data!Q302,17,1,5),1)),1,MATCH(P302,OFFSET('age-length key'!O$8,Data!Q302,17,1,5),1)+1)</f>
        <v>2</v>
      </c>
      <c r="S302">
        <f ca="1">IF(D302="Recapture",IF(OFFSET(B$1,MATCH(K302,K$2:K301,0),0)=B302,0,1),1)</f>
        <v>1</v>
      </c>
    </row>
    <row r="303" spans="1:19" x14ac:dyDescent="0.2">
      <c r="A303" s="1">
        <v>44337</v>
      </c>
      <c r="B303" s="28">
        <f t="shared" si="27"/>
        <v>20215</v>
      </c>
      <c r="C303">
        <f>A303-A$2</f>
        <v>361</v>
      </c>
      <c r="D303" s="5" t="s">
        <v>47</v>
      </c>
      <c r="E303" s="25" t="s">
        <v>49</v>
      </c>
      <c r="F303" s="4">
        <v>0.47291666666666665</v>
      </c>
      <c r="G303" s="4">
        <v>0.47638888888888892</v>
      </c>
      <c r="H303" s="3">
        <f t="shared" si="29"/>
        <v>3.4722222222222654E-3</v>
      </c>
      <c r="I303" s="5">
        <v>84</v>
      </c>
      <c r="J303" s="5" t="s">
        <v>56</v>
      </c>
      <c r="K303" s="11" t="str">
        <f t="shared" si="28"/>
        <v>Green84</v>
      </c>
      <c r="L303" s="5">
        <v>300</v>
      </c>
      <c r="M303" t="s">
        <v>17</v>
      </c>
      <c r="N303" t="s">
        <v>27</v>
      </c>
      <c r="P303">
        <v>0.43938399080158397</v>
      </c>
      <c r="Q303">
        <f t="shared" si="26"/>
        <v>21</v>
      </c>
      <c r="R303">
        <f ca="1">IF(ISNA(MATCH(P303,OFFSET('age-length key'!O$8,Data!Q303,17,1,5),1)),1,MATCH(P303,OFFSET('age-length key'!O$8,Data!Q303,17,1,5),1)+1)</f>
        <v>3</v>
      </c>
      <c r="S303">
        <f ca="1">IF(D303="Recapture",IF(OFFSET(B$1,MATCH(K303,K$2:K302,0),0)=B303,0,1),1)</f>
        <v>1</v>
      </c>
    </row>
    <row r="304" spans="1:19" x14ac:dyDescent="0.2">
      <c r="A304" s="1">
        <v>44337</v>
      </c>
      <c r="B304" s="28">
        <f t="shared" si="27"/>
        <v>20215</v>
      </c>
      <c r="C304">
        <f>A304-A$2</f>
        <v>361</v>
      </c>
      <c r="D304" s="5" t="s">
        <v>47</v>
      </c>
      <c r="E304" s="25" t="s">
        <v>49</v>
      </c>
      <c r="F304" s="4">
        <v>0.3666666666666667</v>
      </c>
      <c r="G304" s="4">
        <v>0.37083333333333335</v>
      </c>
      <c r="H304" s="3">
        <f t="shared" si="29"/>
        <v>4.1666666666666519E-3</v>
      </c>
      <c r="I304" s="5">
        <v>116</v>
      </c>
      <c r="J304" s="5" t="s">
        <v>56</v>
      </c>
      <c r="K304" s="11" t="str">
        <f t="shared" si="28"/>
        <v>Green116</v>
      </c>
      <c r="L304" s="5">
        <v>290</v>
      </c>
      <c r="M304" t="s">
        <v>14</v>
      </c>
      <c r="N304" t="s">
        <v>27</v>
      </c>
      <c r="P304">
        <v>0.72673340222180516</v>
      </c>
      <c r="Q304">
        <f t="shared" si="26"/>
        <v>20</v>
      </c>
      <c r="R304">
        <f ca="1">IF(ISNA(MATCH(P304,OFFSET('age-length key'!O$8,Data!Q304,17,1,5),1)),1,MATCH(P304,OFFSET('age-length key'!O$8,Data!Q304,17,1,5),1)+1)</f>
        <v>3</v>
      </c>
      <c r="S304">
        <f ca="1">IF(D304="Recapture",IF(OFFSET(B$1,MATCH(K304,K$2:K303,0),0)=B304,0,1),1)</f>
        <v>1</v>
      </c>
    </row>
    <row r="305" spans="1:19" x14ac:dyDescent="0.2">
      <c r="A305" s="1">
        <v>44337</v>
      </c>
      <c r="B305" s="28">
        <f t="shared" si="27"/>
        <v>20215</v>
      </c>
      <c r="C305">
        <f>A305-A$2</f>
        <v>361</v>
      </c>
      <c r="D305" s="5" t="s">
        <v>58</v>
      </c>
      <c r="E305" s="25" t="s">
        <v>49</v>
      </c>
      <c r="F305" s="4">
        <v>0.4770833333333333</v>
      </c>
      <c r="G305" s="4">
        <v>0.48194444444444445</v>
      </c>
      <c r="H305" s="3">
        <f t="shared" si="29"/>
        <v>4.8611111111111494E-3</v>
      </c>
      <c r="I305" s="5">
        <v>85</v>
      </c>
      <c r="J305" s="5" t="s">
        <v>56</v>
      </c>
      <c r="K305" s="11" t="str">
        <f t="shared" si="28"/>
        <v>Green85</v>
      </c>
      <c r="L305" s="5">
        <v>295</v>
      </c>
      <c r="M305" t="s">
        <v>8</v>
      </c>
      <c r="N305" t="s">
        <v>27</v>
      </c>
      <c r="P305">
        <v>0.20829114187894907</v>
      </c>
      <c r="Q305">
        <f t="shared" si="26"/>
        <v>21</v>
      </c>
      <c r="R305">
        <f ca="1">IF(ISNA(MATCH(P305,OFFSET('age-length key'!O$8,Data!Q305,17,1,5),1)),1,MATCH(P305,OFFSET('age-length key'!O$8,Data!Q305,17,1,5),1)+1)</f>
        <v>3</v>
      </c>
      <c r="S305">
        <f ca="1">IF(D305="Recapture",IF(OFFSET(B$1,MATCH(K305,K$2:K304,0),0)=B305,0,1),1)</f>
        <v>0</v>
      </c>
    </row>
    <row r="306" spans="1:19" x14ac:dyDescent="0.2">
      <c r="A306" s="1">
        <v>44337</v>
      </c>
      <c r="B306" s="28">
        <f t="shared" si="27"/>
        <v>20215</v>
      </c>
      <c r="C306">
        <f>A306-A$2</f>
        <v>361</v>
      </c>
      <c r="D306" s="5" t="s">
        <v>47</v>
      </c>
      <c r="E306" s="25" t="s">
        <v>49</v>
      </c>
      <c r="F306" s="4">
        <v>0.51180555555555551</v>
      </c>
      <c r="G306" s="4">
        <v>0.51736111111111105</v>
      </c>
      <c r="H306" s="3">
        <f t="shared" si="29"/>
        <v>5.5555555555555358E-3</v>
      </c>
      <c r="I306" s="5">
        <v>90</v>
      </c>
      <c r="J306" s="5" t="s">
        <v>56</v>
      </c>
      <c r="K306" s="11" t="str">
        <f t="shared" si="28"/>
        <v>Green90</v>
      </c>
      <c r="L306" s="5">
        <v>305</v>
      </c>
      <c r="M306" t="s">
        <v>20</v>
      </c>
      <c r="N306" t="s">
        <v>27</v>
      </c>
      <c r="P306">
        <v>0.74922155949716529</v>
      </c>
      <c r="Q306">
        <f t="shared" si="26"/>
        <v>22</v>
      </c>
      <c r="R306">
        <f ca="1">IF(ISNA(MATCH(P306,OFFSET('age-length key'!O$8,Data!Q306,17,1,5),1)),1,MATCH(P306,OFFSET('age-length key'!O$8,Data!Q306,17,1,5),1)+1)</f>
        <v>3</v>
      </c>
      <c r="S306">
        <f ca="1">IF(D306="Recapture",IF(OFFSET(B$1,MATCH(K306,K$2:K305,0),0)=B306,0,1),1)</f>
        <v>1</v>
      </c>
    </row>
    <row r="307" spans="1:19" x14ac:dyDescent="0.2">
      <c r="A307" s="1">
        <v>44337</v>
      </c>
      <c r="B307" s="28">
        <f t="shared" si="27"/>
        <v>20215</v>
      </c>
      <c r="C307">
        <f>A307-A$2</f>
        <v>361</v>
      </c>
      <c r="D307" s="5" t="s">
        <v>47</v>
      </c>
      <c r="E307" s="25" t="s">
        <v>49</v>
      </c>
      <c r="F307" s="4">
        <v>0.35902777777777778</v>
      </c>
      <c r="G307" s="4">
        <v>0.3659722222222222</v>
      </c>
      <c r="H307" s="3">
        <f t="shared" si="29"/>
        <v>6.9444444444444198E-3</v>
      </c>
      <c r="I307" s="5">
        <v>77</v>
      </c>
      <c r="J307" s="5" t="s">
        <v>56</v>
      </c>
      <c r="K307" s="11" t="str">
        <f t="shared" si="28"/>
        <v>Green77</v>
      </c>
      <c r="L307" s="5">
        <v>230</v>
      </c>
      <c r="M307" t="s">
        <v>13</v>
      </c>
      <c r="N307" t="s">
        <v>27</v>
      </c>
      <c r="P307">
        <v>0.16675046885700454</v>
      </c>
      <c r="Q307">
        <f t="shared" si="26"/>
        <v>14</v>
      </c>
      <c r="R307">
        <f ca="1">IF(ISNA(MATCH(P307,OFFSET('age-length key'!O$8,Data!Q307,17,1,5),1)),1,MATCH(P307,OFFSET('age-length key'!O$8,Data!Q307,17,1,5),1)+1)</f>
        <v>2</v>
      </c>
      <c r="S307">
        <f ca="1">IF(D307="Recapture",IF(OFFSET(B$1,MATCH(K307,K$2:K306,0),0)=B307,0,1),1)</f>
        <v>1</v>
      </c>
    </row>
    <row r="308" spans="1:19" x14ac:dyDescent="0.2">
      <c r="A308" s="1">
        <v>44337</v>
      </c>
      <c r="B308" s="28">
        <f t="shared" si="27"/>
        <v>20215</v>
      </c>
      <c r="C308">
        <f>A308-A$2</f>
        <v>361</v>
      </c>
      <c r="D308" s="5" t="s">
        <v>47</v>
      </c>
      <c r="E308" s="25" t="s">
        <v>49</v>
      </c>
      <c r="F308" s="4">
        <v>0.50208333333333333</v>
      </c>
      <c r="G308" s="4">
        <v>0.51111111111111118</v>
      </c>
      <c r="H308" s="3">
        <f t="shared" si="29"/>
        <v>9.0277777777778567E-3</v>
      </c>
      <c r="I308" s="5">
        <v>89</v>
      </c>
      <c r="J308" s="5" t="s">
        <v>56</v>
      </c>
      <c r="K308" s="11" t="str">
        <f t="shared" si="28"/>
        <v>Green89</v>
      </c>
      <c r="L308" s="5">
        <v>295</v>
      </c>
      <c r="M308" t="s">
        <v>19</v>
      </c>
      <c r="N308" t="s">
        <v>27</v>
      </c>
      <c r="P308">
        <v>0.57513007967506069</v>
      </c>
      <c r="Q308">
        <f t="shared" si="26"/>
        <v>21</v>
      </c>
      <c r="R308">
        <f ca="1">IF(ISNA(MATCH(P308,OFFSET('age-length key'!O$8,Data!Q308,17,1,5),1)),1,MATCH(P308,OFFSET('age-length key'!O$8,Data!Q308,17,1,5),1)+1)</f>
        <v>3</v>
      </c>
      <c r="S308">
        <f ca="1">IF(D308="Recapture",IF(OFFSET(B$1,MATCH(K308,K$2:K307,0),0)=B308,0,1),1)</f>
        <v>1</v>
      </c>
    </row>
    <row r="309" spans="1:19" x14ac:dyDescent="0.2">
      <c r="A309" s="1">
        <v>44337</v>
      </c>
      <c r="B309" s="28">
        <f t="shared" si="27"/>
        <v>20215</v>
      </c>
      <c r="C309">
        <f>A309-A$2</f>
        <v>361</v>
      </c>
      <c r="D309" s="5" t="s">
        <v>47</v>
      </c>
      <c r="E309" s="25" t="s">
        <v>49</v>
      </c>
      <c r="F309" s="4">
        <v>0.49027777777777781</v>
      </c>
      <c r="G309" s="4">
        <v>0.50138888888888888</v>
      </c>
      <c r="H309" s="3">
        <f t="shared" si="29"/>
        <v>1.1111111111111072E-2</v>
      </c>
      <c r="I309" s="5">
        <v>88</v>
      </c>
      <c r="J309" s="5" t="s">
        <v>56</v>
      </c>
      <c r="K309" s="11" t="str">
        <f t="shared" si="28"/>
        <v>Green88</v>
      </c>
      <c r="L309" s="5">
        <v>220</v>
      </c>
      <c r="M309" t="s">
        <v>18</v>
      </c>
      <c r="N309" t="s">
        <v>27</v>
      </c>
      <c r="P309">
        <v>0.21124909874575637</v>
      </c>
      <c r="Q309">
        <f t="shared" si="26"/>
        <v>13</v>
      </c>
      <c r="R309">
        <f ca="1">IF(ISNA(MATCH(P309,OFFSET('age-length key'!O$8,Data!Q309,17,1,5),1)),1,MATCH(P309,OFFSET('age-length key'!O$8,Data!Q309,17,1,5),1)+1)</f>
        <v>2</v>
      </c>
      <c r="S309">
        <f ca="1">IF(D309="Recapture",IF(OFFSET(B$1,MATCH(K309,K$2:K308,0),0)=B309,0,1),1)</f>
        <v>1</v>
      </c>
    </row>
    <row r="310" spans="1:19" x14ac:dyDescent="0.2">
      <c r="A310" s="1">
        <v>44337</v>
      </c>
      <c r="B310" s="28">
        <f t="shared" si="27"/>
        <v>20215</v>
      </c>
      <c r="C310">
        <f>A310-A$2</f>
        <v>361</v>
      </c>
      <c r="D310" s="5" t="s">
        <v>47</v>
      </c>
      <c r="E310" s="25" t="s">
        <v>49</v>
      </c>
      <c r="F310" s="4">
        <v>0.4548611111111111</v>
      </c>
      <c r="G310" s="4">
        <v>0.47222222222222227</v>
      </c>
      <c r="H310" s="3">
        <f t="shared" si="29"/>
        <v>1.736111111111116E-2</v>
      </c>
      <c r="I310" s="5">
        <v>83</v>
      </c>
      <c r="J310" s="5" t="s">
        <v>56</v>
      </c>
      <c r="K310" s="11" t="str">
        <f t="shared" si="28"/>
        <v>Green83</v>
      </c>
      <c r="L310" s="5">
        <v>290</v>
      </c>
      <c r="M310" t="s">
        <v>17</v>
      </c>
      <c r="N310" t="s">
        <v>27</v>
      </c>
      <c r="P310">
        <v>0.46360261992719148</v>
      </c>
      <c r="Q310">
        <f t="shared" si="26"/>
        <v>20</v>
      </c>
      <c r="R310">
        <f ca="1">IF(ISNA(MATCH(P310,OFFSET('age-length key'!O$8,Data!Q310,17,1,5),1)),1,MATCH(P310,OFFSET('age-length key'!O$8,Data!Q310,17,1,5),1)+1)</f>
        <v>3</v>
      </c>
      <c r="S310">
        <f ca="1">IF(D310="Recapture",IF(OFFSET(B$1,MATCH(K310,K$2:K309,0),0)=B310,0,1),1)</f>
        <v>1</v>
      </c>
    </row>
    <row r="311" spans="1:19" x14ac:dyDescent="0.2">
      <c r="A311" s="1">
        <v>44337</v>
      </c>
      <c r="B311" s="28">
        <f t="shared" si="27"/>
        <v>20215</v>
      </c>
      <c r="C311">
        <f>A311-A$2</f>
        <v>361</v>
      </c>
      <c r="D311" s="5" t="s">
        <v>47</v>
      </c>
      <c r="E311" s="25" t="s">
        <v>49</v>
      </c>
      <c r="F311" s="4">
        <v>0.4236111111111111</v>
      </c>
      <c r="G311" s="4">
        <v>0.44791666666666669</v>
      </c>
      <c r="H311" s="3">
        <f t="shared" si="29"/>
        <v>2.430555555555558E-2</v>
      </c>
      <c r="I311" s="5">
        <v>79</v>
      </c>
      <c r="J311" s="5" t="s">
        <v>56</v>
      </c>
      <c r="K311" s="11" t="str">
        <f t="shared" si="28"/>
        <v>Green79</v>
      </c>
      <c r="L311" s="5">
        <v>230</v>
      </c>
      <c r="M311" t="s">
        <v>16</v>
      </c>
      <c r="N311" t="s">
        <v>27</v>
      </c>
      <c r="P311">
        <v>0.7692331163069388</v>
      </c>
      <c r="Q311">
        <f t="shared" si="26"/>
        <v>14</v>
      </c>
      <c r="R311">
        <f ca="1">IF(ISNA(MATCH(P311,OFFSET('age-length key'!O$8,Data!Q311,17,1,5),1)),1,MATCH(P311,OFFSET('age-length key'!O$8,Data!Q311,17,1,5),1)+1)</f>
        <v>2</v>
      </c>
      <c r="S311">
        <f ca="1">IF(D311="Recapture",IF(OFFSET(B$1,MATCH(K311,K$2:K310,0),0)=B311,0,1),1)</f>
        <v>1</v>
      </c>
    </row>
    <row r="312" spans="1:19" x14ac:dyDescent="0.2">
      <c r="A312" s="1">
        <v>44339</v>
      </c>
      <c r="B312" s="28">
        <f t="shared" si="27"/>
        <v>20215</v>
      </c>
      <c r="C312">
        <f>A312-A$2</f>
        <v>363</v>
      </c>
      <c r="D312" s="5" t="s">
        <v>58</v>
      </c>
      <c r="E312" s="22" t="s">
        <v>61</v>
      </c>
      <c r="F312" s="4">
        <v>0.4513888888888889</v>
      </c>
      <c r="G312" s="4">
        <v>0.4597222222222222</v>
      </c>
      <c r="H312" s="3">
        <f t="shared" si="29"/>
        <v>8.3333333333333037E-3</v>
      </c>
      <c r="I312">
        <v>58</v>
      </c>
      <c r="J312" s="8" t="s">
        <v>56</v>
      </c>
      <c r="K312" s="11" t="str">
        <f t="shared" si="28"/>
        <v>Green58</v>
      </c>
      <c r="L312" s="26">
        <f ca="1">OFFSET(K$1,MATCH(K312,K$2:K311,0),1)</f>
        <v>200</v>
      </c>
      <c r="N312" t="s">
        <v>26</v>
      </c>
      <c r="P312">
        <v>0.50098577071958494</v>
      </c>
      <c r="Q312">
        <f t="shared" ca="1" si="26"/>
        <v>11</v>
      </c>
      <c r="R312" s="26">
        <f ca="1">OFFSET(Q$1,MATCH(K312,K$2:K311,0),1)</f>
        <v>2</v>
      </c>
      <c r="S312">
        <f ca="1">IF(D312="Recapture",IF(OFFSET(B$1,MATCH(K312,K$2:K311,0),0)=B312,0,1),1)</f>
        <v>0</v>
      </c>
    </row>
    <row r="313" spans="1:19" x14ac:dyDescent="0.2">
      <c r="A313" s="1">
        <v>44342</v>
      </c>
      <c r="B313" s="28">
        <f t="shared" si="27"/>
        <v>20215</v>
      </c>
      <c r="C313">
        <f>A313-A$2</f>
        <v>366</v>
      </c>
      <c r="D313" s="5" t="s">
        <v>58</v>
      </c>
      <c r="E313" s="22" t="s">
        <v>49</v>
      </c>
      <c r="F313" s="4">
        <v>0.40625</v>
      </c>
      <c r="G313" s="4">
        <v>0.4069444444444445</v>
      </c>
      <c r="H313" s="3">
        <f t="shared" si="29"/>
        <v>6.9444444444449749E-4</v>
      </c>
      <c r="I313">
        <v>84</v>
      </c>
      <c r="J313" s="8" t="s">
        <v>56</v>
      </c>
      <c r="K313" s="11" t="str">
        <f t="shared" si="28"/>
        <v>Green84</v>
      </c>
      <c r="L313">
        <v>300</v>
      </c>
      <c r="M313" t="s">
        <v>23</v>
      </c>
      <c r="N313" t="s">
        <v>27</v>
      </c>
      <c r="P313">
        <v>6.7848484063450468E-2</v>
      </c>
      <c r="Q313">
        <f t="shared" si="26"/>
        <v>21</v>
      </c>
      <c r="R313">
        <f ca="1">IF(ISNA(MATCH(P313,OFFSET('age-length key'!O$8,Data!Q313,17,1,5),1)),1,MATCH(P313,OFFSET('age-length key'!O$8,Data!Q313,17,1,5),1)+1)</f>
        <v>3</v>
      </c>
      <c r="S313">
        <f ca="1">IF(D313="Recapture",IF(OFFSET(B$1,MATCH(K313,K$2:K312,0),0)=B313,0,1),1)</f>
        <v>0</v>
      </c>
    </row>
    <row r="314" spans="1:19" x14ac:dyDescent="0.2">
      <c r="A314" s="1">
        <v>44342</v>
      </c>
      <c r="B314" s="28">
        <f t="shared" si="27"/>
        <v>20215</v>
      </c>
      <c r="C314">
        <f>A314-A$2</f>
        <v>366</v>
      </c>
      <c r="D314" s="5" t="s">
        <v>58</v>
      </c>
      <c r="E314" s="22" t="s">
        <v>49</v>
      </c>
      <c r="F314" s="4">
        <v>0.3923611111111111</v>
      </c>
      <c r="G314" s="4">
        <v>0.39444444444444443</v>
      </c>
      <c r="H314" s="3">
        <f t="shared" si="29"/>
        <v>2.0833333333333259E-3</v>
      </c>
      <c r="I314">
        <v>34</v>
      </c>
      <c r="J314" s="8" t="s">
        <v>57</v>
      </c>
      <c r="K314" s="11" t="str">
        <f t="shared" si="28"/>
        <v>Pink34</v>
      </c>
      <c r="L314">
        <v>330</v>
      </c>
      <c r="M314" t="s">
        <v>14</v>
      </c>
      <c r="N314" t="s">
        <v>27</v>
      </c>
      <c r="P314">
        <v>0.32947165441209064</v>
      </c>
      <c r="Q314">
        <f t="shared" si="26"/>
        <v>24</v>
      </c>
      <c r="R314">
        <f ca="1">IF(ISNA(MATCH(P314,OFFSET('age-length key'!O$8,Data!Q314,17,1,5),1)),1,MATCH(P314,OFFSET('age-length key'!O$8,Data!Q314,17,1,5),1)+1)</f>
        <v>3</v>
      </c>
      <c r="S314">
        <f ca="1">IF(D314="Recapture",IF(OFFSET(B$1,MATCH(K314,K$2:K313,0),0)=B314,0,1),1)</f>
        <v>0</v>
      </c>
    </row>
    <row r="315" spans="1:19" x14ac:dyDescent="0.2">
      <c r="A315" s="1">
        <v>44342</v>
      </c>
      <c r="B315" s="28">
        <f t="shared" si="27"/>
        <v>20215</v>
      </c>
      <c r="C315">
        <f>A315-A$2</f>
        <v>366</v>
      </c>
      <c r="D315" s="5" t="s">
        <v>58</v>
      </c>
      <c r="E315" s="22" t="s">
        <v>49</v>
      </c>
      <c r="F315" s="4">
        <v>0.32013888888888892</v>
      </c>
      <c r="G315" s="4">
        <v>0.32500000000000001</v>
      </c>
      <c r="H315" s="3">
        <f t="shared" si="29"/>
        <v>4.8611111111110938E-3</v>
      </c>
      <c r="I315">
        <v>82</v>
      </c>
      <c r="J315" s="8" t="s">
        <v>56</v>
      </c>
      <c r="K315" s="11" t="str">
        <f t="shared" si="28"/>
        <v>Green82</v>
      </c>
      <c r="L315">
        <v>250</v>
      </c>
      <c r="M315" t="s">
        <v>16</v>
      </c>
      <c r="N315" t="s">
        <v>27</v>
      </c>
      <c r="P315">
        <v>0.43009570400700703</v>
      </c>
      <c r="Q315">
        <f t="shared" si="26"/>
        <v>16</v>
      </c>
      <c r="R315">
        <f ca="1">IF(ISNA(MATCH(P315,OFFSET('age-length key'!O$8,Data!Q315,17,1,5),1)),1,MATCH(P315,OFFSET('age-length key'!O$8,Data!Q315,17,1,5),1)+1)</f>
        <v>2</v>
      </c>
      <c r="S315">
        <f ca="1">IF(D315="Recapture",IF(OFFSET(B$1,MATCH(K315,K$2:K314,0),0)=B315,0,1),1)</f>
        <v>0</v>
      </c>
    </row>
    <row r="316" spans="1:19" x14ac:dyDescent="0.2">
      <c r="A316" s="1">
        <v>44342</v>
      </c>
      <c r="B316" s="28">
        <f t="shared" si="27"/>
        <v>20215</v>
      </c>
      <c r="C316">
        <f>A316-A$2</f>
        <v>366</v>
      </c>
      <c r="D316" s="5" t="s">
        <v>58</v>
      </c>
      <c r="E316" s="22" t="s">
        <v>49</v>
      </c>
      <c r="F316" s="4">
        <v>0.3666666666666667</v>
      </c>
      <c r="G316" s="4">
        <v>0.39166666666666666</v>
      </c>
      <c r="H316" s="3">
        <f t="shared" si="29"/>
        <v>2.4999999999999967E-2</v>
      </c>
      <c r="I316">
        <v>11</v>
      </c>
      <c r="J316" s="8" t="s">
        <v>57</v>
      </c>
      <c r="K316" s="11" t="str">
        <f t="shared" si="28"/>
        <v>Pink11</v>
      </c>
      <c r="L316">
        <v>320</v>
      </c>
      <c r="M316" t="s">
        <v>9</v>
      </c>
      <c r="N316" t="s">
        <v>27</v>
      </c>
      <c r="P316">
        <v>0.6184972457673853</v>
      </c>
      <c r="Q316">
        <f t="shared" si="26"/>
        <v>23</v>
      </c>
      <c r="R316">
        <f ca="1">IF(ISNA(MATCH(P316,OFFSET('age-length key'!O$8,Data!Q316,17,1,5),1)),1,MATCH(P316,OFFSET('age-length key'!O$8,Data!Q316,17,1,5),1)+1)</f>
        <v>3</v>
      </c>
      <c r="S316">
        <f ca="1">IF(D316="Recapture",IF(OFFSET(B$1,MATCH(K316,K$2:K315,0),0)=B316,0,1),1)</f>
        <v>1</v>
      </c>
    </row>
    <row r="317" spans="1:19" x14ac:dyDescent="0.2">
      <c r="A317" s="1">
        <v>44342</v>
      </c>
      <c r="B317" s="28">
        <f t="shared" si="27"/>
        <v>20215</v>
      </c>
      <c r="C317">
        <f>A317-A$2</f>
        <v>366</v>
      </c>
      <c r="D317" s="5" t="s">
        <v>58</v>
      </c>
      <c r="E317" s="22" t="s">
        <v>49</v>
      </c>
      <c r="F317" s="4">
        <v>0.52430555555555558</v>
      </c>
      <c r="G317" s="4">
        <v>0.57291666666666663</v>
      </c>
      <c r="H317" s="3">
        <f t="shared" si="29"/>
        <v>4.8611111111111049E-2</v>
      </c>
      <c r="I317">
        <v>83</v>
      </c>
      <c r="J317" s="8" t="s">
        <v>56</v>
      </c>
      <c r="K317" s="11" t="str">
        <f t="shared" si="28"/>
        <v>Green83</v>
      </c>
      <c r="L317">
        <v>290</v>
      </c>
      <c r="M317" t="s">
        <v>23</v>
      </c>
      <c r="N317" t="s">
        <v>27</v>
      </c>
      <c r="P317">
        <v>8.3209612445537748E-2</v>
      </c>
      <c r="Q317">
        <f t="shared" si="26"/>
        <v>20</v>
      </c>
      <c r="R317">
        <f ca="1">IF(ISNA(MATCH(P317,OFFSET('age-length key'!O$8,Data!Q317,17,1,5),1)),1,MATCH(P317,OFFSET('age-length key'!O$8,Data!Q317,17,1,5),1)+1)</f>
        <v>3</v>
      </c>
      <c r="S317">
        <f ca="1">IF(D317="Recapture",IF(OFFSET(B$1,MATCH(K317,K$2:K316,0),0)=B317,0,1),1)</f>
        <v>0</v>
      </c>
    </row>
    <row r="318" spans="1:19" x14ac:dyDescent="0.2">
      <c r="A318" s="1">
        <v>44342</v>
      </c>
      <c r="B318" s="28">
        <f t="shared" si="27"/>
        <v>20215</v>
      </c>
      <c r="C318">
        <f>A318-A$2</f>
        <v>366</v>
      </c>
      <c r="D318" s="5" t="s">
        <v>58</v>
      </c>
      <c r="E318" s="22" t="s">
        <v>49</v>
      </c>
      <c r="F318" s="4">
        <v>0.37847222222222227</v>
      </c>
      <c r="G318" s="4">
        <v>0.46180555555555558</v>
      </c>
      <c r="H318" s="3">
        <f t="shared" si="29"/>
        <v>8.3333333333333315E-2</v>
      </c>
      <c r="I318">
        <v>116</v>
      </c>
      <c r="J318" s="8" t="s">
        <v>56</v>
      </c>
      <c r="K318" s="11" t="str">
        <f t="shared" si="28"/>
        <v>Green116</v>
      </c>
      <c r="L318">
        <v>290</v>
      </c>
      <c r="M318" t="s">
        <v>14</v>
      </c>
      <c r="N318" t="s">
        <v>27</v>
      </c>
      <c r="P318">
        <v>0.5039563721529936</v>
      </c>
      <c r="Q318">
        <f t="shared" si="26"/>
        <v>20</v>
      </c>
      <c r="R318">
        <f ca="1">IF(ISNA(MATCH(P318,OFFSET('age-length key'!O$8,Data!Q318,17,1,5),1)),1,MATCH(P318,OFFSET('age-length key'!O$8,Data!Q318,17,1,5),1)+1)</f>
        <v>3</v>
      </c>
      <c r="S318">
        <f ca="1">IF(D318="Recapture",IF(OFFSET(B$1,MATCH(K318,K$2:K317,0),0)=B318,0,1),1)</f>
        <v>0</v>
      </c>
    </row>
    <row r="319" spans="1:19" x14ac:dyDescent="0.2">
      <c r="A319" s="9">
        <v>44342</v>
      </c>
      <c r="B319" s="28">
        <f t="shared" si="27"/>
        <v>20215</v>
      </c>
      <c r="C319">
        <f>A319-A$2</f>
        <v>366</v>
      </c>
      <c r="D319" s="5" t="s">
        <v>47</v>
      </c>
      <c r="E319" s="22" t="s">
        <v>49</v>
      </c>
      <c r="H319" s="3"/>
      <c r="I319">
        <v>36</v>
      </c>
      <c r="J319" s="5" t="s">
        <v>57</v>
      </c>
      <c r="K319" s="11" t="str">
        <f t="shared" si="28"/>
        <v>Pink36</v>
      </c>
      <c r="L319">
        <v>281</v>
      </c>
      <c r="M319" t="s">
        <v>6</v>
      </c>
      <c r="N319" t="s">
        <v>27</v>
      </c>
      <c r="P319">
        <v>0.99474677536391964</v>
      </c>
      <c r="Q319">
        <f t="shared" si="26"/>
        <v>19</v>
      </c>
      <c r="R319">
        <f ca="1">IF(ISNA(MATCH(P319,OFFSET('age-length key'!O$8,Data!Q319,17,1,5),1)),1,MATCH(P319,OFFSET('age-length key'!O$8,Data!Q319,17,1,5),1)+1)</f>
        <v>3</v>
      </c>
      <c r="S319">
        <f ca="1">IF(D319="Recapture",IF(OFFSET(B$1,MATCH(K319,K$2:K318,0),0)=B319,0,1),1)</f>
        <v>1</v>
      </c>
    </row>
    <row r="320" spans="1:19" x14ac:dyDescent="0.2">
      <c r="A320" s="9">
        <v>44342</v>
      </c>
      <c r="B320" s="28">
        <f t="shared" si="27"/>
        <v>20215</v>
      </c>
      <c r="C320">
        <f>A320-A$2</f>
        <v>366</v>
      </c>
      <c r="D320" s="5" t="s">
        <v>47</v>
      </c>
      <c r="E320" s="22" t="s">
        <v>49</v>
      </c>
      <c r="H320" s="3"/>
      <c r="I320">
        <v>37</v>
      </c>
      <c r="J320" s="5" t="s">
        <v>57</v>
      </c>
      <c r="K320" s="11" t="str">
        <f t="shared" si="28"/>
        <v>Pink37</v>
      </c>
      <c r="L320">
        <v>287</v>
      </c>
      <c r="M320" t="s">
        <v>6</v>
      </c>
      <c r="N320" t="s">
        <v>27</v>
      </c>
      <c r="P320">
        <v>0.70905354139816645</v>
      </c>
      <c r="Q320">
        <f t="shared" si="26"/>
        <v>20</v>
      </c>
      <c r="R320">
        <f ca="1">IF(ISNA(MATCH(P320,OFFSET('age-length key'!O$8,Data!Q320,17,1,5),1)),1,MATCH(P320,OFFSET('age-length key'!O$8,Data!Q320,17,1,5),1)+1)</f>
        <v>3</v>
      </c>
      <c r="S320">
        <f ca="1">IF(D320="Recapture",IF(OFFSET(B$1,MATCH(K320,K$2:K319,0),0)=B320,0,1),1)</f>
        <v>1</v>
      </c>
    </row>
    <row r="321" spans="1:19" x14ac:dyDescent="0.2">
      <c r="A321" s="9">
        <v>44342</v>
      </c>
      <c r="B321" s="28">
        <f t="shared" si="27"/>
        <v>20215</v>
      </c>
      <c r="C321">
        <f>A321-A$2</f>
        <v>366</v>
      </c>
      <c r="D321" s="5" t="s">
        <v>47</v>
      </c>
      <c r="E321" s="22" t="s">
        <v>49</v>
      </c>
      <c r="H321" s="3"/>
      <c r="I321">
        <v>38</v>
      </c>
      <c r="J321" s="5" t="s">
        <v>57</v>
      </c>
      <c r="K321" s="11" t="str">
        <f t="shared" si="28"/>
        <v>Pink38</v>
      </c>
      <c r="L321">
        <v>320</v>
      </c>
      <c r="M321" t="s">
        <v>21</v>
      </c>
      <c r="N321" t="s">
        <v>27</v>
      </c>
      <c r="P321">
        <v>6.2870278983782182E-2</v>
      </c>
      <c r="Q321">
        <f t="shared" si="26"/>
        <v>23</v>
      </c>
      <c r="R321">
        <f ca="1">IF(ISNA(MATCH(P321,OFFSET('age-length key'!O$8,Data!Q321,17,1,5),1)),1,MATCH(P321,OFFSET('age-length key'!O$8,Data!Q321,17,1,5),1)+1)</f>
        <v>3</v>
      </c>
      <c r="S321">
        <f ca="1">IF(D321="Recapture",IF(OFFSET(B$1,MATCH(K321,K$2:K320,0),0)=B321,0,1),1)</f>
        <v>1</v>
      </c>
    </row>
    <row r="322" spans="1:19" x14ac:dyDescent="0.2">
      <c r="A322" s="9">
        <v>44342</v>
      </c>
      <c r="B322" s="28">
        <f t="shared" si="27"/>
        <v>20215</v>
      </c>
      <c r="C322">
        <f>A322-A$2</f>
        <v>366</v>
      </c>
      <c r="D322" s="5" t="s">
        <v>47</v>
      </c>
      <c r="E322" s="22" t="s">
        <v>49</v>
      </c>
      <c r="H322" s="3"/>
      <c r="I322">
        <v>39</v>
      </c>
      <c r="J322" s="5" t="s">
        <v>57</v>
      </c>
      <c r="K322" s="11" t="str">
        <f t="shared" si="28"/>
        <v>Pink39</v>
      </c>
      <c r="L322">
        <v>275</v>
      </c>
      <c r="M322" t="s">
        <v>22</v>
      </c>
      <c r="N322" t="s">
        <v>27</v>
      </c>
      <c r="P322">
        <v>0.66077888042702293</v>
      </c>
      <c r="Q322">
        <f t="shared" ref="Q322:Q385" si="30">INT((L322-95)/10)+1</f>
        <v>19</v>
      </c>
      <c r="R322">
        <f ca="1">IF(ISNA(MATCH(P322,OFFSET('age-length key'!O$8,Data!Q322,17,1,5),1)),1,MATCH(P322,OFFSET('age-length key'!O$8,Data!Q322,17,1,5),1)+1)</f>
        <v>3</v>
      </c>
      <c r="S322">
        <f ca="1">IF(D322="Recapture",IF(OFFSET(B$1,MATCH(K322,K$2:K321,0),0)=B322,0,1),1)</f>
        <v>1</v>
      </c>
    </row>
    <row r="323" spans="1:19" x14ac:dyDescent="0.2">
      <c r="A323" s="9">
        <v>44342</v>
      </c>
      <c r="B323" s="28">
        <f t="shared" si="27"/>
        <v>20215</v>
      </c>
      <c r="C323">
        <f>A323-A$2</f>
        <v>366</v>
      </c>
      <c r="D323" s="5" t="s">
        <v>47</v>
      </c>
      <c r="E323" s="22" t="s">
        <v>49</v>
      </c>
      <c r="H323" s="3"/>
      <c r="I323">
        <v>40</v>
      </c>
      <c r="J323" s="5" t="s">
        <v>57</v>
      </c>
      <c r="K323" s="11" t="str">
        <f t="shared" si="28"/>
        <v>Pink40</v>
      </c>
      <c r="L323">
        <v>380</v>
      </c>
      <c r="M323" t="s">
        <v>23</v>
      </c>
      <c r="N323" t="s">
        <v>27</v>
      </c>
      <c r="P323">
        <v>0.56176693856798432</v>
      </c>
      <c r="Q323">
        <f t="shared" si="30"/>
        <v>29</v>
      </c>
      <c r="R323">
        <f ca="1">IF(ISNA(MATCH(P323,OFFSET('age-length key'!O$8,Data!Q323,17,1,5),1)),1,MATCH(P323,OFFSET('age-length key'!O$8,Data!Q323,17,1,5),1)+1)</f>
        <v>4</v>
      </c>
      <c r="S323">
        <f ca="1">IF(D323="Recapture",IF(OFFSET(B$1,MATCH(K323,K$2:K322,0),0)=B323,0,1),1)</f>
        <v>1</v>
      </c>
    </row>
    <row r="324" spans="1:19" x14ac:dyDescent="0.2">
      <c r="A324" s="1">
        <v>44342</v>
      </c>
      <c r="B324" s="28">
        <f t="shared" si="27"/>
        <v>20215</v>
      </c>
      <c r="C324">
        <f>A324-A$2</f>
        <v>366</v>
      </c>
      <c r="D324" s="5" t="s">
        <v>47</v>
      </c>
      <c r="E324" s="25" t="s">
        <v>49</v>
      </c>
      <c r="F324" s="4">
        <v>0.38611111111111113</v>
      </c>
      <c r="G324" s="4">
        <v>0.38680555555555557</v>
      </c>
      <c r="H324" s="3">
        <f t="shared" ref="H324:H338" si="31">G324-F324</f>
        <v>6.9444444444444198E-4</v>
      </c>
      <c r="I324" s="5">
        <v>97</v>
      </c>
      <c r="J324" s="5" t="s">
        <v>56</v>
      </c>
      <c r="K324" s="11" t="str">
        <f t="shared" si="28"/>
        <v>Green97</v>
      </c>
      <c r="L324" s="5">
        <v>210</v>
      </c>
      <c r="M324" t="s">
        <v>22</v>
      </c>
      <c r="N324" t="s">
        <v>27</v>
      </c>
      <c r="P324">
        <v>0.61693651211305356</v>
      </c>
      <c r="Q324">
        <f t="shared" si="30"/>
        <v>12</v>
      </c>
      <c r="R324">
        <f ca="1">IF(ISNA(MATCH(P324,OFFSET('age-length key'!O$8,Data!Q324,17,1,5),1)),1,MATCH(P324,OFFSET('age-length key'!O$8,Data!Q324,17,1,5),1)+1)</f>
        <v>2</v>
      </c>
      <c r="S324">
        <f ca="1">IF(D324="Recapture",IF(OFFSET(B$1,MATCH(K324,K$2:K323,0),0)=B324,0,1),1)</f>
        <v>1</v>
      </c>
    </row>
    <row r="325" spans="1:19" x14ac:dyDescent="0.2">
      <c r="A325" s="1">
        <v>44342</v>
      </c>
      <c r="B325" s="28">
        <f t="shared" si="27"/>
        <v>20215</v>
      </c>
      <c r="C325">
        <f>A325-A$2</f>
        <v>366</v>
      </c>
      <c r="D325" s="5" t="s">
        <v>47</v>
      </c>
      <c r="E325" s="25" t="s">
        <v>49</v>
      </c>
      <c r="F325" s="4">
        <v>0.34375</v>
      </c>
      <c r="G325" s="4">
        <v>0.34513888888888888</v>
      </c>
      <c r="H325" s="3">
        <f t="shared" si="31"/>
        <v>1.388888888888884E-3</v>
      </c>
      <c r="I325" s="5">
        <v>93</v>
      </c>
      <c r="J325" s="5" t="s">
        <v>56</v>
      </c>
      <c r="K325" s="11" t="str">
        <f t="shared" si="28"/>
        <v>Green93</v>
      </c>
      <c r="L325" s="5">
        <v>230</v>
      </c>
      <c r="M325" t="s">
        <v>21</v>
      </c>
      <c r="N325" t="s">
        <v>27</v>
      </c>
      <c r="P325">
        <v>0.85195908409168897</v>
      </c>
      <c r="Q325">
        <f t="shared" si="30"/>
        <v>14</v>
      </c>
      <c r="R325">
        <f ca="1">IF(ISNA(MATCH(P325,OFFSET('age-length key'!O$8,Data!Q325,17,1,5),1)),1,MATCH(P325,OFFSET('age-length key'!O$8,Data!Q325,17,1,5),1)+1)</f>
        <v>2</v>
      </c>
      <c r="S325">
        <f ca="1">IF(D325="Recapture",IF(OFFSET(B$1,MATCH(K325,K$2:K324,0),0)=B325,0,1),1)</f>
        <v>1</v>
      </c>
    </row>
    <row r="326" spans="1:19" x14ac:dyDescent="0.2">
      <c r="A326" s="1">
        <v>44342</v>
      </c>
      <c r="B326" s="28">
        <f t="shared" si="27"/>
        <v>20215</v>
      </c>
      <c r="C326">
        <f>A326-A$2</f>
        <v>366</v>
      </c>
      <c r="D326" s="5" t="s">
        <v>47</v>
      </c>
      <c r="E326" s="25" t="s">
        <v>49</v>
      </c>
      <c r="F326" s="4">
        <v>0.34583333333333338</v>
      </c>
      <c r="G326" s="4">
        <v>0.34722222222222227</v>
      </c>
      <c r="H326" s="3">
        <f t="shared" si="31"/>
        <v>1.388888888888884E-3</v>
      </c>
      <c r="I326" s="5">
        <v>94</v>
      </c>
      <c r="J326" s="5" t="s">
        <v>56</v>
      </c>
      <c r="K326" s="11" t="str">
        <f t="shared" si="28"/>
        <v>Green94</v>
      </c>
      <c r="L326" s="5">
        <v>220</v>
      </c>
      <c r="M326" t="s">
        <v>21</v>
      </c>
      <c r="N326" t="s">
        <v>27</v>
      </c>
      <c r="P326">
        <v>0.87632632901720997</v>
      </c>
      <c r="Q326">
        <f t="shared" si="30"/>
        <v>13</v>
      </c>
      <c r="R326">
        <f ca="1">IF(ISNA(MATCH(P326,OFFSET('age-length key'!O$8,Data!Q326,17,1,5),1)),1,MATCH(P326,OFFSET('age-length key'!O$8,Data!Q326,17,1,5),1)+1)</f>
        <v>2</v>
      </c>
      <c r="S326">
        <f ca="1">IF(D326="Recapture",IF(OFFSET(B$1,MATCH(K326,K$2:K325,0),0)=B326,0,1),1)</f>
        <v>1</v>
      </c>
    </row>
    <row r="327" spans="1:19" x14ac:dyDescent="0.2">
      <c r="A327" s="1">
        <v>44342</v>
      </c>
      <c r="B327" s="28">
        <f t="shared" si="27"/>
        <v>20215</v>
      </c>
      <c r="C327">
        <f>A327-A$2</f>
        <v>366</v>
      </c>
      <c r="D327" s="5" t="s">
        <v>47</v>
      </c>
      <c r="E327" s="25" t="s">
        <v>49</v>
      </c>
      <c r="F327" s="4">
        <v>0.35555555555555557</v>
      </c>
      <c r="G327" s="4">
        <v>0.35694444444444445</v>
      </c>
      <c r="H327" s="3">
        <f t="shared" si="31"/>
        <v>1.388888888888884E-3</v>
      </c>
      <c r="I327" s="5">
        <v>95</v>
      </c>
      <c r="J327" s="5" t="s">
        <v>56</v>
      </c>
      <c r="K327" s="11" t="str">
        <f t="shared" si="28"/>
        <v>Green95</v>
      </c>
      <c r="L327" s="5">
        <v>230</v>
      </c>
      <c r="M327" t="s">
        <v>21</v>
      </c>
      <c r="N327" t="s">
        <v>27</v>
      </c>
      <c r="P327">
        <v>0.4166117922480273</v>
      </c>
      <c r="Q327">
        <f t="shared" si="30"/>
        <v>14</v>
      </c>
      <c r="R327">
        <f ca="1">IF(ISNA(MATCH(P327,OFFSET('age-length key'!O$8,Data!Q327,17,1,5),1)),1,MATCH(P327,OFFSET('age-length key'!O$8,Data!Q327,17,1,5),1)+1)</f>
        <v>2</v>
      </c>
      <c r="S327">
        <f ca="1">IF(D327="Recapture",IF(OFFSET(B$1,MATCH(K327,K$2:K326,0),0)=B327,0,1),1)</f>
        <v>1</v>
      </c>
    </row>
    <row r="328" spans="1:19" x14ac:dyDescent="0.2">
      <c r="A328" s="1">
        <v>44342</v>
      </c>
      <c r="B328" s="28">
        <f t="shared" si="27"/>
        <v>20215</v>
      </c>
      <c r="C328">
        <f>A328-A$2</f>
        <v>366</v>
      </c>
      <c r="D328" s="5" t="s">
        <v>47</v>
      </c>
      <c r="E328" s="25" t="s">
        <v>49</v>
      </c>
      <c r="F328" s="4">
        <v>0.51041666666666663</v>
      </c>
      <c r="G328" s="4">
        <v>0.51458333333333328</v>
      </c>
      <c r="H328" s="3">
        <f t="shared" si="31"/>
        <v>4.1666666666666519E-3</v>
      </c>
      <c r="I328" s="5">
        <v>104</v>
      </c>
      <c r="J328" s="5" t="s">
        <v>56</v>
      </c>
      <c r="K328" s="11" t="str">
        <f t="shared" si="28"/>
        <v>Green104</v>
      </c>
      <c r="L328" s="5">
        <v>290</v>
      </c>
      <c r="M328" t="s">
        <v>14</v>
      </c>
      <c r="N328" t="s">
        <v>27</v>
      </c>
      <c r="P328">
        <v>0.99439231259487215</v>
      </c>
      <c r="Q328">
        <f t="shared" si="30"/>
        <v>20</v>
      </c>
      <c r="R328">
        <f ca="1">IF(ISNA(MATCH(P328,OFFSET('age-length key'!O$8,Data!Q328,17,1,5),1)),1,MATCH(P328,OFFSET('age-length key'!O$8,Data!Q328,17,1,5),1)+1)</f>
        <v>4</v>
      </c>
      <c r="S328">
        <f ca="1">IF(D328="Recapture",IF(OFFSET(B$1,MATCH(K328,K$2:K327,0),0)=B328,0,1),1)</f>
        <v>1</v>
      </c>
    </row>
    <row r="329" spans="1:19" x14ac:dyDescent="0.2">
      <c r="A329" s="1">
        <v>44342</v>
      </c>
      <c r="B329" s="28">
        <f t="shared" si="27"/>
        <v>20215</v>
      </c>
      <c r="C329">
        <f>A329-A$2</f>
        <v>366</v>
      </c>
      <c r="D329" s="5" t="s">
        <v>47</v>
      </c>
      <c r="E329" s="25" t="s">
        <v>49</v>
      </c>
      <c r="F329" s="4">
        <v>0.38750000000000001</v>
      </c>
      <c r="G329" s="4">
        <v>0.3923611111111111</v>
      </c>
      <c r="H329" s="3">
        <f t="shared" si="31"/>
        <v>4.8611111111110938E-3</v>
      </c>
      <c r="I329" s="5">
        <v>98</v>
      </c>
      <c r="J329" s="5" t="s">
        <v>56</v>
      </c>
      <c r="K329" s="11" t="str">
        <f t="shared" si="28"/>
        <v>Green98</v>
      </c>
      <c r="L329" s="5">
        <v>225</v>
      </c>
      <c r="M329" t="s">
        <v>22</v>
      </c>
      <c r="N329" t="s">
        <v>27</v>
      </c>
      <c r="P329">
        <v>0.75159778201561322</v>
      </c>
      <c r="Q329">
        <f t="shared" si="30"/>
        <v>14</v>
      </c>
      <c r="R329">
        <f ca="1">IF(ISNA(MATCH(P329,OFFSET('age-length key'!O$8,Data!Q329,17,1,5),1)),1,MATCH(P329,OFFSET('age-length key'!O$8,Data!Q329,17,1,5),1)+1)</f>
        <v>2</v>
      </c>
      <c r="S329">
        <f ca="1">IF(D329="Recapture",IF(OFFSET(B$1,MATCH(K329,K$2:K328,0),0)=B329,0,1),1)</f>
        <v>1</v>
      </c>
    </row>
    <row r="330" spans="1:19" x14ac:dyDescent="0.2">
      <c r="A330" s="1">
        <v>44342</v>
      </c>
      <c r="B330" s="28">
        <f t="shared" si="27"/>
        <v>20215</v>
      </c>
      <c r="C330">
        <f>A330-A$2</f>
        <v>366</v>
      </c>
      <c r="D330" s="5" t="s">
        <v>47</v>
      </c>
      <c r="E330" s="25" t="s">
        <v>49</v>
      </c>
      <c r="F330" s="4">
        <v>0.53333333333333333</v>
      </c>
      <c r="G330" s="4">
        <v>0.53819444444444442</v>
      </c>
      <c r="H330" s="3">
        <f t="shared" si="31"/>
        <v>4.8611111111110938E-3</v>
      </c>
      <c r="I330" s="5">
        <v>106</v>
      </c>
      <c r="J330" s="5" t="s">
        <v>56</v>
      </c>
      <c r="K330" s="11" t="str">
        <f t="shared" si="28"/>
        <v>Green106</v>
      </c>
      <c r="L330" s="5">
        <v>220</v>
      </c>
      <c r="M330" t="s">
        <v>14</v>
      </c>
      <c r="N330" t="s">
        <v>27</v>
      </c>
      <c r="P330">
        <v>0.10392233641069491</v>
      </c>
      <c r="Q330">
        <f t="shared" si="30"/>
        <v>13</v>
      </c>
      <c r="R330">
        <f ca="1">IF(ISNA(MATCH(P330,OFFSET('age-length key'!O$8,Data!Q330,17,1,5),1)),1,MATCH(P330,OFFSET('age-length key'!O$8,Data!Q330,17,1,5),1)+1)</f>
        <v>2</v>
      </c>
      <c r="S330">
        <f ca="1">IF(D330="Recapture",IF(OFFSET(B$1,MATCH(K330,K$2:K329,0),0)=B330,0,1),1)</f>
        <v>1</v>
      </c>
    </row>
    <row r="331" spans="1:19" x14ac:dyDescent="0.2">
      <c r="A331" s="1">
        <v>44342</v>
      </c>
      <c r="B331" s="28">
        <f t="shared" ref="B331:B394" si="32">YEAR(A331)*10+MONTH(A331)</f>
        <v>20215</v>
      </c>
      <c r="C331">
        <f>A331-A$2</f>
        <v>366</v>
      </c>
      <c r="D331" s="5" t="s">
        <v>47</v>
      </c>
      <c r="E331" s="25" t="s">
        <v>49</v>
      </c>
      <c r="F331" s="4">
        <v>0.40347222222222223</v>
      </c>
      <c r="G331" s="4">
        <v>0.40972222222222227</v>
      </c>
      <c r="H331" s="3">
        <f t="shared" si="31"/>
        <v>6.2500000000000333E-3</v>
      </c>
      <c r="I331" s="5">
        <v>99</v>
      </c>
      <c r="J331" s="5" t="s">
        <v>56</v>
      </c>
      <c r="K331" s="11" t="str">
        <f t="shared" si="28"/>
        <v>Green99</v>
      </c>
      <c r="L331" s="5">
        <v>200</v>
      </c>
      <c r="M331" t="s">
        <v>23</v>
      </c>
      <c r="N331" t="s">
        <v>27</v>
      </c>
      <c r="P331">
        <v>0.62270805454939049</v>
      </c>
      <c r="Q331">
        <f t="shared" si="30"/>
        <v>11</v>
      </c>
      <c r="R331">
        <f ca="1">IF(ISNA(MATCH(P331,OFFSET('age-length key'!O$8,Data!Q331,17,1,5),1)),1,MATCH(P331,OFFSET('age-length key'!O$8,Data!Q331,17,1,5),1)+1)</f>
        <v>2</v>
      </c>
      <c r="S331">
        <f ca="1">IF(D331="Recapture",IF(OFFSET(B$1,MATCH(K331,K$2:K330,0),0)=B331,0,1),1)</f>
        <v>1</v>
      </c>
    </row>
    <row r="332" spans="1:19" x14ac:dyDescent="0.2">
      <c r="A332" s="1">
        <v>44342</v>
      </c>
      <c r="B332" s="28">
        <f t="shared" si="32"/>
        <v>20215</v>
      </c>
      <c r="C332">
        <f>A332-A$2</f>
        <v>366</v>
      </c>
      <c r="D332" s="5" t="s">
        <v>47</v>
      </c>
      <c r="E332" s="25" t="s">
        <v>49</v>
      </c>
      <c r="F332" s="4">
        <v>0.41041666666666665</v>
      </c>
      <c r="G332" s="4">
        <v>0.41666666666666669</v>
      </c>
      <c r="H332" s="3">
        <f t="shared" si="31"/>
        <v>6.2500000000000333E-3</v>
      </c>
      <c r="I332" s="5">
        <v>100</v>
      </c>
      <c r="J332" s="5" t="s">
        <v>56</v>
      </c>
      <c r="K332" s="11" t="str">
        <f t="shared" si="28"/>
        <v>Green100</v>
      </c>
      <c r="L332" s="5">
        <v>220</v>
      </c>
      <c r="M332" t="s">
        <v>15</v>
      </c>
      <c r="N332" t="s">
        <v>27</v>
      </c>
      <c r="P332">
        <v>0.8542728116057221</v>
      </c>
      <c r="Q332">
        <f t="shared" si="30"/>
        <v>13</v>
      </c>
      <c r="R332">
        <f ca="1">IF(ISNA(MATCH(P332,OFFSET('age-length key'!O$8,Data!Q332,17,1,5),1)),1,MATCH(P332,OFFSET('age-length key'!O$8,Data!Q332,17,1,5),1)+1)</f>
        <v>2</v>
      </c>
      <c r="S332">
        <f ca="1">IF(D332="Recapture",IF(OFFSET(B$1,MATCH(K332,K$2:K331,0),0)=B332,0,1),1)</f>
        <v>1</v>
      </c>
    </row>
    <row r="333" spans="1:19" x14ac:dyDescent="0.2">
      <c r="A333" s="1">
        <v>44342</v>
      </c>
      <c r="B333" s="28">
        <f t="shared" si="32"/>
        <v>20215</v>
      </c>
      <c r="C333">
        <f>A333-A$2</f>
        <v>366</v>
      </c>
      <c r="D333" s="5" t="s">
        <v>47</v>
      </c>
      <c r="E333" s="25" t="s">
        <v>49</v>
      </c>
      <c r="F333" s="4">
        <v>0.41805555555555557</v>
      </c>
      <c r="G333" s="4">
        <v>0.42708333333333331</v>
      </c>
      <c r="H333" s="3">
        <f t="shared" si="31"/>
        <v>9.0277777777777457E-3</v>
      </c>
      <c r="I333" s="5">
        <v>101</v>
      </c>
      <c r="J333" s="5" t="s">
        <v>56</v>
      </c>
      <c r="K333" s="11" t="str">
        <f t="shared" si="28"/>
        <v>Green101</v>
      </c>
      <c r="L333" s="5">
        <v>190</v>
      </c>
      <c r="M333" t="s">
        <v>17</v>
      </c>
      <c r="N333" t="s">
        <v>27</v>
      </c>
      <c r="P333">
        <v>0.76314465737116743</v>
      </c>
      <c r="Q333">
        <f t="shared" si="30"/>
        <v>10</v>
      </c>
      <c r="R333">
        <f ca="1">IF(ISNA(MATCH(P333,OFFSET('age-length key'!O$8,Data!Q333,17,1,5),1)),1,MATCH(P333,OFFSET('age-length key'!O$8,Data!Q333,17,1,5),1)+1)</f>
        <v>2</v>
      </c>
      <c r="S333">
        <f ca="1">IF(D333="Recapture",IF(OFFSET(B$1,MATCH(K333,K$2:K332,0),0)=B333,0,1),1)</f>
        <v>1</v>
      </c>
    </row>
    <row r="334" spans="1:19" x14ac:dyDescent="0.2">
      <c r="A334" s="1">
        <v>44342</v>
      </c>
      <c r="B334" s="28">
        <f t="shared" si="32"/>
        <v>20215</v>
      </c>
      <c r="C334">
        <f>A334-A$2</f>
        <v>366</v>
      </c>
      <c r="D334" s="5" t="s">
        <v>47</v>
      </c>
      <c r="E334" s="25" t="s">
        <v>49</v>
      </c>
      <c r="F334" s="4">
        <v>0.44166666666666665</v>
      </c>
      <c r="G334" s="4">
        <v>0.4513888888888889</v>
      </c>
      <c r="H334" s="3">
        <f t="shared" si="31"/>
        <v>9.7222222222222432E-3</v>
      </c>
      <c r="I334" s="5">
        <v>102</v>
      </c>
      <c r="J334" s="5" t="s">
        <v>56</v>
      </c>
      <c r="K334" s="11" t="str">
        <f t="shared" si="28"/>
        <v>Green102</v>
      </c>
      <c r="L334" s="5">
        <v>230</v>
      </c>
      <c r="M334" t="s">
        <v>12</v>
      </c>
      <c r="N334" t="s">
        <v>27</v>
      </c>
      <c r="P334">
        <v>0.17225643721048553</v>
      </c>
      <c r="Q334">
        <f t="shared" si="30"/>
        <v>14</v>
      </c>
      <c r="R334">
        <f ca="1">IF(ISNA(MATCH(P334,OFFSET('age-length key'!O$8,Data!Q334,17,1,5),1)),1,MATCH(P334,OFFSET('age-length key'!O$8,Data!Q334,17,1,5),1)+1)</f>
        <v>2</v>
      </c>
      <c r="S334">
        <f ca="1">IF(D334="Recapture",IF(OFFSET(B$1,MATCH(K334,K$2:K333,0),0)=B334,0,1),1)</f>
        <v>1</v>
      </c>
    </row>
    <row r="335" spans="1:19" x14ac:dyDescent="0.2">
      <c r="A335" s="1">
        <v>44342</v>
      </c>
      <c r="B335" s="28">
        <f t="shared" si="32"/>
        <v>20215</v>
      </c>
      <c r="C335">
        <f>A335-A$2</f>
        <v>366</v>
      </c>
      <c r="D335" s="5" t="s">
        <v>47</v>
      </c>
      <c r="E335" s="25" t="s">
        <v>49</v>
      </c>
      <c r="F335" s="4">
        <v>0.51458333333333328</v>
      </c>
      <c r="G335" s="4">
        <v>0.53333333333333333</v>
      </c>
      <c r="H335" s="3">
        <f t="shared" si="31"/>
        <v>1.8750000000000044E-2</v>
      </c>
      <c r="I335" s="5">
        <v>105</v>
      </c>
      <c r="J335" s="5" t="s">
        <v>56</v>
      </c>
      <c r="K335" s="11" t="str">
        <f t="shared" si="28"/>
        <v>Green105</v>
      </c>
      <c r="L335" s="5">
        <v>305</v>
      </c>
      <c r="M335" t="s">
        <v>14</v>
      </c>
      <c r="N335" t="s">
        <v>27</v>
      </c>
      <c r="P335">
        <v>0.11394019663051712</v>
      </c>
      <c r="Q335">
        <f t="shared" si="30"/>
        <v>22</v>
      </c>
      <c r="R335">
        <f ca="1">IF(ISNA(MATCH(P335,OFFSET('age-length key'!O$8,Data!Q335,17,1,5),1)),1,MATCH(P335,OFFSET('age-length key'!O$8,Data!Q335,17,1,5),1)+1)</f>
        <v>3</v>
      </c>
      <c r="S335">
        <f ca="1">IF(D335="Recapture",IF(OFFSET(B$1,MATCH(K335,K$2:K334,0),0)=B335,0,1),1)</f>
        <v>1</v>
      </c>
    </row>
    <row r="336" spans="1:19" x14ac:dyDescent="0.2">
      <c r="A336" s="1">
        <v>44342</v>
      </c>
      <c r="B336" s="28">
        <f t="shared" si="32"/>
        <v>20215</v>
      </c>
      <c r="C336">
        <f>A336-A$2</f>
        <v>366</v>
      </c>
      <c r="D336" s="5" t="s">
        <v>47</v>
      </c>
      <c r="E336" s="25" t="s">
        <v>49</v>
      </c>
      <c r="F336" s="4">
        <v>0.46319444444444446</v>
      </c>
      <c r="G336" s="4">
        <v>0.48680555555555555</v>
      </c>
      <c r="H336" s="3">
        <f t="shared" si="31"/>
        <v>2.3611111111111083E-2</v>
      </c>
      <c r="I336" s="5">
        <v>103</v>
      </c>
      <c r="J336" s="5" t="s">
        <v>56</v>
      </c>
      <c r="K336" s="11" t="str">
        <f t="shared" si="28"/>
        <v>Green103</v>
      </c>
      <c r="L336" s="5">
        <v>220</v>
      </c>
      <c r="M336" t="s">
        <v>11</v>
      </c>
      <c r="N336" t="s">
        <v>27</v>
      </c>
      <c r="P336">
        <v>0.9928847691011079</v>
      </c>
      <c r="Q336">
        <f t="shared" si="30"/>
        <v>13</v>
      </c>
      <c r="R336">
        <f ca="1">IF(ISNA(MATCH(P336,OFFSET('age-length key'!O$8,Data!Q336,17,1,5),1)),1,MATCH(P336,OFFSET('age-length key'!O$8,Data!Q336,17,1,5),1)+1)</f>
        <v>3</v>
      </c>
      <c r="S336">
        <f ca="1">IF(D336="Recapture",IF(OFFSET(B$1,MATCH(K336,K$2:K335,0),0)=B336,0,1),1)</f>
        <v>1</v>
      </c>
    </row>
    <row r="337" spans="1:19" x14ac:dyDescent="0.2">
      <c r="A337" s="1">
        <v>44342</v>
      </c>
      <c r="B337" s="28">
        <f t="shared" si="32"/>
        <v>20215</v>
      </c>
      <c r="C337">
        <f>A337-A$2</f>
        <v>366</v>
      </c>
      <c r="D337" s="5" t="s">
        <v>47</v>
      </c>
      <c r="E337" s="25" t="s">
        <v>49</v>
      </c>
      <c r="F337" s="4">
        <v>0.31875000000000003</v>
      </c>
      <c r="G337" s="4">
        <v>0.3430555555555555</v>
      </c>
      <c r="H337" s="3">
        <f t="shared" si="31"/>
        <v>2.4305555555555469E-2</v>
      </c>
      <c r="I337" s="5">
        <v>92</v>
      </c>
      <c r="J337" s="5" t="s">
        <v>56</v>
      </c>
      <c r="K337" s="11" t="str">
        <f t="shared" si="28"/>
        <v>Green92</v>
      </c>
      <c r="L337" s="5">
        <v>160</v>
      </c>
      <c r="M337" t="s">
        <v>21</v>
      </c>
      <c r="N337" t="s">
        <v>27</v>
      </c>
      <c r="P337">
        <v>0.41431428231965484</v>
      </c>
      <c r="Q337">
        <f t="shared" si="30"/>
        <v>7</v>
      </c>
      <c r="R337">
        <f ca="1">IF(ISNA(MATCH(P337,OFFSET('age-length key'!O$8,Data!Q337,17,1,5),1)),1,MATCH(P337,OFFSET('age-length key'!O$8,Data!Q337,17,1,5),1)+1)</f>
        <v>1</v>
      </c>
      <c r="S337">
        <f ca="1">IF(D337="Recapture",IF(OFFSET(B$1,MATCH(K337,K$2:K336,0),0)=B337,0,1),1)</f>
        <v>1</v>
      </c>
    </row>
    <row r="338" spans="1:19" x14ac:dyDescent="0.2">
      <c r="A338" s="1">
        <v>44342</v>
      </c>
      <c r="B338" s="28">
        <f t="shared" si="32"/>
        <v>20215</v>
      </c>
      <c r="C338">
        <f>A338-A$2</f>
        <v>366</v>
      </c>
      <c r="D338" s="5" t="s">
        <v>47</v>
      </c>
      <c r="E338" s="25" t="s">
        <v>49</v>
      </c>
      <c r="F338" s="4">
        <v>0.3576388888888889</v>
      </c>
      <c r="G338" s="4">
        <v>0.3833333333333333</v>
      </c>
      <c r="H338" s="3">
        <f t="shared" si="31"/>
        <v>2.5694444444444409E-2</v>
      </c>
      <c r="I338" s="5">
        <v>96</v>
      </c>
      <c r="J338" s="5" t="s">
        <v>56</v>
      </c>
      <c r="K338" s="11" t="str">
        <f t="shared" si="28"/>
        <v>Green96</v>
      </c>
      <c r="L338" s="5">
        <v>240</v>
      </c>
      <c r="M338" t="s">
        <v>22</v>
      </c>
      <c r="N338" t="s">
        <v>27</v>
      </c>
      <c r="P338">
        <v>0.38014294643893043</v>
      </c>
      <c r="Q338">
        <f t="shared" si="30"/>
        <v>15</v>
      </c>
      <c r="R338">
        <f ca="1">IF(ISNA(MATCH(P338,OFFSET('age-length key'!O$8,Data!Q338,17,1,5),1)),1,MATCH(P338,OFFSET('age-length key'!O$8,Data!Q338,17,1,5),1)+1)</f>
        <v>2</v>
      </c>
      <c r="S338">
        <f ca="1">IF(D338="Recapture",IF(OFFSET(B$1,MATCH(K338,K$2:K337,0),0)=B338,0,1),1)</f>
        <v>1</v>
      </c>
    </row>
    <row r="339" spans="1:19" x14ac:dyDescent="0.2">
      <c r="A339" s="9">
        <v>44343</v>
      </c>
      <c r="B339" s="28">
        <f t="shared" si="32"/>
        <v>20215</v>
      </c>
      <c r="C339">
        <f>A339-A$2</f>
        <v>367</v>
      </c>
      <c r="D339" s="5" t="s">
        <v>47</v>
      </c>
      <c r="E339" s="22" t="s">
        <v>49</v>
      </c>
      <c r="H339" s="3"/>
      <c r="I339" t="s">
        <v>72</v>
      </c>
      <c r="J339" s="5" t="s">
        <v>57</v>
      </c>
      <c r="K339" s="11" t="str">
        <f t="shared" si="28"/>
        <v>Pinkcircle tag</v>
      </c>
      <c r="L339">
        <v>330</v>
      </c>
      <c r="M339" t="s">
        <v>20</v>
      </c>
      <c r="N339" t="s">
        <v>27</v>
      </c>
      <c r="P339">
        <v>6.2500799103873225E-2</v>
      </c>
      <c r="Q339">
        <f t="shared" si="30"/>
        <v>24</v>
      </c>
      <c r="R339">
        <f ca="1">IF(ISNA(MATCH(P339,OFFSET('age-length key'!O$8,Data!Q339,17,1,5),1)),1,MATCH(P339,OFFSET('age-length key'!O$8,Data!Q339,17,1,5),1)+1)</f>
        <v>3</v>
      </c>
      <c r="S339">
        <f ca="1">IF(D339="Recapture",IF(OFFSET(B$1,MATCH(K339,K$2:K338,0),0)=B339,0,1),1)</f>
        <v>1</v>
      </c>
    </row>
    <row r="340" spans="1:19" x14ac:dyDescent="0.2">
      <c r="A340" s="9">
        <v>44343</v>
      </c>
      <c r="B340" s="28">
        <f t="shared" si="32"/>
        <v>20215</v>
      </c>
      <c r="C340">
        <f>A340-A$2</f>
        <v>367</v>
      </c>
      <c r="D340" s="5" t="s">
        <v>47</v>
      </c>
      <c r="E340" s="22" t="s">
        <v>49</v>
      </c>
      <c r="H340" s="3"/>
      <c r="I340" t="s">
        <v>72</v>
      </c>
      <c r="J340" s="5" t="s">
        <v>57</v>
      </c>
      <c r="K340" s="11" t="str">
        <f t="shared" si="28"/>
        <v>Pinkcircle tag</v>
      </c>
      <c r="L340">
        <v>315</v>
      </c>
      <c r="M340" t="s">
        <v>18</v>
      </c>
      <c r="N340" t="s">
        <v>27</v>
      </c>
      <c r="P340">
        <v>0.45093053879725309</v>
      </c>
      <c r="Q340">
        <f t="shared" si="30"/>
        <v>23</v>
      </c>
      <c r="R340">
        <f ca="1">IF(ISNA(MATCH(P340,OFFSET('age-length key'!O$8,Data!Q340,17,1,5),1)),1,MATCH(P340,OFFSET('age-length key'!O$8,Data!Q340,17,1,5),1)+1)</f>
        <v>3</v>
      </c>
      <c r="S340">
        <f ca="1">IF(D340="Recapture",IF(OFFSET(B$1,MATCH(K340,K$2:K339,0),0)=B340,0,1),1)</f>
        <v>1</v>
      </c>
    </row>
    <row r="341" spans="1:19" x14ac:dyDescent="0.2">
      <c r="A341" s="9">
        <v>44343</v>
      </c>
      <c r="B341" s="28">
        <f t="shared" si="32"/>
        <v>20215</v>
      </c>
      <c r="C341">
        <f>A341-A$2</f>
        <v>367</v>
      </c>
      <c r="D341" s="5" t="s">
        <v>47</v>
      </c>
      <c r="E341" s="22" t="s">
        <v>49</v>
      </c>
      <c r="H341" s="3"/>
      <c r="I341" t="s">
        <v>72</v>
      </c>
      <c r="J341" s="5" t="s">
        <v>57</v>
      </c>
      <c r="K341" s="11" t="str">
        <f t="shared" si="28"/>
        <v>Pinkcircle tag</v>
      </c>
      <c r="L341">
        <v>330</v>
      </c>
      <c r="M341" t="s">
        <v>13</v>
      </c>
      <c r="N341" t="s">
        <v>27</v>
      </c>
      <c r="P341">
        <v>0.78956556543221956</v>
      </c>
      <c r="Q341">
        <f t="shared" si="30"/>
        <v>24</v>
      </c>
      <c r="R341">
        <f ca="1">IF(ISNA(MATCH(P341,OFFSET('age-length key'!O$8,Data!Q341,17,1,5),1)),1,MATCH(P341,OFFSET('age-length key'!O$8,Data!Q341,17,1,5),1)+1)</f>
        <v>3</v>
      </c>
      <c r="S341">
        <f ca="1">IF(D341="Recapture",IF(OFFSET(B$1,MATCH(K341,K$2:K340,0),0)=B341,0,1),1)</f>
        <v>1</v>
      </c>
    </row>
    <row r="342" spans="1:19" x14ac:dyDescent="0.2">
      <c r="A342" s="1">
        <v>44345</v>
      </c>
      <c r="B342" s="28">
        <f t="shared" si="32"/>
        <v>20215</v>
      </c>
      <c r="C342">
        <f>A342-A$2</f>
        <v>369</v>
      </c>
      <c r="D342" s="5" t="s">
        <v>58</v>
      </c>
      <c r="E342" s="22" t="s">
        <v>54</v>
      </c>
      <c r="F342" s="4">
        <v>0.44027777777777777</v>
      </c>
      <c r="G342" s="4">
        <v>0.45416666666666666</v>
      </c>
      <c r="H342" s="3">
        <f>G342-F342</f>
        <v>1.3888888888888895E-2</v>
      </c>
      <c r="I342">
        <v>65</v>
      </c>
      <c r="J342" s="8" t="s">
        <v>56</v>
      </c>
      <c r="K342" s="11" t="str">
        <f t="shared" si="28"/>
        <v>Green65</v>
      </c>
      <c r="L342" s="26">
        <f ca="1">OFFSET(K$1,MATCH(K342,K$2:K341,0),1)</f>
        <v>160</v>
      </c>
      <c r="M342" t="s">
        <v>74</v>
      </c>
      <c r="N342" t="s">
        <v>26</v>
      </c>
      <c r="P342">
        <v>0.22845821931420743</v>
      </c>
      <c r="Q342">
        <f t="shared" ca="1" si="30"/>
        <v>7</v>
      </c>
      <c r="R342" s="26">
        <f ca="1">OFFSET(Q$1,MATCH(K342,K$2:K341,0),1)</f>
        <v>1</v>
      </c>
      <c r="S342">
        <f ca="1">IF(D342="Recapture",IF(OFFSET(B$1,MATCH(K342,K$2:K341,0),0)=B342,0,1),1)</f>
        <v>0</v>
      </c>
    </row>
    <row r="343" spans="1:19" x14ac:dyDescent="0.2">
      <c r="A343" s="1">
        <v>44350</v>
      </c>
      <c r="B343" s="28">
        <f t="shared" si="32"/>
        <v>20216</v>
      </c>
      <c r="C343">
        <f>A343-A$2</f>
        <v>374</v>
      </c>
      <c r="D343" s="5" t="s">
        <v>58</v>
      </c>
      <c r="E343" s="22" t="s">
        <v>49</v>
      </c>
      <c r="H343" s="3"/>
      <c r="I343" t="s">
        <v>72</v>
      </c>
      <c r="J343" s="8" t="s">
        <v>57</v>
      </c>
      <c r="K343" s="11" t="str">
        <f t="shared" si="28"/>
        <v>Pinkcircle tag</v>
      </c>
      <c r="L343">
        <v>340</v>
      </c>
      <c r="M343" t="s">
        <v>9</v>
      </c>
      <c r="N343" t="s">
        <v>27</v>
      </c>
      <c r="P343">
        <v>0.69729201388419237</v>
      </c>
      <c r="Q343">
        <f t="shared" si="30"/>
        <v>25</v>
      </c>
      <c r="R343">
        <f ca="1">IF(ISNA(MATCH(P343,OFFSET('age-length key'!O$8,Data!Q343,17,1,5),1)),1,MATCH(P343,OFFSET('age-length key'!O$8,Data!Q343,17,1,5),1)+1)</f>
        <v>3</v>
      </c>
      <c r="S343">
        <f ca="1">IF(D343="Recapture",IF(OFFSET(B$1,MATCH(K343,K$2:K342,0),0)=B343,0,1),1)</f>
        <v>1</v>
      </c>
    </row>
    <row r="344" spans="1:19" x14ac:dyDescent="0.2">
      <c r="A344" s="1">
        <v>44350</v>
      </c>
      <c r="B344" s="28">
        <f t="shared" si="32"/>
        <v>20216</v>
      </c>
      <c r="C344">
        <f>A344-A$2</f>
        <v>374</v>
      </c>
      <c r="D344" s="5" t="s">
        <v>58</v>
      </c>
      <c r="E344" s="22" t="s">
        <v>49</v>
      </c>
      <c r="F344" s="4">
        <v>0.48680555555555555</v>
      </c>
      <c r="G344" s="4">
        <v>0.4916666666666667</v>
      </c>
      <c r="H344" s="3">
        <f t="shared" ref="H344:H380" si="33">G344-F344</f>
        <v>4.8611111111111494E-3</v>
      </c>
      <c r="I344" t="s">
        <v>72</v>
      </c>
      <c r="J344" s="8" t="s">
        <v>57</v>
      </c>
      <c r="K344" s="11" t="str">
        <f t="shared" si="28"/>
        <v>Pinkcircle tag</v>
      </c>
      <c r="L344">
        <v>340</v>
      </c>
      <c r="M344" t="s">
        <v>20</v>
      </c>
      <c r="N344" t="s">
        <v>27</v>
      </c>
      <c r="P344">
        <v>0.38687735162064307</v>
      </c>
      <c r="Q344">
        <f t="shared" si="30"/>
        <v>25</v>
      </c>
      <c r="R344">
        <f ca="1">IF(ISNA(MATCH(P344,OFFSET('age-length key'!O$8,Data!Q344,17,1,5),1)),1,MATCH(P344,OFFSET('age-length key'!O$8,Data!Q344,17,1,5),1)+1)</f>
        <v>3</v>
      </c>
      <c r="S344">
        <f ca="1">IF(D344="Recapture",IF(OFFSET(B$1,MATCH(K344,K$2:K343,0),0)=B344,0,1),1)</f>
        <v>1</v>
      </c>
    </row>
    <row r="345" spans="1:19" x14ac:dyDescent="0.2">
      <c r="A345" s="1">
        <v>44350</v>
      </c>
      <c r="B345" s="28">
        <f t="shared" si="32"/>
        <v>20216</v>
      </c>
      <c r="C345">
        <f>A345-A$2</f>
        <v>374</v>
      </c>
      <c r="D345" s="5" t="s">
        <v>58</v>
      </c>
      <c r="E345" s="22" t="s">
        <v>49</v>
      </c>
      <c r="F345" s="4">
        <v>0.52222222222222225</v>
      </c>
      <c r="G345" s="4">
        <v>0.52777777777777779</v>
      </c>
      <c r="H345" s="3">
        <f t="shared" si="33"/>
        <v>5.5555555555555358E-3</v>
      </c>
      <c r="I345">
        <v>105</v>
      </c>
      <c r="J345" s="8" t="s">
        <v>56</v>
      </c>
      <c r="K345" s="11" t="str">
        <f t="shared" si="28"/>
        <v>Green105</v>
      </c>
      <c r="L345">
        <v>290</v>
      </c>
      <c r="M345" t="s">
        <v>9</v>
      </c>
      <c r="N345" t="s">
        <v>27</v>
      </c>
      <c r="P345">
        <v>0.24764868814854357</v>
      </c>
      <c r="Q345">
        <f t="shared" si="30"/>
        <v>20</v>
      </c>
      <c r="R345">
        <f ca="1">IF(ISNA(MATCH(P345,OFFSET('age-length key'!O$8,Data!Q345,17,1,5),1)),1,MATCH(P345,OFFSET('age-length key'!O$8,Data!Q345,17,1,5),1)+1)</f>
        <v>3</v>
      </c>
      <c r="S345">
        <f ca="1">IF(D345="Recapture",IF(OFFSET(B$1,MATCH(K345,K$2:K344,0),0)=B345,0,1),1)</f>
        <v>1</v>
      </c>
    </row>
    <row r="346" spans="1:19" x14ac:dyDescent="0.2">
      <c r="A346" s="1">
        <v>44350</v>
      </c>
      <c r="B346" s="28">
        <f t="shared" si="32"/>
        <v>20216</v>
      </c>
      <c r="C346">
        <f>A346-A$2</f>
        <v>374</v>
      </c>
      <c r="D346" s="5" t="s">
        <v>58</v>
      </c>
      <c r="E346" s="22" t="s">
        <v>49</v>
      </c>
      <c r="F346" s="4">
        <v>0.49861111111111112</v>
      </c>
      <c r="G346" s="4">
        <v>0.50624999999999998</v>
      </c>
      <c r="H346" s="3">
        <f t="shared" si="33"/>
        <v>7.6388888888888618E-3</v>
      </c>
      <c r="I346">
        <v>84</v>
      </c>
      <c r="J346" s="8" t="s">
        <v>56</v>
      </c>
      <c r="K346" s="11" t="str">
        <f t="shared" si="28"/>
        <v>Green84</v>
      </c>
      <c r="L346">
        <v>300</v>
      </c>
      <c r="M346" t="s">
        <v>18</v>
      </c>
      <c r="N346" t="s">
        <v>27</v>
      </c>
      <c r="P346">
        <v>0.23150171257159752</v>
      </c>
      <c r="Q346">
        <f t="shared" si="30"/>
        <v>21</v>
      </c>
      <c r="R346">
        <f ca="1">IF(ISNA(MATCH(P346,OFFSET('age-length key'!O$8,Data!Q346,17,1,5),1)),1,MATCH(P346,OFFSET('age-length key'!O$8,Data!Q346,17,1,5),1)+1)</f>
        <v>3</v>
      </c>
      <c r="S346">
        <f ca="1">IF(D346="Recapture",IF(OFFSET(B$1,MATCH(K346,K$2:K345,0),0)=B346,0,1),1)</f>
        <v>1</v>
      </c>
    </row>
    <row r="347" spans="1:19" x14ac:dyDescent="0.2">
      <c r="A347" s="1">
        <v>44350</v>
      </c>
      <c r="B347" s="28">
        <f t="shared" si="32"/>
        <v>20216</v>
      </c>
      <c r="C347">
        <f>A347-A$2</f>
        <v>374</v>
      </c>
      <c r="D347" s="5" t="s">
        <v>58</v>
      </c>
      <c r="E347" s="22" t="s">
        <v>49</v>
      </c>
      <c r="F347" s="4">
        <v>0.40486111111111112</v>
      </c>
      <c r="G347" s="4">
        <v>0.41250000000000003</v>
      </c>
      <c r="H347" s="3">
        <f t="shared" si="33"/>
        <v>7.6388888888889173E-3</v>
      </c>
      <c r="I347">
        <v>11</v>
      </c>
      <c r="J347" s="8" t="s">
        <v>57</v>
      </c>
      <c r="K347" s="11" t="str">
        <f t="shared" si="28"/>
        <v>Pink11</v>
      </c>
      <c r="L347">
        <v>320</v>
      </c>
      <c r="M347" t="s">
        <v>9</v>
      </c>
      <c r="N347" t="s">
        <v>27</v>
      </c>
      <c r="P347">
        <v>0.84928319083959014</v>
      </c>
      <c r="Q347">
        <f t="shared" si="30"/>
        <v>23</v>
      </c>
      <c r="R347">
        <f ca="1">IF(ISNA(MATCH(P347,OFFSET('age-length key'!O$8,Data!Q347,17,1,5),1)),1,MATCH(P347,OFFSET('age-length key'!O$8,Data!Q347,17,1,5),1)+1)</f>
        <v>3</v>
      </c>
      <c r="S347">
        <f ca="1">IF(D347="Recapture",IF(OFFSET(B$1,MATCH(K347,K$2:K346,0),0)=B347,0,1),1)</f>
        <v>1</v>
      </c>
    </row>
    <row r="348" spans="1:19" x14ac:dyDescent="0.2">
      <c r="A348" s="1">
        <v>44350</v>
      </c>
      <c r="B348" s="28">
        <f t="shared" si="32"/>
        <v>20216</v>
      </c>
      <c r="C348">
        <f>A348-A$2</f>
        <v>374</v>
      </c>
      <c r="D348" s="5" t="s">
        <v>58</v>
      </c>
      <c r="E348" s="22" t="s">
        <v>49</v>
      </c>
      <c r="F348" s="4">
        <v>0.4916666666666667</v>
      </c>
      <c r="G348" s="4">
        <v>0.50069444444444444</v>
      </c>
      <c r="H348" s="3">
        <f t="shared" si="33"/>
        <v>9.0277777777777457E-3</v>
      </c>
      <c r="I348">
        <v>31</v>
      </c>
      <c r="J348" s="8" t="s">
        <v>57</v>
      </c>
      <c r="K348" s="11" t="str">
        <f t="shared" si="28"/>
        <v>Pink31</v>
      </c>
      <c r="L348">
        <v>330</v>
      </c>
      <c r="M348" t="s">
        <v>9</v>
      </c>
      <c r="N348" t="s">
        <v>27</v>
      </c>
      <c r="P348">
        <v>0.90258844099128077</v>
      </c>
      <c r="Q348">
        <f t="shared" si="30"/>
        <v>24</v>
      </c>
      <c r="R348">
        <f ca="1">IF(ISNA(MATCH(P348,OFFSET('age-length key'!O$8,Data!Q348,17,1,5),1)),1,MATCH(P348,OFFSET('age-length key'!O$8,Data!Q348,17,1,5),1)+1)</f>
        <v>4</v>
      </c>
      <c r="S348">
        <f ca="1">IF(D348="Recapture",IF(OFFSET(B$1,MATCH(K348,K$2:K347,0),0)=B348,0,1),1)</f>
        <v>1</v>
      </c>
    </row>
    <row r="349" spans="1:19" x14ac:dyDescent="0.2">
      <c r="A349" s="1">
        <v>44350</v>
      </c>
      <c r="B349" s="28">
        <f t="shared" si="32"/>
        <v>20216</v>
      </c>
      <c r="C349">
        <f>A349-A$2</f>
        <v>374</v>
      </c>
      <c r="D349" s="5" t="s">
        <v>58</v>
      </c>
      <c r="E349" s="22" t="s">
        <v>49</v>
      </c>
      <c r="F349" s="4">
        <v>0.52847222222222223</v>
      </c>
      <c r="G349" s="4">
        <v>0.53749999999999998</v>
      </c>
      <c r="H349" s="3">
        <f t="shared" si="33"/>
        <v>9.0277777777777457E-3</v>
      </c>
      <c r="I349">
        <v>112</v>
      </c>
      <c r="J349" s="8" t="s">
        <v>56</v>
      </c>
      <c r="K349" s="11" t="str">
        <f t="shared" si="28"/>
        <v>Green112</v>
      </c>
      <c r="L349">
        <v>235</v>
      </c>
      <c r="M349" t="s">
        <v>15</v>
      </c>
      <c r="N349" t="s">
        <v>27</v>
      </c>
      <c r="P349">
        <v>0.80392774045650273</v>
      </c>
      <c r="Q349">
        <f t="shared" si="30"/>
        <v>15</v>
      </c>
      <c r="R349">
        <f ca="1">IF(ISNA(MATCH(P349,OFFSET('age-length key'!O$8,Data!Q349,17,1,5),1)),1,MATCH(P349,OFFSET('age-length key'!O$8,Data!Q349,17,1,5),1)+1)</f>
        <v>3</v>
      </c>
      <c r="S349">
        <v>0</v>
      </c>
    </row>
    <row r="350" spans="1:19" x14ac:dyDescent="0.2">
      <c r="A350" s="1">
        <v>44350</v>
      </c>
      <c r="B350" s="28">
        <f t="shared" si="32"/>
        <v>20216</v>
      </c>
      <c r="C350">
        <f>A350-A$2</f>
        <v>374</v>
      </c>
      <c r="D350" s="5" t="s">
        <v>58</v>
      </c>
      <c r="E350" s="22" t="s">
        <v>49</v>
      </c>
      <c r="F350" s="4">
        <v>0.48680555555555555</v>
      </c>
      <c r="G350" s="4">
        <v>0.49791666666666662</v>
      </c>
      <c r="H350" s="3">
        <f t="shared" si="33"/>
        <v>1.1111111111111072E-2</v>
      </c>
      <c r="I350">
        <v>83</v>
      </c>
      <c r="J350" s="8" t="s">
        <v>56</v>
      </c>
      <c r="K350" s="11" t="str">
        <f t="shared" si="28"/>
        <v>Green83</v>
      </c>
      <c r="L350">
        <v>300</v>
      </c>
      <c r="M350" t="s">
        <v>18</v>
      </c>
      <c r="N350" t="s">
        <v>27</v>
      </c>
      <c r="P350">
        <v>0.61353385244195058</v>
      </c>
      <c r="Q350">
        <f t="shared" si="30"/>
        <v>21</v>
      </c>
      <c r="R350">
        <f ca="1">IF(ISNA(MATCH(P350,OFFSET('age-length key'!O$8,Data!Q350,17,1,5),1)),1,MATCH(P350,OFFSET('age-length key'!O$8,Data!Q350,17,1,5),1)+1)</f>
        <v>3</v>
      </c>
      <c r="S350">
        <f ca="1">IF(D350="Recapture",IF(OFFSET(B$1,MATCH(K350,K$2:K349,0),0)=B350,0,1),1)</f>
        <v>1</v>
      </c>
    </row>
    <row r="351" spans="1:19" x14ac:dyDescent="0.2">
      <c r="A351" s="1">
        <v>44350</v>
      </c>
      <c r="B351" s="28">
        <f t="shared" si="32"/>
        <v>20216</v>
      </c>
      <c r="C351">
        <f>A351-A$2</f>
        <v>374</v>
      </c>
      <c r="D351" s="5" t="s">
        <v>58</v>
      </c>
      <c r="E351" s="22" t="s">
        <v>49</v>
      </c>
      <c r="F351" s="4">
        <v>0.37847222222222227</v>
      </c>
      <c r="G351" s="4">
        <v>0.39027777777777778</v>
      </c>
      <c r="H351" s="3">
        <f t="shared" si="33"/>
        <v>1.1805555555555514E-2</v>
      </c>
      <c r="I351">
        <v>34</v>
      </c>
      <c r="J351" s="8" t="s">
        <v>57</v>
      </c>
      <c r="K351" s="11" t="str">
        <f t="shared" si="28"/>
        <v>Pink34</v>
      </c>
      <c r="L351">
        <v>320</v>
      </c>
      <c r="M351" t="s">
        <v>13</v>
      </c>
      <c r="N351" t="s">
        <v>27</v>
      </c>
      <c r="P351">
        <v>0.66345799186427989</v>
      </c>
      <c r="Q351">
        <f t="shared" si="30"/>
        <v>23</v>
      </c>
      <c r="R351">
        <f ca="1">IF(ISNA(MATCH(P351,OFFSET('age-length key'!O$8,Data!Q351,17,1,5),1)),1,MATCH(P351,OFFSET('age-length key'!O$8,Data!Q351,17,1,5),1)+1)</f>
        <v>3</v>
      </c>
      <c r="S351">
        <f ca="1">IF(D351="Recapture",IF(OFFSET(B$1,MATCH(K351,K$2:K350,0),0)=B351,0,1),1)</f>
        <v>1</v>
      </c>
    </row>
    <row r="352" spans="1:19" x14ac:dyDescent="0.2">
      <c r="A352" s="1">
        <v>44350</v>
      </c>
      <c r="B352" s="28">
        <f t="shared" si="32"/>
        <v>20216</v>
      </c>
      <c r="C352">
        <f>A352-A$2</f>
        <v>374</v>
      </c>
      <c r="D352" s="5" t="s">
        <v>58</v>
      </c>
      <c r="E352" s="22" t="s">
        <v>49</v>
      </c>
      <c r="F352" s="4">
        <v>0.34930555555555554</v>
      </c>
      <c r="G352" s="4">
        <v>0.3659722222222222</v>
      </c>
      <c r="H352" s="3">
        <f t="shared" si="33"/>
        <v>1.6666666666666663E-2</v>
      </c>
      <c r="I352">
        <v>85</v>
      </c>
      <c r="J352" s="8" t="s">
        <v>56</v>
      </c>
      <c r="K352" s="11" t="str">
        <f t="shared" si="28"/>
        <v>Green85</v>
      </c>
      <c r="L352">
        <v>300</v>
      </c>
      <c r="M352" t="s">
        <v>18</v>
      </c>
      <c r="N352" t="s">
        <v>27</v>
      </c>
      <c r="P352">
        <v>0.73846926295127224</v>
      </c>
      <c r="Q352">
        <f t="shared" si="30"/>
        <v>21</v>
      </c>
      <c r="R352">
        <f ca="1">IF(ISNA(MATCH(P352,OFFSET('age-length key'!O$8,Data!Q352,17,1,5),1)),1,MATCH(P352,OFFSET('age-length key'!O$8,Data!Q352,17,1,5),1)+1)</f>
        <v>3</v>
      </c>
      <c r="S352">
        <f ca="1">IF(D352="Recapture",IF(OFFSET(B$1,MATCH(K352,K$2:K351,0),0)=B352,0,1),1)</f>
        <v>1</v>
      </c>
    </row>
    <row r="353" spans="1:19" x14ac:dyDescent="0.2">
      <c r="A353" s="1">
        <v>44350</v>
      </c>
      <c r="B353" s="28">
        <f t="shared" si="32"/>
        <v>20216</v>
      </c>
      <c r="C353">
        <f>A353-A$2</f>
        <v>374</v>
      </c>
      <c r="D353" s="5" t="s">
        <v>58</v>
      </c>
      <c r="E353" s="22" t="s">
        <v>49</v>
      </c>
      <c r="F353" s="4">
        <v>0.37013888888888885</v>
      </c>
      <c r="G353" s="4">
        <v>0.38750000000000001</v>
      </c>
      <c r="H353" s="3">
        <f t="shared" si="33"/>
        <v>1.736111111111116E-2</v>
      </c>
      <c r="I353">
        <v>40</v>
      </c>
      <c r="J353" s="8" t="s">
        <v>57</v>
      </c>
      <c r="K353" s="11" t="str">
        <f t="shared" si="28"/>
        <v>Pink40</v>
      </c>
      <c r="L353">
        <v>380</v>
      </c>
      <c r="M353" t="s">
        <v>23</v>
      </c>
      <c r="N353" t="s">
        <v>27</v>
      </c>
      <c r="P353">
        <v>0.45290242203180792</v>
      </c>
      <c r="Q353">
        <f t="shared" si="30"/>
        <v>29</v>
      </c>
      <c r="R353">
        <f ca="1">IF(ISNA(MATCH(P353,OFFSET('age-length key'!O$8,Data!Q353,17,1,5),1)),1,MATCH(P353,OFFSET('age-length key'!O$8,Data!Q353,17,1,5),1)+1)</f>
        <v>4</v>
      </c>
      <c r="S353">
        <f ca="1">IF(D353="Recapture",IF(OFFSET(B$1,MATCH(K353,K$2:K352,0),0)=B353,0,1),1)</f>
        <v>1</v>
      </c>
    </row>
    <row r="354" spans="1:19" x14ac:dyDescent="0.2">
      <c r="A354" s="1">
        <v>44350</v>
      </c>
      <c r="B354" s="28">
        <f t="shared" si="32"/>
        <v>20216</v>
      </c>
      <c r="C354">
        <f>A354-A$2</f>
        <v>374</v>
      </c>
      <c r="D354" s="5" t="s">
        <v>58</v>
      </c>
      <c r="E354" s="22" t="s">
        <v>49</v>
      </c>
      <c r="F354" s="4">
        <v>0.42152777777777778</v>
      </c>
      <c r="G354" s="4">
        <v>0.43958333333333338</v>
      </c>
      <c r="H354" s="3">
        <f t="shared" si="33"/>
        <v>1.8055555555555602E-2</v>
      </c>
      <c r="I354">
        <v>95</v>
      </c>
      <c r="J354" s="8" t="s">
        <v>56</v>
      </c>
      <c r="K354" s="11" t="str">
        <f t="shared" ref="K354:K410" si="34">_xlfn.CONCAT(J354,I354)</f>
        <v>Green95</v>
      </c>
      <c r="L354">
        <v>230</v>
      </c>
      <c r="M354" t="s">
        <v>21</v>
      </c>
      <c r="N354" t="s">
        <v>27</v>
      </c>
      <c r="P354">
        <v>0.93100708859553893</v>
      </c>
      <c r="Q354">
        <f t="shared" si="30"/>
        <v>14</v>
      </c>
      <c r="R354">
        <f ca="1">IF(ISNA(MATCH(P354,OFFSET('age-length key'!O$8,Data!Q354,17,1,5),1)),1,MATCH(P354,OFFSET('age-length key'!O$8,Data!Q354,17,1,5),1)+1)</f>
        <v>3</v>
      </c>
      <c r="S354">
        <f ca="1">IF(D354="Recapture",IF(OFFSET(B$1,MATCH(K354,K$2:K353,0),0)=B354,0,1),1)</f>
        <v>1</v>
      </c>
    </row>
    <row r="355" spans="1:19" x14ac:dyDescent="0.2">
      <c r="A355" s="1">
        <v>44350</v>
      </c>
      <c r="B355" s="28">
        <f t="shared" si="32"/>
        <v>20216</v>
      </c>
      <c r="C355">
        <f>A355-A$2</f>
        <v>374</v>
      </c>
      <c r="D355" s="5" t="s">
        <v>47</v>
      </c>
      <c r="E355" s="25" t="s">
        <v>49</v>
      </c>
      <c r="F355" s="4">
        <v>0.50763888888888886</v>
      </c>
      <c r="G355" s="4">
        <v>0.5083333333333333</v>
      </c>
      <c r="H355" s="3">
        <f t="shared" si="33"/>
        <v>6.9444444444444198E-4</v>
      </c>
      <c r="I355" s="5">
        <v>129</v>
      </c>
      <c r="J355" s="5" t="s">
        <v>56</v>
      </c>
      <c r="K355" s="11" t="str">
        <f t="shared" si="34"/>
        <v>Green129</v>
      </c>
      <c r="L355" s="5">
        <v>190</v>
      </c>
      <c r="M355" t="s">
        <v>24</v>
      </c>
      <c r="N355" t="s">
        <v>27</v>
      </c>
      <c r="P355">
        <v>0.43613802522241046</v>
      </c>
      <c r="Q355">
        <f t="shared" si="30"/>
        <v>10</v>
      </c>
      <c r="R355">
        <f ca="1">IF(ISNA(MATCH(P355,OFFSET('age-length key'!O$8,Data!Q355,17,1,5),1)),1,MATCH(P355,OFFSET('age-length key'!O$8,Data!Q355,17,1,5),1)+1)</f>
        <v>2</v>
      </c>
      <c r="S355">
        <f ca="1">IF(D355="Recapture",IF(OFFSET(B$1,MATCH(K355,K$2:K354,0),0)=B355,0,1),1)</f>
        <v>1</v>
      </c>
    </row>
    <row r="356" spans="1:19" x14ac:dyDescent="0.2">
      <c r="A356" s="1">
        <v>44350</v>
      </c>
      <c r="B356" s="28">
        <f t="shared" si="32"/>
        <v>20216</v>
      </c>
      <c r="C356">
        <f>A356-A$2</f>
        <v>374</v>
      </c>
      <c r="D356" s="5" t="s">
        <v>47</v>
      </c>
      <c r="E356" s="25" t="s">
        <v>49</v>
      </c>
      <c r="F356" s="4">
        <v>0.43888888888888888</v>
      </c>
      <c r="G356" s="4">
        <v>0.44027777777777777</v>
      </c>
      <c r="H356" s="3">
        <f t="shared" si="33"/>
        <v>1.388888888888884E-3</v>
      </c>
      <c r="I356" s="5">
        <v>121</v>
      </c>
      <c r="J356" s="5" t="s">
        <v>56</v>
      </c>
      <c r="K356" s="11" t="str">
        <f t="shared" si="34"/>
        <v>Green121</v>
      </c>
      <c r="L356" s="5">
        <v>295</v>
      </c>
      <c r="M356" t="s">
        <v>18</v>
      </c>
      <c r="N356" t="s">
        <v>27</v>
      </c>
      <c r="P356">
        <v>0.17178991305259517</v>
      </c>
      <c r="Q356">
        <f t="shared" si="30"/>
        <v>21</v>
      </c>
      <c r="R356">
        <f ca="1">IF(ISNA(MATCH(P356,OFFSET('age-length key'!O$8,Data!Q356,17,1,5),1)),1,MATCH(P356,OFFSET('age-length key'!O$8,Data!Q356,17,1,5),1)+1)</f>
        <v>3</v>
      </c>
      <c r="S356">
        <f ca="1">IF(D356="Recapture",IF(OFFSET(B$1,MATCH(K356,K$2:K355,0),0)=B356,0,1),1)</f>
        <v>1</v>
      </c>
    </row>
    <row r="357" spans="1:19" x14ac:dyDescent="0.2">
      <c r="A357" s="1">
        <v>44350</v>
      </c>
      <c r="B357" s="28">
        <f t="shared" si="32"/>
        <v>20216</v>
      </c>
      <c r="C357">
        <f>A357-A$2</f>
        <v>374</v>
      </c>
      <c r="D357" s="5" t="s">
        <v>47</v>
      </c>
      <c r="E357" s="25" t="s">
        <v>49</v>
      </c>
      <c r="F357" s="4">
        <v>0.46180555555555558</v>
      </c>
      <c r="G357" s="4">
        <v>0.46319444444444446</v>
      </c>
      <c r="H357" s="3">
        <f t="shared" si="33"/>
        <v>1.388888888888884E-3</v>
      </c>
      <c r="I357" s="5">
        <v>123</v>
      </c>
      <c r="J357" s="5" t="s">
        <v>56</v>
      </c>
      <c r="K357" s="11" t="str">
        <f t="shared" si="34"/>
        <v>Green123</v>
      </c>
      <c r="L357" s="5">
        <v>220</v>
      </c>
      <c r="M357" t="s">
        <v>18</v>
      </c>
      <c r="N357" t="s">
        <v>27</v>
      </c>
      <c r="P357">
        <v>0.27306867496719056</v>
      </c>
      <c r="Q357">
        <f t="shared" si="30"/>
        <v>13</v>
      </c>
      <c r="R357">
        <f ca="1">IF(ISNA(MATCH(P357,OFFSET('age-length key'!O$8,Data!Q357,17,1,5),1)),1,MATCH(P357,OFFSET('age-length key'!O$8,Data!Q357,17,1,5),1)+1)</f>
        <v>2</v>
      </c>
      <c r="S357">
        <f ca="1">IF(D357="Recapture",IF(OFFSET(B$1,MATCH(K357,K$2:K356,0),0)=B357,0,1),1)</f>
        <v>1</v>
      </c>
    </row>
    <row r="358" spans="1:19" x14ac:dyDescent="0.2">
      <c r="A358" s="1">
        <v>44350</v>
      </c>
      <c r="B358" s="28">
        <f t="shared" si="32"/>
        <v>20216</v>
      </c>
      <c r="C358">
        <f>A358-A$2</f>
        <v>374</v>
      </c>
      <c r="D358" s="5" t="s">
        <v>47</v>
      </c>
      <c r="E358" s="25" t="s">
        <v>49</v>
      </c>
      <c r="F358" s="4">
        <v>0.42222222222222222</v>
      </c>
      <c r="G358" s="4">
        <v>0.42430555555555555</v>
      </c>
      <c r="H358" s="3">
        <f t="shared" si="33"/>
        <v>2.0833333333333259E-3</v>
      </c>
      <c r="I358" s="5">
        <v>115</v>
      </c>
      <c r="J358" s="5" t="s">
        <v>56</v>
      </c>
      <c r="K358" s="11" t="str">
        <f t="shared" si="34"/>
        <v>Green115</v>
      </c>
      <c r="L358" s="5">
        <v>320</v>
      </c>
      <c r="M358" t="s">
        <v>12</v>
      </c>
      <c r="N358" t="s">
        <v>27</v>
      </c>
      <c r="P358">
        <v>0.46522017357182699</v>
      </c>
      <c r="Q358">
        <f t="shared" si="30"/>
        <v>23</v>
      </c>
      <c r="R358">
        <f ca="1">IF(ISNA(MATCH(P358,OFFSET('age-length key'!O$8,Data!Q358,17,1,5),1)),1,MATCH(P358,OFFSET('age-length key'!O$8,Data!Q358,17,1,5),1)+1)</f>
        <v>3</v>
      </c>
      <c r="S358">
        <f ca="1">IF(D358="Recapture",IF(OFFSET(B$1,MATCH(K358,K$2:K357,0),0)=B358,0,1),1)</f>
        <v>1</v>
      </c>
    </row>
    <row r="359" spans="1:19" x14ac:dyDescent="0.2">
      <c r="A359" s="1">
        <v>44350</v>
      </c>
      <c r="B359" s="28">
        <f t="shared" si="32"/>
        <v>20216</v>
      </c>
      <c r="C359">
        <f>A359-A$2</f>
        <v>374</v>
      </c>
      <c r="D359" s="5" t="s">
        <v>47</v>
      </c>
      <c r="E359" s="25" t="s">
        <v>49</v>
      </c>
      <c r="F359" s="4">
        <v>0.52152777777777781</v>
      </c>
      <c r="G359" s="4">
        <v>0.52361111111111114</v>
      </c>
      <c r="H359" s="3">
        <f t="shared" si="33"/>
        <v>2.0833333333333259E-3</v>
      </c>
      <c r="I359" s="5">
        <v>131</v>
      </c>
      <c r="J359" s="5" t="s">
        <v>56</v>
      </c>
      <c r="K359" s="11" t="str">
        <f t="shared" si="34"/>
        <v>Green131</v>
      </c>
      <c r="L359" s="5">
        <v>220</v>
      </c>
      <c r="M359" t="s">
        <v>9</v>
      </c>
      <c r="N359" t="s">
        <v>27</v>
      </c>
      <c r="P359">
        <v>0.95545722169590053</v>
      </c>
      <c r="Q359">
        <f t="shared" si="30"/>
        <v>13</v>
      </c>
      <c r="R359">
        <f ca="1">IF(ISNA(MATCH(P359,OFFSET('age-length key'!O$8,Data!Q359,17,1,5),1)),1,MATCH(P359,OFFSET('age-length key'!O$8,Data!Q359,17,1,5),1)+1)</f>
        <v>3</v>
      </c>
      <c r="S359">
        <f ca="1">IF(D359="Recapture",IF(OFFSET(B$1,MATCH(K359,K$2:K358,0),0)=B359,0,1),1)</f>
        <v>1</v>
      </c>
    </row>
    <row r="360" spans="1:19" x14ac:dyDescent="0.2">
      <c r="A360" s="1">
        <v>44350</v>
      </c>
      <c r="B360" s="28">
        <f t="shared" si="32"/>
        <v>20216</v>
      </c>
      <c r="C360">
        <f>A360-A$2</f>
        <v>374</v>
      </c>
      <c r="D360" s="5" t="s">
        <v>47</v>
      </c>
      <c r="E360" s="25" t="s">
        <v>49</v>
      </c>
      <c r="F360" s="4">
        <v>0.55625000000000002</v>
      </c>
      <c r="G360" s="4">
        <v>0.55833333333333335</v>
      </c>
      <c r="H360" s="3">
        <f t="shared" si="33"/>
        <v>2.0833333333333259E-3</v>
      </c>
      <c r="I360" s="5">
        <v>135</v>
      </c>
      <c r="J360" s="5" t="s">
        <v>56</v>
      </c>
      <c r="K360" s="11" t="str">
        <f t="shared" si="34"/>
        <v>Green135</v>
      </c>
      <c r="L360" s="5">
        <v>295</v>
      </c>
      <c r="M360" t="s">
        <v>13</v>
      </c>
      <c r="N360" t="s">
        <v>27</v>
      </c>
      <c r="P360">
        <v>0.36952504300024597</v>
      </c>
      <c r="Q360">
        <f t="shared" si="30"/>
        <v>21</v>
      </c>
      <c r="R360">
        <f ca="1">IF(ISNA(MATCH(P360,OFFSET('age-length key'!O$8,Data!Q360,17,1,5),1)),1,MATCH(P360,OFFSET('age-length key'!O$8,Data!Q360,17,1,5),1)+1)</f>
        <v>3</v>
      </c>
      <c r="S360">
        <f ca="1">IF(D360="Recapture",IF(OFFSET(B$1,MATCH(K360,K$2:K359,0),0)=B360,0,1),1)</f>
        <v>1</v>
      </c>
    </row>
    <row r="361" spans="1:19" x14ac:dyDescent="0.2">
      <c r="A361" s="1">
        <v>44350</v>
      </c>
      <c r="B361" s="28">
        <f t="shared" si="32"/>
        <v>20216</v>
      </c>
      <c r="C361">
        <f>A361-A$2</f>
        <v>374</v>
      </c>
      <c r="D361" s="5" t="s">
        <v>47</v>
      </c>
      <c r="E361" s="25" t="s">
        <v>49</v>
      </c>
      <c r="F361" s="4">
        <v>0.4069444444444445</v>
      </c>
      <c r="G361" s="4">
        <v>0.40972222222222227</v>
      </c>
      <c r="H361" s="3">
        <f t="shared" si="33"/>
        <v>2.7777777777777679E-3</v>
      </c>
      <c r="I361" s="5">
        <v>113</v>
      </c>
      <c r="J361" s="5" t="s">
        <v>56</v>
      </c>
      <c r="K361" s="11" t="str">
        <f t="shared" si="34"/>
        <v>Green113</v>
      </c>
      <c r="L361" s="5">
        <v>315</v>
      </c>
      <c r="M361" t="s">
        <v>17</v>
      </c>
      <c r="N361" t="s">
        <v>27</v>
      </c>
      <c r="P361">
        <v>0.60739770513372393</v>
      </c>
      <c r="Q361">
        <f t="shared" si="30"/>
        <v>23</v>
      </c>
      <c r="R361">
        <f ca="1">IF(ISNA(MATCH(P361,OFFSET('age-length key'!O$8,Data!Q361,17,1,5),1)),1,MATCH(P361,OFFSET('age-length key'!O$8,Data!Q361,17,1,5),1)+1)</f>
        <v>3</v>
      </c>
      <c r="S361">
        <f ca="1">IF(D361="Recapture",IF(OFFSET(B$1,MATCH(K361,K$2:K360,0),0)=B361,0,1),1)</f>
        <v>1</v>
      </c>
    </row>
    <row r="362" spans="1:19" x14ac:dyDescent="0.2">
      <c r="A362" s="1">
        <v>44350</v>
      </c>
      <c r="B362" s="28">
        <f t="shared" si="32"/>
        <v>20216</v>
      </c>
      <c r="C362">
        <f>A362-A$2</f>
        <v>374</v>
      </c>
      <c r="D362" s="5" t="s">
        <v>47</v>
      </c>
      <c r="E362" s="25" t="s">
        <v>49</v>
      </c>
      <c r="F362" s="4">
        <v>0.47638888888888892</v>
      </c>
      <c r="G362" s="4">
        <v>0.47916666666666669</v>
      </c>
      <c r="H362" s="3">
        <f t="shared" si="33"/>
        <v>2.7777777777777679E-3</v>
      </c>
      <c r="I362" s="5">
        <v>126</v>
      </c>
      <c r="J362" s="5" t="s">
        <v>56</v>
      </c>
      <c r="K362" s="11" t="str">
        <f t="shared" si="34"/>
        <v>Green126</v>
      </c>
      <c r="L362" s="5">
        <v>200</v>
      </c>
      <c r="M362" t="s">
        <v>20</v>
      </c>
      <c r="N362" t="s">
        <v>27</v>
      </c>
      <c r="P362">
        <v>0.53323018249740362</v>
      </c>
      <c r="Q362">
        <f t="shared" si="30"/>
        <v>11</v>
      </c>
      <c r="R362">
        <f ca="1">IF(ISNA(MATCH(P362,OFFSET('age-length key'!O$8,Data!Q362,17,1,5),1)),1,MATCH(P362,OFFSET('age-length key'!O$8,Data!Q362,17,1,5),1)+1)</f>
        <v>2</v>
      </c>
      <c r="S362">
        <f ca="1">IF(D362="Recapture",IF(OFFSET(B$1,MATCH(K362,K$2:K361,0),0)=B362,0,1),1)</f>
        <v>1</v>
      </c>
    </row>
    <row r="363" spans="1:19" x14ac:dyDescent="0.2">
      <c r="A363" s="1">
        <v>44350</v>
      </c>
      <c r="B363" s="28">
        <f t="shared" si="32"/>
        <v>20216</v>
      </c>
      <c r="C363">
        <f>A363-A$2</f>
        <v>374</v>
      </c>
      <c r="D363" s="5" t="s">
        <v>47</v>
      </c>
      <c r="E363" s="25" t="s">
        <v>49</v>
      </c>
      <c r="F363" s="4">
        <v>0.55277777777777781</v>
      </c>
      <c r="G363" s="4">
        <v>0.55555555555555558</v>
      </c>
      <c r="H363" s="3">
        <f t="shared" si="33"/>
        <v>2.7777777777777679E-3</v>
      </c>
      <c r="I363" s="5">
        <v>134</v>
      </c>
      <c r="J363" s="5" t="s">
        <v>56</v>
      </c>
      <c r="K363" s="11" t="str">
        <f t="shared" si="34"/>
        <v>Green134</v>
      </c>
      <c r="L363" s="5">
        <v>200</v>
      </c>
      <c r="M363" t="s">
        <v>13</v>
      </c>
      <c r="N363" t="s">
        <v>27</v>
      </c>
      <c r="P363">
        <v>0.99967723386347163</v>
      </c>
      <c r="Q363">
        <f t="shared" si="30"/>
        <v>11</v>
      </c>
      <c r="R363">
        <f ca="1">IF(ISNA(MATCH(P363,OFFSET('age-length key'!O$8,Data!Q363,17,1,5),1)),1,MATCH(P363,OFFSET('age-length key'!O$8,Data!Q363,17,1,5),1)+1)</f>
        <v>3</v>
      </c>
      <c r="S363">
        <f ca="1">IF(D363="Recapture",IF(OFFSET(B$1,MATCH(K363,K$2:K362,0),0)=B363,0,1),1)</f>
        <v>1</v>
      </c>
    </row>
    <row r="364" spans="1:19" x14ac:dyDescent="0.2">
      <c r="A364" s="1">
        <v>44350</v>
      </c>
      <c r="B364" s="28">
        <f t="shared" si="32"/>
        <v>20216</v>
      </c>
      <c r="C364">
        <f>A364-A$2</f>
        <v>374</v>
      </c>
      <c r="D364" s="5" t="s">
        <v>47</v>
      </c>
      <c r="E364" s="25" t="s">
        <v>49</v>
      </c>
      <c r="F364" s="4">
        <v>0.5083333333333333</v>
      </c>
      <c r="G364" s="4">
        <v>0.51111111111111118</v>
      </c>
      <c r="H364" s="3">
        <f t="shared" si="33"/>
        <v>2.7777777777778789E-3</v>
      </c>
      <c r="I364" s="5">
        <v>130</v>
      </c>
      <c r="J364" s="5" t="s">
        <v>56</v>
      </c>
      <c r="K364" s="11" t="str">
        <f t="shared" si="34"/>
        <v>Green130</v>
      </c>
      <c r="L364" s="5">
        <v>195</v>
      </c>
      <c r="M364" t="s">
        <v>24</v>
      </c>
      <c r="N364" t="s">
        <v>27</v>
      </c>
      <c r="P364">
        <v>0.57526954336802916</v>
      </c>
      <c r="Q364">
        <f t="shared" si="30"/>
        <v>11</v>
      </c>
      <c r="R364">
        <f ca="1">IF(ISNA(MATCH(P364,OFFSET('age-length key'!O$8,Data!Q364,17,1,5),1)),1,MATCH(P364,OFFSET('age-length key'!O$8,Data!Q364,17,1,5),1)+1)</f>
        <v>2</v>
      </c>
      <c r="S364">
        <f ca="1">IF(D364="Recapture",IF(OFFSET(B$1,MATCH(K364,K$2:K363,0),0)=B364,0,1),1)</f>
        <v>1</v>
      </c>
    </row>
    <row r="365" spans="1:19" x14ac:dyDescent="0.2">
      <c r="A365" s="1">
        <v>44350</v>
      </c>
      <c r="B365" s="28">
        <f t="shared" si="32"/>
        <v>20216</v>
      </c>
      <c r="C365">
        <f>A365-A$2</f>
        <v>374</v>
      </c>
      <c r="D365" s="5" t="s">
        <v>47</v>
      </c>
      <c r="E365" s="25" t="s">
        <v>49</v>
      </c>
      <c r="F365" s="4">
        <v>0.48333333333333334</v>
      </c>
      <c r="G365" s="4">
        <v>0.48680555555555555</v>
      </c>
      <c r="H365" s="3">
        <f t="shared" si="33"/>
        <v>3.4722222222222099E-3</v>
      </c>
      <c r="I365" s="5">
        <v>127</v>
      </c>
      <c r="J365" s="5" t="s">
        <v>56</v>
      </c>
      <c r="K365" s="11" t="str">
        <f t="shared" si="34"/>
        <v>Green127</v>
      </c>
      <c r="L365" s="5">
        <v>290</v>
      </c>
      <c r="M365" t="s">
        <v>20</v>
      </c>
      <c r="N365" t="s">
        <v>27</v>
      </c>
      <c r="P365">
        <v>0.55521538646668911</v>
      </c>
      <c r="Q365">
        <f t="shared" si="30"/>
        <v>20</v>
      </c>
      <c r="R365">
        <f ca="1">IF(ISNA(MATCH(P365,OFFSET('age-length key'!O$8,Data!Q365,17,1,5),1)),1,MATCH(P365,OFFSET('age-length key'!O$8,Data!Q365,17,1,5),1)+1)</f>
        <v>3</v>
      </c>
      <c r="S365">
        <f ca="1">IF(D365="Recapture",IF(OFFSET(B$1,MATCH(K365,K$2:K364,0),0)=B365,0,1),1)</f>
        <v>1</v>
      </c>
    </row>
    <row r="366" spans="1:19" x14ac:dyDescent="0.2">
      <c r="A366" s="1">
        <v>44350</v>
      </c>
      <c r="B366" s="28">
        <f t="shared" si="32"/>
        <v>20216</v>
      </c>
      <c r="C366">
        <f>A366-A$2</f>
        <v>374</v>
      </c>
      <c r="D366" s="5" t="s">
        <v>47</v>
      </c>
      <c r="E366" s="25" t="s">
        <v>49</v>
      </c>
      <c r="F366" s="4">
        <v>0.54583333333333328</v>
      </c>
      <c r="G366" s="4">
        <v>0.54999999999999993</v>
      </c>
      <c r="H366" s="3">
        <f t="shared" si="33"/>
        <v>4.1666666666666519E-3</v>
      </c>
      <c r="I366" s="5">
        <v>133</v>
      </c>
      <c r="J366" s="5" t="s">
        <v>56</v>
      </c>
      <c r="K366" s="11" t="str">
        <f t="shared" si="34"/>
        <v>Green133</v>
      </c>
      <c r="L366" s="5">
        <v>250</v>
      </c>
      <c r="M366" t="s">
        <v>13</v>
      </c>
      <c r="N366" t="s">
        <v>27</v>
      </c>
      <c r="P366">
        <v>0.50500034564407559</v>
      </c>
      <c r="Q366">
        <f t="shared" si="30"/>
        <v>16</v>
      </c>
      <c r="R366">
        <f ca="1">IF(ISNA(MATCH(P366,OFFSET('age-length key'!O$8,Data!Q366,17,1,5),1)),1,MATCH(P366,OFFSET('age-length key'!O$8,Data!Q366,17,1,5),1)+1)</f>
        <v>2</v>
      </c>
      <c r="S366">
        <f ca="1">IF(D366="Recapture",IF(OFFSET(B$1,MATCH(K366,K$2:K365,0),0)=B366,0,1),1)</f>
        <v>1</v>
      </c>
    </row>
    <row r="367" spans="1:19" x14ac:dyDescent="0.2">
      <c r="A367" s="1">
        <v>44350</v>
      </c>
      <c r="B367" s="28">
        <f t="shared" si="32"/>
        <v>20216</v>
      </c>
      <c r="C367">
        <f>A367-A$2</f>
        <v>374</v>
      </c>
      <c r="D367" s="5" t="s">
        <v>47</v>
      </c>
      <c r="E367" s="25" t="s">
        <v>49</v>
      </c>
      <c r="F367" s="4">
        <v>0.35972222222222222</v>
      </c>
      <c r="G367" s="4">
        <v>0.36458333333333331</v>
      </c>
      <c r="H367" s="3">
        <f t="shared" si="33"/>
        <v>4.8611111111110938E-3</v>
      </c>
      <c r="I367" s="5">
        <v>110</v>
      </c>
      <c r="J367" s="5" t="s">
        <v>56</v>
      </c>
      <c r="K367" s="11" t="str">
        <f t="shared" si="34"/>
        <v>Green110</v>
      </c>
      <c r="L367" s="5">
        <v>230</v>
      </c>
      <c r="M367" t="s">
        <v>22</v>
      </c>
      <c r="N367" t="s">
        <v>27</v>
      </c>
      <c r="P367">
        <v>0.54080923997834751</v>
      </c>
      <c r="Q367">
        <f t="shared" si="30"/>
        <v>14</v>
      </c>
      <c r="R367">
        <f ca="1">IF(ISNA(MATCH(P367,OFFSET('age-length key'!O$8,Data!Q367,17,1,5),1)),1,MATCH(P367,OFFSET('age-length key'!O$8,Data!Q367,17,1,5),1)+1)</f>
        <v>2</v>
      </c>
      <c r="S367">
        <f ca="1">IF(D367="Recapture",IF(OFFSET(B$1,MATCH(K367,K$2:K366,0),0)=B367,0,1),1)</f>
        <v>1</v>
      </c>
    </row>
    <row r="368" spans="1:19" x14ac:dyDescent="0.2">
      <c r="A368" s="1">
        <v>44350</v>
      </c>
      <c r="B368" s="28">
        <f t="shared" si="32"/>
        <v>20216</v>
      </c>
      <c r="C368">
        <f>A368-A$2</f>
        <v>374</v>
      </c>
      <c r="D368" s="5" t="s">
        <v>47</v>
      </c>
      <c r="E368" s="25" t="s">
        <v>49</v>
      </c>
      <c r="F368" s="4">
        <v>0.42708333333333331</v>
      </c>
      <c r="G368" s="4">
        <v>0.43194444444444446</v>
      </c>
      <c r="H368" s="3">
        <f t="shared" si="33"/>
        <v>4.8611111111111494E-3</v>
      </c>
      <c r="I368" s="5">
        <v>120</v>
      </c>
      <c r="J368" s="5" t="s">
        <v>56</v>
      </c>
      <c r="K368" s="11" t="str">
        <f t="shared" si="34"/>
        <v>Green120</v>
      </c>
      <c r="L368" s="5">
        <v>330</v>
      </c>
      <c r="M368" t="s">
        <v>8</v>
      </c>
      <c r="N368" t="s">
        <v>27</v>
      </c>
      <c r="P368">
        <v>0.3808963160872908</v>
      </c>
      <c r="Q368">
        <f t="shared" si="30"/>
        <v>24</v>
      </c>
      <c r="R368">
        <f ca="1">IF(ISNA(MATCH(P368,OFFSET('age-length key'!O$8,Data!Q368,17,1,5),1)),1,MATCH(P368,OFFSET('age-length key'!O$8,Data!Q368,17,1,5),1)+1)</f>
        <v>3</v>
      </c>
      <c r="S368">
        <f ca="1">IF(D368="Recapture",IF(OFFSET(B$1,MATCH(K368,K$2:K367,0),0)=B368,0,1),1)</f>
        <v>1</v>
      </c>
    </row>
    <row r="369" spans="1:19" x14ac:dyDescent="0.2">
      <c r="A369" s="1">
        <v>44350</v>
      </c>
      <c r="B369" s="28">
        <f t="shared" si="32"/>
        <v>20216</v>
      </c>
      <c r="C369">
        <f>A369-A$2</f>
        <v>374</v>
      </c>
      <c r="D369" s="5" t="s">
        <v>47</v>
      </c>
      <c r="E369" s="25" t="s">
        <v>49</v>
      </c>
      <c r="F369" s="4">
        <v>0.46388888888888885</v>
      </c>
      <c r="G369" s="4">
        <v>0.46875</v>
      </c>
      <c r="H369" s="3">
        <f t="shared" si="33"/>
        <v>4.8611111111111494E-3</v>
      </c>
      <c r="I369" s="5">
        <v>124</v>
      </c>
      <c r="J369" s="5" t="s">
        <v>56</v>
      </c>
      <c r="K369" s="11" t="str">
        <f t="shared" si="34"/>
        <v>Green124</v>
      </c>
      <c r="L369" s="5">
        <v>295</v>
      </c>
      <c r="M369" t="s">
        <v>18</v>
      </c>
      <c r="N369" t="s">
        <v>27</v>
      </c>
      <c r="P369">
        <v>0.72438447909633841</v>
      </c>
      <c r="Q369">
        <f t="shared" si="30"/>
        <v>21</v>
      </c>
      <c r="R369">
        <f ca="1">IF(ISNA(MATCH(P369,OFFSET('age-length key'!O$8,Data!Q369,17,1,5),1)),1,MATCH(P369,OFFSET('age-length key'!O$8,Data!Q369,17,1,5),1)+1)</f>
        <v>3</v>
      </c>
      <c r="S369">
        <f ca="1">IF(D369="Recapture",IF(OFFSET(B$1,MATCH(K369,K$2:K368,0),0)=B369,0,1),1)</f>
        <v>1</v>
      </c>
    </row>
    <row r="370" spans="1:19" x14ac:dyDescent="0.2">
      <c r="A370" s="1">
        <v>44350</v>
      </c>
      <c r="B370" s="28">
        <f t="shared" si="32"/>
        <v>20216</v>
      </c>
      <c r="C370">
        <f>A370-A$2</f>
        <v>374</v>
      </c>
      <c r="D370" s="5" t="s">
        <v>47</v>
      </c>
      <c r="E370" s="25" t="s">
        <v>49</v>
      </c>
      <c r="F370" s="4">
        <v>0.47013888888888888</v>
      </c>
      <c r="G370" s="4">
        <v>0.47569444444444442</v>
      </c>
      <c r="H370" s="3">
        <f t="shared" si="33"/>
        <v>5.5555555555555358E-3</v>
      </c>
      <c r="I370" s="5">
        <v>125</v>
      </c>
      <c r="J370" s="5" t="s">
        <v>56</v>
      </c>
      <c r="K370" s="11" t="str">
        <f t="shared" si="34"/>
        <v>Green125</v>
      </c>
      <c r="L370" s="5">
        <v>285</v>
      </c>
      <c r="M370" t="s">
        <v>20</v>
      </c>
      <c r="N370" t="s">
        <v>27</v>
      </c>
      <c r="P370">
        <v>0.72994017215908513</v>
      </c>
      <c r="Q370">
        <f t="shared" si="30"/>
        <v>20</v>
      </c>
      <c r="R370">
        <f ca="1">IF(ISNA(MATCH(P370,OFFSET('age-length key'!O$8,Data!Q370,17,1,5),1)),1,MATCH(P370,OFFSET('age-length key'!O$8,Data!Q370,17,1,5),1)+1)</f>
        <v>3</v>
      </c>
      <c r="S370">
        <f ca="1">IF(D370="Recapture",IF(OFFSET(B$1,MATCH(K370,K$2:K369,0),0)=B370,0,1),1)</f>
        <v>1</v>
      </c>
    </row>
    <row r="371" spans="1:19" x14ac:dyDescent="0.2">
      <c r="A371" s="1">
        <v>44350</v>
      </c>
      <c r="B371" s="28">
        <f t="shared" si="32"/>
        <v>20216</v>
      </c>
      <c r="C371">
        <f>A371-A$2</f>
        <v>374</v>
      </c>
      <c r="D371" s="5" t="s">
        <v>47</v>
      </c>
      <c r="E371" s="25" t="s">
        <v>49</v>
      </c>
      <c r="F371" s="4">
        <v>0.39999999999999997</v>
      </c>
      <c r="G371" s="4">
        <v>0.40625</v>
      </c>
      <c r="H371" s="3">
        <f t="shared" si="33"/>
        <v>6.2500000000000333E-3</v>
      </c>
      <c r="I371" s="5">
        <v>112</v>
      </c>
      <c r="J371" s="5" t="s">
        <v>56</v>
      </c>
      <c r="K371" s="11" t="str">
        <f t="shared" si="34"/>
        <v>Green112</v>
      </c>
      <c r="L371" s="5">
        <v>235</v>
      </c>
      <c r="M371" t="s">
        <v>15</v>
      </c>
      <c r="N371" t="s">
        <v>27</v>
      </c>
      <c r="P371">
        <v>0.10447347774378651</v>
      </c>
      <c r="Q371">
        <f t="shared" si="30"/>
        <v>15</v>
      </c>
      <c r="R371">
        <f ca="1">IF(ISNA(MATCH(P371,OFFSET('age-length key'!O$8,Data!Q371,17,1,5),1)),1,MATCH(P371,OFFSET('age-length key'!O$8,Data!Q371,17,1,5),1)+1)</f>
        <v>2</v>
      </c>
      <c r="S371">
        <f ca="1">IF(D371="Recapture",IF(OFFSET(B$1,MATCH(K371,K$2:K370,0),0)=B371,0,1),1)</f>
        <v>1</v>
      </c>
    </row>
    <row r="372" spans="1:19" x14ac:dyDescent="0.2">
      <c r="A372" s="1">
        <v>44350</v>
      </c>
      <c r="B372" s="28">
        <f t="shared" si="32"/>
        <v>20216</v>
      </c>
      <c r="C372">
        <f>A372-A$2</f>
        <v>374</v>
      </c>
      <c r="D372" s="5" t="s">
        <v>47</v>
      </c>
      <c r="E372" s="25" t="s">
        <v>49</v>
      </c>
      <c r="F372" s="4">
        <v>0.3125</v>
      </c>
      <c r="G372" s="4">
        <v>0.31944444444444448</v>
      </c>
      <c r="H372" s="3">
        <f t="shared" si="33"/>
        <v>6.9444444444444753E-3</v>
      </c>
      <c r="I372" s="5">
        <v>108</v>
      </c>
      <c r="J372" s="5" t="s">
        <v>56</v>
      </c>
      <c r="K372" s="11" t="str">
        <f t="shared" si="34"/>
        <v>Green108</v>
      </c>
      <c r="L372" s="5">
        <v>300</v>
      </c>
      <c r="M372" t="s">
        <v>6</v>
      </c>
      <c r="N372" t="s">
        <v>27</v>
      </c>
      <c r="P372">
        <v>0.88574043981998252</v>
      </c>
      <c r="Q372">
        <f t="shared" si="30"/>
        <v>21</v>
      </c>
      <c r="R372">
        <f ca="1">IF(ISNA(MATCH(P372,OFFSET('age-length key'!O$8,Data!Q372,17,1,5),1)),1,MATCH(P372,OFFSET('age-length key'!O$8,Data!Q372,17,1,5),1)+1)</f>
        <v>3</v>
      </c>
      <c r="S372">
        <f ca="1">IF(D372="Recapture",IF(OFFSET(B$1,MATCH(K372,K$2:K371,0),0)=B372,0,1),1)</f>
        <v>1</v>
      </c>
    </row>
    <row r="373" spans="1:19" x14ac:dyDescent="0.2">
      <c r="A373" s="1">
        <v>44350</v>
      </c>
      <c r="B373" s="28">
        <f t="shared" si="32"/>
        <v>20216</v>
      </c>
      <c r="C373">
        <f>A373-A$2</f>
        <v>374</v>
      </c>
      <c r="D373" s="5" t="s">
        <v>47</v>
      </c>
      <c r="E373" s="25" t="s">
        <v>49</v>
      </c>
      <c r="F373" s="4">
        <v>0.53819444444444442</v>
      </c>
      <c r="G373" s="4">
        <v>0.54513888888888895</v>
      </c>
      <c r="H373" s="3">
        <f t="shared" si="33"/>
        <v>6.9444444444445308E-3</v>
      </c>
      <c r="I373" s="5">
        <v>132</v>
      </c>
      <c r="J373" s="5" t="s">
        <v>56</v>
      </c>
      <c r="K373" s="11" t="str">
        <f t="shared" si="34"/>
        <v>Green132</v>
      </c>
      <c r="L373" s="5">
        <v>220</v>
      </c>
      <c r="M373" t="s">
        <v>13</v>
      </c>
      <c r="N373" t="s">
        <v>27</v>
      </c>
      <c r="P373">
        <v>0.63957205444554432</v>
      </c>
      <c r="Q373">
        <f t="shared" si="30"/>
        <v>13</v>
      </c>
      <c r="R373">
        <f ca="1">IF(ISNA(MATCH(P373,OFFSET('age-length key'!O$8,Data!Q373,17,1,5),1)),1,MATCH(P373,OFFSET('age-length key'!O$8,Data!Q373,17,1,5),1)+1)</f>
        <v>2</v>
      </c>
      <c r="S373">
        <f ca="1">IF(D373="Recapture",IF(OFFSET(B$1,MATCH(K373,K$2:K372,0),0)=B373,0,1),1)</f>
        <v>1</v>
      </c>
    </row>
    <row r="374" spans="1:19" x14ac:dyDescent="0.2">
      <c r="A374" s="1">
        <v>44350</v>
      </c>
      <c r="B374" s="28">
        <f t="shared" si="32"/>
        <v>20216</v>
      </c>
      <c r="C374">
        <f>A374-A$2</f>
        <v>374</v>
      </c>
      <c r="D374" s="5" t="s">
        <v>47</v>
      </c>
      <c r="E374" s="25" t="s">
        <v>49</v>
      </c>
      <c r="F374" s="4">
        <v>0.44097222222222227</v>
      </c>
      <c r="G374" s="4">
        <v>0.4513888888888889</v>
      </c>
      <c r="H374" s="3">
        <f t="shared" si="33"/>
        <v>1.041666666666663E-2</v>
      </c>
      <c r="I374" s="5">
        <v>122</v>
      </c>
      <c r="J374" s="5" t="s">
        <v>56</v>
      </c>
      <c r="K374" s="11" t="str">
        <f t="shared" si="34"/>
        <v>Green122</v>
      </c>
      <c r="L374" s="5">
        <v>300</v>
      </c>
      <c r="M374" t="s">
        <v>18</v>
      </c>
      <c r="N374" t="s">
        <v>27</v>
      </c>
      <c r="P374">
        <v>0.2875190662627663</v>
      </c>
      <c r="Q374">
        <f t="shared" si="30"/>
        <v>21</v>
      </c>
      <c r="R374">
        <f ca="1">IF(ISNA(MATCH(P374,OFFSET('age-length key'!O$8,Data!Q374,17,1,5),1)),1,MATCH(P374,OFFSET('age-length key'!O$8,Data!Q374,17,1,5),1)+1)</f>
        <v>3</v>
      </c>
      <c r="S374">
        <f ca="1">IF(D374="Recapture",IF(OFFSET(B$1,MATCH(K374,K$2:K373,0),0)=B374,0,1),1)</f>
        <v>1</v>
      </c>
    </row>
    <row r="375" spans="1:19" x14ac:dyDescent="0.2">
      <c r="A375" s="1">
        <v>44350</v>
      </c>
      <c r="B375" s="28">
        <f t="shared" si="32"/>
        <v>20216</v>
      </c>
      <c r="C375">
        <f>A375-A$2</f>
        <v>374</v>
      </c>
      <c r="D375" s="5" t="s">
        <v>47</v>
      </c>
      <c r="E375" s="25" t="s">
        <v>49</v>
      </c>
      <c r="F375" s="4">
        <v>0.40972222222222227</v>
      </c>
      <c r="G375" s="4">
        <v>0.42152777777777778</v>
      </c>
      <c r="H375" s="3">
        <f t="shared" si="33"/>
        <v>1.1805555555555514E-2</v>
      </c>
      <c r="I375" s="5">
        <v>114</v>
      </c>
      <c r="J375" s="5" t="s">
        <v>56</v>
      </c>
      <c r="K375" s="11" t="str">
        <f t="shared" si="34"/>
        <v>Green114</v>
      </c>
      <c r="L375" s="5">
        <v>270</v>
      </c>
      <c r="M375" t="s">
        <v>12</v>
      </c>
      <c r="N375" t="s">
        <v>27</v>
      </c>
      <c r="P375">
        <v>0.33294667831293617</v>
      </c>
      <c r="Q375">
        <f t="shared" si="30"/>
        <v>18</v>
      </c>
      <c r="R375">
        <f ca="1">IF(ISNA(MATCH(P375,OFFSET('age-length key'!O$8,Data!Q375,17,1,5),1)),1,MATCH(P375,OFFSET('age-length key'!O$8,Data!Q375,17,1,5),1)+1)</f>
        <v>3</v>
      </c>
      <c r="S375">
        <f ca="1">IF(D375="Recapture",IF(OFFSET(B$1,MATCH(K375,K$2:K374,0),0)=B375,0,1),1)</f>
        <v>1</v>
      </c>
    </row>
    <row r="376" spans="1:19" x14ac:dyDescent="0.2">
      <c r="A376" s="1">
        <v>44350</v>
      </c>
      <c r="B376" s="28">
        <f t="shared" si="32"/>
        <v>20216</v>
      </c>
      <c r="C376">
        <f>A376-A$2</f>
        <v>374</v>
      </c>
      <c r="D376" s="5" t="s">
        <v>47</v>
      </c>
      <c r="E376" s="25" t="s">
        <v>49</v>
      </c>
      <c r="F376" s="4">
        <v>0.34791666666666665</v>
      </c>
      <c r="G376" s="4">
        <v>0.35972222222222222</v>
      </c>
      <c r="H376" s="3">
        <f t="shared" si="33"/>
        <v>1.1805555555555569E-2</v>
      </c>
      <c r="I376" s="5">
        <v>109</v>
      </c>
      <c r="J376" s="5" t="s">
        <v>56</v>
      </c>
      <c r="K376" s="11" t="str">
        <f t="shared" si="34"/>
        <v>Green109</v>
      </c>
      <c r="L376" s="5">
        <v>300</v>
      </c>
      <c r="M376" t="s">
        <v>22</v>
      </c>
      <c r="N376" t="s">
        <v>27</v>
      </c>
      <c r="P376">
        <v>0.83482240551841558</v>
      </c>
      <c r="Q376">
        <f t="shared" si="30"/>
        <v>21</v>
      </c>
      <c r="R376">
        <f ca="1">IF(ISNA(MATCH(P376,OFFSET('age-length key'!O$8,Data!Q376,17,1,5),1)),1,MATCH(P376,OFFSET('age-length key'!O$8,Data!Q376,17,1,5),1)+1)</f>
        <v>3</v>
      </c>
      <c r="S376">
        <f ca="1">IF(D376="Recapture",IF(OFFSET(B$1,MATCH(K376,K$2:K375,0),0)=B376,0,1),1)</f>
        <v>1</v>
      </c>
    </row>
    <row r="377" spans="1:19" x14ac:dyDescent="0.2">
      <c r="A377" s="1">
        <v>44350</v>
      </c>
      <c r="B377" s="28">
        <f t="shared" si="32"/>
        <v>20216</v>
      </c>
      <c r="C377">
        <f>A377-A$2</f>
        <v>374</v>
      </c>
      <c r="D377" s="5" t="s">
        <v>47</v>
      </c>
      <c r="E377" s="25" t="s">
        <v>49</v>
      </c>
      <c r="F377" s="4">
        <v>0.36458333333333331</v>
      </c>
      <c r="G377" s="4">
        <v>0.37916666666666665</v>
      </c>
      <c r="H377" s="3">
        <f t="shared" si="33"/>
        <v>1.4583333333333337E-2</v>
      </c>
      <c r="I377" s="5">
        <v>111</v>
      </c>
      <c r="J377" s="5" t="s">
        <v>56</v>
      </c>
      <c r="K377" s="11" t="str">
        <f t="shared" si="34"/>
        <v>Green111</v>
      </c>
      <c r="L377" s="5">
        <v>350</v>
      </c>
      <c r="M377" t="s">
        <v>22</v>
      </c>
      <c r="N377" t="s">
        <v>27</v>
      </c>
      <c r="P377">
        <v>0.86016954801053258</v>
      </c>
      <c r="Q377">
        <f t="shared" si="30"/>
        <v>26</v>
      </c>
      <c r="R377">
        <f ca="1">IF(ISNA(MATCH(P377,OFFSET('age-length key'!O$8,Data!Q377,17,1,5),1)),1,MATCH(P377,OFFSET('age-length key'!O$8,Data!Q377,17,1,5),1)+1)</f>
        <v>4</v>
      </c>
      <c r="S377">
        <f ca="1">IF(D377="Recapture",IF(OFFSET(B$1,MATCH(K377,K$2:K376,0),0)=B377,0,1),1)</f>
        <v>1</v>
      </c>
    </row>
    <row r="378" spans="1:19" x14ac:dyDescent="0.2">
      <c r="A378" s="1">
        <v>44350</v>
      </c>
      <c r="B378" s="28">
        <f t="shared" si="32"/>
        <v>20216</v>
      </c>
      <c r="C378">
        <f>A378-A$2</f>
        <v>374</v>
      </c>
      <c r="D378" s="5" t="s">
        <v>47</v>
      </c>
      <c r="E378" s="25" t="s">
        <v>49</v>
      </c>
      <c r="F378" s="4">
        <v>0.48749999999999999</v>
      </c>
      <c r="G378" s="4">
        <v>0.50486111111111109</v>
      </c>
      <c r="H378" s="3">
        <f t="shared" si="33"/>
        <v>1.7361111111111105E-2</v>
      </c>
      <c r="I378" s="5">
        <v>128</v>
      </c>
      <c r="J378" s="5" t="s">
        <v>56</v>
      </c>
      <c r="K378" s="11" t="str">
        <f t="shared" si="34"/>
        <v>Green128</v>
      </c>
      <c r="L378" s="5">
        <v>205</v>
      </c>
      <c r="M378" t="s">
        <v>24</v>
      </c>
      <c r="N378" t="s">
        <v>27</v>
      </c>
      <c r="P378">
        <v>0.8695934130202948</v>
      </c>
      <c r="Q378">
        <f t="shared" si="30"/>
        <v>12</v>
      </c>
      <c r="R378">
        <f ca="1">IF(ISNA(MATCH(P378,OFFSET('age-length key'!O$8,Data!Q378,17,1,5),1)),1,MATCH(P378,OFFSET('age-length key'!O$8,Data!Q378,17,1,5),1)+1)</f>
        <v>2</v>
      </c>
      <c r="S378">
        <f ca="1">IF(D378="Recapture",IF(OFFSET(B$1,MATCH(K378,K$2:K377,0),0)=B378,0,1),1)</f>
        <v>1</v>
      </c>
    </row>
    <row r="379" spans="1:19" x14ac:dyDescent="0.2">
      <c r="A379" s="1">
        <v>44350</v>
      </c>
      <c r="B379" s="28">
        <f t="shared" si="32"/>
        <v>20216</v>
      </c>
      <c r="C379">
        <f>A379-A$2</f>
        <v>374</v>
      </c>
      <c r="D379" s="5" t="s">
        <v>47</v>
      </c>
      <c r="E379" s="25" t="s">
        <v>49</v>
      </c>
      <c r="F379" s="4">
        <v>0.55902777777777779</v>
      </c>
      <c r="G379" s="4">
        <v>0.57638888888888895</v>
      </c>
      <c r="H379" s="3">
        <f t="shared" si="33"/>
        <v>1.736111111111116E-2</v>
      </c>
      <c r="I379" s="5">
        <v>136</v>
      </c>
      <c r="J379" s="5" t="s">
        <v>56</v>
      </c>
      <c r="K379" s="11" t="str">
        <f t="shared" si="34"/>
        <v>Green136</v>
      </c>
      <c r="L379" s="5">
        <v>235</v>
      </c>
      <c r="M379" t="s">
        <v>13</v>
      </c>
      <c r="N379" t="s">
        <v>27</v>
      </c>
      <c r="P379">
        <v>0.25649263209500006</v>
      </c>
      <c r="Q379">
        <f t="shared" si="30"/>
        <v>15</v>
      </c>
      <c r="R379">
        <f ca="1">IF(ISNA(MATCH(P379,OFFSET('age-length key'!O$8,Data!Q379,17,1,5),1)),1,MATCH(P379,OFFSET('age-length key'!O$8,Data!Q379,17,1,5),1)+1)</f>
        <v>2</v>
      </c>
      <c r="S379">
        <f ca="1">IF(D379="Recapture",IF(OFFSET(B$1,MATCH(K379,K$2:K378,0),0)=B379,0,1),1)</f>
        <v>1</v>
      </c>
    </row>
    <row r="380" spans="1:19" x14ac:dyDescent="0.2">
      <c r="A380" s="1">
        <v>44352</v>
      </c>
      <c r="B380" s="28">
        <f t="shared" si="32"/>
        <v>20216</v>
      </c>
      <c r="C380">
        <f>A380-A$2</f>
        <v>376</v>
      </c>
      <c r="D380" s="5" t="s">
        <v>58</v>
      </c>
      <c r="E380" s="22" t="s">
        <v>62</v>
      </c>
      <c r="F380" s="4">
        <v>0.32430555555555557</v>
      </c>
      <c r="G380" s="4">
        <v>0.32569444444444445</v>
      </c>
      <c r="H380" s="3">
        <f t="shared" si="33"/>
        <v>1.388888888888884E-3</v>
      </c>
      <c r="I380">
        <v>127</v>
      </c>
      <c r="J380" s="8" t="s">
        <v>56</v>
      </c>
      <c r="K380" s="11" t="str">
        <f t="shared" si="34"/>
        <v>Green127</v>
      </c>
      <c r="L380">
        <v>290</v>
      </c>
      <c r="M380" t="s">
        <v>14</v>
      </c>
      <c r="N380" t="s">
        <v>26</v>
      </c>
      <c r="P380">
        <v>0.87166762066617032</v>
      </c>
      <c r="Q380">
        <f t="shared" si="30"/>
        <v>20</v>
      </c>
      <c r="R380">
        <f ca="1">IF(ISNA(MATCH(P380,OFFSET('age-length key'!O$8,Data!Q380,17,1,5),1)),1,MATCH(P380,OFFSET('age-length key'!O$8,Data!Q380,17,1,5),1)+1)</f>
        <v>3</v>
      </c>
      <c r="S380">
        <f ca="1">IF(D380="Recapture",IF(OFFSET(B$1,MATCH(K380,K$2:K379,0),0)=B380,0,1),1)</f>
        <v>0</v>
      </c>
    </row>
    <row r="381" spans="1:19" x14ac:dyDescent="0.2">
      <c r="A381" s="1">
        <v>44355</v>
      </c>
      <c r="B381" s="28">
        <f t="shared" si="32"/>
        <v>20216</v>
      </c>
      <c r="C381">
        <f>A381-A$2</f>
        <v>379</v>
      </c>
      <c r="D381" s="5" t="s">
        <v>58</v>
      </c>
      <c r="E381" s="22" t="s">
        <v>49</v>
      </c>
      <c r="F381"/>
      <c r="G381"/>
      <c r="H381" s="3"/>
      <c r="I381">
        <v>39</v>
      </c>
      <c r="J381" s="8" t="s">
        <v>57</v>
      </c>
      <c r="K381" s="11" t="str">
        <f t="shared" si="34"/>
        <v>Pink39</v>
      </c>
      <c r="L381">
        <v>270</v>
      </c>
      <c r="M381" t="s">
        <v>22</v>
      </c>
      <c r="N381" t="s">
        <v>27</v>
      </c>
      <c r="P381">
        <v>0.11770053632450315</v>
      </c>
      <c r="Q381">
        <f t="shared" si="30"/>
        <v>18</v>
      </c>
      <c r="R381">
        <f ca="1">IF(ISNA(MATCH(P381,OFFSET('age-length key'!O$8,Data!Q381,17,1,5),1)),1,MATCH(P381,OFFSET('age-length key'!O$8,Data!Q381,17,1,5),1)+1)</f>
        <v>2</v>
      </c>
      <c r="S381">
        <f ca="1">IF(D381="Recapture",IF(OFFSET(B$1,MATCH(K381,K$2:K380,0),0)=B381,0,1),1)</f>
        <v>1</v>
      </c>
    </row>
    <row r="382" spans="1:19" x14ac:dyDescent="0.2">
      <c r="A382" s="1">
        <v>44355</v>
      </c>
      <c r="B382" s="28">
        <f t="shared" si="32"/>
        <v>20216</v>
      </c>
      <c r="C382">
        <f>A382-A$2</f>
        <v>379</v>
      </c>
      <c r="D382" s="5" t="s">
        <v>58</v>
      </c>
      <c r="E382" s="22" t="s">
        <v>49</v>
      </c>
      <c r="F382"/>
      <c r="G382"/>
      <c r="H382" s="3"/>
      <c r="I382">
        <v>40</v>
      </c>
      <c r="J382" s="8" t="s">
        <v>57</v>
      </c>
      <c r="K382" s="11" t="str">
        <f t="shared" si="34"/>
        <v>Pink40</v>
      </c>
      <c r="L382">
        <v>390</v>
      </c>
      <c r="M382" t="s">
        <v>23</v>
      </c>
      <c r="N382" t="s">
        <v>27</v>
      </c>
      <c r="P382">
        <v>0.19291400592444186</v>
      </c>
      <c r="Q382">
        <f t="shared" si="30"/>
        <v>30</v>
      </c>
      <c r="R382">
        <f ca="1">IF(ISNA(MATCH(P382,OFFSET('age-length key'!O$8,Data!Q382,17,1,5),1)),1,MATCH(P382,OFFSET('age-length key'!O$8,Data!Q382,17,1,5),1)+1)</f>
        <v>4</v>
      </c>
      <c r="S382">
        <f ca="1">IF(D382="Recapture",IF(OFFSET(B$1,MATCH(K382,K$2:K381,0),0)=B382,0,1),1)</f>
        <v>1</v>
      </c>
    </row>
    <row r="383" spans="1:19" x14ac:dyDescent="0.2">
      <c r="A383" s="1">
        <v>44355</v>
      </c>
      <c r="B383" s="28">
        <f t="shared" si="32"/>
        <v>20216</v>
      </c>
      <c r="C383">
        <f>A383-A$2</f>
        <v>379</v>
      </c>
      <c r="D383" s="5" t="s">
        <v>58</v>
      </c>
      <c r="E383" s="22" t="s">
        <v>49</v>
      </c>
      <c r="F383" s="4">
        <v>0.48402777777777778</v>
      </c>
      <c r="G383" s="4">
        <v>0.4861111111111111</v>
      </c>
      <c r="H383" s="3">
        <f t="shared" ref="H383:H422" si="35">G383-F383</f>
        <v>2.0833333333333259E-3</v>
      </c>
      <c r="I383">
        <v>14</v>
      </c>
      <c r="J383" s="8" t="s">
        <v>57</v>
      </c>
      <c r="K383" s="11" t="str">
        <f t="shared" si="34"/>
        <v>Pink14</v>
      </c>
      <c r="L383">
        <v>270</v>
      </c>
      <c r="M383" t="s">
        <v>12</v>
      </c>
      <c r="N383" t="s">
        <v>27</v>
      </c>
      <c r="P383">
        <v>0.30569757209424747</v>
      </c>
      <c r="Q383">
        <f t="shared" si="30"/>
        <v>18</v>
      </c>
      <c r="R383">
        <f ca="1">IF(ISNA(MATCH(P383,OFFSET('age-length key'!O$8,Data!Q383,17,1,5),1)),1,MATCH(P383,OFFSET('age-length key'!O$8,Data!Q383,17,1,5),1)+1)</f>
        <v>3</v>
      </c>
      <c r="S383">
        <f ca="1">IF(D383="Recapture",IF(OFFSET(B$1,MATCH(K383,K$2:K382,0),0)=B383,0,1),1)</f>
        <v>1</v>
      </c>
    </row>
    <row r="384" spans="1:19" x14ac:dyDescent="0.2">
      <c r="A384" s="1">
        <v>44355</v>
      </c>
      <c r="B384" s="28">
        <f t="shared" si="32"/>
        <v>20216</v>
      </c>
      <c r="C384">
        <f>A384-A$2</f>
        <v>379</v>
      </c>
      <c r="D384" s="5" t="s">
        <v>58</v>
      </c>
      <c r="E384" s="22" t="s">
        <v>49</v>
      </c>
      <c r="F384" s="4">
        <v>0.50138888888888888</v>
      </c>
      <c r="G384" s="4">
        <v>0.50347222222222221</v>
      </c>
      <c r="H384" s="3">
        <f t="shared" si="35"/>
        <v>2.0833333333333259E-3</v>
      </c>
      <c r="I384">
        <v>90</v>
      </c>
      <c r="J384" s="8" t="s">
        <v>56</v>
      </c>
      <c r="K384" s="11" t="str">
        <f t="shared" si="34"/>
        <v>Green90</v>
      </c>
      <c r="L384">
        <v>310</v>
      </c>
      <c r="M384" t="s">
        <v>19</v>
      </c>
      <c r="N384" t="s">
        <v>27</v>
      </c>
      <c r="P384">
        <v>0.85909418801734883</v>
      </c>
      <c r="Q384">
        <f t="shared" si="30"/>
        <v>22</v>
      </c>
      <c r="R384">
        <f ca="1">IF(ISNA(MATCH(P384,OFFSET('age-length key'!O$8,Data!Q384,17,1,5),1)),1,MATCH(P384,OFFSET('age-length key'!O$8,Data!Q384,17,1,5),1)+1)</f>
        <v>3</v>
      </c>
      <c r="S384">
        <f ca="1">IF(D384="Recapture",IF(OFFSET(B$1,MATCH(K384,K$2:K383,0),0)=B384,0,1),1)</f>
        <v>1</v>
      </c>
    </row>
    <row r="385" spans="1:19" x14ac:dyDescent="0.2">
      <c r="A385" s="1">
        <v>44355</v>
      </c>
      <c r="B385" s="28">
        <f t="shared" si="32"/>
        <v>20216</v>
      </c>
      <c r="C385">
        <f>A385-A$2</f>
        <v>379</v>
      </c>
      <c r="D385" s="5" t="s">
        <v>58</v>
      </c>
      <c r="E385" s="22" t="s">
        <v>49</v>
      </c>
      <c r="F385" s="4">
        <v>0.31944444444444448</v>
      </c>
      <c r="G385" s="4">
        <v>0.3215277777777778</v>
      </c>
      <c r="H385" s="3">
        <f t="shared" si="35"/>
        <v>2.0833333333333259E-3</v>
      </c>
      <c r="I385">
        <v>135</v>
      </c>
      <c r="J385" s="8" t="s">
        <v>56</v>
      </c>
      <c r="K385" s="11" t="str">
        <f t="shared" si="34"/>
        <v>Green135</v>
      </c>
      <c r="L385">
        <v>290</v>
      </c>
      <c r="M385" t="s">
        <v>13</v>
      </c>
      <c r="N385" t="s">
        <v>27</v>
      </c>
      <c r="P385">
        <v>0.79601800758206198</v>
      </c>
      <c r="Q385">
        <f t="shared" si="30"/>
        <v>20</v>
      </c>
      <c r="R385">
        <f ca="1">IF(ISNA(MATCH(P385,OFFSET('age-length key'!O$8,Data!Q385,17,1,5),1)),1,MATCH(P385,OFFSET('age-length key'!O$8,Data!Q385,17,1,5),1)+1)</f>
        <v>3</v>
      </c>
      <c r="S385">
        <f ca="1">IF(D385="Recapture",IF(OFFSET(B$1,MATCH(K385,K$2:K384,0),0)=B385,0,1),1)</f>
        <v>0</v>
      </c>
    </row>
    <row r="386" spans="1:19" x14ac:dyDescent="0.2">
      <c r="A386" s="1">
        <v>44355</v>
      </c>
      <c r="B386" s="28">
        <f t="shared" si="32"/>
        <v>20216</v>
      </c>
      <c r="C386">
        <f>A386-A$2</f>
        <v>379</v>
      </c>
      <c r="D386" s="5" t="s">
        <v>58</v>
      </c>
      <c r="E386" s="22" t="s">
        <v>49</v>
      </c>
      <c r="F386" s="4">
        <v>0.4145833333333333</v>
      </c>
      <c r="G386" s="4">
        <v>0.41666666666666669</v>
      </c>
      <c r="H386" s="3">
        <f t="shared" si="35"/>
        <v>2.0833333333333814E-3</v>
      </c>
      <c r="I386">
        <v>131</v>
      </c>
      <c r="J386" s="8" t="s">
        <v>56</v>
      </c>
      <c r="K386" s="11" t="str">
        <f t="shared" si="34"/>
        <v>Green131</v>
      </c>
      <c r="L386">
        <v>220</v>
      </c>
      <c r="M386" t="s">
        <v>9</v>
      </c>
      <c r="N386" t="s">
        <v>27</v>
      </c>
      <c r="P386">
        <v>0.67465343171481673</v>
      </c>
      <c r="Q386">
        <f t="shared" ref="Q386:Q449" si="36">INT((L386-95)/10)+1</f>
        <v>13</v>
      </c>
      <c r="R386">
        <f ca="1">IF(ISNA(MATCH(P386,OFFSET('age-length key'!O$8,Data!Q386,17,1,5),1)),1,MATCH(P386,OFFSET('age-length key'!O$8,Data!Q386,17,1,5),1)+1)</f>
        <v>2</v>
      </c>
      <c r="S386">
        <f ca="1">IF(D386="Recapture",IF(OFFSET(B$1,MATCH(K386,K$2:K385,0),0)=B386,0,1),1)</f>
        <v>0</v>
      </c>
    </row>
    <row r="387" spans="1:19" x14ac:dyDescent="0.2">
      <c r="A387" s="1">
        <v>44355</v>
      </c>
      <c r="B387" s="28">
        <f t="shared" si="32"/>
        <v>20216</v>
      </c>
      <c r="C387">
        <f>A387-A$2</f>
        <v>379</v>
      </c>
      <c r="D387" s="5" t="s">
        <v>58</v>
      </c>
      <c r="E387" s="22" t="s">
        <v>49</v>
      </c>
      <c r="F387" s="4">
        <v>0.4861111111111111</v>
      </c>
      <c r="G387" s="4">
        <v>0.48888888888888887</v>
      </c>
      <c r="H387" s="3">
        <f t="shared" si="35"/>
        <v>2.7777777777777679E-3</v>
      </c>
      <c r="I387">
        <v>151</v>
      </c>
      <c r="J387" s="8" t="s">
        <v>56</v>
      </c>
      <c r="K387" s="11" t="str">
        <f t="shared" si="34"/>
        <v>Green151</v>
      </c>
      <c r="L387">
        <v>220</v>
      </c>
      <c r="M387" t="s">
        <v>20</v>
      </c>
      <c r="N387" t="s">
        <v>27</v>
      </c>
      <c r="P387">
        <v>0.90022683092403544</v>
      </c>
      <c r="Q387">
        <f t="shared" si="36"/>
        <v>13</v>
      </c>
      <c r="R387">
        <f ca="1">IF(ISNA(MATCH(P387,OFFSET('age-length key'!O$8,Data!Q387,17,1,5),1)),1,MATCH(P387,OFFSET('age-length key'!O$8,Data!Q387,17,1,5),1)+1)</f>
        <v>2</v>
      </c>
      <c r="S387">
        <v>0</v>
      </c>
    </row>
    <row r="388" spans="1:19" x14ac:dyDescent="0.2">
      <c r="A388" s="1">
        <v>44355</v>
      </c>
      <c r="B388" s="28">
        <f t="shared" si="32"/>
        <v>20216</v>
      </c>
      <c r="C388">
        <f>A388-A$2</f>
        <v>379</v>
      </c>
      <c r="D388" s="5" t="s">
        <v>58</v>
      </c>
      <c r="E388" s="22" t="s">
        <v>49</v>
      </c>
      <c r="F388" s="4">
        <v>0.33055555555555555</v>
      </c>
      <c r="G388" s="4">
        <v>0.3347222222222222</v>
      </c>
      <c r="H388" s="3">
        <f t="shared" si="35"/>
        <v>4.1666666666666519E-3</v>
      </c>
      <c r="I388">
        <v>136</v>
      </c>
      <c r="J388" s="8" t="s">
        <v>56</v>
      </c>
      <c r="K388" s="11" t="str">
        <f t="shared" si="34"/>
        <v>Green136</v>
      </c>
      <c r="L388">
        <v>240</v>
      </c>
      <c r="M388" t="s">
        <v>6</v>
      </c>
      <c r="N388" t="s">
        <v>27</v>
      </c>
      <c r="P388">
        <v>0.11234734026358804</v>
      </c>
      <c r="Q388">
        <f t="shared" si="36"/>
        <v>15</v>
      </c>
      <c r="R388">
        <f ca="1">IF(ISNA(MATCH(P388,OFFSET('age-length key'!O$8,Data!Q388,17,1,5),1)),1,MATCH(P388,OFFSET('age-length key'!O$8,Data!Q388,17,1,5),1)+1)</f>
        <v>2</v>
      </c>
      <c r="S388">
        <f ca="1">IF(D388="Recapture",IF(OFFSET(B$1,MATCH(K388,K$2:K387,0),0)=B388,0,1),1)</f>
        <v>0</v>
      </c>
    </row>
    <row r="389" spans="1:19" x14ac:dyDescent="0.2">
      <c r="A389" s="1">
        <v>44355</v>
      </c>
      <c r="B389" s="28">
        <f t="shared" si="32"/>
        <v>20216</v>
      </c>
      <c r="C389">
        <f>A389-A$2</f>
        <v>379</v>
      </c>
      <c r="D389" s="5" t="s">
        <v>58</v>
      </c>
      <c r="E389" s="22" t="s">
        <v>49</v>
      </c>
      <c r="F389" s="4">
        <v>0.40625</v>
      </c>
      <c r="G389" s="4">
        <v>0.41319444444444442</v>
      </c>
      <c r="H389" s="3">
        <f t="shared" si="35"/>
        <v>6.9444444444444198E-3</v>
      </c>
      <c r="I389">
        <v>150</v>
      </c>
      <c r="J389" s="8" t="s">
        <v>56</v>
      </c>
      <c r="K389" s="11" t="str">
        <f t="shared" si="34"/>
        <v>Green150</v>
      </c>
      <c r="L389">
        <v>300</v>
      </c>
      <c r="M389" t="s">
        <v>18</v>
      </c>
      <c r="N389" t="s">
        <v>27</v>
      </c>
      <c r="P389">
        <v>0.2217478101243022</v>
      </c>
      <c r="Q389">
        <f t="shared" si="36"/>
        <v>21</v>
      </c>
      <c r="R389">
        <f ca="1">IF(ISNA(MATCH(P389,OFFSET('age-length key'!O$8,Data!Q389,17,1,5),1)),1,MATCH(P389,OFFSET('age-length key'!O$8,Data!Q389,17,1,5),1)+1)</f>
        <v>3</v>
      </c>
      <c r="S389">
        <v>0</v>
      </c>
    </row>
    <row r="390" spans="1:19" x14ac:dyDescent="0.2">
      <c r="A390" s="1">
        <v>44355</v>
      </c>
      <c r="B390" s="28">
        <f t="shared" si="32"/>
        <v>20216</v>
      </c>
      <c r="C390">
        <f>A390-A$2</f>
        <v>379</v>
      </c>
      <c r="D390" s="5" t="s">
        <v>58</v>
      </c>
      <c r="E390" s="22" t="s">
        <v>49</v>
      </c>
      <c r="F390" s="4">
        <v>0.39097222222222222</v>
      </c>
      <c r="G390" s="4">
        <v>0.39930555555555558</v>
      </c>
      <c r="H390" s="3">
        <f t="shared" si="35"/>
        <v>8.3333333333333592E-3</v>
      </c>
      <c r="I390">
        <v>113</v>
      </c>
      <c r="J390" s="8" t="s">
        <v>56</v>
      </c>
      <c r="K390" s="11" t="str">
        <f t="shared" si="34"/>
        <v>Green113</v>
      </c>
      <c r="L390">
        <v>320</v>
      </c>
      <c r="M390" t="s">
        <v>16</v>
      </c>
      <c r="N390" t="s">
        <v>27</v>
      </c>
      <c r="P390">
        <v>0.9154447591469832</v>
      </c>
      <c r="Q390">
        <f t="shared" si="36"/>
        <v>23</v>
      </c>
      <c r="R390">
        <f ca="1">IF(ISNA(MATCH(P390,OFFSET('age-length key'!O$8,Data!Q390,17,1,5),1)),1,MATCH(P390,OFFSET('age-length key'!O$8,Data!Q390,17,1,5),1)+1)</f>
        <v>3</v>
      </c>
      <c r="S390">
        <f ca="1">IF(D390="Recapture",IF(OFFSET(B$1,MATCH(K390,K$2:K389,0),0)=B390,0,1),1)</f>
        <v>0</v>
      </c>
    </row>
    <row r="391" spans="1:19" x14ac:dyDescent="0.2">
      <c r="A391" s="1">
        <v>44355</v>
      </c>
      <c r="B391" s="28">
        <f t="shared" si="32"/>
        <v>20216</v>
      </c>
      <c r="C391">
        <f>A391-A$2</f>
        <v>379</v>
      </c>
      <c r="D391" s="5" t="s">
        <v>58</v>
      </c>
      <c r="E391" s="22" t="s">
        <v>49</v>
      </c>
      <c r="F391" s="4">
        <v>0.51250000000000007</v>
      </c>
      <c r="G391" s="4">
        <v>0.52152777777777781</v>
      </c>
      <c r="H391" s="3">
        <f t="shared" si="35"/>
        <v>9.0277777777777457E-3</v>
      </c>
      <c r="I391">
        <v>89</v>
      </c>
      <c r="J391" s="8" t="s">
        <v>56</v>
      </c>
      <c r="K391" s="11" t="str">
        <f t="shared" si="34"/>
        <v>Green89</v>
      </c>
      <c r="L391">
        <v>290</v>
      </c>
      <c r="M391" t="s">
        <v>19</v>
      </c>
      <c r="N391" t="s">
        <v>27</v>
      </c>
      <c r="P391">
        <v>0.88006698334592715</v>
      </c>
      <c r="Q391">
        <f t="shared" si="36"/>
        <v>20</v>
      </c>
      <c r="R391">
        <f ca="1">IF(ISNA(MATCH(P391,OFFSET('age-length key'!O$8,Data!Q391,17,1,5),1)),1,MATCH(P391,OFFSET('age-length key'!O$8,Data!Q391,17,1,5),1)+1)</f>
        <v>3</v>
      </c>
      <c r="S391">
        <f ca="1">IF(D391="Recapture",IF(OFFSET(B$1,MATCH(K391,K$2:K390,0),0)=B391,0,1),1)</f>
        <v>1</v>
      </c>
    </row>
    <row r="392" spans="1:19" x14ac:dyDescent="0.2">
      <c r="A392" s="1">
        <v>44355</v>
      </c>
      <c r="B392" s="28">
        <f t="shared" si="32"/>
        <v>20216</v>
      </c>
      <c r="C392">
        <f>A392-A$2</f>
        <v>379</v>
      </c>
      <c r="D392" s="5" t="s">
        <v>58</v>
      </c>
      <c r="E392" s="22" t="s">
        <v>49</v>
      </c>
      <c r="F392" s="4">
        <v>0.69791666666666663</v>
      </c>
      <c r="G392" s="4">
        <v>0.70833333333333337</v>
      </c>
      <c r="H392" s="3">
        <f t="shared" si="35"/>
        <v>1.0416666666666741E-2</v>
      </c>
      <c r="I392">
        <v>39</v>
      </c>
      <c r="J392" s="8" t="s">
        <v>57</v>
      </c>
      <c r="K392" s="11" t="str">
        <f t="shared" si="34"/>
        <v>Pink39</v>
      </c>
      <c r="L392">
        <v>270</v>
      </c>
      <c r="M392" t="s">
        <v>22</v>
      </c>
      <c r="N392" t="s">
        <v>27</v>
      </c>
      <c r="P392">
        <v>0.28578909499840305</v>
      </c>
      <c r="Q392">
        <f t="shared" si="36"/>
        <v>18</v>
      </c>
      <c r="R392">
        <f ca="1">IF(ISNA(MATCH(P392,OFFSET('age-length key'!O$8,Data!Q392,17,1,5),1)),1,MATCH(P392,OFFSET('age-length key'!O$8,Data!Q392,17,1,5),1)+1)</f>
        <v>3</v>
      </c>
      <c r="S392">
        <f ca="1">IF(D392="Recapture",IF(OFFSET(B$1,MATCH(K392,K$2:K391,0),0)=B392,0,1),1)</f>
        <v>1</v>
      </c>
    </row>
    <row r="393" spans="1:19" x14ac:dyDescent="0.2">
      <c r="A393" s="1">
        <v>44355</v>
      </c>
      <c r="B393" s="28">
        <f t="shared" si="32"/>
        <v>20216</v>
      </c>
      <c r="C393">
        <f>A393-A$2</f>
        <v>379</v>
      </c>
      <c r="D393" s="5" t="s">
        <v>58</v>
      </c>
      <c r="E393" s="22" t="s">
        <v>49</v>
      </c>
      <c r="F393" s="4">
        <v>0.44236111111111115</v>
      </c>
      <c r="G393" s="4">
        <v>0.46249999999999997</v>
      </c>
      <c r="H393" s="3">
        <f t="shared" si="35"/>
        <v>2.0138888888888817E-2</v>
      </c>
      <c r="I393">
        <v>95</v>
      </c>
      <c r="J393" s="8" t="s">
        <v>56</v>
      </c>
      <c r="K393" s="11" t="str">
        <f t="shared" si="34"/>
        <v>Green95</v>
      </c>
      <c r="L393">
        <v>224</v>
      </c>
      <c r="M393" t="s">
        <v>28</v>
      </c>
      <c r="N393" t="s">
        <v>27</v>
      </c>
      <c r="P393">
        <v>0.25731963815974057</v>
      </c>
      <c r="Q393">
        <f t="shared" si="36"/>
        <v>13</v>
      </c>
      <c r="R393">
        <f ca="1">IF(ISNA(MATCH(P393,OFFSET('age-length key'!O$8,Data!Q393,17,1,5),1)),1,MATCH(P393,OFFSET('age-length key'!O$8,Data!Q393,17,1,5),1)+1)</f>
        <v>2</v>
      </c>
      <c r="S393">
        <f ca="1">IF(D393="Recapture",IF(OFFSET(B$1,MATCH(K393,K$2:K392,0),0)=B393,0,1),1)</f>
        <v>1</v>
      </c>
    </row>
    <row r="394" spans="1:19" x14ac:dyDescent="0.2">
      <c r="A394" s="1">
        <v>44355</v>
      </c>
      <c r="B394" s="28">
        <f t="shared" si="32"/>
        <v>20216</v>
      </c>
      <c r="C394">
        <f>A394-A$2</f>
        <v>379</v>
      </c>
      <c r="D394" s="5" t="s">
        <v>47</v>
      </c>
      <c r="E394" s="25" t="s">
        <v>49</v>
      </c>
      <c r="F394" s="4">
        <v>0.42083333333333334</v>
      </c>
      <c r="G394" s="4">
        <v>0.42083333333333334</v>
      </c>
      <c r="H394" s="3">
        <f t="shared" si="35"/>
        <v>0</v>
      </c>
      <c r="I394" s="5">
        <v>148</v>
      </c>
      <c r="J394" s="5" t="s">
        <v>56</v>
      </c>
      <c r="K394" s="11" t="str">
        <f t="shared" si="34"/>
        <v>Green148</v>
      </c>
      <c r="L394" s="5">
        <v>220</v>
      </c>
      <c r="M394" t="s">
        <v>23</v>
      </c>
      <c r="N394" t="s">
        <v>27</v>
      </c>
      <c r="P394">
        <v>0.77115855075938555</v>
      </c>
      <c r="Q394">
        <f t="shared" si="36"/>
        <v>13</v>
      </c>
      <c r="R394">
        <f ca="1">IF(ISNA(MATCH(P394,OFFSET('age-length key'!O$8,Data!Q394,17,1,5),1)),1,MATCH(P394,OFFSET('age-length key'!O$8,Data!Q394,17,1,5),1)+1)</f>
        <v>2</v>
      </c>
      <c r="S394">
        <f ca="1">IF(D394="Recapture",IF(OFFSET(B$1,MATCH(K394,K$2:K393,0),0)=B394,0,1),1)</f>
        <v>1</v>
      </c>
    </row>
    <row r="395" spans="1:19" x14ac:dyDescent="0.2">
      <c r="A395" s="1">
        <v>44355</v>
      </c>
      <c r="B395" s="28">
        <f t="shared" ref="B395:B458" si="37">YEAR(A395)*10+MONTH(A395)</f>
        <v>20216</v>
      </c>
      <c r="C395">
        <f>A395-A$2</f>
        <v>379</v>
      </c>
      <c r="D395" s="5" t="s">
        <v>47</v>
      </c>
      <c r="E395" s="25" t="s">
        <v>49</v>
      </c>
      <c r="F395" s="4">
        <v>0.3263888888888889</v>
      </c>
      <c r="G395" s="4">
        <v>0.32777777777777778</v>
      </c>
      <c r="H395" s="3">
        <f t="shared" si="35"/>
        <v>1.388888888888884E-3</v>
      </c>
      <c r="I395" s="5">
        <v>139</v>
      </c>
      <c r="J395" s="5" t="s">
        <v>56</v>
      </c>
      <c r="K395" s="11" t="str">
        <f t="shared" si="34"/>
        <v>Green139</v>
      </c>
      <c r="L395" s="5">
        <v>235</v>
      </c>
      <c r="M395" t="s">
        <v>6</v>
      </c>
      <c r="N395" t="s">
        <v>27</v>
      </c>
      <c r="P395">
        <v>0.86176261299371837</v>
      </c>
      <c r="Q395">
        <f t="shared" si="36"/>
        <v>15</v>
      </c>
      <c r="R395">
        <f ca="1">IF(ISNA(MATCH(P395,OFFSET('age-length key'!O$8,Data!Q395,17,1,5),1)),1,MATCH(P395,OFFSET('age-length key'!O$8,Data!Q395,17,1,5),1)+1)</f>
        <v>3</v>
      </c>
      <c r="S395">
        <f ca="1">IF(D395="Recapture",IF(OFFSET(B$1,MATCH(K395,K$2:K394,0),0)=B395,0,1),1)</f>
        <v>1</v>
      </c>
    </row>
    <row r="396" spans="1:19" x14ac:dyDescent="0.2">
      <c r="A396" s="1">
        <v>44355</v>
      </c>
      <c r="B396" s="28">
        <f t="shared" si="37"/>
        <v>20216</v>
      </c>
      <c r="C396">
        <f>A396-A$2</f>
        <v>379</v>
      </c>
      <c r="D396" s="5" t="s">
        <v>47</v>
      </c>
      <c r="E396" s="25" t="s">
        <v>49</v>
      </c>
      <c r="F396" s="4">
        <v>0.33819444444444446</v>
      </c>
      <c r="G396" s="4">
        <v>0.33958333333333335</v>
      </c>
      <c r="H396" s="3">
        <f t="shared" si="35"/>
        <v>1.388888888888884E-3</v>
      </c>
      <c r="I396" s="5">
        <v>142</v>
      </c>
      <c r="J396" s="5" t="s">
        <v>56</v>
      </c>
      <c r="K396" s="11" t="str">
        <f t="shared" si="34"/>
        <v>Green142</v>
      </c>
      <c r="L396" s="5">
        <v>180</v>
      </c>
      <c r="M396" t="s">
        <v>6</v>
      </c>
      <c r="N396" t="s">
        <v>27</v>
      </c>
      <c r="P396">
        <v>0.64423658542532314</v>
      </c>
      <c r="Q396">
        <f t="shared" si="36"/>
        <v>9</v>
      </c>
      <c r="R396">
        <f ca="1">IF(ISNA(MATCH(P396,OFFSET('age-length key'!O$8,Data!Q396,17,1,5),1)),1,MATCH(P396,OFFSET('age-length key'!O$8,Data!Q396,17,1,5),1)+1)</f>
        <v>2</v>
      </c>
      <c r="S396">
        <f ca="1">IF(D396="Recapture",IF(OFFSET(B$1,MATCH(K396,K$2:K395,0),0)=B396,0,1),1)</f>
        <v>1</v>
      </c>
    </row>
    <row r="397" spans="1:19" x14ac:dyDescent="0.2">
      <c r="A397" s="1">
        <v>44355</v>
      </c>
      <c r="B397" s="28">
        <f t="shared" si="37"/>
        <v>20216</v>
      </c>
      <c r="C397">
        <f>A397-A$2</f>
        <v>379</v>
      </c>
      <c r="D397" s="5" t="s">
        <v>47</v>
      </c>
      <c r="E397" s="25" t="s">
        <v>49</v>
      </c>
      <c r="F397" s="4">
        <v>0.39513888888888887</v>
      </c>
      <c r="G397" s="4">
        <v>0.39652777777777781</v>
      </c>
      <c r="H397" s="3">
        <f t="shared" si="35"/>
        <v>1.3888888888889395E-3</v>
      </c>
      <c r="I397" s="5">
        <v>145</v>
      </c>
      <c r="J397" s="5" t="s">
        <v>56</v>
      </c>
      <c r="K397" s="11" t="str">
        <f t="shared" si="34"/>
        <v>Green145</v>
      </c>
      <c r="L397" s="5">
        <v>305</v>
      </c>
      <c r="M397" t="s">
        <v>22</v>
      </c>
      <c r="N397" t="s">
        <v>27</v>
      </c>
      <c r="P397">
        <v>0.68429124340614822</v>
      </c>
      <c r="Q397">
        <f t="shared" si="36"/>
        <v>22</v>
      </c>
      <c r="R397">
        <f ca="1">IF(ISNA(MATCH(P397,OFFSET('age-length key'!O$8,Data!Q397,17,1,5),1)),1,MATCH(P397,OFFSET('age-length key'!O$8,Data!Q397,17,1,5),1)+1)</f>
        <v>3</v>
      </c>
      <c r="S397">
        <f ca="1">IF(D397="Recapture",IF(OFFSET(B$1,MATCH(K397,K$2:K396,0),0)=B397,0,1),1)</f>
        <v>1</v>
      </c>
    </row>
    <row r="398" spans="1:19" x14ac:dyDescent="0.2">
      <c r="A398" s="1">
        <v>44355</v>
      </c>
      <c r="B398" s="28">
        <f t="shared" si="37"/>
        <v>20216</v>
      </c>
      <c r="C398">
        <f>A398-A$2</f>
        <v>379</v>
      </c>
      <c r="D398" s="5" t="s">
        <v>47</v>
      </c>
      <c r="E398" s="25" t="s">
        <v>49</v>
      </c>
      <c r="F398" s="4">
        <v>0.32847222222222222</v>
      </c>
      <c r="G398" s="4">
        <v>0.33055555555555555</v>
      </c>
      <c r="H398" s="3">
        <f t="shared" si="35"/>
        <v>2.0833333333333259E-3</v>
      </c>
      <c r="I398" s="5">
        <v>140</v>
      </c>
      <c r="J398" s="5" t="s">
        <v>56</v>
      </c>
      <c r="K398" s="11" t="str">
        <f t="shared" si="34"/>
        <v>Green140</v>
      </c>
      <c r="L398" s="5">
        <v>300</v>
      </c>
      <c r="M398" t="s">
        <v>6</v>
      </c>
      <c r="N398" t="s">
        <v>27</v>
      </c>
      <c r="P398">
        <v>0.88292792713405932</v>
      </c>
      <c r="Q398">
        <f t="shared" si="36"/>
        <v>21</v>
      </c>
      <c r="R398">
        <f ca="1">IF(ISNA(MATCH(P398,OFFSET('age-length key'!O$8,Data!Q398,17,1,5),1)),1,MATCH(P398,OFFSET('age-length key'!O$8,Data!Q398,17,1,5),1)+1)</f>
        <v>3</v>
      </c>
      <c r="S398">
        <f ca="1">IF(D398="Recapture",IF(OFFSET(B$1,MATCH(K398,K$2:K397,0),0)=B398,0,1),1)</f>
        <v>1</v>
      </c>
    </row>
    <row r="399" spans="1:19" x14ac:dyDescent="0.2">
      <c r="A399" s="1">
        <v>44355</v>
      </c>
      <c r="B399" s="28">
        <f t="shared" si="37"/>
        <v>20216</v>
      </c>
      <c r="C399">
        <f>A399-A$2</f>
        <v>379</v>
      </c>
      <c r="D399" s="5" t="s">
        <v>47</v>
      </c>
      <c r="E399" s="25" t="s">
        <v>49</v>
      </c>
      <c r="F399" s="4">
        <v>0.53819444444444442</v>
      </c>
      <c r="G399" s="4">
        <v>0.54027777777777775</v>
      </c>
      <c r="H399" s="3">
        <f t="shared" si="35"/>
        <v>2.0833333333333259E-3</v>
      </c>
      <c r="I399" s="5">
        <v>152</v>
      </c>
      <c r="J399" s="5" t="s">
        <v>56</v>
      </c>
      <c r="K399" s="11" t="str">
        <f t="shared" si="34"/>
        <v>Green152</v>
      </c>
      <c r="L399" s="5">
        <v>220</v>
      </c>
      <c r="M399" t="s">
        <v>13</v>
      </c>
      <c r="N399" t="s">
        <v>27</v>
      </c>
      <c r="P399">
        <v>0.36967134213525399</v>
      </c>
      <c r="Q399">
        <f t="shared" si="36"/>
        <v>13</v>
      </c>
      <c r="R399">
        <f ca="1">IF(ISNA(MATCH(P399,OFFSET('age-length key'!O$8,Data!Q399,17,1,5),1)),1,MATCH(P399,OFFSET('age-length key'!O$8,Data!Q399,17,1,5),1)+1)</f>
        <v>2</v>
      </c>
      <c r="S399">
        <f ca="1">IF(D399="Recapture",IF(OFFSET(B$1,MATCH(K399,K$2:K398,0),0)=B399,0,1),1)</f>
        <v>1</v>
      </c>
    </row>
    <row r="400" spans="1:19" x14ac:dyDescent="0.2">
      <c r="A400" s="1">
        <v>44355</v>
      </c>
      <c r="B400" s="28">
        <f t="shared" si="37"/>
        <v>20216</v>
      </c>
      <c r="C400">
        <f>A400-A$2</f>
        <v>379</v>
      </c>
      <c r="D400" s="5" t="s">
        <v>47</v>
      </c>
      <c r="E400" s="25" t="s">
        <v>49</v>
      </c>
      <c r="F400" s="4">
        <v>0.34027777777777773</v>
      </c>
      <c r="G400" s="4">
        <v>0.34236111111111112</v>
      </c>
      <c r="H400" s="3">
        <f t="shared" si="35"/>
        <v>2.0833333333333814E-3</v>
      </c>
      <c r="I400" s="5">
        <v>143</v>
      </c>
      <c r="J400" s="5" t="s">
        <v>56</v>
      </c>
      <c r="K400" s="11" t="str">
        <f t="shared" si="34"/>
        <v>Green143</v>
      </c>
      <c r="L400" s="5">
        <v>210</v>
      </c>
      <c r="M400" t="s">
        <v>6</v>
      </c>
      <c r="N400" t="s">
        <v>27</v>
      </c>
      <c r="P400">
        <v>6.6247267213765185E-2</v>
      </c>
      <c r="Q400">
        <f t="shared" si="36"/>
        <v>12</v>
      </c>
      <c r="R400">
        <f ca="1">IF(ISNA(MATCH(P400,OFFSET('age-length key'!O$8,Data!Q400,17,1,5),1)),1,MATCH(P400,OFFSET('age-length key'!O$8,Data!Q400,17,1,5),1)+1)</f>
        <v>2</v>
      </c>
      <c r="S400">
        <f ca="1">IF(D400="Recapture",IF(OFFSET(B$1,MATCH(K400,K$2:K399,0),0)=B400,0,1),1)</f>
        <v>1</v>
      </c>
    </row>
    <row r="401" spans="1:19" x14ac:dyDescent="0.2">
      <c r="A401" s="1">
        <v>44355</v>
      </c>
      <c r="B401" s="28">
        <f t="shared" si="37"/>
        <v>20216</v>
      </c>
      <c r="C401">
        <f>A401-A$2</f>
        <v>379</v>
      </c>
      <c r="D401" s="5" t="s">
        <v>47</v>
      </c>
      <c r="E401" s="25" t="s">
        <v>49</v>
      </c>
      <c r="F401" s="4">
        <v>0.31388888888888888</v>
      </c>
      <c r="G401" s="4">
        <v>0.31666666666666665</v>
      </c>
      <c r="H401" s="3">
        <f t="shared" si="35"/>
        <v>2.7777777777777679E-3</v>
      </c>
      <c r="I401" s="5">
        <v>119</v>
      </c>
      <c r="J401" s="5" t="s">
        <v>56</v>
      </c>
      <c r="K401" s="11" t="str">
        <f t="shared" si="34"/>
        <v>Green119</v>
      </c>
      <c r="L401" s="5">
        <v>270</v>
      </c>
      <c r="M401" t="s">
        <v>6</v>
      </c>
      <c r="N401" t="s">
        <v>27</v>
      </c>
      <c r="P401">
        <v>0.41782006175155756</v>
      </c>
      <c r="Q401">
        <f t="shared" si="36"/>
        <v>18</v>
      </c>
      <c r="R401">
        <f ca="1">IF(ISNA(MATCH(P401,OFFSET('age-length key'!O$8,Data!Q401,17,1,5),1)),1,MATCH(P401,OFFSET('age-length key'!O$8,Data!Q401,17,1,5),1)+1)</f>
        <v>3</v>
      </c>
      <c r="S401">
        <f ca="1">IF(D401="Recapture",IF(OFFSET(B$1,MATCH(K401,K$2:K400,0),0)=B401,0,1),1)</f>
        <v>1</v>
      </c>
    </row>
    <row r="402" spans="1:19" x14ac:dyDescent="0.2">
      <c r="A402" s="1">
        <v>44355</v>
      </c>
      <c r="B402" s="28">
        <f t="shared" si="37"/>
        <v>20216</v>
      </c>
      <c r="C402">
        <f>A402-A$2</f>
        <v>379</v>
      </c>
      <c r="D402" s="5" t="s">
        <v>47</v>
      </c>
      <c r="E402" s="25" t="s">
        <v>49</v>
      </c>
      <c r="F402" s="4">
        <v>0.50694444444444442</v>
      </c>
      <c r="G402" s="4">
        <v>0.51180555555555551</v>
      </c>
      <c r="H402" s="3">
        <f t="shared" si="35"/>
        <v>4.8611111111110938E-3</v>
      </c>
      <c r="I402" s="5">
        <v>151</v>
      </c>
      <c r="J402" s="5" t="s">
        <v>56</v>
      </c>
      <c r="K402" s="11" t="str">
        <f t="shared" si="34"/>
        <v>Green151</v>
      </c>
      <c r="L402" s="5">
        <v>220</v>
      </c>
      <c r="M402" t="s">
        <v>20</v>
      </c>
      <c r="N402" t="s">
        <v>27</v>
      </c>
      <c r="P402">
        <v>0.30177785842762228</v>
      </c>
      <c r="Q402">
        <f t="shared" si="36"/>
        <v>13</v>
      </c>
      <c r="R402">
        <f ca="1">IF(ISNA(MATCH(P402,OFFSET('age-length key'!O$8,Data!Q402,17,1,5),1)),1,MATCH(P402,OFFSET('age-length key'!O$8,Data!Q402,17,1,5),1)+1)</f>
        <v>2</v>
      </c>
      <c r="S402">
        <f ca="1">IF(D402="Recapture",IF(OFFSET(B$1,MATCH(K402,K$2:K401,0),0)=B402,0,1),1)</f>
        <v>1</v>
      </c>
    </row>
    <row r="403" spans="1:19" x14ac:dyDescent="0.2">
      <c r="A403" s="1">
        <v>44355</v>
      </c>
      <c r="B403" s="28">
        <f t="shared" si="37"/>
        <v>20216</v>
      </c>
      <c r="C403">
        <f>A403-A$2</f>
        <v>379</v>
      </c>
      <c r="D403" s="5" t="s">
        <v>47</v>
      </c>
      <c r="E403" s="25" t="s">
        <v>49</v>
      </c>
      <c r="F403" s="4">
        <v>0.3430555555555555</v>
      </c>
      <c r="G403" s="4">
        <v>0.34861111111111115</v>
      </c>
      <c r="H403" s="3">
        <f t="shared" si="35"/>
        <v>5.5555555555556468E-3</v>
      </c>
      <c r="I403" s="5">
        <v>144</v>
      </c>
      <c r="J403" s="5" t="s">
        <v>56</v>
      </c>
      <c r="K403" s="11" t="str">
        <f t="shared" si="34"/>
        <v>Green144</v>
      </c>
      <c r="L403" s="5">
        <v>195</v>
      </c>
      <c r="M403" t="s">
        <v>6</v>
      </c>
      <c r="N403" t="s">
        <v>27</v>
      </c>
      <c r="P403">
        <v>0.98046659304782124</v>
      </c>
      <c r="Q403">
        <f t="shared" si="36"/>
        <v>11</v>
      </c>
      <c r="R403">
        <f ca="1">IF(ISNA(MATCH(P403,OFFSET('age-length key'!O$8,Data!Q403,17,1,5),1)),1,MATCH(P403,OFFSET('age-length key'!O$8,Data!Q403,17,1,5),1)+1)</f>
        <v>2</v>
      </c>
      <c r="S403">
        <f ca="1">IF(D403="Recapture",IF(OFFSET(B$1,MATCH(K403,K$2:K402,0),0)=B403,0,1),1)</f>
        <v>1</v>
      </c>
    </row>
    <row r="404" spans="1:19" x14ac:dyDescent="0.2">
      <c r="A404" s="1">
        <v>44355</v>
      </c>
      <c r="B404" s="28">
        <f t="shared" si="37"/>
        <v>20216</v>
      </c>
      <c r="C404">
        <f>A404-A$2</f>
        <v>379</v>
      </c>
      <c r="D404" s="5" t="s">
        <v>47</v>
      </c>
      <c r="E404" s="25" t="s">
        <v>49</v>
      </c>
      <c r="F404" s="4">
        <v>0.31736111111111115</v>
      </c>
      <c r="G404" s="4">
        <v>0.32361111111111113</v>
      </c>
      <c r="H404" s="3">
        <f t="shared" si="35"/>
        <v>6.2499999999999778E-3</v>
      </c>
      <c r="I404" s="5">
        <v>138</v>
      </c>
      <c r="J404" s="5" t="s">
        <v>56</v>
      </c>
      <c r="K404" s="11" t="str">
        <f t="shared" si="34"/>
        <v>Green138</v>
      </c>
      <c r="L404" s="5">
        <v>160</v>
      </c>
      <c r="M404" t="s">
        <v>6</v>
      </c>
      <c r="N404" t="s">
        <v>27</v>
      </c>
      <c r="P404">
        <v>0.70202935473156602</v>
      </c>
      <c r="Q404">
        <f t="shared" si="36"/>
        <v>7</v>
      </c>
      <c r="R404">
        <f ca="1">IF(ISNA(MATCH(P404,OFFSET('age-length key'!O$8,Data!Q404,17,1,5),1)),1,MATCH(P404,OFFSET('age-length key'!O$8,Data!Q404,17,1,5),1)+1)</f>
        <v>1</v>
      </c>
      <c r="S404">
        <f ca="1">IF(D404="Recapture",IF(OFFSET(B$1,MATCH(K404,K$2:K403,0),0)=B404,0,1),1)</f>
        <v>1</v>
      </c>
    </row>
    <row r="405" spans="1:19" x14ac:dyDescent="0.2">
      <c r="A405" s="1">
        <v>44355</v>
      </c>
      <c r="B405" s="28">
        <f t="shared" si="37"/>
        <v>20216</v>
      </c>
      <c r="C405">
        <f>A405-A$2</f>
        <v>379</v>
      </c>
      <c r="D405" s="5" t="s">
        <v>47</v>
      </c>
      <c r="E405" s="25" t="s">
        <v>49</v>
      </c>
      <c r="F405" s="4">
        <v>0.33124999999999999</v>
      </c>
      <c r="G405" s="4">
        <v>0.33749999999999997</v>
      </c>
      <c r="H405" s="3">
        <f t="shared" si="35"/>
        <v>6.2499999999999778E-3</v>
      </c>
      <c r="I405" s="5">
        <v>141</v>
      </c>
      <c r="J405" s="5" t="s">
        <v>56</v>
      </c>
      <c r="K405" s="11" t="str">
        <f t="shared" si="34"/>
        <v>Green141</v>
      </c>
      <c r="L405" s="5">
        <v>210</v>
      </c>
      <c r="M405" t="s">
        <v>6</v>
      </c>
      <c r="N405" t="s">
        <v>27</v>
      </c>
      <c r="P405">
        <v>7.3649734292947563E-3</v>
      </c>
      <c r="Q405">
        <f t="shared" si="36"/>
        <v>12</v>
      </c>
      <c r="R405">
        <f ca="1">IF(ISNA(MATCH(P405,OFFSET('age-length key'!O$8,Data!Q405,17,1,5),1)),1,MATCH(P405,OFFSET('age-length key'!O$8,Data!Q405,17,1,5),1)+1)</f>
        <v>2</v>
      </c>
      <c r="S405">
        <f ca="1">IF(D405="Recapture",IF(OFFSET(B$1,MATCH(K405,K$2:K404,0),0)=B405,0,1),1)</f>
        <v>1</v>
      </c>
    </row>
    <row r="406" spans="1:19" x14ac:dyDescent="0.2">
      <c r="A406" s="1">
        <v>44355</v>
      </c>
      <c r="B406" s="28">
        <f t="shared" si="37"/>
        <v>20216</v>
      </c>
      <c r="C406">
        <f>A406-A$2</f>
        <v>379</v>
      </c>
      <c r="D406" s="5" t="s">
        <v>47</v>
      </c>
      <c r="E406" s="25" t="s">
        <v>49</v>
      </c>
      <c r="F406" s="4">
        <v>0.3972222222222222</v>
      </c>
      <c r="G406" s="4">
        <v>0.40416666666666662</v>
      </c>
      <c r="H406" s="3">
        <f t="shared" si="35"/>
        <v>6.9444444444444198E-3</v>
      </c>
      <c r="I406" s="5">
        <v>146</v>
      </c>
      <c r="J406" s="5" t="s">
        <v>56</v>
      </c>
      <c r="K406" s="11" t="str">
        <f t="shared" si="34"/>
        <v>Green146</v>
      </c>
      <c r="L406" s="5">
        <v>240</v>
      </c>
      <c r="M406" t="s">
        <v>22</v>
      </c>
      <c r="N406" t="s">
        <v>27</v>
      </c>
      <c r="P406">
        <v>0.78310842615696996</v>
      </c>
      <c r="Q406">
        <f t="shared" si="36"/>
        <v>15</v>
      </c>
      <c r="R406">
        <f ca="1">IF(ISNA(MATCH(P406,OFFSET('age-length key'!O$8,Data!Q406,17,1,5),1)),1,MATCH(P406,OFFSET('age-length key'!O$8,Data!Q406,17,1,5),1)+1)</f>
        <v>2</v>
      </c>
      <c r="S406">
        <f ca="1">IF(D406="Recapture",IF(OFFSET(B$1,MATCH(K406,K$2:K405,0),0)=B406,0,1),1)</f>
        <v>1</v>
      </c>
    </row>
    <row r="407" spans="1:19" x14ac:dyDescent="0.2">
      <c r="A407" s="1">
        <v>44355</v>
      </c>
      <c r="B407" s="28">
        <f t="shared" si="37"/>
        <v>20216</v>
      </c>
      <c r="C407">
        <f>A407-A$2</f>
        <v>379</v>
      </c>
      <c r="D407" s="5" t="s">
        <v>47</v>
      </c>
      <c r="E407" s="25" t="s">
        <v>49</v>
      </c>
      <c r="F407" s="4">
        <v>0.41319444444444442</v>
      </c>
      <c r="G407" s="4">
        <v>0.42083333333333334</v>
      </c>
      <c r="H407" s="3">
        <f t="shared" si="35"/>
        <v>7.6388888888889173E-3</v>
      </c>
      <c r="I407" s="5">
        <v>147</v>
      </c>
      <c r="J407" s="5" t="s">
        <v>56</v>
      </c>
      <c r="K407" s="11" t="str">
        <f t="shared" si="34"/>
        <v>Green147</v>
      </c>
      <c r="L407" s="5">
        <v>180</v>
      </c>
      <c r="M407" t="s">
        <v>23</v>
      </c>
      <c r="N407" t="s">
        <v>27</v>
      </c>
      <c r="P407">
        <v>0.703318420193772</v>
      </c>
      <c r="Q407">
        <f t="shared" si="36"/>
        <v>9</v>
      </c>
      <c r="R407">
        <f ca="1">IF(ISNA(MATCH(P407,OFFSET('age-length key'!O$8,Data!Q407,17,1,5),1)),1,MATCH(P407,OFFSET('age-length key'!O$8,Data!Q407,17,1,5),1)+1)</f>
        <v>2</v>
      </c>
      <c r="S407">
        <f ca="1">IF(D407="Recapture",IF(OFFSET(B$1,MATCH(K407,K$2:K406,0),0)=B407,0,1),1)</f>
        <v>1</v>
      </c>
    </row>
    <row r="408" spans="1:19" x14ac:dyDescent="0.2">
      <c r="A408" s="1">
        <v>44355</v>
      </c>
      <c r="B408" s="28">
        <f t="shared" si="37"/>
        <v>20216</v>
      </c>
      <c r="C408">
        <f>A408-A$2</f>
        <v>379</v>
      </c>
      <c r="D408" s="5" t="s">
        <v>47</v>
      </c>
      <c r="E408" s="25" t="s">
        <v>49</v>
      </c>
      <c r="F408" s="4">
        <v>0.54097222222222219</v>
      </c>
      <c r="G408" s="4">
        <v>0.55069444444444449</v>
      </c>
      <c r="H408" s="3">
        <f t="shared" si="35"/>
        <v>9.7222222222222987E-3</v>
      </c>
      <c r="I408" s="5">
        <v>153</v>
      </c>
      <c r="J408" s="5" t="s">
        <v>56</v>
      </c>
      <c r="K408" s="11" t="str">
        <f t="shared" si="34"/>
        <v>Green153</v>
      </c>
      <c r="L408" s="5">
        <v>210</v>
      </c>
      <c r="M408" t="s">
        <v>14</v>
      </c>
      <c r="N408" t="s">
        <v>27</v>
      </c>
      <c r="P408">
        <v>0.67268819672646385</v>
      </c>
      <c r="Q408">
        <f t="shared" si="36"/>
        <v>12</v>
      </c>
      <c r="R408">
        <f ca="1">IF(ISNA(MATCH(P408,OFFSET('age-length key'!O$8,Data!Q408,17,1,5),1)),1,MATCH(P408,OFFSET('age-length key'!O$8,Data!Q408,17,1,5),1)+1)</f>
        <v>2</v>
      </c>
      <c r="S408">
        <f ca="1">IF(D408="Recapture",IF(OFFSET(B$1,MATCH(K408,K$2:K407,0),0)=B408,0,1),1)</f>
        <v>1</v>
      </c>
    </row>
    <row r="409" spans="1:19" x14ac:dyDescent="0.2">
      <c r="A409" s="1">
        <v>44355</v>
      </c>
      <c r="B409" s="28">
        <f t="shared" si="37"/>
        <v>20216</v>
      </c>
      <c r="C409">
        <f>A409-A$2</f>
        <v>379</v>
      </c>
      <c r="D409" s="5" t="s">
        <v>47</v>
      </c>
      <c r="E409" s="25" t="s">
        <v>49</v>
      </c>
      <c r="F409" s="4">
        <v>0.47291666666666665</v>
      </c>
      <c r="G409" s="4">
        <v>0.48333333333333334</v>
      </c>
      <c r="H409" s="3">
        <f t="shared" si="35"/>
        <v>1.0416666666666685E-2</v>
      </c>
      <c r="I409" s="5">
        <v>150</v>
      </c>
      <c r="J409" s="5" t="s">
        <v>56</v>
      </c>
      <c r="K409" s="11" t="str">
        <f t="shared" si="34"/>
        <v>Green150</v>
      </c>
      <c r="L409" s="5">
        <v>300</v>
      </c>
      <c r="M409" t="s">
        <v>18</v>
      </c>
      <c r="N409" t="s">
        <v>27</v>
      </c>
      <c r="P409">
        <v>0.87052238167753559</v>
      </c>
      <c r="Q409">
        <f t="shared" si="36"/>
        <v>21</v>
      </c>
      <c r="R409">
        <f ca="1">IF(ISNA(MATCH(P409,OFFSET('age-length key'!O$8,Data!Q409,17,1,5),1)),1,MATCH(P409,OFFSET('age-length key'!O$8,Data!Q409,17,1,5),1)+1)</f>
        <v>3</v>
      </c>
      <c r="S409">
        <f ca="1">IF(D409="Recapture",IF(OFFSET(B$1,MATCH(K409,K$2:K408,0),0)=B409,0,1),1)</f>
        <v>1</v>
      </c>
    </row>
    <row r="410" spans="1:19" x14ac:dyDescent="0.2">
      <c r="A410" s="1">
        <v>44355</v>
      </c>
      <c r="B410" s="28">
        <f t="shared" si="37"/>
        <v>20216</v>
      </c>
      <c r="C410">
        <f>A410-A$2</f>
        <v>379</v>
      </c>
      <c r="D410" s="5" t="s">
        <v>47</v>
      </c>
      <c r="E410" s="25" t="s">
        <v>49</v>
      </c>
      <c r="F410" s="4">
        <v>0.4548611111111111</v>
      </c>
      <c r="G410" s="4">
        <v>0.47152777777777777</v>
      </c>
      <c r="H410" s="3">
        <f t="shared" si="35"/>
        <v>1.6666666666666663E-2</v>
      </c>
      <c r="I410" s="5">
        <v>149</v>
      </c>
      <c r="J410" s="5" t="s">
        <v>56</v>
      </c>
      <c r="K410" s="11" t="str">
        <f t="shared" si="34"/>
        <v>Green149</v>
      </c>
      <c r="L410" s="5">
        <v>210</v>
      </c>
      <c r="M410" t="s">
        <v>8</v>
      </c>
      <c r="N410" t="s">
        <v>27</v>
      </c>
      <c r="P410">
        <v>0.86966885433982544</v>
      </c>
      <c r="Q410">
        <f t="shared" si="36"/>
        <v>12</v>
      </c>
      <c r="R410">
        <f ca="1">IF(ISNA(MATCH(P410,OFFSET('age-length key'!O$8,Data!Q410,17,1,5),1)),1,MATCH(P410,OFFSET('age-length key'!O$8,Data!Q410,17,1,5),1)+1)</f>
        <v>2</v>
      </c>
      <c r="S410">
        <f ca="1">IF(D410="Recapture",IF(OFFSET(B$1,MATCH(K410,K$2:K409,0),0)=B410,0,1),1)</f>
        <v>1</v>
      </c>
    </row>
    <row r="411" spans="1:19" x14ac:dyDescent="0.2">
      <c r="A411" s="1">
        <v>44358</v>
      </c>
      <c r="B411" s="28">
        <f t="shared" si="37"/>
        <v>20216</v>
      </c>
      <c r="C411">
        <f>A411-A$2</f>
        <v>382</v>
      </c>
      <c r="D411" s="5" t="s">
        <v>25</v>
      </c>
      <c r="E411" s="25" t="s">
        <v>49</v>
      </c>
      <c r="F411" s="4">
        <v>0.39930555555555558</v>
      </c>
      <c r="G411" s="4">
        <v>0.39999999999999997</v>
      </c>
      <c r="H411" s="3">
        <f t="shared" si="35"/>
        <v>6.9444444444438647E-4</v>
      </c>
      <c r="I411" s="5" t="s">
        <v>25</v>
      </c>
      <c r="L411" s="5">
        <v>200</v>
      </c>
      <c r="M411" t="s">
        <v>22</v>
      </c>
      <c r="N411" t="s">
        <v>26</v>
      </c>
      <c r="P411">
        <v>0.52443488944528383</v>
      </c>
      <c r="Q411">
        <f t="shared" si="36"/>
        <v>11</v>
      </c>
      <c r="R411">
        <f ca="1">IF(ISNA(MATCH(P411,OFFSET('age-length key'!O$8,Data!Q411,17,1,5),1)),1,MATCH(P411,OFFSET('age-length key'!O$8,Data!Q411,17,1,5),1)+1)</f>
        <v>2</v>
      </c>
      <c r="S411">
        <f ca="1">IF(D411="Recapture",IF(OFFSET(B$1,MATCH(K411,K$2:K410,0),0)=B411,0,1),1)</f>
        <v>1</v>
      </c>
    </row>
    <row r="412" spans="1:19" x14ac:dyDescent="0.2">
      <c r="A412" s="1">
        <v>44358</v>
      </c>
      <c r="B412" s="28">
        <f t="shared" si="37"/>
        <v>20216</v>
      </c>
      <c r="C412">
        <f>A412-A$2</f>
        <v>382</v>
      </c>
      <c r="D412" s="5" t="s">
        <v>25</v>
      </c>
      <c r="E412" s="25" t="s">
        <v>49</v>
      </c>
      <c r="F412" s="4">
        <v>0.41319444444444442</v>
      </c>
      <c r="G412" s="4">
        <v>0.4145833333333333</v>
      </c>
      <c r="H412" s="3">
        <f t="shared" si="35"/>
        <v>1.388888888888884E-3</v>
      </c>
      <c r="I412" s="5" t="s">
        <v>25</v>
      </c>
      <c r="L412" s="5">
        <v>185</v>
      </c>
      <c r="M412" t="s">
        <v>23</v>
      </c>
      <c r="N412" t="s">
        <v>26</v>
      </c>
      <c r="P412">
        <v>0.17718690688590841</v>
      </c>
      <c r="Q412">
        <f t="shared" si="36"/>
        <v>10</v>
      </c>
      <c r="R412">
        <f ca="1">IF(ISNA(MATCH(P412,OFFSET('age-length key'!O$8,Data!Q412,17,1,5),1)),1,MATCH(P412,OFFSET('age-length key'!O$8,Data!Q412,17,1,5),1)+1)</f>
        <v>2</v>
      </c>
      <c r="S412">
        <f ca="1">IF(D412="Recapture",IF(OFFSET(B$1,MATCH(K412,K$2:K411,0),0)=B412,0,1),1)</f>
        <v>1</v>
      </c>
    </row>
    <row r="413" spans="1:19" x14ac:dyDescent="0.2">
      <c r="A413" s="1">
        <v>44358</v>
      </c>
      <c r="B413" s="28">
        <f t="shared" si="37"/>
        <v>20216</v>
      </c>
      <c r="C413">
        <f>A413-A$2</f>
        <v>382</v>
      </c>
      <c r="D413" s="5" t="s">
        <v>25</v>
      </c>
      <c r="E413" s="25" t="s">
        <v>49</v>
      </c>
      <c r="F413" s="4">
        <v>0.40416666666666662</v>
      </c>
      <c r="G413" s="4">
        <v>0.40625</v>
      </c>
      <c r="H413" s="3">
        <f t="shared" si="35"/>
        <v>2.0833333333333814E-3</v>
      </c>
      <c r="I413" s="5" t="s">
        <v>25</v>
      </c>
      <c r="L413" s="5">
        <v>210</v>
      </c>
      <c r="M413" t="s">
        <v>15</v>
      </c>
      <c r="N413" t="s">
        <v>26</v>
      </c>
      <c r="P413">
        <v>0.98034403146260607</v>
      </c>
      <c r="Q413">
        <f t="shared" si="36"/>
        <v>12</v>
      </c>
      <c r="R413">
        <f ca="1">IF(ISNA(MATCH(P413,OFFSET('age-length key'!O$8,Data!Q413,17,1,5),1)),1,MATCH(P413,OFFSET('age-length key'!O$8,Data!Q413,17,1,5),1)+1)</f>
        <v>3</v>
      </c>
      <c r="S413">
        <f ca="1">IF(D413="Recapture",IF(OFFSET(B$1,MATCH(K413,K$2:K412,0),0)=B413,0,1),1)</f>
        <v>1</v>
      </c>
    </row>
    <row r="414" spans="1:19" x14ac:dyDescent="0.2">
      <c r="A414" s="1">
        <v>44358</v>
      </c>
      <c r="B414" s="28">
        <f t="shared" si="37"/>
        <v>20216</v>
      </c>
      <c r="C414">
        <f>A414-A$2</f>
        <v>382</v>
      </c>
      <c r="D414" s="5" t="s">
        <v>25</v>
      </c>
      <c r="E414" s="25" t="s">
        <v>49</v>
      </c>
      <c r="F414" s="4">
        <v>0.50416666666666665</v>
      </c>
      <c r="G414" s="4">
        <v>0.50694444444444442</v>
      </c>
      <c r="H414" s="3">
        <f t="shared" si="35"/>
        <v>2.7777777777777679E-3</v>
      </c>
      <c r="I414" s="5" t="s">
        <v>25</v>
      </c>
      <c r="L414" s="5">
        <v>330</v>
      </c>
      <c r="M414" t="s">
        <v>9</v>
      </c>
      <c r="N414" t="s">
        <v>26</v>
      </c>
      <c r="P414">
        <v>0.64213679202000462</v>
      </c>
      <c r="Q414">
        <f t="shared" si="36"/>
        <v>24</v>
      </c>
      <c r="R414">
        <f ca="1">IF(ISNA(MATCH(P414,OFFSET('age-length key'!O$8,Data!Q414,17,1,5),1)),1,MATCH(P414,OFFSET('age-length key'!O$8,Data!Q414,17,1,5),1)+1)</f>
        <v>3</v>
      </c>
      <c r="S414">
        <f ca="1">IF(D414="Recapture",IF(OFFSET(B$1,MATCH(K414,K$2:K413,0),0)=B414,0,1),1)</f>
        <v>1</v>
      </c>
    </row>
    <row r="415" spans="1:19" x14ac:dyDescent="0.2">
      <c r="A415" s="1">
        <v>44358</v>
      </c>
      <c r="B415" s="28">
        <f t="shared" si="37"/>
        <v>20216</v>
      </c>
      <c r="C415">
        <f>A415-A$2</f>
        <v>382</v>
      </c>
      <c r="D415" s="5" t="s">
        <v>25</v>
      </c>
      <c r="E415" s="25" t="s">
        <v>49</v>
      </c>
      <c r="F415" s="4">
        <v>0.41666666666666669</v>
      </c>
      <c r="G415" s="4">
        <v>0.4201388888888889</v>
      </c>
      <c r="H415" s="3">
        <f t="shared" si="35"/>
        <v>3.4722222222222099E-3</v>
      </c>
      <c r="I415" s="5" t="s">
        <v>25</v>
      </c>
      <c r="L415" s="5">
        <v>230</v>
      </c>
      <c r="M415" t="s">
        <v>23</v>
      </c>
      <c r="N415" t="s">
        <v>26</v>
      </c>
      <c r="P415">
        <v>0.39306348021750498</v>
      </c>
      <c r="Q415">
        <f t="shared" si="36"/>
        <v>14</v>
      </c>
      <c r="R415">
        <f ca="1">IF(ISNA(MATCH(P415,OFFSET('age-length key'!O$8,Data!Q415,17,1,5),1)),1,MATCH(P415,OFFSET('age-length key'!O$8,Data!Q415,17,1,5),1)+1)</f>
        <v>2</v>
      </c>
      <c r="S415">
        <f ca="1">IF(D415="Recapture",IF(OFFSET(B$1,MATCH(K415,K$2:K414,0),0)=B415,0,1),1)</f>
        <v>1</v>
      </c>
    </row>
    <row r="416" spans="1:19" x14ac:dyDescent="0.2">
      <c r="A416" s="1">
        <v>44358</v>
      </c>
      <c r="B416" s="28">
        <f t="shared" si="37"/>
        <v>20216</v>
      </c>
      <c r="C416">
        <f>A416-A$2</f>
        <v>382</v>
      </c>
      <c r="D416" s="5" t="s">
        <v>25</v>
      </c>
      <c r="E416" s="25" t="s">
        <v>49</v>
      </c>
      <c r="F416" s="4">
        <v>0.4201388888888889</v>
      </c>
      <c r="G416" s="4">
        <v>0.42430555555555555</v>
      </c>
      <c r="H416" s="3">
        <f t="shared" si="35"/>
        <v>4.1666666666666519E-3</v>
      </c>
      <c r="I416" s="5" t="s">
        <v>25</v>
      </c>
      <c r="L416" s="5">
        <v>190</v>
      </c>
      <c r="M416" t="s">
        <v>17</v>
      </c>
      <c r="N416" t="s">
        <v>26</v>
      </c>
      <c r="P416">
        <v>0.21791201560660825</v>
      </c>
      <c r="Q416">
        <f t="shared" si="36"/>
        <v>10</v>
      </c>
      <c r="R416">
        <f ca="1">IF(ISNA(MATCH(P416,OFFSET('age-length key'!O$8,Data!Q416,17,1,5),1)),1,MATCH(P416,OFFSET('age-length key'!O$8,Data!Q416,17,1,5),1)+1)</f>
        <v>2</v>
      </c>
      <c r="S416">
        <f ca="1">IF(D416="Recapture",IF(OFFSET(B$1,MATCH(K416,K$2:K415,0),0)=B416,0,1),1)</f>
        <v>1</v>
      </c>
    </row>
    <row r="417" spans="1:19" x14ac:dyDescent="0.2">
      <c r="A417" s="1">
        <v>44358</v>
      </c>
      <c r="B417" s="28">
        <f t="shared" si="37"/>
        <v>20216</v>
      </c>
      <c r="C417">
        <f>A417-A$2</f>
        <v>382</v>
      </c>
      <c r="D417" s="5" t="s">
        <v>25</v>
      </c>
      <c r="E417" s="25" t="s">
        <v>49</v>
      </c>
      <c r="F417" s="4">
        <v>0.39999999999999997</v>
      </c>
      <c r="G417" s="4">
        <v>0.40416666666666662</v>
      </c>
      <c r="H417" s="3">
        <f t="shared" si="35"/>
        <v>4.1666666666666519E-3</v>
      </c>
      <c r="I417" s="5" t="s">
        <v>25</v>
      </c>
      <c r="L417" s="5">
        <v>220</v>
      </c>
      <c r="M417" t="s">
        <v>15</v>
      </c>
      <c r="N417" t="s">
        <v>26</v>
      </c>
      <c r="P417">
        <v>0.44724630026484202</v>
      </c>
      <c r="Q417">
        <f t="shared" si="36"/>
        <v>13</v>
      </c>
      <c r="R417">
        <f ca="1">IF(ISNA(MATCH(P417,OFFSET('age-length key'!O$8,Data!Q417,17,1,5),1)),1,MATCH(P417,OFFSET('age-length key'!O$8,Data!Q417,17,1,5),1)+1)</f>
        <v>2</v>
      </c>
      <c r="S417">
        <f ca="1">IF(D417="Recapture",IF(OFFSET(B$1,MATCH(K417,K$2:K416,0),0)=B417,0,1),1)</f>
        <v>1</v>
      </c>
    </row>
    <row r="418" spans="1:19" x14ac:dyDescent="0.2">
      <c r="A418" s="1">
        <v>44358</v>
      </c>
      <c r="B418" s="28">
        <f t="shared" si="37"/>
        <v>20216</v>
      </c>
      <c r="C418">
        <f>A418-A$2</f>
        <v>382</v>
      </c>
      <c r="D418" s="5" t="s">
        <v>25</v>
      </c>
      <c r="E418" s="25" t="s">
        <v>49</v>
      </c>
      <c r="F418" s="4">
        <v>0.43402777777777773</v>
      </c>
      <c r="G418" s="4">
        <v>0.44166666666666665</v>
      </c>
      <c r="H418" s="3">
        <f t="shared" si="35"/>
        <v>7.6388888888889173E-3</v>
      </c>
      <c r="I418" s="5" t="s">
        <v>25</v>
      </c>
      <c r="L418" s="5">
        <v>290</v>
      </c>
      <c r="M418" t="s">
        <v>17</v>
      </c>
      <c r="N418" t="s">
        <v>26</v>
      </c>
      <c r="P418">
        <v>0.8685685511997755</v>
      </c>
      <c r="Q418">
        <f t="shared" si="36"/>
        <v>20</v>
      </c>
      <c r="R418">
        <f ca="1">IF(ISNA(MATCH(P418,OFFSET('age-length key'!O$8,Data!Q418,17,1,5),1)),1,MATCH(P418,OFFSET('age-length key'!O$8,Data!Q418,17,1,5),1)+1)</f>
        <v>3</v>
      </c>
      <c r="S418">
        <f ca="1">IF(D418="Recapture",IF(OFFSET(B$1,MATCH(K418,K$2:K417,0),0)=B418,0,1),1)</f>
        <v>1</v>
      </c>
    </row>
    <row r="419" spans="1:19" x14ac:dyDescent="0.2">
      <c r="A419" s="1">
        <v>44358</v>
      </c>
      <c r="B419" s="28">
        <f t="shared" si="37"/>
        <v>20216</v>
      </c>
      <c r="C419">
        <f>A419-A$2</f>
        <v>382</v>
      </c>
      <c r="D419" s="5" t="s">
        <v>25</v>
      </c>
      <c r="E419" s="25" t="s">
        <v>49</v>
      </c>
      <c r="F419" s="4">
        <v>0.3576388888888889</v>
      </c>
      <c r="G419" s="4">
        <v>0.3659722222222222</v>
      </c>
      <c r="H419" s="3">
        <f t="shared" si="35"/>
        <v>8.3333333333333037E-3</v>
      </c>
      <c r="I419" s="5" t="s">
        <v>25</v>
      </c>
      <c r="L419" s="5">
        <v>205</v>
      </c>
      <c r="M419" t="s">
        <v>22</v>
      </c>
      <c r="N419" t="s">
        <v>26</v>
      </c>
      <c r="P419">
        <v>3.1640014625918124E-2</v>
      </c>
      <c r="Q419">
        <f t="shared" si="36"/>
        <v>12</v>
      </c>
      <c r="R419">
        <f ca="1">IF(ISNA(MATCH(P419,OFFSET('age-length key'!O$8,Data!Q419,17,1,5),1)),1,MATCH(P419,OFFSET('age-length key'!O$8,Data!Q419,17,1,5),1)+1)</f>
        <v>2</v>
      </c>
      <c r="S419">
        <f ca="1">IF(D419="Recapture",IF(OFFSET(B$1,MATCH(K419,K$2:K418,0),0)=B419,0,1),1)</f>
        <v>1</v>
      </c>
    </row>
    <row r="420" spans="1:19" x14ac:dyDescent="0.2">
      <c r="A420" s="1">
        <v>44358</v>
      </c>
      <c r="B420" s="28">
        <f t="shared" si="37"/>
        <v>20216</v>
      </c>
      <c r="C420">
        <f>A420-A$2</f>
        <v>382</v>
      </c>
      <c r="D420" s="5" t="s">
        <v>25</v>
      </c>
      <c r="E420" s="25" t="s">
        <v>49</v>
      </c>
      <c r="F420" s="4">
        <v>0.51250000000000007</v>
      </c>
      <c r="G420" s="4">
        <v>0.52152777777777781</v>
      </c>
      <c r="H420" s="3">
        <f t="shared" si="35"/>
        <v>9.0277777777777457E-3</v>
      </c>
      <c r="I420" s="5" t="s">
        <v>25</v>
      </c>
      <c r="L420" s="5">
        <v>200</v>
      </c>
      <c r="M420" t="s">
        <v>13</v>
      </c>
      <c r="N420" t="s">
        <v>26</v>
      </c>
      <c r="P420">
        <v>0.77372581780595973</v>
      </c>
      <c r="Q420">
        <f t="shared" si="36"/>
        <v>11</v>
      </c>
      <c r="R420">
        <f ca="1">IF(ISNA(MATCH(P420,OFFSET('age-length key'!O$8,Data!Q420,17,1,5),1)),1,MATCH(P420,OFFSET('age-length key'!O$8,Data!Q420,17,1,5),1)+1)</f>
        <v>2</v>
      </c>
      <c r="S420">
        <f ca="1">IF(D420="Recapture",IF(OFFSET(B$1,MATCH(K420,K$2:K419,0),0)=B420,0,1),1)</f>
        <v>1</v>
      </c>
    </row>
    <row r="421" spans="1:19" x14ac:dyDescent="0.2">
      <c r="A421" s="1">
        <v>44358</v>
      </c>
      <c r="B421" s="28">
        <f t="shared" si="37"/>
        <v>20216</v>
      </c>
      <c r="C421">
        <f>A421-A$2</f>
        <v>382</v>
      </c>
      <c r="D421" s="5" t="s">
        <v>25</v>
      </c>
      <c r="E421" s="25" t="s">
        <v>49</v>
      </c>
      <c r="F421" s="4">
        <v>0.3659722222222222</v>
      </c>
      <c r="G421" s="4">
        <v>0.37777777777777777</v>
      </c>
      <c r="H421" s="3">
        <f t="shared" si="35"/>
        <v>1.1805555555555569E-2</v>
      </c>
      <c r="I421" s="5" t="s">
        <v>25</v>
      </c>
      <c r="L421" s="5">
        <v>160</v>
      </c>
      <c r="M421" t="s">
        <v>22</v>
      </c>
      <c r="N421" t="s">
        <v>26</v>
      </c>
      <c r="P421">
        <v>9.8198647656570492E-3</v>
      </c>
      <c r="Q421">
        <f t="shared" si="36"/>
        <v>7</v>
      </c>
      <c r="R421">
        <f ca="1">IF(ISNA(MATCH(P421,OFFSET('age-length key'!O$8,Data!Q421,17,1,5),1)),1,MATCH(P421,OFFSET('age-length key'!O$8,Data!Q421,17,1,5),1)+1)</f>
        <v>1</v>
      </c>
      <c r="S421">
        <f ca="1">IF(D421="Recapture",IF(OFFSET(B$1,MATCH(K421,K$2:K420,0),0)=B421,0,1),1)</f>
        <v>1</v>
      </c>
    </row>
    <row r="422" spans="1:19" x14ac:dyDescent="0.2">
      <c r="A422" s="1">
        <v>44358</v>
      </c>
      <c r="B422" s="28">
        <f t="shared" si="37"/>
        <v>20216</v>
      </c>
      <c r="C422">
        <f>A422-A$2</f>
        <v>382</v>
      </c>
      <c r="D422" s="5" t="s">
        <v>25</v>
      </c>
      <c r="E422" s="25" t="s">
        <v>49</v>
      </c>
      <c r="F422" s="4">
        <v>0.46319444444444446</v>
      </c>
      <c r="G422" s="4">
        <v>0.4909722222222222</v>
      </c>
      <c r="H422" s="3">
        <f t="shared" si="35"/>
        <v>2.7777777777777735E-2</v>
      </c>
      <c r="I422" s="5" t="s">
        <v>25</v>
      </c>
      <c r="L422" s="5">
        <v>305</v>
      </c>
      <c r="M422" t="s">
        <v>19</v>
      </c>
      <c r="N422" t="s">
        <v>26</v>
      </c>
      <c r="P422">
        <v>4.246711639802303E-2</v>
      </c>
      <c r="Q422">
        <f t="shared" si="36"/>
        <v>22</v>
      </c>
      <c r="R422">
        <f ca="1">IF(ISNA(MATCH(P422,OFFSET('age-length key'!O$8,Data!Q422,17,1,5),1)),1,MATCH(P422,OFFSET('age-length key'!O$8,Data!Q422,17,1,5),1)+1)</f>
        <v>3</v>
      </c>
      <c r="S422">
        <f ca="1">IF(D422="Recapture",IF(OFFSET(B$1,MATCH(K422,K$2:K421,0),0)=B422,0,1),1)</f>
        <v>1</v>
      </c>
    </row>
    <row r="423" spans="1:19" x14ac:dyDescent="0.2">
      <c r="A423" s="1">
        <v>44358</v>
      </c>
      <c r="B423" s="28">
        <f t="shared" si="37"/>
        <v>20216</v>
      </c>
      <c r="C423">
        <f>A423-A$2</f>
        <v>382</v>
      </c>
      <c r="D423" s="5" t="s">
        <v>58</v>
      </c>
      <c r="E423" s="22" t="s">
        <v>49</v>
      </c>
      <c r="F423"/>
      <c r="G423"/>
      <c r="H423" s="3"/>
      <c r="I423">
        <v>31</v>
      </c>
      <c r="J423" s="8" t="s">
        <v>57</v>
      </c>
      <c r="K423" s="11" t="str">
        <f t="shared" ref="K423:K448" si="38">_xlfn.CONCAT(J423,I423)</f>
        <v>Pink31</v>
      </c>
      <c r="L423">
        <v>325</v>
      </c>
      <c r="M423" t="s">
        <v>9</v>
      </c>
      <c r="N423" t="s">
        <v>27</v>
      </c>
      <c r="P423">
        <v>0.74482530157306481</v>
      </c>
      <c r="Q423">
        <f t="shared" si="36"/>
        <v>24</v>
      </c>
      <c r="R423">
        <f ca="1">IF(ISNA(MATCH(P423,OFFSET('age-length key'!O$8,Data!Q423,17,1,5),1)),1,MATCH(P423,OFFSET('age-length key'!O$8,Data!Q423,17,1,5),1)+1)</f>
        <v>3</v>
      </c>
      <c r="S423">
        <f ca="1">IF(D423="Recapture",IF(OFFSET(B$1,MATCH(K423,K$2:K422,0),0)=B423,0,1),1)</f>
        <v>1</v>
      </c>
    </row>
    <row r="424" spans="1:19" x14ac:dyDescent="0.2">
      <c r="A424" s="1">
        <v>44358</v>
      </c>
      <c r="B424" s="28">
        <f t="shared" si="37"/>
        <v>20216</v>
      </c>
      <c r="C424">
        <f>A424-A$2</f>
        <v>382</v>
      </c>
      <c r="D424" s="5" t="s">
        <v>58</v>
      </c>
      <c r="E424" s="22" t="s">
        <v>49</v>
      </c>
      <c r="F424"/>
      <c r="G424"/>
      <c r="H424" s="3"/>
      <c r="I424">
        <v>39</v>
      </c>
      <c r="J424" s="8" t="s">
        <v>57</v>
      </c>
      <c r="K424" s="11" t="str">
        <f t="shared" si="38"/>
        <v>Pink39</v>
      </c>
      <c r="L424">
        <v>280</v>
      </c>
      <c r="M424" t="s">
        <v>22</v>
      </c>
      <c r="N424" t="s">
        <v>27</v>
      </c>
      <c r="P424">
        <v>0.27884353849983007</v>
      </c>
      <c r="Q424">
        <f t="shared" si="36"/>
        <v>19</v>
      </c>
      <c r="R424">
        <f ca="1">IF(ISNA(MATCH(P424,OFFSET('age-length key'!O$8,Data!Q424,17,1,5),1)),1,MATCH(P424,OFFSET('age-length key'!O$8,Data!Q424,17,1,5),1)+1)</f>
        <v>3</v>
      </c>
      <c r="S424">
        <f ca="1">IF(D424="Recapture",IF(OFFSET(B$1,MATCH(K424,K$2:K423,0),0)=B424,0,1),1)</f>
        <v>1</v>
      </c>
    </row>
    <row r="425" spans="1:19" x14ac:dyDescent="0.2">
      <c r="A425" s="1">
        <v>44358</v>
      </c>
      <c r="B425" s="28">
        <f t="shared" si="37"/>
        <v>20216</v>
      </c>
      <c r="C425">
        <f>A425-A$2</f>
        <v>382</v>
      </c>
      <c r="D425" s="5" t="s">
        <v>58</v>
      </c>
      <c r="E425" s="22" t="s">
        <v>49</v>
      </c>
      <c r="H425" s="3"/>
      <c r="I425">
        <v>76</v>
      </c>
      <c r="J425" s="8" t="s">
        <v>56</v>
      </c>
      <c r="K425" s="11" t="str">
        <f t="shared" si="38"/>
        <v>Green76</v>
      </c>
      <c r="L425">
        <v>380</v>
      </c>
      <c r="M425" t="s">
        <v>9</v>
      </c>
      <c r="N425" t="s">
        <v>26</v>
      </c>
      <c r="P425">
        <v>0.52335156664408355</v>
      </c>
      <c r="Q425">
        <f t="shared" si="36"/>
        <v>29</v>
      </c>
      <c r="R425">
        <f ca="1">IF(ISNA(MATCH(P425,OFFSET('age-length key'!O$8,Data!Q425,17,1,5),1)),1,MATCH(P425,OFFSET('age-length key'!O$8,Data!Q425,17,1,5),1)+1)</f>
        <v>4</v>
      </c>
      <c r="S425">
        <f ca="1">IF(D425="Recapture",IF(OFFSET(B$1,MATCH(K425,K$2:K424,0),0)=B425,0,1),1)</f>
        <v>1</v>
      </c>
    </row>
    <row r="426" spans="1:19" x14ac:dyDescent="0.2">
      <c r="A426" s="1">
        <v>44358</v>
      </c>
      <c r="B426" s="28">
        <f t="shared" si="37"/>
        <v>20216</v>
      </c>
      <c r="C426">
        <f>A426-A$2</f>
        <v>382</v>
      </c>
      <c r="D426" s="5" t="s">
        <v>58</v>
      </c>
      <c r="E426" s="22" t="s">
        <v>49</v>
      </c>
      <c r="H426" s="3"/>
      <c r="I426">
        <v>84</v>
      </c>
      <c r="J426" s="8" t="s">
        <v>56</v>
      </c>
      <c r="K426" s="11" t="str">
        <f t="shared" si="38"/>
        <v>Green84</v>
      </c>
      <c r="L426">
        <v>300</v>
      </c>
      <c r="M426" t="s">
        <v>16</v>
      </c>
      <c r="N426" t="s">
        <v>26</v>
      </c>
      <c r="P426">
        <v>0.96978058711149762</v>
      </c>
      <c r="Q426">
        <f t="shared" si="36"/>
        <v>21</v>
      </c>
      <c r="R426">
        <f ca="1">IF(ISNA(MATCH(P426,OFFSET('age-length key'!O$8,Data!Q426,17,1,5),1)),1,MATCH(P426,OFFSET('age-length key'!O$8,Data!Q426,17,1,5),1)+1)</f>
        <v>3</v>
      </c>
      <c r="S426">
        <f ca="1">IF(D426="Recapture",IF(OFFSET(B$1,MATCH(K426,K$2:K425,0),0)=B426,0,1),1)</f>
        <v>1</v>
      </c>
    </row>
    <row r="427" spans="1:19" x14ac:dyDescent="0.2">
      <c r="A427" s="1">
        <v>44358</v>
      </c>
      <c r="B427" s="28">
        <f t="shared" si="37"/>
        <v>20216</v>
      </c>
      <c r="C427">
        <f>A427-A$2</f>
        <v>382</v>
      </c>
      <c r="D427" s="5" t="s">
        <v>58</v>
      </c>
      <c r="E427" s="22" t="s">
        <v>49</v>
      </c>
      <c r="H427" s="3"/>
      <c r="I427">
        <v>98</v>
      </c>
      <c r="J427" s="8" t="s">
        <v>56</v>
      </c>
      <c r="K427" s="11" t="str">
        <f t="shared" si="38"/>
        <v>Green98</v>
      </c>
      <c r="L427">
        <v>230</v>
      </c>
      <c r="M427" t="s">
        <v>22</v>
      </c>
      <c r="N427" t="s">
        <v>26</v>
      </c>
      <c r="P427">
        <v>0.10232758293968047</v>
      </c>
      <c r="Q427">
        <f t="shared" si="36"/>
        <v>14</v>
      </c>
      <c r="R427">
        <f ca="1">IF(ISNA(MATCH(P427,OFFSET('age-length key'!O$8,Data!Q427,17,1,5),1)),1,MATCH(P427,OFFSET('age-length key'!O$8,Data!Q427,17,1,5),1)+1)</f>
        <v>2</v>
      </c>
      <c r="S427">
        <f ca="1">IF(D427="Recapture",IF(OFFSET(B$1,MATCH(K427,K$2:K426,0),0)=B427,0,1),1)</f>
        <v>1</v>
      </c>
    </row>
    <row r="428" spans="1:19" x14ac:dyDescent="0.2">
      <c r="A428" s="1">
        <v>44358</v>
      </c>
      <c r="B428" s="28">
        <f t="shared" si="37"/>
        <v>20216</v>
      </c>
      <c r="C428">
        <f>A428-A$2</f>
        <v>382</v>
      </c>
      <c r="D428" s="5" t="s">
        <v>58</v>
      </c>
      <c r="E428" s="22" t="s">
        <v>49</v>
      </c>
      <c r="H428" s="3"/>
      <c r="I428">
        <v>100</v>
      </c>
      <c r="J428" s="8" t="s">
        <v>56</v>
      </c>
      <c r="K428" s="11" t="str">
        <f t="shared" si="38"/>
        <v>Green100</v>
      </c>
      <c r="L428">
        <v>220</v>
      </c>
      <c r="M428" t="s">
        <v>23</v>
      </c>
      <c r="N428" t="s">
        <v>26</v>
      </c>
      <c r="P428">
        <v>0.81968646720968485</v>
      </c>
      <c r="Q428">
        <f t="shared" si="36"/>
        <v>13</v>
      </c>
      <c r="R428">
        <f ca="1">IF(ISNA(MATCH(P428,OFFSET('age-length key'!O$8,Data!Q428,17,1,5),1)),1,MATCH(P428,OFFSET('age-length key'!O$8,Data!Q428,17,1,5),1)+1)</f>
        <v>2</v>
      </c>
      <c r="S428">
        <f ca="1">IF(D428="Recapture",IF(OFFSET(B$1,MATCH(K428,K$2:K427,0),0)=B428,0,1),1)</f>
        <v>1</v>
      </c>
    </row>
    <row r="429" spans="1:19" x14ac:dyDescent="0.2">
      <c r="A429" s="1">
        <v>44358</v>
      </c>
      <c r="B429" s="28">
        <f t="shared" si="37"/>
        <v>20216</v>
      </c>
      <c r="C429">
        <f>A429-A$2</f>
        <v>382</v>
      </c>
      <c r="D429" s="5" t="s">
        <v>58</v>
      </c>
      <c r="E429" s="22" t="s">
        <v>49</v>
      </c>
      <c r="H429" s="3"/>
      <c r="I429">
        <v>136</v>
      </c>
      <c r="J429" s="8" t="s">
        <v>56</v>
      </c>
      <c r="K429" s="11" t="str">
        <f t="shared" si="38"/>
        <v>Green136</v>
      </c>
      <c r="L429">
        <v>245</v>
      </c>
      <c r="M429" t="s">
        <v>6</v>
      </c>
      <c r="N429" t="s">
        <v>26</v>
      </c>
      <c r="P429">
        <v>0.47045439317377952</v>
      </c>
      <c r="Q429">
        <f t="shared" si="36"/>
        <v>16</v>
      </c>
      <c r="R429">
        <f ca="1">IF(ISNA(MATCH(P429,OFFSET('age-length key'!O$8,Data!Q429,17,1,5),1)),1,MATCH(P429,OFFSET('age-length key'!O$8,Data!Q429,17,1,5),1)+1)</f>
        <v>2</v>
      </c>
      <c r="S429">
        <f ca="1">IF(D429="Recapture",IF(OFFSET(B$1,MATCH(K429,K$2:K428,0),0)=B429,0,1),1)</f>
        <v>0</v>
      </c>
    </row>
    <row r="430" spans="1:19" x14ac:dyDescent="0.2">
      <c r="A430" s="1">
        <v>44358</v>
      </c>
      <c r="B430" s="28">
        <f t="shared" si="37"/>
        <v>20216</v>
      </c>
      <c r="C430">
        <f>A430-A$2</f>
        <v>382</v>
      </c>
      <c r="D430" s="5" t="s">
        <v>58</v>
      </c>
      <c r="E430" s="22" t="s">
        <v>49</v>
      </c>
      <c r="F430" s="4">
        <v>0.50416666666666665</v>
      </c>
      <c r="G430" s="4">
        <v>0.50972222222222219</v>
      </c>
      <c r="H430" s="3">
        <f t="shared" ref="H430:H441" si="39">G430-F430</f>
        <v>5.5555555555555358E-3</v>
      </c>
      <c r="I430">
        <v>81</v>
      </c>
      <c r="J430" s="8" t="s">
        <v>71</v>
      </c>
      <c r="K430" s="11" t="str">
        <f t="shared" si="38"/>
        <v>Green 81</v>
      </c>
      <c r="L430">
        <v>300</v>
      </c>
      <c r="M430" t="s">
        <v>17</v>
      </c>
      <c r="N430" t="s">
        <v>26</v>
      </c>
      <c r="P430">
        <v>0.92698607171279657</v>
      </c>
      <c r="Q430">
        <f t="shared" si="36"/>
        <v>21</v>
      </c>
      <c r="R430">
        <f ca="1">IF(ISNA(MATCH(P430,OFFSET('age-length key'!O$8,Data!Q430,17,1,5),1)),1,MATCH(P430,OFFSET('age-length key'!O$8,Data!Q430,17,1,5),1)+1)</f>
        <v>3</v>
      </c>
      <c r="S430">
        <v>1</v>
      </c>
    </row>
    <row r="431" spans="1:19" x14ac:dyDescent="0.2">
      <c r="A431" s="1">
        <v>44358</v>
      </c>
      <c r="B431" s="28">
        <f t="shared" si="37"/>
        <v>20216</v>
      </c>
      <c r="C431">
        <f>A431-A$2</f>
        <v>382</v>
      </c>
      <c r="D431" s="5" t="s">
        <v>58</v>
      </c>
      <c r="E431" s="22" t="s">
        <v>49</v>
      </c>
      <c r="F431" s="4">
        <v>0.51180555555555551</v>
      </c>
      <c r="G431" s="4">
        <v>0.52013888888888882</v>
      </c>
      <c r="H431" s="3">
        <f t="shared" si="39"/>
        <v>8.3333333333333037E-3</v>
      </c>
      <c r="I431">
        <v>152</v>
      </c>
      <c r="J431" s="8" t="s">
        <v>71</v>
      </c>
      <c r="K431" s="11" t="str">
        <f t="shared" si="38"/>
        <v>Green 152</v>
      </c>
      <c r="L431">
        <v>210</v>
      </c>
      <c r="M431" t="s">
        <v>13</v>
      </c>
      <c r="N431" t="s">
        <v>26</v>
      </c>
      <c r="P431">
        <v>0.85490727697261948</v>
      </c>
      <c r="Q431">
        <f t="shared" si="36"/>
        <v>12</v>
      </c>
      <c r="R431">
        <f ca="1">IF(ISNA(MATCH(P431,OFFSET('age-length key'!O$8,Data!Q431,17,1,5),1)),1,MATCH(P431,OFFSET('age-length key'!O$8,Data!Q431,17,1,5),1)+1)</f>
        <v>2</v>
      </c>
      <c r="S431">
        <v>1</v>
      </c>
    </row>
    <row r="432" spans="1:19" x14ac:dyDescent="0.2">
      <c r="A432" s="1">
        <v>44358</v>
      </c>
      <c r="B432" s="28">
        <f t="shared" si="37"/>
        <v>20216</v>
      </c>
      <c r="C432">
        <f>A432-A$2</f>
        <v>382</v>
      </c>
      <c r="D432" s="5" t="s">
        <v>58</v>
      </c>
      <c r="E432" s="22" t="s">
        <v>49</v>
      </c>
      <c r="F432" s="4">
        <v>0.4375</v>
      </c>
      <c r="G432" s="4">
        <v>0.45833333333333331</v>
      </c>
      <c r="H432" s="3">
        <f t="shared" si="39"/>
        <v>2.0833333333333315E-2</v>
      </c>
      <c r="I432">
        <v>139</v>
      </c>
      <c r="J432" s="8" t="s">
        <v>56</v>
      </c>
      <c r="K432" s="11" t="str">
        <f t="shared" si="38"/>
        <v>Green139</v>
      </c>
      <c r="L432">
        <v>280</v>
      </c>
      <c r="M432" t="s">
        <v>6</v>
      </c>
      <c r="N432" t="s">
        <v>26</v>
      </c>
      <c r="P432">
        <v>0.42660407881559992</v>
      </c>
      <c r="Q432">
        <f t="shared" si="36"/>
        <v>19</v>
      </c>
      <c r="R432">
        <f ca="1">IF(ISNA(MATCH(P432,OFFSET('age-length key'!O$8,Data!Q432,17,1,5),1)),1,MATCH(P432,OFFSET('age-length key'!O$8,Data!Q432,17,1,5),1)+1)</f>
        <v>3</v>
      </c>
      <c r="S432">
        <f ca="1">IF(D432="Recapture",IF(OFFSET(B$1,MATCH(K432,K$2:K431,0),0)=B432,0,1),1)</f>
        <v>0</v>
      </c>
    </row>
    <row r="433" spans="1:19" x14ac:dyDescent="0.2">
      <c r="A433" s="1">
        <v>44358</v>
      </c>
      <c r="B433" s="28">
        <f t="shared" si="37"/>
        <v>20216</v>
      </c>
      <c r="C433">
        <f>A433-A$2</f>
        <v>382</v>
      </c>
      <c r="D433" s="5" t="s">
        <v>58</v>
      </c>
      <c r="E433" s="22" t="s">
        <v>49</v>
      </c>
      <c r="F433" s="4">
        <v>0.41666666666666669</v>
      </c>
      <c r="G433" s="4">
        <v>0.4375</v>
      </c>
      <c r="H433" s="3">
        <f t="shared" si="39"/>
        <v>2.0833333333333315E-2</v>
      </c>
      <c r="I433">
        <v>148</v>
      </c>
      <c r="J433" s="8" t="s">
        <v>56</v>
      </c>
      <c r="K433" s="11" t="str">
        <f t="shared" si="38"/>
        <v>Green148</v>
      </c>
      <c r="L433">
        <v>230</v>
      </c>
      <c r="M433" t="s">
        <v>23</v>
      </c>
      <c r="N433" t="s">
        <v>26</v>
      </c>
      <c r="P433">
        <v>0.93475265378819439</v>
      </c>
      <c r="Q433">
        <f t="shared" si="36"/>
        <v>14</v>
      </c>
      <c r="R433">
        <f ca="1">IF(ISNA(MATCH(P433,OFFSET('age-length key'!O$8,Data!Q433,17,1,5),1)),1,MATCH(P433,OFFSET('age-length key'!O$8,Data!Q433,17,1,5),1)+1)</f>
        <v>3</v>
      </c>
      <c r="S433">
        <f ca="1">IF(D433="Recapture",IF(OFFSET(B$1,MATCH(K433,K$2:K432,0),0)=B433,0,1),1)</f>
        <v>0</v>
      </c>
    </row>
    <row r="434" spans="1:19" x14ac:dyDescent="0.2">
      <c r="A434" s="1">
        <v>44358</v>
      </c>
      <c r="B434" s="28">
        <f t="shared" si="37"/>
        <v>20216</v>
      </c>
      <c r="C434">
        <f>A434-A$2</f>
        <v>382</v>
      </c>
      <c r="D434" s="5" t="s">
        <v>47</v>
      </c>
      <c r="E434" s="25" t="s">
        <v>49</v>
      </c>
      <c r="F434" s="4">
        <v>0.33888888888888885</v>
      </c>
      <c r="G434" s="4">
        <v>0.34027777777777773</v>
      </c>
      <c r="H434" s="3">
        <f t="shared" si="39"/>
        <v>1.388888888888884E-3</v>
      </c>
      <c r="I434" s="5">
        <v>157</v>
      </c>
      <c r="J434" s="5" t="s">
        <v>56</v>
      </c>
      <c r="K434" s="11" t="str">
        <f t="shared" si="38"/>
        <v>Green157</v>
      </c>
      <c r="L434" s="5">
        <v>170</v>
      </c>
      <c r="M434" t="s">
        <v>6</v>
      </c>
      <c r="N434" t="s">
        <v>27</v>
      </c>
      <c r="P434">
        <v>0.38785221818268867</v>
      </c>
      <c r="Q434">
        <f t="shared" si="36"/>
        <v>8</v>
      </c>
      <c r="R434">
        <f ca="1">IF(ISNA(MATCH(P434,OFFSET('age-length key'!O$8,Data!Q434,17,1,5),1)),1,MATCH(P434,OFFSET('age-length key'!O$8,Data!Q434,17,1,5),1)+1)</f>
        <v>1</v>
      </c>
      <c r="S434">
        <f ca="1">IF(D434="Recapture",IF(OFFSET(B$1,MATCH(K434,K$2:K433,0),0)=B434,0,1),1)</f>
        <v>1</v>
      </c>
    </row>
    <row r="435" spans="1:19" x14ac:dyDescent="0.2">
      <c r="A435" s="1">
        <v>44358</v>
      </c>
      <c r="B435" s="28">
        <f t="shared" si="37"/>
        <v>20216</v>
      </c>
      <c r="C435">
        <f>A435-A$2</f>
        <v>382</v>
      </c>
      <c r="D435" s="5" t="s">
        <v>47</v>
      </c>
      <c r="E435" s="25" t="s">
        <v>49</v>
      </c>
      <c r="F435" s="4">
        <v>0.32222222222222224</v>
      </c>
      <c r="G435" s="4">
        <v>0.32430555555555557</v>
      </c>
      <c r="H435" s="3">
        <f t="shared" si="39"/>
        <v>2.0833333333333259E-3</v>
      </c>
      <c r="I435" s="5">
        <v>154</v>
      </c>
      <c r="J435" s="5" t="s">
        <v>56</v>
      </c>
      <c r="K435" s="11" t="str">
        <f t="shared" si="38"/>
        <v>Green154</v>
      </c>
      <c r="L435" s="5">
        <v>190</v>
      </c>
      <c r="M435" t="s">
        <v>6</v>
      </c>
      <c r="N435" t="s">
        <v>27</v>
      </c>
      <c r="P435">
        <v>0.63223099644865421</v>
      </c>
      <c r="Q435">
        <f t="shared" si="36"/>
        <v>10</v>
      </c>
      <c r="R435">
        <f ca="1">IF(ISNA(MATCH(P435,OFFSET('age-length key'!O$8,Data!Q435,17,1,5),1)),1,MATCH(P435,OFFSET('age-length key'!O$8,Data!Q435,17,1,5),1)+1)</f>
        <v>2</v>
      </c>
      <c r="S435">
        <f ca="1">IF(D435="Recapture",IF(OFFSET(B$1,MATCH(K435,K$2:K434,0),0)=B435,0,1),1)</f>
        <v>1</v>
      </c>
    </row>
    <row r="436" spans="1:19" x14ac:dyDescent="0.2">
      <c r="A436" s="1">
        <v>44358</v>
      </c>
      <c r="B436" s="28">
        <f t="shared" si="37"/>
        <v>20216</v>
      </c>
      <c r="C436">
        <f>A436-A$2</f>
        <v>382</v>
      </c>
      <c r="D436" s="5" t="s">
        <v>47</v>
      </c>
      <c r="E436" s="25" t="s">
        <v>49</v>
      </c>
      <c r="F436" s="4">
        <v>0.34097222222222223</v>
      </c>
      <c r="G436" s="4">
        <v>0.34375</v>
      </c>
      <c r="H436" s="3">
        <f t="shared" si="39"/>
        <v>2.7777777777777679E-3</v>
      </c>
      <c r="I436" s="5">
        <v>158</v>
      </c>
      <c r="J436" s="5" t="s">
        <v>56</v>
      </c>
      <c r="K436" s="11" t="str">
        <f t="shared" si="38"/>
        <v>Green158</v>
      </c>
      <c r="L436" s="5">
        <v>160</v>
      </c>
      <c r="M436" t="s">
        <v>6</v>
      </c>
      <c r="N436" t="s">
        <v>27</v>
      </c>
      <c r="P436">
        <v>0.90635731253137686</v>
      </c>
      <c r="Q436">
        <f t="shared" si="36"/>
        <v>7</v>
      </c>
      <c r="R436">
        <f ca="1">IF(ISNA(MATCH(P436,OFFSET('age-length key'!O$8,Data!Q436,17,1,5),1)),1,MATCH(P436,OFFSET('age-length key'!O$8,Data!Q436,17,1,5),1)+1)</f>
        <v>1</v>
      </c>
      <c r="S436">
        <f ca="1">IF(D436="Recapture",IF(OFFSET(B$1,MATCH(K436,K$2:K435,0),0)=B436,0,1),1)</f>
        <v>1</v>
      </c>
    </row>
    <row r="437" spans="1:19" x14ac:dyDescent="0.2">
      <c r="A437" s="1">
        <v>44358</v>
      </c>
      <c r="B437" s="28">
        <f t="shared" si="37"/>
        <v>20216</v>
      </c>
      <c r="C437">
        <f>A437-A$2</f>
        <v>382</v>
      </c>
      <c r="D437" s="5" t="s">
        <v>47</v>
      </c>
      <c r="E437" s="25" t="s">
        <v>49</v>
      </c>
      <c r="F437" s="4">
        <v>0.3444444444444445</v>
      </c>
      <c r="G437" s="4">
        <v>0.34722222222222227</v>
      </c>
      <c r="H437" s="3">
        <f t="shared" si="39"/>
        <v>2.7777777777777679E-3</v>
      </c>
      <c r="I437" s="5">
        <v>159</v>
      </c>
      <c r="J437" s="5" t="s">
        <v>56</v>
      </c>
      <c r="K437" s="11" t="str">
        <f t="shared" si="38"/>
        <v>Green159</v>
      </c>
      <c r="L437" s="5">
        <v>165</v>
      </c>
      <c r="M437" t="s">
        <v>6</v>
      </c>
      <c r="N437" t="s">
        <v>27</v>
      </c>
      <c r="P437">
        <v>0.14735171485103282</v>
      </c>
      <c r="Q437">
        <f t="shared" si="36"/>
        <v>8</v>
      </c>
      <c r="R437">
        <f ca="1">IF(ISNA(MATCH(P437,OFFSET('age-length key'!O$8,Data!Q437,17,1,5),1)),1,MATCH(P437,OFFSET('age-length key'!O$8,Data!Q437,17,1,5),1)+1)</f>
        <v>1</v>
      </c>
      <c r="S437">
        <f ca="1">IF(D437="Recapture",IF(OFFSET(B$1,MATCH(K437,K$2:K436,0),0)=B437,0,1),1)</f>
        <v>1</v>
      </c>
    </row>
    <row r="438" spans="1:19" x14ac:dyDescent="0.2">
      <c r="A438" s="1">
        <v>44358</v>
      </c>
      <c r="B438" s="28">
        <f t="shared" si="37"/>
        <v>20216</v>
      </c>
      <c r="C438">
        <f>A438-A$2</f>
        <v>382</v>
      </c>
      <c r="D438" s="5" t="s">
        <v>47</v>
      </c>
      <c r="E438" s="25" t="s">
        <v>49</v>
      </c>
      <c r="F438" s="4">
        <v>0.32500000000000001</v>
      </c>
      <c r="G438" s="4">
        <v>0.32847222222222222</v>
      </c>
      <c r="H438" s="3">
        <f t="shared" si="39"/>
        <v>3.4722222222222099E-3</v>
      </c>
      <c r="I438" s="5">
        <v>155</v>
      </c>
      <c r="J438" s="5" t="s">
        <v>56</v>
      </c>
      <c r="K438" s="11" t="str">
        <f t="shared" si="38"/>
        <v>Green155</v>
      </c>
      <c r="L438" s="5">
        <v>160</v>
      </c>
      <c r="M438" t="s">
        <v>6</v>
      </c>
      <c r="N438" t="s">
        <v>27</v>
      </c>
      <c r="P438">
        <v>0.54027150130843349</v>
      </c>
      <c r="Q438">
        <f t="shared" si="36"/>
        <v>7</v>
      </c>
      <c r="R438">
        <f ca="1">IF(ISNA(MATCH(P438,OFFSET('age-length key'!O$8,Data!Q438,17,1,5),1)),1,MATCH(P438,OFFSET('age-length key'!O$8,Data!Q438,17,1,5),1)+1)</f>
        <v>1</v>
      </c>
      <c r="S438">
        <f ca="1">IF(D438="Recapture",IF(OFFSET(B$1,MATCH(K438,K$2:K437,0),0)=B438,0,1),1)</f>
        <v>1</v>
      </c>
    </row>
    <row r="439" spans="1:19" x14ac:dyDescent="0.2">
      <c r="A439" s="1">
        <v>44358</v>
      </c>
      <c r="B439" s="28">
        <f t="shared" si="37"/>
        <v>20216</v>
      </c>
      <c r="C439">
        <f>A439-A$2</f>
        <v>382</v>
      </c>
      <c r="D439" s="5" t="s">
        <v>47</v>
      </c>
      <c r="E439" s="25" t="s">
        <v>49</v>
      </c>
      <c r="F439" s="4">
        <v>0.3347222222222222</v>
      </c>
      <c r="G439" s="4">
        <v>0.33819444444444446</v>
      </c>
      <c r="H439" s="3">
        <f t="shared" si="39"/>
        <v>3.4722222222222654E-3</v>
      </c>
      <c r="I439" s="5">
        <v>156</v>
      </c>
      <c r="J439" s="5" t="s">
        <v>56</v>
      </c>
      <c r="K439" s="11" t="str">
        <f t="shared" si="38"/>
        <v>Green156</v>
      </c>
      <c r="L439" s="5">
        <v>200</v>
      </c>
      <c r="M439" t="s">
        <v>6</v>
      </c>
      <c r="N439" t="s">
        <v>27</v>
      </c>
      <c r="P439">
        <v>0.34312249084148672</v>
      </c>
      <c r="Q439">
        <f t="shared" si="36"/>
        <v>11</v>
      </c>
      <c r="R439">
        <f ca="1">IF(ISNA(MATCH(P439,OFFSET('age-length key'!O$8,Data!Q439,17,1,5),1)),1,MATCH(P439,OFFSET('age-length key'!O$8,Data!Q439,17,1,5),1)+1)</f>
        <v>2</v>
      </c>
      <c r="S439">
        <f ca="1">IF(D439="Recapture",IF(OFFSET(B$1,MATCH(K439,K$2:K438,0),0)=B439,0,1),1)</f>
        <v>1</v>
      </c>
    </row>
    <row r="440" spans="1:19" x14ac:dyDescent="0.2">
      <c r="A440" s="1">
        <v>44358</v>
      </c>
      <c r="B440" s="28">
        <f t="shared" si="37"/>
        <v>20216</v>
      </c>
      <c r="C440">
        <f>A440-A$2</f>
        <v>382</v>
      </c>
      <c r="D440" s="5" t="s">
        <v>47</v>
      </c>
      <c r="E440" s="25" t="s">
        <v>49</v>
      </c>
      <c r="F440" s="4">
        <v>0.34722222222222227</v>
      </c>
      <c r="G440" s="4">
        <v>0.3576388888888889</v>
      </c>
      <c r="H440" s="3">
        <f t="shared" si="39"/>
        <v>1.041666666666663E-2</v>
      </c>
      <c r="I440" s="5">
        <v>160</v>
      </c>
      <c r="J440" s="5" t="s">
        <v>56</v>
      </c>
      <c r="K440" s="11" t="str">
        <f t="shared" si="38"/>
        <v>Green160</v>
      </c>
      <c r="L440" s="5">
        <v>220</v>
      </c>
      <c r="M440" t="s">
        <v>6</v>
      </c>
      <c r="N440" t="s">
        <v>27</v>
      </c>
      <c r="P440">
        <v>0.85970357286730015</v>
      </c>
      <c r="Q440">
        <f t="shared" si="36"/>
        <v>13</v>
      </c>
      <c r="R440">
        <f ca="1">IF(ISNA(MATCH(P440,OFFSET('age-length key'!O$8,Data!Q440,17,1,5),1)),1,MATCH(P440,OFFSET('age-length key'!O$8,Data!Q440,17,1,5),1)+1)</f>
        <v>2</v>
      </c>
      <c r="S440">
        <f ca="1">IF(D440="Recapture",IF(OFFSET(B$1,MATCH(K440,K$2:K439,0),0)=B440,0,1),1)</f>
        <v>1</v>
      </c>
    </row>
    <row r="441" spans="1:19" x14ac:dyDescent="0.2">
      <c r="A441" s="1">
        <v>44362</v>
      </c>
      <c r="B441" s="28">
        <f t="shared" si="37"/>
        <v>20216</v>
      </c>
      <c r="C441">
        <f>A441-A$2</f>
        <v>386</v>
      </c>
      <c r="D441" s="5" t="s">
        <v>58</v>
      </c>
      <c r="E441" s="22" t="s">
        <v>63</v>
      </c>
      <c r="F441" s="4">
        <v>0.35416666666666669</v>
      </c>
      <c r="G441" s="4">
        <v>0.38541666666666669</v>
      </c>
      <c r="H441" s="3">
        <f t="shared" si="39"/>
        <v>3.125E-2</v>
      </c>
      <c r="I441">
        <v>116</v>
      </c>
      <c r="J441" s="8" t="s">
        <v>56</v>
      </c>
      <c r="K441" s="11" t="str">
        <f t="shared" si="38"/>
        <v>Green116</v>
      </c>
      <c r="L441" s="26">
        <f ca="1">OFFSET(K$1,MATCH(K441,K$2:K440,0),1)</f>
        <v>290</v>
      </c>
      <c r="M441" t="s">
        <v>75</v>
      </c>
      <c r="N441" t="s">
        <v>26</v>
      </c>
      <c r="P441">
        <v>3.7949180713831063E-2</v>
      </c>
      <c r="Q441">
        <f t="shared" ca="1" si="36"/>
        <v>20</v>
      </c>
      <c r="R441" s="26">
        <f ca="1">OFFSET(Q$1,MATCH(K441,K$2:K440,0),1)</f>
        <v>3</v>
      </c>
      <c r="S441">
        <f ca="1">IF(D441="Recapture",IF(OFFSET(B$1,MATCH(K441,K$2:K440,0),0)=B441,0,1),1)</f>
        <v>1</v>
      </c>
    </row>
    <row r="442" spans="1:19" x14ac:dyDescent="0.2">
      <c r="A442" s="1">
        <v>44362</v>
      </c>
      <c r="B442" s="28">
        <f t="shared" si="37"/>
        <v>20216</v>
      </c>
      <c r="C442">
        <f>A442-A$2</f>
        <v>386</v>
      </c>
      <c r="D442" s="5" t="s">
        <v>58</v>
      </c>
      <c r="E442" s="22" t="s">
        <v>54</v>
      </c>
      <c r="H442" s="3"/>
      <c r="I442">
        <v>14</v>
      </c>
      <c r="J442" s="8" t="s">
        <v>57</v>
      </c>
      <c r="K442" s="11" t="str">
        <f t="shared" si="38"/>
        <v>Pink14</v>
      </c>
      <c r="L442" s="26">
        <f ca="1">OFFSET(K$1,MATCH(K442,K$2:K441,0),1)</f>
        <v>242</v>
      </c>
      <c r="N442" t="s">
        <v>26</v>
      </c>
      <c r="P442">
        <v>0.81188025735871883</v>
      </c>
      <c r="Q442">
        <f t="shared" ca="1" si="36"/>
        <v>15</v>
      </c>
      <c r="R442" s="26">
        <f ca="1">OFFSET(Q$1,MATCH(K442,K$2:K441,0),1)</f>
        <v>2</v>
      </c>
      <c r="S442">
        <f ca="1">IF(D442="Recapture",IF(OFFSET(B$1,MATCH(K442,K$2:K441,0),0)=B442,0,1),1)</f>
        <v>1</v>
      </c>
    </row>
    <row r="443" spans="1:19" x14ac:dyDescent="0.2">
      <c r="A443" s="1">
        <v>44364</v>
      </c>
      <c r="B443" s="28">
        <f t="shared" si="37"/>
        <v>20216</v>
      </c>
      <c r="C443">
        <f>A443-A$2</f>
        <v>388</v>
      </c>
      <c r="D443" s="5" t="s">
        <v>58</v>
      </c>
      <c r="E443" s="22" t="s">
        <v>49</v>
      </c>
      <c r="H443" s="3"/>
      <c r="I443">
        <v>105</v>
      </c>
      <c r="J443" s="8" t="s">
        <v>56</v>
      </c>
      <c r="K443" s="11" t="str">
        <f t="shared" si="38"/>
        <v>Green105</v>
      </c>
      <c r="L443">
        <v>300</v>
      </c>
      <c r="M443" t="s">
        <v>12</v>
      </c>
      <c r="N443" t="s">
        <v>26</v>
      </c>
      <c r="P443">
        <v>0.27148542798659087</v>
      </c>
      <c r="Q443">
        <f t="shared" si="36"/>
        <v>21</v>
      </c>
      <c r="R443">
        <f ca="1">IF(ISNA(MATCH(P443,OFFSET('age-length key'!O$8,Data!Q443,17,1,5),1)),1,MATCH(P443,OFFSET('age-length key'!O$8,Data!Q443,17,1,5),1)+1)</f>
        <v>3</v>
      </c>
      <c r="S443">
        <f ca="1">IF(D443="Recapture",IF(OFFSET(B$1,MATCH(K443,K$2:K442,0),0)=B443,0,1),1)</f>
        <v>1</v>
      </c>
    </row>
    <row r="444" spans="1:19" x14ac:dyDescent="0.2">
      <c r="A444" s="1">
        <v>44364</v>
      </c>
      <c r="B444" s="28">
        <f t="shared" si="37"/>
        <v>20216</v>
      </c>
      <c r="C444">
        <f>A444-A$2</f>
        <v>388</v>
      </c>
      <c r="D444" s="5" t="s">
        <v>58</v>
      </c>
      <c r="E444" s="22" t="s">
        <v>49</v>
      </c>
      <c r="F444" s="4">
        <v>0.45347222222222222</v>
      </c>
      <c r="G444" s="4">
        <v>0.45902777777777781</v>
      </c>
      <c r="H444" s="3">
        <f t="shared" ref="H444:H460" si="40">G444-F444</f>
        <v>5.5555555555555913E-3</v>
      </c>
      <c r="I444">
        <v>119</v>
      </c>
      <c r="J444" s="8" t="s">
        <v>56</v>
      </c>
      <c r="K444" s="11" t="str">
        <f t="shared" si="38"/>
        <v>Green119</v>
      </c>
      <c r="L444">
        <v>265</v>
      </c>
      <c r="M444" t="s">
        <v>23</v>
      </c>
      <c r="N444" t="s">
        <v>26</v>
      </c>
      <c r="P444">
        <v>0.85558817063252823</v>
      </c>
      <c r="Q444">
        <f t="shared" si="36"/>
        <v>18</v>
      </c>
      <c r="R444">
        <f ca="1">IF(ISNA(MATCH(P444,OFFSET('age-length key'!O$8,Data!Q444,17,1,5),1)),1,MATCH(P444,OFFSET('age-length key'!O$8,Data!Q444,17,1,5),1)+1)</f>
        <v>3</v>
      </c>
      <c r="S444">
        <f ca="1">IF(D444="Recapture",IF(OFFSET(B$1,MATCH(K444,K$2:K443,0),0)=B444,0,1),1)</f>
        <v>0</v>
      </c>
    </row>
    <row r="445" spans="1:19" x14ac:dyDescent="0.2">
      <c r="A445" s="1">
        <v>44364</v>
      </c>
      <c r="B445" s="28">
        <f t="shared" si="37"/>
        <v>20216</v>
      </c>
      <c r="C445">
        <f>A445-A$2</f>
        <v>388</v>
      </c>
      <c r="D445" s="5" t="s">
        <v>58</v>
      </c>
      <c r="E445" s="22" t="s">
        <v>49</v>
      </c>
      <c r="F445" s="4">
        <v>0.51250000000000007</v>
      </c>
      <c r="G445" s="4">
        <v>0.51874999999999993</v>
      </c>
      <c r="H445" s="3">
        <f t="shared" si="40"/>
        <v>6.2499999999998668E-3</v>
      </c>
      <c r="I445">
        <v>120</v>
      </c>
      <c r="J445" s="8" t="s">
        <v>56</v>
      </c>
      <c r="K445" s="11" t="str">
        <f t="shared" si="38"/>
        <v>Green120</v>
      </c>
      <c r="L445">
        <v>320</v>
      </c>
      <c r="M445" t="s">
        <v>28</v>
      </c>
      <c r="N445" t="s">
        <v>26</v>
      </c>
      <c r="P445">
        <v>0.87038382090180355</v>
      </c>
      <c r="Q445">
        <f t="shared" si="36"/>
        <v>23</v>
      </c>
      <c r="R445">
        <f ca="1">IF(ISNA(MATCH(P445,OFFSET('age-length key'!O$8,Data!Q445,17,1,5),1)),1,MATCH(P445,OFFSET('age-length key'!O$8,Data!Q445,17,1,5),1)+1)</f>
        <v>3</v>
      </c>
      <c r="S445">
        <f ca="1">IF(D445="Recapture",IF(OFFSET(B$1,MATCH(K445,K$2:K444,0),0)=B445,0,1),1)</f>
        <v>0</v>
      </c>
    </row>
    <row r="446" spans="1:19" x14ac:dyDescent="0.2">
      <c r="A446" s="1">
        <v>44364</v>
      </c>
      <c r="B446" s="28">
        <f t="shared" si="37"/>
        <v>20216</v>
      </c>
      <c r="C446">
        <f>A446-A$2</f>
        <v>388</v>
      </c>
      <c r="D446" s="5" t="s">
        <v>58</v>
      </c>
      <c r="E446" s="22" t="s">
        <v>49</v>
      </c>
      <c r="F446" s="4">
        <v>0.42499999999999999</v>
      </c>
      <c r="G446" s="4">
        <v>0.43333333333333335</v>
      </c>
      <c r="H446" s="3">
        <f t="shared" si="40"/>
        <v>8.3333333333333592E-3</v>
      </c>
      <c r="I446">
        <v>145</v>
      </c>
      <c r="J446" s="8" t="s">
        <v>56</v>
      </c>
      <c r="K446" s="11" t="str">
        <f t="shared" si="38"/>
        <v>Green145</v>
      </c>
      <c r="L446">
        <v>295</v>
      </c>
      <c r="M446" t="s">
        <v>21</v>
      </c>
      <c r="N446" t="s">
        <v>26</v>
      </c>
      <c r="P446">
        <v>0.54087789661291885</v>
      </c>
      <c r="Q446">
        <f t="shared" si="36"/>
        <v>21</v>
      </c>
      <c r="R446">
        <f ca="1">IF(ISNA(MATCH(P446,OFFSET('age-length key'!O$8,Data!Q446,17,1,5),1)),1,MATCH(P446,OFFSET('age-length key'!O$8,Data!Q446,17,1,5),1)+1)</f>
        <v>3</v>
      </c>
      <c r="S446">
        <f ca="1">IF(D446="Recapture",IF(OFFSET(B$1,MATCH(K446,K$2:K445,0),0)=B446,0,1),1)</f>
        <v>0</v>
      </c>
    </row>
    <row r="447" spans="1:19" x14ac:dyDescent="0.2">
      <c r="A447" s="1">
        <v>44364</v>
      </c>
      <c r="B447" s="28">
        <f t="shared" si="37"/>
        <v>20216</v>
      </c>
      <c r="C447">
        <f>A447-A$2</f>
        <v>388</v>
      </c>
      <c r="D447" s="5" t="s">
        <v>58</v>
      </c>
      <c r="E447" s="22" t="s">
        <v>49</v>
      </c>
      <c r="F447" s="4">
        <v>0.41666666666666669</v>
      </c>
      <c r="G447" s="4">
        <v>0.45833333333333331</v>
      </c>
      <c r="H447" s="3">
        <f t="shared" si="40"/>
        <v>4.166666666666663E-2</v>
      </c>
      <c r="I447">
        <v>140</v>
      </c>
      <c r="J447" s="8" t="s">
        <v>56</v>
      </c>
      <c r="K447" s="11" t="str">
        <f t="shared" si="38"/>
        <v>Green140</v>
      </c>
      <c r="L447">
        <v>290</v>
      </c>
      <c r="M447" t="s">
        <v>12</v>
      </c>
      <c r="N447" t="s">
        <v>26</v>
      </c>
      <c r="P447">
        <v>0.53480837332774345</v>
      </c>
      <c r="Q447">
        <f t="shared" si="36"/>
        <v>20</v>
      </c>
      <c r="R447">
        <f ca="1">IF(ISNA(MATCH(P447,OFFSET('age-length key'!O$8,Data!Q447,17,1,5),1)),1,MATCH(P447,OFFSET('age-length key'!O$8,Data!Q447,17,1,5),1)+1)</f>
        <v>3</v>
      </c>
      <c r="S447">
        <f ca="1">IF(D447="Recapture",IF(OFFSET(B$1,MATCH(K447,K$2:K446,0),0)=B447,0,1),1)</f>
        <v>0</v>
      </c>
    </row>
    <row r="448" spans="1:19" x14ac:dyDescent="0.2">
      <c r="A448" s="1">
        <v>44369</v>
      </c>
      <c r="B448" s="28">
        <f t="shared" si="37"/>
        <v>20216</v>
      </c>
      <c r="C448">
        <f>A448-A$2</f>
        <v>393</v>
      </c>
      <c r="D448" s="5" t="s">
        <v>58</v>
      </c>
      <c r="E448" s="22" t="s">
        <v>64</v>
      </c>
      <c r="F448" s="4">
        <v>0.50763888888888886</v>
      </c>
      <c r="G448" s="4">
        <v>0.51180555555555551</v>
      </c>
      <c r="H448" s="3">
        <f t="shared" si="40"/>
        <v>4.1666666666666519E-3</v>
      </c>
      <c r="I448">
        <v>115</v>
      </c>
      <c r="J448" s="8" t="s">
        <v>56</v>
      </c>
      <c r="K448" s="11" t="str">
        <f t="shared" si="38"/>
        <v>Green115</v>
      </c>
      <c r="L448">
        <v>240</v>
      </c>
      <c r="M448" t="s">
        <v>76</v>
      </c>
      <c r="N448" t="s">
        <v>26</v>
      </c>
      <c r="P448">
        <v>0.52433051938392716</v>
      </c>
      <c r="Q448">
        <f t="shared" si="36"/>
        <v>15</v>
      </c>
      <c r="R448">
        <f ca="1">IF(ISNA(MATCH(P448,OFFSET('age-length key'!O$8,Data!Q448,17,1,5),1)),1,MATCH(P448,OFFSET('age-length key'!O$8,Data!Q448,17,1,5),1)+1)</f>
        <v>2</v>
      </c>
      <c r="S448">
        <f ca="1">IF(D448="Recapture",IF(OFFSET(B$1,MATCH(K448,K$2:K447,0),0)=B448,0,1),1)</f>
        <v>0</v>
      </c>
    </row>
    <row r="449" spans="1:19" x14ac:dyDescent="0.2">
      <c r="A449" s="1">
        <v>44377</v>
      </c>
      <c r="B449" s="28">
        <f t="shared" si="37"/>
        <v>20216</v>
      </c>
      <c r="C449">
        <f>A449-A$2</f>
        <v>401</v>
      </c>
      <c r="D449" s="5" t="s">
        <v>25</v>
      </c>
      <c r="E449" s="25" t="s">
        <v>49</v>
      </c>
      <c r="F449" s="4">
        <v>0.35138888888888892</v>
      </c>
      <c r="G449" s="4">
        <v>0.35486111111111113</v>
      </c>
      <c r="H449" s="3">
        <f t="shared" si="40"/>
        <v>3.4722222222222099E-3</v>
      </c>
      <c r="I449" s="5" t="s">
        <v>25</v>
      </c>
      <c r="L449" s="5">
        <v>185</v>
      </c>
      <c r="M449" t="s">
        <v>21</v>
      </c>
      <c r="N449" t="s">
        <v>26</v>
      </c>
      <c r="P449">
        <v>0.42303928566306798</v>
      </c>
      <c r="Q449">
        <f t="shared" si="36"/>
        <v>10</v>
      </c>
      <c r="R449">
        <f ca="1">IF(ISNA(MATCH(P449,OFFSET('age-length key'!O$8,Data!Q449,17,1,5),1)),1,MATCH(P449,OFFSET('age-length key'!O$8,Data!Q449,17,1,5),1)+1)</f>
        <v>2</v>
      </c>
      <c r="S449">
        <f ca="1">IF(D449="Recapture",IF(OFFSET(B$1,MATCH(K449,K$2:K448,0),0)=B449,0,1),1)</f>
        <v>1</v>
      </c>
    </row>
    <row r="450" spans="1:19" x14ac:dyDescent="0.2">
      <c r="A450" s="1">
        <v>44377</v>
      </c>
      <c r="B450" s="28">
        <f t="shared" si="37"/>
        <v>20216</v>
      </c>
      <c r="C450">
        <f>A450-A$2</f>
        <v>401</v>
      </c>
      <c r="D450" s="5" t="s">
        <v>25</v>
      </c>
      <c r="E450" s="25" t="s">
        <v>49</v>
      </c>
      <c r="F450" s="4">
        <v>0.35555555555555557</v>
      </c>
      <c r="G450" s="4">
        <v>0.36041666666666666</v>
      </c>
      <c r="H450" s="3">
        <f t="shared" si="40"/>
        <v>4.8611111111110938E-3</v>
      </c>
      <c r="I450" s="5" t="s">
        <v>25</v>
      </c>
      <c r="L450" s="5">
        <v>280</v>
      </c>
      <c r="M450" t="s">
        <v>21</v>
      </c>
      <c r="N450" t="s">
        <v>26</v>
      </c>
      <c r="P450">
        <v>2.1274139183235421E-2</v>
      </c>
      <c r="Q450">
        <f t="shared" ref="Q450:Q513" si="41">INT((L450-95)/10)+1</f>
        <v>19</v>
      </c>
      <c r="R450">
        <f ca="1">IF(ISNA(MATCH(P450,OFFSET('age-length key'!O$8,Data!Q450,17,1,5),1)),1,MATCH(P450,OFFSET('age-length key'!O$8,Data!Q450,17,1,5),1)+1)</f>
        <v>2</v>
      </c>
      <c r="S450">
        <f ca="1">IF(D450="Recapture",IF(OFFSET(B$1,MATCH(K450,K$2:K449,0),0)=B450,0,1),1)</f>
        <v>1</v>
      </c>
    </row>
    <row r="451" spans="1:19" x14ac:dyDescent="0.2">
      <c r="A451" s="1">
        <v>44377</v>
      </c>
      <c r="B451" s="28">
        <f t="shared" si="37"/>
        <v>20216</v>
      </c>
      <c r="C451">
        <f>A451-A$2</f>
        <v>401</v>
      </c>
      <c r="D451" s="5" t="s">
        <v>25</v>
      </c>
      <c r="E451" s="25" t="s">
        <v>49</v>
      </c>
      <c r="F451" s="4">
        <v>0.3611111111111111</v>
      </c>
      <c r="G451" s="4">
        <v>0.36944444444444446</v>
      </c>
      <c r="H451" s="3">
        <f t="shared" si="40"/>
        <v>8.3333333333333592E-3</v>
      </c>
      <c r="I451" s="5" t="s">
        <v>25</v>
      </c>
      <c r="L451" s="5">
        <v>240</v>
      </c>
      <c r="M451" t="s">
        <v>28</v>
      </c>
      <c r="N451" t="s">
        <v>26</v>
      </c>
      <c r="P451">
        <v>0.55445725263769607</v>
      </c>
      <c r="Q451">
        <f t="shared" si="41"/>
        <v>15</v>
      </c>
      <c r="R451">
        <f ca="1">IF(ISNA(MATCH(P451,OFFSET('age-length key'!O$8,Data!Q451,17,1,5),1)),1,MATCH(P451,OFFSET('age-length key'!O$8,Data!Q451,17,1,5),1)+1)</f>
        <v>2</v>
      </c>
      <c r="S451">
        <f ca="1">IF(D451="Recapture",IF(OFFSET(B$1,MATCH(K451,K$2:K450,0),0)=B451,0,1),1)</f>
        <v>1</v>
      </c>
    </row>
    <row r="452" spans="1:19" x14ac:dyDescent="0.2">
      <c r="A452" s="1">
        <v>44377</v>
      </c>
      <c r="B452" s="28">
        <f t="shared" si="37"/>
        <v>20216</v>
      </c>
      <c r="C452">
        <f>A452-A$2</f>
        <v>401</v>
      </c>
      <c r="D452" s="5" t="s">
        <v>25</v>
      </c>
      <c r="E452" s="25" t="s">
        <v>49</v>
      </c>
      <c r="F452" s="4">
        <v>0.32708333333333334</v>
      </c>
      <c r="G452" s="4">
        <v>0.33680555555555558</v>
      </c>
      <c r="H452" s="3">
        <f t="shared" si="40"/>
        <v>9.7222222222222432E-3</v>
      </c>
      <c r="I452" s="5" t="s">
        <v>25</v>
      </c>
      <c r="L452" s="5">
        <v>310</v>
      </c>
      <c r="M452" t="s">
        <v>6</v>
      </c>
      <c r="N452" t="s">
        <v>26</v>
      </c>
      <c r="P452">
        <v>0.763045081758427</v>
      </c>
      <c r="Q452">
        <f t="shared" si="41"/>
        <v>22</v>
      </c>
      <c r="R452">
        <f ca="1">IF(ISNA(MATCH(P452,OFFSET('age-length key'!O$8,Data!Q452,17,1,5),1)),1,MATCH(P452,OFFSET('age-length key'!O$8,Data!Q452,17,1,5),1)+1)</f>
        <v>3</v>
      </c>
      <c r="S452">
        <f ca="1">IF(D452="Recapture",IF(OFFSET(B$1,MATCH(K452,K$2:K451,0),0)=B452,0,1),1)</f>
        <v>1</v>
      </c>
    </row>
    <row r="453" spans="1:19" x14ac:dyDescent="0.2">
      <c r="A453" s="1">
        <v>44377</v>
      </c>
      <c r="B453" s="28">
        <f t="shared" si="37"/>
        <v>20216</v>
      </c>
      <c r="C453">
        <f>A453-A$2</f>
        <v>401</v>
      </c>
      <c r="D453" s="5" t="s">
        <v>25</v>
      </c>
      <c r="E453" s="25" t="s">
        <v>49</v>
      </c>
      <c r="F453" s="4">
        <v>0.4604166666666667</v>
      </c>
      <c r="G453" s="4">
        <v>0.47083333333333338</v>
      </c>
      <c r="H453" s="3">
        <f t="shared" si="40"/>
        <v>1.0416666666666685E-2</v>
      </c>
      <c r="I453" s="5" t="s">
        <v>25</v>
      </c>
      <c r="L453" s="5">
        <v>230</v>
      </c>
      <c r="M453" t="s">
        <v>18</v>
      </c>
      <c r="N453" t="s">
        <v>26</v>
      </c>
      <c r="P453">
        <v>0.49868911388269116</v>
      </c>
      <c r="Q453">
        <f t="shared" si="41"/>
        <v>14</v>
      </c>
      <c r="R453">
        <f ca="1">IF(ISNA(MATCH(P453,OFFSET('age-length key'!O$8,Data!Q453,17,1,5),1)),1,MATCH(P453,OFFSET('age-length key'!O$8,Data!Q453,17,1,5),1)+1)</f>
        <v>2</v>
      </c>
      <c r="S453">
        <f ca="1">IF(D453="Recapture",IF(OFFSET(B$1,MATCH(K453,K$2:K452,0),0)=B453,0,1),1)</f>
        <v>1</v>
      </c>
    </row>
    <row r="454" spans="1:19" x14ac:dyDescent="0.2">
      <c r="A454" s="1">
        <v>44377</v>
      </c>
      <c r="B454" s="28">
        <f t="shared" si="37"/>
        <v>20216</v>
      </c>
      <c r="C454">
        <f>A454-A$2</f>
        <v>401</v>
      </c>
      <c r="D454" s="5" t="s">
        <v>25</v>
      </c>
      <c r="E454" s="25" t="s">
        <v>49</v>
      </c>
      <c r="F454" s="4">
        <v>0.38819444444444445</v>
      </c>
      <c r="G454" s="4">
        <v>0.39999999999999997</v>
      </c>
      <c r="H454" s="3">
        <f t="shared" si="40"/>
        <v>1.1805555555555514E-2</v>
      </c>
      <c r="I454" s="5" t="s">
        <v>25</v>
      </c>
      <c r="L454" s="5">
        <v>290</v>
      </c>
      <c r="M454" t="s">
        <v>17</v>
      </c>
      <c r="N454" t="s">
        <v>26</v>
      </c>
      <c r="P454">
        <v>0.4679370263907765</v>
      </c>
      <c r="Q454">
        <f t="shared" si="41"/>
        <v>20</v>
      </c>
      <c r="R454">
        <f ca="1">IF(ISNA(MATCH(P454,OFFSET('age-length key'!O$8,Data!Q454,17,1,5),1)),1,MATCH(P454,OFFSET('age-length key'!O$8,Data!Q454,17,1,5),1)+1)</f>
        <v>3</v>
      </c>
      <c r="S454">
        <f ca="1">IF(D454="Recapture",IF(OFFSET(B$1,MATCH(K454,K$2:K453,0),0)=B454,0,1),1)</f>
        <v>1</v>
      </c>
    </row>
    <row r="455" spans="1:19" x14ac:dyDescent="0.2">
      <c r="A455" s="1">
        <v>44377</v>
      </c>
      <c r="B455" s="28">
        <f t="shared" si="37"/>
        <v>20216</v>
      </c>
      <c r="C455">
        <f>A455-A$2</f>
        <v>401</v>
      </c>
      <c r="D455" s="5" t="s">
        <v>25</v>
      </c>
      <c r="E455" s="25" t="s">
        <v>49</v>
      </c>
      <c r="F455" s="4">
        <v>0.33749999999999997</v>
      </c>
      <c r="G455" s="4">
        <v>0.35069444444444442</v>
      </c>
      <c r="H455" s="3">
        <f t="shared" si="40"/>
        <v>1.3194444444444453E-2</v>
      </c>
      <c r="I455" s="5" t="s">
        <v>25</v>
      </c>
      <c r="L455" s="5">
        <v>190</v>
      </c>
      <c r="M455" t="s">
        <v>6</v>
      </c>
      <c r="N455" t="s">
        <v>26</v>
      </c>
      <c r="P455">
        <v>0.61760254978090645</v>
      </c>
      <c r="Q455">
        <f t="shared" si="41"/>
        <v>10</v>
      </c>
      <c r="R455">
        <f ca="1">IF(ISNA(MATCH(P455,OFFSET('age-length key'!O$8,Data!Q455,17,1,5),1)),1,MATCH(P455,OFFSET('age-length key'!O$8,Data!Q455,17,1,5),1)+1)</f>
        <v>2</v>
      </c>
      <c r="S455">
        <f ca="1">IF(D455="Recapture",IF(OFFSET(B$1,MATCH(K455,K$2:K454,0),0)=B455,0,1),1)</f>
        <v>1</v>
      </c>
    </row>
    <row r="456" spans="1:19" x14ac:dyDescent="0.2">
      <c r="A456" s="1">
        <v>44377</v>
      </c>
      <c r="B456" s="28">
        <f t="shared" si="37"/>
        <v>20216</v>
      </c>
      <c r="C456">
        <f>A456-A$2</f>
        <v>401</v>
      </c>
      <c r="D456" s="5" t="s">
        <v>25</v>
      </c>
      <c r="E456" s="25" t="s">
        <v>49</v>
      </c>
      <c r="F456" s="4">
        <v>0.44375000000000003</v>
      </c>
      <c r="G456" s="4">
        <v>0.4597222222222222</v>
      </c>
      <c r="H456" s="3">
        <f t="shared" si="40"/>
        <v>1.5972222222222165E-2</v>
      </c>
      <c r="I456" s="5" t="s">
        <v>25</v>
      </c>
      <c r="L456" s="5">
        <v>310</v>
      </c>
      <c r="M456" t="s">
        <v>8</v>
      </c>
      <c r="N456" t="s">
        <v>26</v>
      </c>
      <c r="P456">
        <v>4.6054167694437396E-2</v>
      </c>
      <c r="Q456">
        <f t="shared" si="41"/>
        <v>22</v>
      </c>
      <c r="R456">
        <f ca="1">IF(ISNA(MATCH(P456,OFFSET('age-length key'!O$8,Data!Q456,17,1,5),1)),1,MATCH(P456,OFFSET('age-length key'!O$8,Data!Q456,17,1,5),1)+1)</f>
        <v>3</v>
      </c>
      <c r="S456">
        <f ca="1">IF(D456="Recapture",IF(OFFSET(B$1,MATCH(K456,K$2:K455,0),0)=B456,0,1),1)</f>
        <v>1</v>
      </c>
    </row>
    <row r="457" spans="1:19" x14ac:dyDescent="0.2">
      <c r="A457" s="1">
        <v>44377</v>
      </c>
      <c r="B457" s="28">
        <f t="shared" si="37"/>
        <v>20216</v>
      </c>
      <c r="C457">
        <f>A457-A$2</f>
        <v>401</v>
      </c>
      <c r="D457" s="5" t="s">
        <v>25</v>
      </c>
      <c r="E457" s="25" t="s">
        <v>49</v>
      </c>
      <c r="F457" s="4">
        <v>0.30902777777777779</v>
      </c>
      <c r="G457" s="4">
        <v>0.3263888888888889</v>
      </c>
      <c r="H457" s="3">
        <f t="shared" si="40"/>
        <v>1.7361111111111105E-2</v>
      </c>
      <c r="I457" s="5" t="s">
        <v>25</v>
      </c>
      <c r="L457" s="5">
        <v>180</v>
      </c>
      <c r="M457" t="s">
        <v>6</v>
      </c>
      <c r="N457" t="s">
        <v>26</v>
      </c>
      <c r="P457">
        <v>3.2396440409308502E-2</v>
      </c>
      <c r="Q457">
        <f t="shared" si="41"/>
        <v>9</v>
      </c>
      <c r="R457">
        <f ca="1">IF(ISNA(MATCH(P457,OFFSET('age-length key'!O$8,Data!Q457,17,1,5),1)),1,MATCH(P457,OFFSET('age-length key'!O$8,Data!Q457,17,1,5),1)+1)</f>
        <v>1</v>
      </c>
      <c r="S457">
        <f ca="1">IF(D457="Recapture",IF(OFFSET(B$1,MATCH(K457,K$2:K456,0),0)=B457,0,1),1)</f>
        <v>1</v>
      </c>
    </row>
    <row r="458" spans="1:19" x14ac:dyDescent="0.2">
      <c r="A458" s="1">
        <v>44377</v>
      </c>
      <c r="B458" s="28">
        <f t="shared" si="37"/>
        <v>20216</v>
      </c>
      <c r="C458">
        <f>A458-A$2</f>
        <v>401</v>
      </c>
      <c r="D458" s="5" t="s">
        <v>25</v>
      </c>
      <c r="E458" s="25" t="s">
        <v>49</v>
      </c>
      <c r="F458" s="4">
        <v>0.40069444444444446</v>
      </c>
      <c r="G458" s="4">
        <v>0.42152777777777778</v>
      </c>
      <c r="H458" s="3">
        <f t="shared" si="40"/>
        <v>2.0833333333333315E-2</v>
      </c>
      <c r="I458" s="5" t="s">
        <v>25</v>
      </c>
      <c r="L458" s="5">
        <v>225</v>
      </c>
      <c r="M458" t="s">
        <v>12</v>
      </c>
      <c r="N458" t="s">
        <v>26</v>
      </c>
      <c r="P458">
        <v>0.48697395924803522</v>
      </c>
      <c r="Q458">
        <f t="shared" si="41"/>
        <v>14</v>
      </c>
      <c r="R458">
        <f ca="1">IF(ISNA(MATCH(P458,OFFSET('age-length key'!O$8,Data!Q458,17,1,5),1)),1,MATCH(P458,OFFSET('age-length key'!O$8,Data!Q458,17,1,5),1)+1)</f>
        <v>2</v>
      </c>
      <c r="S458">
        <f ca="1">IF(D458="Recapture",IF(OFFSET(B$1,MATCH(K458,K$2:K457,0),0)=B458,0,1),1)</f>
        <v>1</v>
      </c>
    </row>
    <row r="459" spans="1:19" x14ac:dyDescent="0.2">
      <c r="A459" s="1">
        <v>44377</v>
      </c>
      <c r="B459" s="28">
        <f t="shared" ref="B459:B522" si="42">YEAR(A459)*10+MONTH(A459)</f>
        <v>20216</v>
      </c>
      <c r="C459">
        <f>A459-A$2</f>
        <v>401</v>
      </c>
      <c r="D459" s="5" t="s">
        <v>25</v>
      </c>
      <c r="E459" s="25" t="s">
        <v>49</v>
      </c>
      <c r="F459" s="4">
        <v>0.42222222222222222</v>
      </c>
      <c r="G459" s="4">
        <v>0.44305555555555554</v>
      </c>
      <c r="H459" s="3">
        <f t="shared" si="40"/>
        <v>2.0833333333333315E-2</v>
      </c>
      <c r="I459" s="5" t="s">
        <v>25</v>
      </c>
      <c r="L459" s="5">
        <v>280</v>
      </c>
      <c r="M459" t="s">
        <v>12</v>
      </c>
      <c r="N459" t="s">
        <v>26</v>
      </c>
      <c r="P459">
        <v>0.57133308172753694</v>
      </c>
      <c r="Q459">
        <f t="shared" si="41"/>
        <v>19</v>
      </c>
      <c r="R459">
        <f ca="1">IF(ISNA(MATCH(P459,OFFSET('age-length key'!O$8,Data!Q459,17,1,5),1)),1,MATCH(P459,OFFSET('age-length key'!O$8,Data!Q459,17,1,5),1)+1)</f>
        <v>3</v>
      </c>
      <c r="S459">
        <f ca="1">IF(D459="Recapture",IF(OFFSET(B$1,MATCH(K459,K$2:K458,0),0)=B459,0,1),1)</f>
        <v>1</v>
      </c>
    </row>
    <row r="460" spans="1:19" x14ac:dyDescent="0.2">
      <c r="A460" s="1">
        <v>44377</v>
      </c>
      <c r="B460" s="28">
        <f t="shared" si="42"/>
        <v>20216</v>
      </c>
      <c r="C460">
        <f>A460-A$2</f>
        <v>401</v>
      </c>
      <c r="D460" s="5" t="s">
        <v>25</v>
      </c>
      <c r="E460" s="25" t="s">
        <v>49</v>
      </c>
      <c r="F460" s="4">
        <v>0.47152777777777777</v>
      </c>
      <c r="G460" s="4">
        <v>0.49374999999999997</v>
      </c>
      <c r="H460" s="3">
        <f t="shared" si="40"/>
        <v>2.2222222222222199E-2</v>
      </c>
      <c r="I460" s="5" t="s">
        <v>25</v>
      </c>
      <c r="L460" s="5">
        <v>240</v>
      </c>
      <c r="M460" t="s">
        <v>29</v>
      </c>
      <c r="N460" t="s">
        <v>26</v>
      </c>
      <c r="P460">
        <v>0.39510459471266002</v>
      </c>
      <c r="Q460">
        <f t="shared" si="41"/>
        <v>15</v>
      </c>
      <c r="R460">
        <f ca="1">IF(ISNA(MATCH(P460,OFFSET('age-length key'!O$8,Data!Q460,17,1,5),1)),1,MATCH(P460,OFFSET('age-length key'!O$8,Data!Q460,17,1,5),1)+1)</f>
        <v>2</v>
      </c>
      <c r="S460">
        <f ca="1">IF(D460="Recapture",IF(OFFSET(B$1,MATCH(K460,K$2:K459,0),0)=B460,0,1),1)</f>
        <v>1</v>
      </c>
    </row>
    <row r="461" spans="1:19" x14ac:dyDescent="0.2">
      <c r="A461" s="1">
        <v>44377</v>
      </c>
      <c r="B461" s="28">
        <f t="shared" si="42"/>
        <v>20216</v>
      </c>
      <c r="C461">
        <f>A461-A$2</f>
        <v>401</v>
      </c>
      <c r="D461" s="5" t="s">
        <v>58</v>
      </c>
      <c r="E461" s="22" t="s">
        <v>49</v>
      </c>
      <c r="F461"/>
      <c r="G461"/>
      <c r="H461" s="3"/>
      <c r="I461">
        <v>40</v>
      </c>
      <c r="J461" s="8" t="s">
        <v>57</v>
      </c>
      <c r="K461" s="11" t="str">
        <f>_xlfn.CONCAT(J461,I461)</f>
        <v>Pink40</v>
      </c>
      <c r="L461">
        <v>390</v>
      </c>
      <c r="M461" t="s">
        <v>23</v>
      </c>
      <c r="N461" t="s">
        <v>27</v>
      </c>
      <c r="P461">
        <v>0.52292333567651139</v>
      </c>
      <c r="Q461">
        <f t="shared" si="41"/>
        <v>30</v>
      </c>
      <c r="R461">
        <f ca="1">IF(ISNA(MATCH(P461,OFFSET('age-length key'!O$8,Data!Q461,17,1,5),1)),1,MATCH(P461,OFFSET('age-length key'!O$8,Data!Q461,17,1,5),1)+1)</f>
        <v>4</v>
      </c>
      <c r="S461">
        <f ca="1">IF(D461="Recapture",IF(OFFSET(B$1,MATCH(K461,K$2:K460,0),0)=B461,0,1),1)</f>
        <v>1</v>
      </c>
    </row>
    <row r="462" spans="1:19" x14ac:dyDescent="0.2">
      <c r="A462" s="1">
        <v>44397</v>
      </c>
      <c r="B462" s="28">
        <f t="shared" si="42"/>
        <v>20217</v>
      </c>
      <c r="C462">
        <f>A462-A$2</f>
        <v>421</v>
      </c>
      <c r="D462" s="5" t="s">
        <v>25</v>
      </c>
      <c r="E462" s="25" t="s">
        <v>49</v>
      </c>
      <c r="F462" s="4">
        <v>0.54375000000000007</v>
      </c>
      <c r="G462" s="4">
        <v>0.5444444444444444</v>
      </c>
      <c r="H462" s="3">
        <f t="shared" ref="H462:H483" si="43">G462-F462</f>
        <v>6.9444444444433095E-4</v>
      </c>
      <c r="I462" s="5" t="s">
        <v>25</v>
      </c>
      <c r="L462" s="5">
        <v>220</v>
      </c>
      <c r="M462" t="s">
        <v>30</v>
      </c>
      <c r="N462" t="s">
        <v>26</v>
      </c>
      <c r="P462">
        <v>0.77250271512777668</v>
      </c>
      <c r="Q462">
        <f t="shared" si="41"/>
        <v>13</v>
      </c>
      <c r="R462">
        <f ca="1">IF(ISNA(MATCH(P462,OFFSET('age-length key'!O$8,Data!Q462,17,1,5),1)),1,MATCH(P462,OFFSET('age-length key'!O$8,Data!Q462,17,1,5),1)+1)</f>
        <v>2</v>
      </c>
      <c r="S462">
        <f ca="1">IF(D462="Recapture",IF(OFFSET(B$1,MATCH(K462,K$2:K461,0),0)=B462,0,1),1)</f>
        <v>1</v>
      </c>
    </row>
    <row r="463" spans="1:19" x14ac:dyDescent="0.2">
      <c r="A463" s="1">
        <v>44397</v>
      </c>
      <c r="B463" s="28">
        <f t="shared" si="42"/>
        <v>20217</v>
      </c>
      <c r="C463">
        <f>A463-A$2</f>
        <v>421</v>
      </c>
      <c r="D463" s="5" t="s">
        <v>25</v>
      </c>
      <c r="E463" s="25" t="s">
        <v>49</v>
      </c>
      <c r="F463" s="4">
        <v>0.54236111111111118</v>
      </c>
      <c r="G463" s="4">
        <v>0.54305555555555551</v>
      </c>
      <c r="H463" s="3">
        <f t="shared" si="43"/>
        <v>6.9444444444433095E-4</v>
      </c>
      <c r="I463" s="5" t="s">
        <v>25</v>
      </c>
      <c r="L463" s="5">
        <v>250</v>
      </c>
      <c r="M463" t="s">
        <v>30</v>
      </c>
      <c r="N463" t="s">
        <v>26</v>
      </c>
      <c r="P463">
        <v>0.45313315254316344</v>
      </c>
      <c r="Q463">
        <f t="shared" si="41"/>
        <v>16</v>
      </c>
      <c r="R463">
        <f ca="1">IF(ISNA(MATCH(P463,OFFSET('age-length key'!O$8,Data!Q463,17,1,5),1)),1,MATCH(P463,OFFSET('age-length key'!O$8,Data!Q463,17,1,5),1)+1)</f>
        <v>2</v>
      </c>
      <c r="S463">
        <f ca="1">IF(D463="Recapture",IF(OFFSET(B$1,MATCH(K463,K$2:K462,0),0)=B463,0,1),1)</f>
        <v>1</v>
      </c>
    </row>
    <row r="464" spans="1:19" x14ac:dyDescent="0.2">
      <c r="A464" s="1">
        <v>44397</v>
      </c>
      <c r="B464" s="28">
        <f t="shared" si="42"/>
        <v>20217</v>
      </c>
      <c r="C464">
        <f>A464-A$2</f>
        <v>421</v>
      </c>
      <c r="D464" s="5" t="s">
        <v>25</v>
      </c>
      <c r="E464" s="25" t="s">
        <v>49</v>
      </c>
      <c r="F464" s="4">
        <v>0.51041666666666663</v>
      </c>
      <c r="G464" s="4">
        <v>0.51111111111111118</v>
      </c>
      <c r="H464" s="3">
        <f t="shared" si="43"/>
        <v>6.94444444444553E-4</v>
      </c>
      <c r="I464" s="5" t="s">
        <v>25</v>
      </c>
      <c r="L464" s="5">
        <v>250</v>
      </c>
      <c r="M464" t="s">
        <v>14</v>
      </c>
      <c r="N464" t="s">
        <v>26</v>
      </c>
      <c r="P464">
        <v>0.80889479294833488</v>
      </c>
      <c r="Q464">
        <f t="shared" si="41"/>
        <v>16</v>
      </c>
      <c r="R464">
        <f ca="1">IF(ISNA(MATCH(P464,OFFSET('age-length key'!O$8,Data!Q464,17,1,5),1)),1,MATCH(P464,OFFSET('age-length key'!O$8,Data!Q464,17,1,5),1)+1)</f>
        <v>3</v>
      </c>
      <c r="S464">
        <f ca="1">IF(D464="Recapture",IF(OFFSET(B$1,MATCH(K464,K$2:K463,0),0)=B464,0,1),1)</f>
        <v>1</v>
      </c>
    </row>
    <row r="465" spans="1:19" x14ac:dyDescent="0.2">
      <c r="A465" s="1">
        <v>44397</v>
      </c>
      <c r="B465" s="28">
        <f t="shared" si="42"/>
        <v>20217</v>
      </c>
      <c r="C465">
        <f>A465-A$2</f>
        <v>421</v>
      </c>
      <c r="D465" s="5" t="s">
        <v>25</v>
      </c>
      <c r="E465" s="25" t="s">
        <v>49</v>
      </c>
      <c r="F465" s="4">
        <v>0.34375</v>
      </c>
      <c r="G465" s="4">
        <v>0.34513888888888888</v>
      </c>
      <c r="H465" s="3">
        <f t="shared" si="43"/>
        <v>1.388888888888884E-3</v>
      </c>
      <c r="I465" s="5" t="s">
        <v>25</v>
      </c>
      <c r="L465" s="5">
        <v>220</v>
      </c>
      <c r="M465" t="s">
        <v>22</v>
      </c>
      <c r="N465" t="s">
        <v>26</v>
      </c>
      <c r="P465">
        <v>9.4785082663775E-2</v>
      </c>
      <c r="Q465">
        <f t="shared" si="41"/>
        <v>13</v>
      </c>
      <c r="R465">
        <f ca="1">IF(ISNA(MATCH(P465,OFFSET('age-length key'!O$8,Data!Q465,17,1,5),1)),1,MATCH(P465,OFFSET('age-length key'!O$8,Data!Q465,17,1,5),1)+1)</f>
        <v>2</v>
      </c>
      <c r="S465">
        <f ca="1">IF(D465="Recapture",IF(OFFSET(B$1,MATCH(K465,K$2:K464,0),0)=B465,0,1),1)</f>
        <v>1</v>
      </c>
    </row>
    <row r="466" spans="1:19" x14ac:dyDescent="0.2">
      <c r="A466" s="1">
        <v>44397</v>
      </c>
      <c r="B466" s="28">
        <f t="shared" si="42"/>
        <v>20217</v>
      </c>
      <c r="C466">
        <f>A466-A$2</f>
        <v>421</v>
      </c>
      <c r="D466" s="5" t="s">
        <v>25</v>
      </c>
      <c r="E466" s="25" t="s">
        <v>49</v>
      </c>
      <c r="F466" s="4">
        <v>0.38750000000000001</v>
      </c>
      <c r="G466" s="4">
        <v>0.3888888888888889</v>
      </c>
      <c r="H466" s="3">
        <f t="shared" si="43"/>
        <v>1.388888888888884E-3</v>
      </c>
      <c r="I466" s="5" t="s">
        <v>25</v>
      </c>
      <c r="L466" s="5">
        <v>220</v>
      </c>
      <c r="M466" t="s">
        <v>12</v>
      </c>
      <c r="N466" t="s">
        <v>26</v>
      </c>
      <c r="P466">
        <v>5.2884330066332745E-2</v>
      </c>
      <c r="Q466">
        <f t="shared" si="41"/>
        <v>13</v>
      </c>
      <c r="R466">
        <f ca="1">IF(ISNA(MATCH(P466,OFFSET('age-length key'!O$8,Data!Q466,17,1,5),1)),1,MATCH(P466,OFFSET('age-length key'!O$8,Data!Q466,17,1,5),1)+1)</f>
        <v>2</v>
      </c>
      <c r="S466">
        <f ca="1">IF(D466="Recapture",IF(OFFSET(B$1,MATCH(K466,K$2:K465,0),0)=B466,0,1),1)</f>
        <v>1</v>
      </c>
    </row>
    <row r="467" spans="1:19" x14ac:dyDescent="0.2">
      <c r="A467" s="1">
        <v>44397</v>
      </c>
      <c r="B467" s="28">
        <f t="shared" si="42"/>
        <v>20217</v>
      </c>
      <c r="C467">
        <f>A467-A$2</f>
        <v>421</v>
      </c>
      <c r="D467" s="5" t="s">
        <v>25</v>
      </c>
      <c r="E467" s="25" t="s">
        <v>49</v>
      </c>
      <c r="F467" s="4">
        <v>0.55902777777777779</v>
      </c>
      <c r="G467" s="4">
        <v>0.56111111111111112</v>
      </c>
      <c r="H467" s="3">
        <f t="shared" si="43"/>
        <v>2.0833333333333259E-3</v>
      </c>
      <c r="I467" s="5" t="s">
        <v>25</v>
      </c>
      <c r="L467" s="5">
        <v>210</v>
      </c>
      <c r="M467" t="s">
        <v>30</v>
      </c>
      <c r="N467" t="s">
        <v>26</v>
      </c>
      <c r="P467">
        <v>0.82693542485448324</v>
      </c>
      <c r="Q467">
        <f t="shared" si="41"/>
        <v>12</v>
      </c>
      <c r="R467">
        <f ca="1">IF(ISNA(MATCH(P467,OFFSET('age-length key'!O$8,Data!Q467,17,1,5),1)),1,MATCH(P467,OFFSET('age-length key'!O$8,Data!Q467,17,1,5),1)+1)</f>
        <v>2</v>
      </c>
      <c r="S467">
        <f ca="1">IF(D467="Recapture",IF(OFFSET(B$1,MATCH(K467,K$2:K466,0),0)=B467,0,1),1)</f>
        <v>1</v>
      </c>
    </row>
    <row r="468" spans="1:19" x14ac:dyDescent="0.2">
      <c r="A468" s="1">
        <v>44397</v>
      </c>
      <c r="B468" s="28">
        <f t="shared" si="42"/>
        <v>20217</v>
      </c>
      <c r="C468">
        <f>A468-A$2</f>
        <v>421</v>
      </c>
      <c r="D468" s="5" t="s">
        <v>25</v>
      </c>
      <c r="E468" s="25" t="s">
        <v>49</v>
      </c>
      <c r="F468" s="4">
        <v>0.5083333333333333</v>
      </c>
      <c r="G468" s="4">
        <v>0.51041666666666663</v>
      </c>
      <c r="H468" s="3">
        <f t="shared" si="43"/>
        <v>2.0833333333333259E-3</v>
      </c>
      <c r="I468" s="5" t="s">
        <v>25</v>
      </c>
      <c r="L468" s="5">
        <v>330</v>
      </c>
      <c r="M468" t="s">
        <v>14</v>
      </c>
      <c r="N468" t="s">
        <v>26</v>
      </c>
      <c r="P468">
        <v>0.30368552929893394</v>
      </c>
      <c r="Q468">
        <f t="shared" si="41"/>
        <v>24</v>
      </c>
      <c r="R468">
        <f ca="1">IF(ISNA(MATCH(P468,OFFSET('age-length key'!O$8,Data!Q468,17,1,5),1)),1,MATCH(P468,OFFSET('age-length key'!O$8,Data!Q468,17,1,5),1)+1)</f>
        <v>3</v>
      </c>
      <c r="S468">
        <f ca="1">IF(D468="Recapture",IF(OFFSET(B$1,MATCH(K468,K$2:K467,0),0)=B468,0,1),1)</f>
        <v>1</v>
      </c>
    </row>
    <row r="469" spans="1:19" x14ac:dyDescent="0.2">
      <c r="A469" s="1">
        <v>44397</v>
      </c>
      <c r="B469" s="28">
        <f t="shared" si="42"/>
        <v>20217</v>
      </c>
      <c r="C469">
        <f>A469-A$2</f>
        <v>421</v>
      </c>
      <c r="D469" s="5" t="s">
        <v>25</v>
      </c>
      <c r="E469" s="25" t="s">
        <v>49</v>
      </c>
      <c r="F469" s="4">
        <v>0.51180555555555551</v>
      </c>
      <c r="G469" s="4">
        <v>0.51388888888888895</v>
      </c>
      <c r="H469" s="3">
        <f t="shared" si="43"/>
        <v>2.083333333333437E-3</v>
      </c>
      <c r="I469" s="5" t="s">
        <v>25</v>
      </c>
      <c r="L469" s="5">
        <v>230</v>
      </c>
      <c r="M469" t="s">
        <v>14</v>
      </c>
      <c r="N469" t="s">
        <v>26</v>
      </c>
      <c r="P469">
        <v>4.2690927182645971E-2</v>
      </c>
      <c r="Q469">
        <f t="shared" si="41"/>
        <v>14</v>
      </c>
      <c r="R469">
        <f ca="1">IF(ISNA(MATCH(P469,OFFSET('age-length key'!O$8,Data!Q469,17,1,5),1)),1,MATCH(P469,OFFSET('age-length key'!O$8,Data!Q469,17,1,5),1)+1)</f>
        <v>2</v>
      </c>
      <c r="S469">
        <f ca="1">IF(D469="Recapture",IF(OFFSET(B$1,MATCH(K469,K$2:K468,0),0)=B469,0,1),1)</f>
        <v>1</v>
      </c>
    </row>
    <row r="470" spans="1:19" x14ac:dyDescent="0.2">
      <c r="A470" s="1">
        <v>44397</v>
      </c>
      <c r="B470" s="28">
        <f t="shared" si="42"/>
        <v>20217</v>
      </c>
      <c r="C470">
        <f>A470-A$2</f>
        <v>421</v>
      </c>
      <c r="D470" s="5" t="s">
        <v>25</v>
      </c>
      <c r="E470" s="25" t="s">
        <v>49</v>
      </c>
      <c r="F470" s="4">
        <v>0.5625</v>
      </c>
      <c r="G470" s="4">
        <v>0.56597222222222221</v>
      </c>
      <c r="H470" s="3">
        <f t="shared" si="43"/>
        <v>3.4722222222222099E-3</v>
      </c>
      <c r="I470" s="5" t="s">
        <v>25</v>
      </c>
      <c r="L470" s="5">
        <v>210</v>
      </c>
      <c r="M470" t="s">
        <v>30</v>
      </c>
      <c r="N470" t="s">
        <v>26</v>
      </c>
      <c r="P470">
        <v>0.50641315873079618</v>
      </c>
      <c r="Q470">
        <f t="shared" si="41"/>
        <v>12</v>
      </c>
      <c r="R470">
        <f ca="1">IF(ISNA(MATCH(P470,OFFSET('age-length key'!O$8,Data!Q470,17,1,5),1)),1,MATCH(P470,OFFSET('age-length key'!O$8,Data!Q470,17,1,5),1)+1)</f>
        <v>2</v>
      </c>
      <c r="S470">
        <f ca="1">IF(D470="Recapture",IF(OFFSET(B$1,MATCH(K470,K$2:K469,0),0)=B470,0,1),1)</f>
        <v>1</v>
      </c>
    </row>
    <row r="471" spans="1:19" x14ac:dyDescent="0.2">
      <c r="A471" s="1">
        <v>44397</v>
      </c>
      <c r="B471" s="28">
        <f t="shared" si="42"/>
        <v>20217</v>
      </c>
      <c r="C471">
        <f>A471-A$2</f>
        <v>421</v>
      </c>
      <c r="D471" s="5" t="s">
        <v>25</v>
      </c>
      <c r="E471" s="25" t="s">
        <v>49</v>
      </c>
      <c r="F471" s="4">
        <v>0.3979166666666667</v>
      </c>
      <c r="G471" s="4">
        <v>0.40277777777777773</v>
      </c>
      <c r="H471" s="3">
        <f t="shared" si="43"/>
        <v>4.8611111111110383E-3</v>
      </c>
      <c r="I471" s="5" t="s">
        <v>25</v>
      </c>
      <c r="L471" s="5">
        <v>250</v>
      </c>
      <c r="M471" t="s">
        <v>8</v>
      </c>
      <c r="N471" t="s">
        <v>26</v>
      </c>
      <c r="P471">
        <v>0.285958788490835</v>
      </c>
      <c r="Q471">
        <f t="shared" si="41"/>
        <v>16</v>
      </c>
      <c r="R471">
        <f ca="1">IF(ISNA(MATCH(P471,OFFSET('age-length key'!O$8,Data!Q471,17,1,5),1)),1,MATCH(P471,OFFSET('age-length key'!O$8,Data!Q471,17,1,5),1)+1)</f>
        <v>2</v>
      </c>
      <c r="S471">
        <f ca="1">IF(D471="Recapture",IF(OFFSET(B$1,MATCH(K471,K$2:K470,0),0)=B471,0,1),1)</f>
        <v>1</v>
      </c>
    </row>
    <row r="472" spans="1:19" x14ac:dyDescent="0.2">
      <c r="A472" s="1">
        <v>44397</v>
      </c>
      <c r="B472" s="28">
        <f t="shared" si="42"/>
        <v>20217</v>
      </c>
      <c r="C472">
        <f>A472-A$2</f>
        <v>421</v>
      </c>
      <c r="D472" s="5" t="s">
        <v>25</v>
      </c>
      <c r="E472" s="25" t="s">
        <v>49</v>
      </c>
      <c r="F472" s="4">
        <v>0.48680555555555555</v>
      </c>
      <c r="G472" s="4">
        <v>0.4916666666666667</v>
      </c>
      <c r="H472" s="3">
        <f t="shared" si="43"/>
        <v>4.8611111111111494E-3</v>
      </c>
      <c r="I472" s="5" t="s">
        <v>25</v>
      </c>
      <c r="L472" s="5">
        <v>310</v>
      </c>
      <c r="M472" t="s">
        <v>14</v>
      </c>
      <c r="N472" t="s">
        <v>26</v>
      </c>
      <c r="P472">
        <v>0.10935816546406511</v>
      </c>
      <c r="Q472">
        <f t="shared" si="41"/>
        <v>22</v>
      </c>
      <c r="R472">
        <f ca="1">IF(ISNA(MATCH(P472,OFFSET('age-length key'!O$8,Data!Q472,17,1,5),1)),1,MATCH(P472,OFFSET('age-length key'!O$8,Data!Q472,17,1,5),1)+1)</f>
        <v>3</v>
      </c>
      <c r="S472">
        <f ca="1">IF(D472="Recapture",IF(OFFSET(B$1,MATCH(K472,K$2:K471,0),0)=B472,0,1),1)</f>
        <v>1</v>
      </c>
    </row>
    <row r="473" spans="1:19" x14ac:dyDescent="0.2">
      <c r="A473" s="1">
        <v>44397</v>
      </c>
      <c r="B473" s="28">
        <f t="shared" si="42"/>
        <v>20217</v>
      </c>
      <c r="C473">
        <f>A473-A$2</f>
        <v>421</v>
      </c>
      <c r="D473" s="5" t="s">
        <v>25</v>
      </c>
      <c r="E473" s="25" t="s">
        <v>49</v>
      </c>
      <c r="F473" s="4">
        <v>0.3888888888888889</v>
      </c>
      <c r="G473" s="4">
        <v>0.3972222222222222</v>
      </c>
      <c r="H473" s="3">
        <f t="shared" si="43"/>
        <v>8.3333333333333037E-3</v>
      </c>
      <c r="I473" s="5" t="s">
        <v>25</v>
      </c>
      <c r="L473" s="5">
        <v>220</v>
      </c>
      <c r="M473" t="s">
        <v>8</v>
      </c>
      <c r="N473" t="s">
        <v>26</v>
      </c>
      <c r="P473">
        <v>0.98268695454238308</v>
      </c>
      <c r="Q473">
        <f t="shared" si="41"/>
        <v>13</v>
      </c>
      <c r="R473">
        <f ca="1">IF(ISNA(MATCH(P473,OFFSET('age-length key'!O$8,Data!Q473,17,1,5),1)),1,MATCH(P473,OFFSET('age-length key'!O$8,Data!Q473,17,1,5),1)+1)</f>
        <v>3</v>
      </c>
      <c r="S473">
        <f ca="1">IF(D473="Recapture",IF(OFFSET(B$1,MATCH(K473,K$2:K472,0),0)=B473,0,1),1)</f>
        <v>1</v>
      </c>
    </row>
    <row r="474" spans="1:19" x14ac:dyDescent="0.2">
      <c r="A474" s="1">
        <v>44397</v>
      </c>
      <c r="B474" s="28">
        <f t="shared" si="42"/>
        <v>20217</v>
      </c>
      <c r="C474">
        <f>A474-A$2</f>
        <v>421</v>
      </c>
      <c r="D474" s="5" t="s">
        <v>25</v>
      </c>
      <c r="E474" s="25" t="s">
        <v>49</v>
      </c>
      <c r="F474" s="4">
        <v>0.53333333333333333</v>
      </c>
      <c r="G474" s="4">
        <v>0.54166666666666663</v>
      </c>
      <c r="H474" s="3">
        <f t="shared" si="43"/>
        <v>8.3333333333333037E-3</v>
      </c>
      <c r="I474" s="5" t="s">
        <v>25</v>
      </c>
      <c r="L474" s="5">
        <v>280</v>
      </c>
      <c r="M474" t="s">
        <v>30</v>
      </c>
      <c r="N474" t="s">
        <v>26</v>
      </c>
      <c r="P474">
        <v>1.9644993832169562E-2</v>
      </c>
      <c r="Q474">
        <f t="shared" si="41"/>
        <v>19</v>
      </c>
      <c r="R474">
        <f ca="1">IF(ISNA(MATCH(P474,OFFSET('age-length key'!O$8,Data!Q474,17,1,5),1)),1,MATCH(P474,OFFSET('age-length key'!O$8,Data!Q474,17,1,5),1)+1)</f>
        <v>2</v>
      </c>
      <c r="S474">
        <f ca="1">IF(D474="Recapture",IF(OFFSET(B$1,MATCH(K474,K$2:K473,0),0)=B474,0,1),1)</f>
        <v>1</v>
      </c>
    </row>
    <row r="475" spans="1:19" x14ac:dyDescent="0.2">
      <c r="A475" s="1">
        <v>44397</v>
      </c>
      <c r="B475" s="28">
        <f t="shared" si="42"/>
        <v>20217</v>
      </c>
      <c r="C475">
        <f>A475-A$2</f>
        <v>421</v>
      </c>
      <c r="D475" s="5" t="s">
        <v>25</v>
      </c>
      <c r="E475" s="25" t="s">
        <v>49</v>
      </c>
      <c r="F475" s="4">
        <v>0.34583333333333338</v>
      </c>
      <c r="G475" s="4">
        <v>0.35555555555555557</v>
      </c>
      <c r="H475" s="3">
        <f t="shared" si="43"/>
        <v>9.7222222222221877E-3</v>
      </c>
      <c r="I475" s="5" t="s">
        <v>25</v>
      </c>
      <c r="L475" s="5">
        <v>305</v>
      </c>
      <c r="M475" t="s">
        <v>22</v>
      </c>
      <c r="N475" t="s">
        <v>26</v>
      </c>
      <c r="P475">
        <v>0.17341133727385258</v>
      </c>
      <c r="Q475">
        <f t="shared" si="41"/>
        <v>22</v>
      </c>
      <c r="R475">
        <f ca="1">IF(ISNA(MATCH(P475,OFFSET('age-length key'!O$8,Data!Q475,17,1,5),1)),1,MATCH(P475,OFFSET('age-length key'!O$8,Data!Q475,17,1,5),1)+1)</f>
        <v>3</v>
      </c>
      <c r="S475">
        <f ca="1">IF(D475="Recapture",IF(OFFSET(B$1,MATCH(K475,K$2:K474,0),0)=B475,0,1),1)</f>
        <v>1</v>
      </c>
    </row>
    <row r="476" spans="1:19" x14ac:dyDescent="0.2">
      <c r="A476" s="1">
        <v>44397</v>
      </c>
      <c r="B476" s="28">
        <f t="shared" si="42"/>
        <v>20217</v>
      </c>
      <c r="C476">
        <f>A476-A$2</f>
        <v>421</v>
      </c>
      <c r="D476" s="5" t="s">
        <v>25</v>
      </c>
      <c r="E476" s="25" t="s">
        <v>49</v>
      </c>
      <c r="F476" s="4">
        <v>0.43124999999999997</v>
      </c>
      <c r="G476" s="4">
        <v>0.44097222222222227</v>
      </c>
      <c r="H476" s="3">
        <f t="shared" si="43"/>
        <v>9.7222222222222987E-3</v>
      </c>
      <c r="I476" s="5" t="s">
        <v>25</v>
      </c>
      <c r="L476" s="5">
        <v>250</v>
      </c>
      <c r="M476" t="s">
        <v>18</v>
      </c>
      <c r="N476" t="s">
        <v>26</v>
      </c>
      <c r="P476">
        <v>0.52434556164049806</v>
      </c>
      <c r="Q476">
        <f t="shared" si="41"/>
        <v>16</v>
      </c>
      <c r="R476">
        <f ca="1">IF(ISNA(MATCH(P476,OFFSET('age-length key'!O$8,Data!Q476,17,1,5),1)),1,MATCH(P476,OFFSET('age-length key'!O$8,Data!Q476,17,1,5),1)+1)</f>
        <v>2</v>
      </c>
      <c r="S476">
        <f ca="1">IF(D476="Recapture",IF(OFFSET(B$1,MATCH(K476,K$2:K475,0),0)=B476,0,1),1)</f>
        <v>1</v>
      </c>
    </row>
    <row r="477" spans="1:19" x14ac:dyDescent="0.2">
      <c r="A477" s="1">
        <v>44397</v>
      </c>
      <c r="B477" s="28">
        <f t="shared" si="42"/>
        <v>20217</v>
      </c>
      <c r="C477">
        <f>A477-A$2</f>
        <v>421</v>
      </c>
      <c r="D477" s="5" t="s">
        <v>25</v>
      </c>
      <c r="E477" s="25" t="s">
        <v>49</v>
      </c>
      <c r="F477" s="4">
        <v>0.49236111111111108</v>
      </c>
      <c r="G477" s="4">
        <v>0.50694444444444442</v>
      </c>
      <c r="H477" s="3">
        <f t="shared" si="43"/>
        <v>1.4583333333333337E-2</v>
      </c>
      <c r="I477" s="5" t="s">
        <v>25</v>
      </c>
      <c r="L477" s="5">
        <v>320</v>
      </c>
      <c r="M477" t="s">
        <v>14</v>
      </c>
      <c r="N477" t="s">
        <v>26</v>
      </c>
      <c r="P477">
        <v>0.67585449185029345</v>
      </c>
      <c r="Q477">
        <f t="shared" si="41"/>
        <v>23</v>
      </c>
      <c r="R477">
        <f ca="1">IF(ISNA(MATCH(P477,OFFSET('age-length key'!O$8,Data!Q477,17,1,5),1)),1,MATCH(P477,OFFSET('age-length key'!O$8,Data!Q477,17,1,5),1)+1)</f>
        <v>3</v>
      </c>
      <c r="S477">
        <f ca="1">IF(D477="Recapture",IF(OFFSET(B$1,MATCH(K477,K$2:K476,0),0)=B477,0,1),1)</f>
        <v>1</v>
      </c>
    </row>
    <row r="478" spans="1:19" x14ac:dyDescent="0.2">
      <c r="A478" s="1">
        <v>44397</v>
      </c>
      <c r="B478" s="28">
        <f t="shared" si="42"/>
        <v>20217</v>
      </c>
      <c r="C478">
        <f>A478-A$2</f>
        <v>421</v>
      </c>
      <c r="D478" s="5" t="s">
        <v>25</v>
      </c>
      <c r="E478" s="25" t="s">
        <v>49</v>
      </c>
      <c r="F478" s="4">
        <v>0.51458333333333328</v>
      </c>
      <c r="G478" s="4">
        <v>0.53194444444444444</v>
      </c>
      <c r="H478" s="3">
        <f t="shared" si="43"/>
        <v>1.736111111111116E-2</v>
      </c>
      <c r="I478" s="5" t="s">
        <v>25</v>
      </c>
      <c r="L478" s="5">
        <v>210</v>
      </c>
      <c r="M478" t="s">
        <v>30</v>
      </c>
      <c r="N478" t="s">
        <v>26</v>
      </c>
      <c r="P478">
        <v>8.6444527882358305E-2</v>
      </c>
      <c r="Q478">
        <f t="shared" si="41"/>
        <v>12</v>
      </c>
      <c r="R478">
        <f ca="1">IF(ISNA(MATCH(P478,OFFSET('age-length key'!O$8,Data!Q478,17,1,5),1)),1,MATCH(P478,OFFSET('age-length key'!O$8,Data!Q478,17,1,5),1)+1)</f>
        <v>2</v>
      </c>
      <c r="S478">
        <f ca="1">IF(D478="Recapture",IF(OFFSET(B$1,MATCH(K478,K$2:K477,0),0)=B478,0,1),1)</f>
        <v>1</v>
      </c>
    </row>
    <row r="479" spans="1:19" x14ac:dyDescent="0.2">
      <c r="A479" s="1">
        <v>44397</v>
      </c>
      <c r="B479" s="28">
        <f t="shared" si="42"/>
        <v>20217</v>
      </c>
      <c r="C479">
        <f>A479-A$2</f>
        <v>421</v>
      </c>
      <c r="D479" s="5" t="s">
        <v>25</v>
      </c>
      <c r="E479" s="25" t="s">
        <v>49</v>
      </c>
      <c r="F479" s="4">
        <v>0.46527777777777773</v>
      </c>
      <c r="G479" s="4">
        <v>0.4861111111111111</v>
      </c>
      <c r="H479" s="3">
        <f t="shared" si="43"/>
        <v>2.083333333333337E-2</v>
      </c>
      <c r="I479" s="5" t="s">
        <v>25</v>
      </c>
      <c r="L479" s="5">
        <v>240</v>
      </c>
      <c r="M479" t="s">
        <v>13</v>
      </c>
      <c r="N479" t="s">
        <v>26</v>
      </c>
      <c r="P479">
        <v>0.87318011879603386</v>
      </c>
      <c r="Q479">
        <f t="shared" si="41"/>
        <v>15</v>
      </c>
      <c r="R479">
        <f ca="1">IF(ISNA(MATCH(P479,OFFSET('age-length key'!O$8,Data!Q479,17,1,5),1)),1,MATCH(P479,OFFSET('age-length key'!O$8,Data!Q479,17,1,5),1)+1)</f>
        <v>3</v>
      </c>
      <c r="S479">
        <f ca="1">IF(D479="Recapture",IF(OFFSET(B$1,MATCH(K479,K$2:K478,0),0)=B479,0,1),1)</f>
        <v>1</v>
      </c>
    </row>
    <row r="480" spans="1:19" x14ac:dyDescent="0.2">
      <c r="A480" s="1">
        <v>44397</v>
      </c>
      <c r="B480" s="28">
        <f t="shared" si="42"/>
        <v>20217</v>
      </c>
      <c r="C480">
        <f>A480-A$2</f>
        <v>421</v>
      </c>
      <c r="D480" s="5" t="s">
        <v>25</v>
      </c>
      <c r="E480" s="25" t="s">
        <v>49</v>
      </c>
      <c r="F480" s="4">
        <v>0.44166666666666665</v>
      </c>
      <c r="G480" s="4">
        <v>0.46458333333333335</v>
      </c>
      <c r="H480" s="3">
        <f t="shared" si="43"/>
        <v>2.2916666666666696E-2</v>
      </c>
      <c r="I480" s="5" t="s">
        <v>25</v>
      </c>
      <c r="L480" s="5">
        <v>220</v>
      </c>
      <c r="M480" t="s">
        <v>6</v>
      </c>
      <c r="N480" t="s">
        <v>26</v>
      </c>
      <c r="P480">
        <v>0.53825660494075001</v>
      </c>
      <c r="Q480">
        <f t="shared" si="41"/>
        <v>13</v>
      </c>
      <c r="R480">
        <f ca="1">IF(ISNA(MATCH(P480,OFFSET('age-length key'!O$8,Data!Q480,17,1,5),1)),1,MATCH(P480,OFFSET('age-length key'!O$8,Data!Q480,17,1,5),1)+1)</f>
        <v>2</v>
      </c>
      <c r="S480">
        <f ca="1">IF(D480="Recapture",IF(OFFSET(B$1,MATCH(K480,K$2:K479,0),0)=B480,0,1),1)</f>
        <v>1</v>
      </c>
    </row>
    <row r="481" spans="1:19" x14ac:dyDescent="0.2">
      <c r="A481" s="1">
        <v>44397</v>
      </c>
      <c r="B481" s="28">
        <f t="shared" si="42"/>
        <v>20217</v>
      </c>
      <c r="C481">
        <f>A481-A$2</f>
        <v>421</v>
      </c>
      <c r="D481" s="5" t="s">
        <v>25</v>
      </c>
      <c r="E481" s="25" t="s">
        <v>49</v>
      </c>
      <c r="F481" s="4">
        <v>0.40347222222222223</v>
      </c>
      <c r="G481" s="4">
        <v>0.43055555555555558</v>
      </c>
      <c r="H481" s="3">
        <f t="shared" si="43"/>
        <v>2.7083333333333348E-2</v>
      </c>
      <c r="I481" s="5" t="s">
        <v>25</v>
      </c>
      <c r="L481" s="5">
        <v>320</v>
      </c>
      <c r="M481" t="s">
        <v>18</v>
      </c>
      <c r="N481" t="s">
        <v>26</v>
      </c>
      <c r="P481">
        <v>0.47875923918502372</v>
      </c>
      <c r="Q481">
        <f t="shared" si="41"/>
        <v>23</v>
      </c>
      <c r="R481">
        <f ca="1">IF(ISNA(MATCH(P481,OFFSET('age-length key'!O$8,Data!Q481,17,1,5),1)),1,MATCH(P481,OFFSET('age-length key'!O$8,Data!Q481,17,1,5),1)+1)</f>
        <v>3</v>
      </c>
      <c r="S481">
        <f ca="1">IF(D481="Recapture",IF(OFFSET(B$1,MATCH(K481,K$2:K480,0),0)=B481,0,1),1)</f>
        <v>1</v>
      </c>
    </row>
    <row r="482" spans="1:19" x14ac:dyDescent="0.2">
      <c r="A482" s="1">
        <v>44397</v>
      </c>
      <c r="B482" s="28">
        <f t="shared" si="42"/>
        <v>20217</v>
      </c>
      <c r="C482">
        <f>A482-A$2</f>
        <v>421</v>
      </c>
      <c r="D482" s="5" t="s">
        <v>25</v>
      </c>
      <c r="E482" s="25" t="s">
        <v>49</v>
      </c>
      <c r="F482" s="4">
        <v>0.35625000000000001</v>
      </c>
      <c r="G482" s="4">
        <v>0.38680555555555557</v>
      </c>
      <c r="H482" s="3">
        <f t="shared" si="43"/>
        <v>3.0555555555555558E-2</v>
      </c>
      <c r="I482" s="5" t="s">
        <v>25</v>
      </c>
      <c r="L482" s="5">
        <v>220</v>
      </c>
      <c r="M482" t="s">
        <v>12</v>
      </c>
      <c r="N482" t="s">
        <v>26</v>
      </c>
      <c r="P482">
        <v>0.50653298269330194</v>
      </c>
      <c r="Q482">
        <f t="shared" si="41"/>
        <v>13</v>
      </c>
      <c r="R482">
        <f ca="1">IF(ISNA(MATCH(P482,OFFSET('age-length key'!O$8,Data!Q482,17,1,5),1)),1,MATCH(P482,OFFSET('age-length key'!O$8,Data!Q482,17,1,5),1)+1)</f>
        <v>2</v>
      </c>
      <c r="S482">
        <f ca="1">IF(D482="Recapture",IF(OFFSET(B$1,MATCH(K482,K$2:K481,0),0)=B482,0,1),1)</f>
        <v>1</v>
      </c>
    </row>
    <row r="483" spans="1:19" x14ac:dyDescent="0.2">
      <c r="A483" s="1">
        <v>44397</v>
      </c>
      <c r="B483" s="28">
        <f t="shared" si="42"/>
        <v>20217</v>
      </c>
      <c r="C483">
        <f>A483-A$2</f>
        <v>421</v>
      </c>
      <c r="D483" s="5" t="s">
        <v>25</v>
      </c>
      <c r="E483" s="25" t="s">
        <v>49</v>
      </c>
      <c r="F483" s="4">
        <v>0.3125</v>
      </c>
      <c r="G483" s="4">
        <v>0.34375</v>
      </c>
      <c r="H483" s="3">
        <f t="shared" si="43"/>
        <v>3.125E-2</v>
      </c>
      <c r="I483" s="5" t="s">
        <v>25</v>
      </c>
      <c r="L483" s="5">
        <v>335</v>
      </c>
      <c r="M483" t="s">
        <v>22</v>
      </c>
      <c r="N483" t="s">
        <v>26</v>
      </c>
      <c r="P483">
        <v>0.29984012632623319</v>
      </c>
      <c r="Q483">
        <f t="shared" si="41"/>
        <v>25</v>
      </c>
      <c r="R483">
        <f ca="1">IF(ISNA(MATCH(P483,OFFSET('age-length key'!O$8,Data!Q483,17,1,5),1)),1,MATCH(P483,OFFSET('age-length key'!O$8,Data!Q483,17,1,5),1)+1)</f>
        <v>3</v>
      </c>
      <c r="S483">
        <f ca="1">IF(D483="Recapture",IF(OFFSET(B$1,MATCH(K483,K$2:K482,0),0)=B483,0,1),1)</f>
        <v>1</v>
      </c>
    </row>
    <row r="484" spans="1:19" x14ac:dyDescent="0.2">
      <c r="A484" s="1">
        <v>44397</v>
      </c>
      <c r="B484" s="28">
        <f t="shared" si="42"/>
        <v>20217</v>
      </c>
      <c r="C484">
        <f>A484-A$2</f>
        <v>421</v>
      </c>
      <c r="D484" s="5" t="s">
        <v>58</v>
      </c>
      <c r="E484" s="22" t="s">
        <v>49</v>
      </c>
      <c r="F484"/>
      <c r="G484"/>
      <c r="H484" s="3"/>
      <c r="I484">
        <v>29</v>
      </c>
      <c r="J484" s="8" t="s">
        <v>57</v>
      </c>
      <c r="K484" s="11" t="str">
        <f>_xlfn.CONCAT(J484,I484)</f>
        <v>Pink29</v>
      </c>
      <c r="L484">
        <v>310</v>
      </c>
      <c r="M484" t="s">
        <v>14</v>
      </c>
      <c r="N484" t="s">
        <v>26</v>
      </c>
      <c r="P484">
        <v>0.41300316500151679</v>
      </c>
      <c r="Q484">
        <f t="shared" si="41"/>
        <v>22</v>
      </c>
      <c r="R484">
        <f ca="1">IF(ISNA(MATCH(P484,OFFSET('age-length key'!O$8,Data!Q484,17,1,5),1)),1,MATCH(P484,OFFSET('age-length key'!O$8,Data!Q484,17,1,5),1)+1)</f>
        <v>3</v>
      </c>
      <c r="S484">
        <f ca="1">IF(D484="Recapture",IF(OFFSET(B$1,MATCH(K484,K$2:K483,0),0)=B484,0,1),1)</f>
        <v>1</v>
      </c>
    </row>
    <row r="485" spans="1:19" x14ac:dyDescent="0.2">
      <c r="A485" s="1">
        <v>44411</v>
      </c>
      <c r="B485" s="28">
        <f t="shared" si="42"/>
        <v>20218</v>
      </c>
      <c r="C485">
        <f>A485-A$2</f>
        <v>435</v>
      </c>
      <c r="D485" s="5" t="s">
        <v>25</v>
      </c>
      <c r="E485" s="25" t="s">
        <v>49</v>
      </c>
      <c r="F485" s="4">
        <v>0.47986111111111113</v>
      </c>
      <c r="G485" s="4">
        <v>0.48055555555555557</v>
      </c>
      <c r="H485" s="3">
        <f t="shared" ref="H485:H508" si="44">G485-F485</f>
        <v>6.9444444444444198E-4</v>
      </c>
      <c r="I485" s="5" t="s">
        <v>25</v>
      </c>
      <c r="L485" s="5">
        <v>170</v>
      </c>
      <c r="M485" t="s">
        <v>30</v>
      </c>
      <c r="N485" t="s">
        <v>26</v>
      </c>
      <c r="P485">
        <v>0.34419418049240214</v>
      </c>
      <c r="Q485">
        <f t="shared" si="41"/>
        <v>8</v>
      </c>
      <c r="R485">
        <f ca="1">IF(ISNA(MATCH(P485,OFFSET('age-length key'!O$8,Data!Q485,17,1,5),1)),1,MATCH(P485,OFFSET('age-length key'!O$8,Data!Q485,17,1,5),1)+1)</f>
        <v>1</v>
      </c>
      <c r="S485">
        <f ca="1">IF(D485="Recapture",IF(OFFSET(B$1,MATCH(K485,K$2:K484,0),0)=B485,0,1),1)</f>
        <v>1</v>
      </c>
    </row>
    <row r="486" spans="1:19" x14ac:dyDescent="0.2">
      <c r="A486" s="1">
        <v>44411</v>
      </c>
      <c r="B486" s="28">
        <f t="shared" si="42"/>
        <v>20218</v>
      </c>
      <c r="C486">
        <f>A486-A$2</f>
        <v>435</v>
      </c>
      <c r="D486" s="5" t="s">
        <v>25</v>
      </c>
      <c r="E486" s="25" t="s">
        <v>49</v>
      </c>
      <c r="F486" s="4">
        <v>0.45208333333333334</v>
      </c>
      <c r="G486" s="4">
        <v>0.45277777777777778</v>
      </c>
      <c r="H486" s="3">
        <f t="shared" si="44"/>
        <v>6.9444444444444198E-4</v>
      </c>
      <c r="I486" s="5" t="s">
        <v>25</v>
      </c>
      <c r="L486" s="5">
        <v>180</v>
      </c>
      <c r="M486" t="s">
        <v>14</v>
      </c>
      <c r="N486" t="s">
        <v>26</v>
      </c>
      <c r="P486">
        <v>0.8715915358027404</v>
      </c>
      <c r="Q486">
        <f t="shared" si="41"/>
        <v>9</v>
      </c>
      <c r="R486">
        <f ca="1">IF(ISNA(MATCH(P486,OFFSET('age-length key'!O$8,Data!Q486,17,1,5),1)),1,MATCH(P486,OFFSET('age-length key'!O$8,Data!Q486,17,1,5),1)+1)</f>
        <v>2</v>
      </c>
      <c r="S486">
        <f ca="1">IF(D486="Recapture",IF(OFFSET(B$1,MATCH(K486,K$2:K485,0),0)=B486,0,1),1)</f>
        <v>1</v>
      </c>
    </row>
    <row r="487" spans="1:19" x14ac:dyDescent="0.2">
      <c r="A487" s="1">
        <v>44411</v>
      </c>
      <c r="B487" s="28">
        <f t="shared" si="42"/>
        <v>20218</v>
      </c>
      <c r="C487">
        <f>A487-A$2</f>
        <v>435</v>
      </c>
      <c r="D487" s="5" t="s">
        <v>25</v>
      </c>
      <c r="E487" s="25" t="s">
        <v>49</v>
      </c>
      <c r="F487" s="4">
        <v>0.44930555555555557</v>
      </c>
      <c r="G487" s="4">
        <v>0.45</v>
      </c>
      <c r="H487" s="3">
        <f t="shared" si="44"/>
        <v>6.9444444444444198E-4</v>
      </c>
      <c r="I487" s="5" t="s">
        <v>25</v>
      </c>
      <c r="L487" s="5">
        <v>240</v>
      </c>
      <c r="M487" t="s">
        <v>14</v>
      </c>
      <c r="N487" t="s">
        <v>26</v>
      </c>
      <c r="P487">
        <v>0.83894223665769319</v>
      </c>
      <c r="Q487">
        <f t="shared" si="41"/>
        <v>15</v>
      </c>
      <c r="R487">
        <f ca="1">IF(ISNA(MATCH(P487,OFFSET('age-length key'!O$8,Data!Q487,17,1,5),1)),1,MATCH(P487,OFFSET('age-length key'!O$8,Data!Q487,17,1,5),1)+1)</f>
        <v>3</v>
      </c>
      <c r="S487">
        <f ca="1">IF(D487="Recapture",IF(OFFSET(B$1,MATCH(K487,K$2:K486,0),0)=B487,0,1),1)</f>
        <v>1</v>
      </c>
    </row>
    <row r="488" spans="1:19" x14ac:dyDescent="0.2">
      <c r="A488" s="1">
        <v>44411</v>
      </c>
      <c r="B488" s="28">
        <f t="shared" si="42"/>
        <v>20218</v>
      </c>
      <c r="C488">
        <f>A488-A$2</f>
        <v>435</v>
      </c>
      <c r="D488" s="5" t="s">
        <v>25</v>
      </c>
      <c r="E488" s="25" t="s">
        <v>49</v>
      </c>
      <c r="F488" s="4">
        <v>0.45069444444444445</v>
      </c>
      <c r="G488" s="4">
        <v>0.4513888888888889</v>
      </c>
      <c r="H488" s="3">
        <f t="shared" si="44"/>
        <v>6.9444444444444198E-4</v>
      </c>
      <c r="I488" s="5" t="s">
        <v>25</v>
      </c>
      <c r="L488" s="5">
        <v>260</v>
      </c>
      <c r="M488" t="s">
        <v>14</v>
      </c>
      <c r="N488" t="s">
        <v>26</v>
      </c>
      <c r="P488">
        <v>0.102171505848957</v>
      </c>
      <c r="Q488">
        <f t="shared" si="41"/>
        <v>17</v>
      </c>
      <c r="R488">
        <f ca="1">IF(ISNA(MATCH(P488,OFFSET('age-length key'!O$8,Data!Q488,17,1,5),1)),1,MATCH(P488,OFFSET('age-length key'!O$8,Data!Q488,17,1,5),1)+1)</f>
        <v>2</v>
      </c>
      <c r="S488">
        <f ca="1">IF(D488="Recapture",IF(OFFSET(B$1,MATCH(K488,K$2:K487,0),0)=B488,0,1),1)</f>
        <v>1</v>
      </c>
    </row>
    <row r="489" spans="1:19" x14ac:dyDescent="0.2">
      <c r="A489" s="1">
        <v>44411</v>
      </c>
      <c r="B489" s="28">
        <f t="shared" si="42"/>
        <v>20218</v>
      </c>
      <c r="C489">
        <f>A489-A$2</f>
        <v>435</v>
      </c>
      <c r="D489" s="5" t="s">
        <v>25</v>
      </c>
      <c r="E489" s="25" t="s">
        <v>49</v>
      </c>
      <c r="F489" s="4">
        <v>0.48333333333333334</v>
      </c>
      <c r="G489" s="4">
        <v>0.48402777777777778</v>
      </c>
      <c r="H489" s="3">
        <f t="shared" si="44"/>
        <v>6.9444444444444198E-4</v>
      </c>
      <c r="I489" s="5" t="s">
        <v>25</v>
      </c>
      <c r="L489" s="5">
        <v>260</v>
      </c>
      <c r="M489" t="s">
        <v>30</v>
      </c>
      <c r="N489" t="s">
        <v>26</v>
      </c>
      <c r="P489">
        <v>0.1964988034202246</v>
      </c>
      <c r="Q489">
        <f t="shared" si="41"/>
        <v>17</v>
      </c>
      <c r="R489">
        <f ca="1">IF(ISNA(MATCH(P489,OFFSET('age-length key'!O$8,Data!Q489,17,1,5),1)),1,MATCH(P489,OFFSET('age-length key'!O$8,Data!Q489,17,1,5),1)+1)</f>
        <v>2</v>
      </c>
      <c r="S489">
        <f ca="1">IF(D489="Recapture",IF(OFFSET(B$1,MATCH(K489,K$2:K488,0),0)=B489,0,1),1)</f>
        <v>1</v>
      </c>
    </row>
    <row r="490" spans="1:19" x14ac:dyDescent="0.2">
      <c r="A490" s="1">
        <v>44411</v>
      </c>
      <c r="B490" s="28">
        <f t="shared" si="42"/>
        <v>20218</v>
      </c>
      <c r="C490">
        <f>A490-A$2</f>
        <v>435</v>
      </c>
      <c r="D490" s="5" t="s">
        <v>25</v>
      </c>
      <c r="E490" s="25" t="s">
        <v>49</v>
      </c>
      <c r="F490" s="4">
        <v>0.40625</v>
      </c>
      <c r="G490" s="4">
        <v>0.4069444444444445</v>
      </c>
      <c r="H490" s="3">
        <f t="shared" si="44"/>
        <v>6.9444444444449749E-4</v>
      </c>
      <c r="I490" s="5" t="s">
        <v>25</v>
      </c>
      <c r="L490" s="5">
        <v>150</v>
      </c>
      <c r="M490" t="s">
        <v>33</v>
      </c>
      <c r="N490" t="s">
        <v>26</v>
      </c>
      <c r="P490">
        <v>0.55538908371487128</v>
      </c>
      <c r="Q490">
        <f t="shared" si="41"/>
        <v>6</v>
      </c>
      <c r="R490">
        <f ca="1">IF(ISNA(MATCH(P490,OFFSET('age-length key'!O$8,Data!Q490,17,1,5),1)),1,MATCH(P490,OFFSET('age-length key'!O$8,Data!Q490,17,1,5),1)+1)</f>
        <v>1</v>
      </c>
      <c r="S490">
        <f ca="1">IF(D490="Recapture",IF(OFFSET(B$1,MATCH(K490,K$2:K489,0),0)=B490,0,1),1)</f>
        <v>1</v>
      </c>
    </row>
    <row r="491" spans="1:19" x14ac:dyDescent="0.2">
      <c r="A491" s="1">
        <v>44411</v>
      </c>
      <c r="B491" s="28">
        <f t="shared" si="42"/>
        <v>20218</v>
      </c>
      <c r="C491">
        <f>A491-A$2</f>
        <v>435</v>
      </c>
      <c r="D491" s="5" t="s">
        <v>25</v>
      </c>
      <c r="E491" s="25" t="s">
        <v>49</v>
      </c>
      <c r="F491" s="4">
        <v>0.47847222222222219</v>
      </c>
      <c r="G491" s="4">
        <v>0.47916666666666669</v>
      </c>
      <c r="H491" s="3">
        <f t="shared" si="44"/>
        <v>6.9444444444449749E-4</v>
      </c>
      <c r="I491" s="5" t="s">
        <v>25</v>
      </c>
      <c r="L491" s="5">
        <v>245</v>
      </c>
      <c r="M491" t="s">
        <v>30</v>
      </c>
      <c r="N491" t="s">
        <v>26</v>
      </c>
      <c r="P491">
        <v>0.42432999584094155</v>
      </c>
      <c r="Q491">
        <f t="shared" si="41"/>
        <v>16</v>
      </c>
      <c r="R491">
        <f ca="1">IF(ISNA(MATCH(P491,OFFSET('age-length key'!O$8,Data!Q491,17,1,5),1)),1,MATCH(P491,OFFSET('age-length key'!O$8,Data!Q491,17,1,5),1)+1)</f>
        <v>2</v>
      </c>
      <c r="S491">
        <f ca="1">IF(D491="Recapture",IF(OFFSET(B$1,MATCH(K491,K$2:K490,0),0)=B491,0,1),1)</f>
        <v>1</v>
      </c>
    </row>
    <row r="492" spans="1:19" x14ac:dyDescent="0.2">
      <c r="A492" s="1">
        <v>44411</v>
      </c>
      <c r="B492" s="28">
        <f t="shared" si="42"/>
        <v>20218</v>
      </c>
      <c r="C492">
        <f>A492-A$2</f>
        <v>435</v>
      </c>
      <c r="D492" s="5" t="s">
        <v>25</v>
      </c>
      <c r="E492" s="25" t="s">
        <v>49</v>
      </c>
      <c r="F492" s="4">
        <v>0.48125000000000001</v>
      </c>
      <c r="G492" s="4">
        <v>0.4826388888888889</v>
      </c>
      <c r="H492" s="3">
        <f t="shared" si="44"/>
        <v>1.388888888888884E-3</v>
      </c>
      <c r="I492" s="5" t="s">
        <v>25</v>
      </c>
      <c r="L492" s="5">
        <v>140</v>
      </c>
      <c r="M492" t="s">
        <v>30</v>
      </c>
      <c r="N492" t="s">
        <v>26</v>
      </c>
      <c r="P492">
        <v>0.71424009870469574</v>
      </c>
      <c r="Q492">
        <f t="shared" si="41"/>
        <v>5</v>
      </c>
      <c r="R492">
        <f ca="1">IF(ISNA(MATCH(P492,OFFSET('age-length key'!O$8,Data!Q492,17,1,5),1)),1,MATCH(P492,OFFSET('age-length key'!O$8,Data!Q492,17,1,5),1)+1)</f>
        <v>1</v>
      </c>
      <c r="S492">
        <f ca="1">IF(D492="Recapture",IF(OFFSET(B$1,MATCH(K492,K$2:K491,0),0)=B492,0,1),1)</f>
        <v>1</v>
      </c>
    </row>
    <row r="493" spans="1:19" x14ac:dyDescent="0.2">
      <c r="A493" s="1">
        <v>44411</v>
      </c>
      <c r="B493" s="28">
        <f t="shared" si="42"/>
        <v>20218</v>
      </c>
      <c r="C493">
        <f>A493-A$2</f>
        <v>435</v>
      </c>
      <c r="D493" s="5" t="s">
        <v>25</v>
      </c>
      <c r="E493" s="25" t="s">
        <v>49</v>
      </c>
      <c r="F493" s="4">
        <v>0.45277777777777778</v>
      </c>
      <c r="G493" s="4">
        <v>0.4548611111111111</v>
      </c>
      <c r="H493" s="3">
        <f t="shared" si="44"/>
        <v>2.0833333333333259E-3</v>
      </c>
      <c r="I493" s="5" t="s">
        <v>25</v>
      </c>
      <c r="L493" s="5">
        <v>165</v>
      </c>
      <c r="M493" t="s">
        <v>14</v>
      </c>
      <c r="N493" t="s">
        <v>26</v>
      </c>
      <c r="P493">
        <v>0.23333892982142929</v>
      </c>
      <c r="Q493">
        <f t="shared" si="41"/>
        <v>8</v>
      </c>
      <c r="R493">
        <f ca="1">IF(ISNA(MATCH(P493,OFFSET('age-length key'!O$8,Data!Q493,17,1,5),1)),1,MATCH(P493,OFFSET('age-length key'!O$8,Data!Q493,17,1,5),1)+1)</f>
        <v>1</v>
      </c>
      <c r="S493">
        <f ca="1">IF(D493="Recapture",IF(OFFSET(B$1,MATCH(K493,K$2:K492,0),0)=B493,0,1),1)</f>
        <v>1</v>
      </c>
    </row>
    <row r="494" spans="1:19" x14ac:dyDescent="0.2">
      <c r="A494" s="1">
        <v>44411</v>
      </c>
      <c r="B494" s="28">
        <f t="shared" si="42"/>
        <v>20218</v>
      </c>
      <c r="C494">
        <f>A494-A$2</f>
        <v>435</v>
      </c>
      <c r="D494" s="5" t="s">
        <v>25</v>
      </c>
      <c r="E494" s="25" t="s">
        <v>49</v>
      </c>
      <c r="F494" s="4">
        <v>0.38541666666666669</v>
      </c>
      <c r="G494" s="4">
        <v>0.3888888888888889</v>
      </c>
      <c r="H494" s="3">
        <f t="shared" si="44"/>
        <v>3.4722222222222099E-3</v>
      </c>
      <c r="I494" s="5" t="s">
        <v>25</v>
      </c>
      <c r="L494" s="5">
        <v>190</v>
      </c>
      <c r="M494" t="s">
        <v>33</v>
      </c>
      <c r="N494" t="s">
        <v>26</v>
      </c>
      <c r="P494">
        <v>0.72739350876183884</v>
      </c>
      <c r="Q494">
        <f t="shared" si="41"/>
        <v>10</v>
      </c>
      <c r="R494">
        <f ca="1">IF(ISNA(MATCH(P494,OFFSET('age-length key'!O$8,Data!Q494,17,1,5),1)),1,MATCH(P494,OFFSET('age-length key'!O$8,Data!Q494,17,1,5),1)+1)</f>
        <v>2</v>
      </c>
      <c r="S494">
        <f ca="1">IF(D494="Recapture",IF(OFFSET(B$1,MATCH(K494,K$2:K493,0),0)=B494,0,1),1)</f>
        <v>1</v>
      </c>
    </row>
    <row r="495" spans="1:19" x14ac:dyDescent="0.2">
      <c r="A495" s="1">
        <v>44411</v>
      </c>
      <c r="B495" s="28">
        <f t="shared" si="42"/>
        <v>20218</v>
      </c>
      <c r="C495">
        <f>A495-A$2</f>
        <v>435</v>
      </c>
      <c r="D495" s="5" t="s">
        <v>25</v>
      </c>
      <c r="E495" s="25" t="s">
        <v>49</v>
      </c>
      <c r="F495" s="4">
        <v>0.38958333333333334</v>
      </c>
      <c r="G495" s="4">
        <v>0.3972222222222222</v>
      </c>
      <c r="H495" s="3">
        <f t="shared" si="44"/>
        <v>7.6388888888888618E-3</v>
      </c>
      <c r="I495" s="5" t="s">
        <v>25</v>
      </c>
      <c r="L495" s="5">
        <v>180</v>
      </c>
      <c r="M495" t="s">
        <v>33</v>
      </c>
      <c r="N495" t="s">
        <v>26</v>
      </c>
      <c r="P495">
        <v>0.30270176022439343</v>
      </c>
      <c r="Q495">
        <f t="shared" si="41"/>
        <v>9</v>
      </c>
      <c r="R495">
        <f ca="1">IF(ISNA(MATCH(P495,OFFSET('age-length key'!O$8,Data!Q495,17,1,5),1)),1,MATCH(P495,OFFSET('age-length key'!O$8,Data!Q495,17,1,5),1)+1)</f>
        <v>1</v>
      </c>
      <c r="S495">
        <f ca="1">IF(D495="Recapture",IF(OFFSET(B$1,MATCH(K495,K$2:K494,0),0)=B495,0,1),1)</f>
        <v>1</v>
      </c>
    </row>
    <row r="496" spans="1:19" x14ac:dyDescent="0.2">
      <c r="A496" s="1">
        <v>44411</v>
      </c>
      <c r="B496" s="28">
        <f t="shared" si="42"/>
        <v>20218</v>
      </c>
      <c r="C496">
        <f>A496-A$2</f>
        <v>435</v>
      </c>
      <c r="D496" s="5" t="s">
        <v>25</v>
      </c>
      <c r="E496" s="25" t="s">
        <v>49</v>
      </c>
      <c r="F496" s="4">
        <v>0.44097222222222227</v>
      </c>
      <c r="G496" s="4">
        <v>0.44861111111111113</v>
      </c>
      <c r="H496" s="3">
        <f t="shared" si="44"/>
        <v>7.6388888888888618E-3</v>
      </c>
      <c r="I496" s="5" t="s">
        <v>25</v>
      </c>
      <c r="L496" s="5">
        <v>250</v>
      </c>
      <c r="M496" t="s">
        <v>13</v>
      </c>
      <c r="N496" t="s">
        <v>26</v>
      </c>
      <c r="P496">
        <v>0.5084840913808365</v>
      </c>
      <c r="Q496">
        <f t="shared" si="41"/>
        <v>16</v>
      </c>
      <c r="R496">
        <f ca="1">IF(ISNA(MATCH(P496,OFFSET('age-length key'!O$8,Data!Q496,17,1,5),1)),1,MATCH(P496,OFFSET('age-length key'!O$8,Data!Q496,17,1,5),1)+1)</f>
        <v>2</v>
      </c>
      <c r="S496">
        <f ca="1">IF(D496="Recapture",IF(OFFSET(B$1,MATCH(K496,K$2:K495,0),0)=B496,0,1),1)</f>
        <v>1</v>
      </c>
    </row>
    <row r="497" spans="1:19" x14ac:dyDescent="0.2">
      <c r="A497" s="1">
        <v>44411</v>
      </c>
      <c r="B497" s="28">
        <f t="shared" si="42"/>
        <v>20218</v>
      </c>
      <c r="C497">
        <f>A497-A$2</f>
        <v>435</v>
      </c>
      <c r="D497" s="5" t="s">
        <v>25</v>
      </c>
      <c r="E497" s="25" t="s">
        <v>49</v>
      </c>
      <c r="F497" s="4">
        <v>0.3125</v>
      </c>
      <c r="G497" s="4">
        <v>0.32013888888888892</v>
      </c>
      <c r="H497" s="3">
        <f t="shared" si="44"/>
        <v>7.6388888888889173E-3</v>
      </c>
      <c r="I497" s="5" t="s">
        <v>25</v>
      </c>
      <c r="L497" s="5">
        <v>250</v>
      </c>
      <c r="M497" t="s">
        <v>31</v>
      </c>
      <c r="N497" t="s">
        <v>27</v>
      </c>
      <c r="P497">
        <v>9.2123837718797771E-2</v>
      </c>
      <c r="Q497">
        <f t="shared" si="41"/>
        <v>16</v>
      </c>
      <c r="R497">
        <f ca="1">IF(ISNA(MATCH(P497,OFFSET('age-length key'!O$8,Data!Q497,17,1,5),1)),1,MATCH(P497,OFFSET('age-length key'!O$8,Data!Q497,17,1,5),1)+1)</f>
        <v>2</v>
      </c>
      <c r="S497">
        <f ca="1">IF(D497="Recapture",IF(OFFSET(B$1,MATCH(K497,K$2:K496,0),0)=B497,0,1),1)</f>
        <v>1</v>
      </c>
    </row>
    <row r="498" spans="1:19" x14ac:dyDescent="0.2">
      <c r="A498" s="1">
        <v>44411</v>
      </c>
      <c r="B498" s="28">
        <f t="shared" si="42"/>
        <v>20218</v>
      </c>
      <c r="C498">
        <f>A498-A$2</f>
        <v>435</v>
      </c>
      <c r="D498" s="5" t="s">
        <v>25</v>
      </c>
      <c r="E498" s="25" t="s">
        <v>49</v>
      </c>
      <c r="F498" s="4">
        <v>0.3979166666666667</v>
      </c>
      <c r="G498" s="4">
        <v>0.40625</v>
      </c>
      <c r="H498" s="3">
        <f t="shared" si="44"/>
        <v>8.3333333333333037E-3</v>
      </c>
      <c r="I498" s="5" t="s">
        <v>25</v>
      </c>
      <c r="L498" s="5">
        <v>160</v>
      </c>
      <c r="M498" t="s">
        <v>33</v>
      </c>
      <c r="N498" t="s">
        <v>26</v>
      </c>
      <c r="P498">
        <v>0.32534053983415501</v>
      </c>
      <c r="Q498">
        <f t="shared" si="41"/>
        <v>7</v>
      </c>
      <c r="R498">
        <f ca="1">IF(ISNA(MATCH(P498,OFFSET('age-length key'!O$8,Data!Q498,17,1,5),1)),1,MATCH(P498,OFFSET('age-length key'!O$8,Data!Q498,17,1,5),1)+1)</f>
        <v>1</v>
      </c>
      <c r="S498">
        <f ca="1">IF(D498="Recapture",IF(OFFSET(B$1,MATCH(K498,K$2:K497,0),0)=B498,0,1),1)</f>
        <v>1</v>
      </c>
    </row>
    <row r="499" spans="1:19" x14ac:dyDescent="0.2">
      <c r="A499" s="1">
        <v>44411</v>
      </c>
      <c r="B499" s="28">
        <f t="shared" si="42"/>
        <v>20218</v>
      </c>
      <c r="C499">
        <f>A499-A$2</f>
        <v>435</v>
      </c>
      <c r="D499" s="5" t="s">
        <v>25</v>
      </c>
      <c r="E499" s="25" t="s">
        <v>49</v>
      </c>
      <c r="F499" s="4">
        <v>0.43194444444444446</v>
      </c>
      <c r="G499" s="4">
        <v>0.44027777777777777</v>
      </c>
      <c r="H499" s="3">
        <f t="shared" si="44"/>
        <v>8.3333333333333037E-3</v>
      </c>
      <c r="I499" s="5" t="s">
        <v>25</v>
      </c>
      <c r="L499" s="5">
        <v>160</v>
      </c>
      <c r="M499" t="s">
        <v>13</v>
      </c>
      <c r="N499" t="s">
        <v>26</v>
      </c>
      <c r="P499">
        <v>0.99845299264344056</v>
      </c>
      <c r="Q499">
        <f t="shared" si="41"/>
        <v>7</v>
      </c>
      <c r="R499">
        <f ca="1">IF(ISNA(MATCH(P499,OFFSET('age-length key'!O$8,Data!Q499,17,1,5),1)),1,MATCH(P499,OFFSET('age-length key'!O$8,Data!Q499,17,1,5),1)+1)</f>
        <v>2</v>
      </c>
      <c r="S499">
        <f ca="1">IF(D499="Recapture",IF(OFFSET(B$1,MATCH(K499,K$2:K498,0),0)=B499,0,1),1)</f>
        <v>1</v>
      </c>
    </row>
    <row r="500" spans="1:19" x14ac:dyDescent="0.2">
      <c r="A500" s="1">
        <v>44411</v>
      </c>
      <c r="B500" s="28">
        <f t="shared" si="42"/>
        <v>20218</v>
      </c>
      <c r="C500">
        <f>A500-A$2</f>
        <v>435</v>
      </c>
      <c r="D500" s="5" t="s">
        <v>25</v>
      </c>
      <c r="E500" s="25" t="s">
        <v>49</v>
      </c>
      <c r="F500" s="4">
        <v>0.48472222222222222</v>
      </c>
      <c r="G500" s="4">
        <v>0.49305555555555558</v>
      </c>
      <c r="H500" s="3">
        <f t="shared" si="44"/>
        <v>8.3333333333333592E-3</v>
      </c>
      <c r="I500" s="5" t="s">
        <v>25</v>
      </c>
      <c r="L500" s="5">
        <v>260</v>
      </c>
      <c r="M500" t="s">
        <v>30</v>
      </c>
      <c r="N500" t="s">
        <v>26</v>
      </c>
      <c r="P500">
        <v>0.99944735830623999</v>
      </c>
      <c r="Q500">
        <f t="shared" si="41"/>
        <v>17</v>
      </c>
      <c r="R500">
        <f ca="1">IF(ISNA(MATCH(P500,OFFSET('age-length key'!O$8,Data!Q500,17,1,5),1)),1,MATCH(P500,OFFSET('age-length key'!O$8,Data!Q500,17,1,5),1)+1)</f>
        <v>4</v>
      </c>
      <c r="S500">
        <f ca="1">IF(D500="Recapture",IF(OFFSET(B$1,MATCH(K500,K$2:K499,0),0)=B500,0,1),1)</f>
        <v>1</v>
      </c>
    </row>
    <row r="501" spans="1:19" x14ac:dyDescent="0.2">
      <c r="A501" s="1">
        <v>44411</v>
      </c>
      <c r="B501" s="28">
        <f t="shared" si="42"/>
        <v>20218</v>
      </c>
      <c r="C501">
        <f>A501-A$2</f>
        <v>435</v>
      </c>
      <c r="D501" s="5" t="s">
        <v>25</v>
      </c>
      <c r="E501" s="25" t="s">
        <v>49</v>
      </c>
      <c r="F501" s="4">
        <v>0.3743055555555555</v>
      </c>
      <c r="G501" s="4">
        <v>0.38472222222222219</v>
      </c>
      <c r="H501" s="3">
        <f t="shared" si="44"/>
        <v>1.0416666666666685E-2</v>
      </c>
      <c r="I501" s="5" t="s">
        <v>25</v>
      </c>
      <c r="L501" s="5">
        <v>270</v>
      </c>
      <c r="M501" t="s">
        <v>33</v>
      </c>
      <c r="N501" t="s">
        <v>26</v>
      </c>
      <c r="P501">
        <v>0.71175105297553865</v>
      </c>
      <c r="Q501">
        <f t="shared" si="41"/>
        <v>18</v>
      </c>
      <c r="R501">
        <f ca="1">IF(ISNA(MATCH(P501,OFFSET('age-length key'!O$8,Data!Q501,17,1,5),1)),1,MATCH(P501,OFFSET('age-length key'!O$8,Data!Q501,17,1,5),1)+1)</f>
        <v>3</v>
      </c>
      <c r="S501">
        <f ca="1">IF(D501="Recapture",IF(OFFSET(B$1,MATCH(K501,K$2:K500,0),0)=B501,0,1),1)</f>
        <v>1</v>
      </c>
    </row>
    <row r="502" spans="1:19" x14ac:dyDescent="0.2">
      <c r="A502" s="1">
        <v>44411</v>
      </c>
      <c r="B502" s="28">
        <f t="shared" si="42"/>
        <v>20218</v>
      </c>
      <c r="C502">
        <f>A502-A$2</f>
        <v>435</v>
      </c>
      <c r="D502" s="5" t="s">
        <v>25</v>
      </c>
      <c r="E502" s="25" t="s">
        <v>49</v>
      </c>
      <c r="F502" s="4">
        <v>0.45555555555555555</v>
      </c>
      <c r="G502" s="4">
        <v>0.4777777777777778</v>
      </c>
      <c r="H502" s="3">
        <f t="shared" si="44"/>
        <v>2.2222222222222254E-2</v>
      </c>
      <c r="I502" s="5" t="s">
        <v>25</v>
      </c>
      <c r="L502" s="5">
        <v>190</v>
      </c>
      <c r="M502" t="s">
        <v>30</v>
      </c>
      <c r="N502" t="s">
        <v>26</v>
      </c>
      <c r="P502">
        <v>0.39994735987854535</v>
      </c>
      <c r="Q502">
        <f t="shared" si="41"/>
        <v>10</v>
      </c>
      <c r="R502">
        <f ca="1">IF(ISNA(MATCH(P502,OFFSET('age-length key'!O$8,Data!Q502,17,1,5),1)),1,MATCH(P502,OFFSET('age-length key'!O$8,Data!Q502,17,1,5),1)+1)</f>
        <v>2</v>
      </c>
      <c r="S502">
        <f ca="1">IF(D502="Recapture",IF(OFFSET(B$1,MATCH(K502,K$2:K501,0),0)=B502,0,1),1)</f>
        <v>1</v>
      </c>
    </row>
    <row r="503" spans="1:19" x14ac:dyDescent="0.2">
      <c r="A503" s="1">
        <v>44411</v>
      </c>
      <c r="B503" s="28">
        <f t="shared" si="42"/>
        <v>20218</v>
      </c>
      <c r="C503">
        <f>A503-A$2</f>
        <v>435</v>
      </c>
      <c r="D503" s="5" t="s">
        <v>25</v>
      </c>
      <c r="E503" s="25" t="s">
        <v>49</v>
      </c>
      <c r="F503" s="4">
        <v>0.40763888888888888</v>
      </c>
      <c r="G503" s="4">
        <v>0.43124999999999997</v>
      </c>
      <c r="H503" s="3">
        <f t="shared" si="44"/>
        <v>2.3611111111111083E-2</v>
      </c>
      <c r="I503" s="5" t="s">
        <v>25</v>
      </c>
      <c r="L503" s="5">
        <v>190</v>
      </c>
      <c r="M503" t="s">
        <v>13</v>
      </c>
      <c r="N503" t="s">
        <v>26</v>
      </c>
      <c r="P503">
        <v>0.91527747871134313</v>
      </c>
      <c r="Q503">
        <f t="shared" si="41"/>
        <v>10</v>
      </c>
      <c r="R503">
        <f ca="1">IF(ISNA(MATCH(P503,OFFSET('age-length key'!O$8,Data!Q503,17,1,5),1)),1,MATCH(P503,OFFSET('age-length key'!O$8,Data!Q503,17,1,5),1)+1)</f>
        <v>2</v>
      </c>
      <c r="S503">
        <f ca="1">IF(D503="Recapture",IF(OFFSET(B$1,MATCH(K503,K$2:K502,0),0)=B503,0,1),1)</f>
        <v>1</v>
      </c>
    </row>
    <row r="504" spans="1:19" x14ac:dyDescent="0.2">
      <c r="A504" s="1">
        <v>44411</v>
      </c>
      <c r="B504" s="28">
        <f t="shared" si="42"/>
        <v>20218</v>
      </c>
      <c r="C504">
        <f>A504-A$2</f>
        <v>435</v>
      </c>
      <c r="D504" s="5" t="s">
        <v>25</v>
      </c>
      <c r="E504" s="25" t="s">
        <v>49</v>
      </c>
      <c r="F504" s="4">
        <v>0.32083333333333336</v>
      </c>
      <c r="G504" s="4">
        <v>0.37361111111111112</v>
      </c>
      <c r="H504" s="3">
        <f t="shared" si="44"/>
        <v>5.2777777777777757E-2</v>
      </c>
      <c r="I504" s="5" t="s">
        <v>25</v>
      </c>
      <c r="L504" s="5">
        <v>180</v>
      </c>
      <c r="M504" t="s">
        <v>32</v>
      </c>
      <c r="N504" t="s">
        <v>26</v>
      </c>
      <c r="P504">
        <v>6.858470154394615E-2</v>
      </c>
      <c r="Q504">
        <f t="shared" si="41"/>
        <v>9</v>
      </c>
      <c r="R504">
        <f ca="1">IF(ISNA(MATCH(P504,OFFSET('age-length key'!O$8,Data!Q504,17,1,5),1)),1,MATCH(P504,OFFSET('age-length key'!O$8,Data!Q504,17,1,5),1)+1)</f>
        <v>1</v>
      </c>
      <c r="S504">
        <f ca="1">IF(D504="Recapture",IF(OFFSET(B$1,MATCH(K504,K$2:K503,0),0)=B504,0,1),1)</f>
        <v>1</v>
      </c>
    </row>
    <row r="505" spans="1:19" x14ac:dyDescent="0.2">
      <c r="A505" s="1">
        <v>44411</v>
      </c>
      <c r="B505" s="28">
        <f t="shared" si="42"/>
        <v>20218</v>
      </c>
      <c r="C505">
        <f>A505-A$2</f>
        <v>435</v>
      </c>
      <c r="D505" s="5" t="s">
        <v>58</v>
      </c>
      <c r="E505" s="22" t="s">
        <v>66</v>
      </c>
      <c r="F505" s="4">
        <v>0.45624999999999999</v>
      </c>
      <c r="G505" s="4">
        <v>0.45902777777777781</v>
      </c>
      <c r="H505" s="3">
        <f t="shared" si="44"/>
        <v>2.7777777777778234E-3</v>
      </c>
      <c r="I505">
        <v>66</v>
      </c>
      <c r="J505" s="8" t="s">
        <v>56</v>
      </c>
      <c r="K505" s="11" t="str">
        <f>_xlfn.CONCAT(J505,I505)</f>
        <v>Green66</v>
      </c>
      <c r="L505">
        <v>250</v>
      </c>
      <c r="N505" t="s">
        <v>26</v>
      </c>
      <c r="P505">
        <v>0.70307884910287277</v>
      </c>
      <c r="Q505">
        <f t="shared" si="41"/>
        <v>16</v>
      </c>
      <c r="R505">
        <f ca="1">IF(ISNA(MATCH(P505,OFFSET('age-length key'!O$8,Data!Q505,17,1,5),1)),1,MATCH(P505,OFFSET('age-length key'!O$8,Data!Q505,17,1,5),1)+1)</f>
        <v>3</v>
      </c>
      <c r="S505">
        <f ca="1">IF(D505="Recapture",IF(OFFSET(B$1,MATCH(K505,K$2:K504,0),0)=B505,0,1),1)</f>
        <v>1</v>
      </c>
    </row>
    <row r="506" spans="1:19" x14ac:dyDescent="0.2">
      <c r="A506" s="17">
        <v>44414</v>
      </c>
      <c r="B506" s="28">
        <f t="shared" si="42"/>
        <v>20218</v>
      </c>
      <c r="C506">
        <f>A506-A$2</f>
        <v>438</v>
      </c>
      <c r="D506" s="5" t="s">
        <v>25</v>
      </c>
      <c r="E506" s="23" t="s">
        <v>65</v>
      </c>
      <c r="F506" s="18">
        <v>0.3756944444444445</v>
      </c>
      <c r="G506" s="18">
        <v>0.39583333333333331</v>
      </c>
      <c r="H506" s="3">
        <f t="shared" si="44"/>
        <v>2.0138888888888817E-2</v>
      </c>
      <c r="I506" s="5" t="s">
        <v>25</v>
      </c>
      <c r="L506" s="20">
        <v>152</v>
      </c>
      <c r="N506" t="s">
        <v>26</v>
      </c>
      <c r="P506">
        <v>0.64621687198347266</v>
      </c>
      <c r="Q506">
        <f t="shared" si="41"/>
        <v>6</v>
      </c>
      <c r="R506">
        <f ca="1">IF(ISNA(MATCH(P506,OFFSET('age-length key'!O$8,Data!Q506,17,1,5),1)),1,MATCH(P506,OFFSET('age-length key'!O$8,Data!Q506,17,1,5),1)+1)</f>
        <v>1</v>
      </c>
      <c r="S506">
        <f ca="1">IF(D506="Recapture",IF(OFFSET(B$1,MATCH(K506,K$2:K505,0),0)=B506,0,1),1)</f>
        <v>1</v>
      </c>
    </row>
    <row r="507" spans="1:19" x14ac:dyDescent="0.2">
      <c r="A507" s="17">
        <v>44414</v>
      </c>
      <c r="B507" s="28">
        <f t="shared" si="42"/>
        <v>20218</v>
      </c>
      <c r="C507">
        <f>A507-A$2</f>
        <v>438</v>
      </c>
      <c r="D507" s="5" t="s">
        <v>25</v>
      </c>
      <c r="E507" s="23" t="s">
        <v>65</v>
      </c>
      <c r="F507" s="18">
        <v>0.35486111111111113</v>
      </c>
      <c r="G507" s="18">
        <v>0.375</v>
      </c>
      <c r="H507" s="3">
        <f t="shared" si="44"/>
        <v>2.0138888888888873E-2</v>
      </c>
      <c r="I507" s="5" t="s">
        <v>25</v>
      </c>
      <c r="L507" s="20">
        <v>254</v>
      </c>
      <c r="N507" t="s">
        <v>26</v>
      </c>
      <c r="P507">
        <v>0.96696742622506215</v>
      </c>
      <c r="Q507">
        <f t="shared" si="41"/>
        <v>16</v>
      </c>
      <c r="R507">
        <f ca="1">IF(ISNA(MATCH(P507,OFFSET('age-length key'!O$8,Data!Q507,17,1,5),1)),1,MATCH(P507,OFFSET('age-length key'!O$8,Data!Q507,17,1,5),1)+1)</f>
        <v>3</v>
      </c>
      <c r="S507">
        <f ca="1">IF(D507="Recapture",IF(OFFSET(B$1,MATCH(K507,K$2:K506,0),0)=B507,0,1),1)</f>
        <v>1</v>
      </c>
    </row>
    <row r="508" spans="1:19" x14ac:dyDescent="0.2">
      <c r="A508" s="17">
        <v>44414</v>
      </c>
      <c r="B508" s="28">
        <f t="shared" si="42"/>
        <v>20218</v>
      </c>
      <c r="C508">
        <f>A508-A$2</f>
        <v>438</v>
      </c>
      <c r="D508" s="5" t="s">
        <v>58</v>
      </c>
      <c r="E508" s="23" t="s">
        <v>65</v>
      </c>
      <c r="F508" s="18">
        <v>0.33333333333333331</v>
      </c>
      <c r="G508" s="18">
        <v>0.35416666666666669</v>
      </c>
      <c r="H508" s="3">
        <f t="shared" si="44"/>
        <v>2.083333333333337E-2</v>
      </c>
      <c r="I508" s="5">
        <v>102</v>
      </c>
      <c r="J508" s="5" t="s">
        <v>56</v>
      </c>
      <c r="K508" s="11" t="str">
        <f t="shared" ref="K508:K510" si="45">_xlfn.CONCAT(J508,I508)</f>
        <v>Green102</v>
      </c>
      <c r="L508" s="20">
        <v>267</v>
      </c>
      <c r="N508" t="s">
        <v>26</v>
      </c>
      <c r="P508">
        <v>0.82153256462026969</v>
      </c>
      <c r="Q508">
        <f t="shared" si="41"/>
        <v>18</v>
      </c>
      <c r="R508">
        <f ca="1">IF(ISNA(MATCH(P508,OFFSET('age-length key'!O$8,Data!Q508,17,1,5),1)),1,MATCH(P508,OFFSET('age-length key'!O$8,Data!Q508,17,1,5),1)+1)</f>
        <v>3</v>
      </c>
      <c r="S508">
        <f ca="1">IF(D508="Recapture",IF(OFFSET(B$1,MATCH(K508,K$2:K507,0),0)=B508,0,1),1)</f>
        <v>1</v>
      </c>
    </row>
    <row r="509" spans="1:19" x14ac:dyDescent="0.2">
      <c r="A509" s="1">
        <v>44426</v>
      </c>
      <c r="B509" s="28">
        <f t="shared" si="42"/>
        <v>20218</v>
      </c>
      <c r="C509">
        <f>A509-A$2</f>
        <v>450</v>
      </c>
      <c r="D509" s="5" t="s">
        <v>58</v>
      </c>
      <c r="E509" s="22" t="s">
        <v>49</v>
      </c>
      <c r="F509"/>
      <c r="G509"/>
      <c r="H509" s="3"/>
      <c r="I509">
        <v>39</v>
      </c>
      <c r="J509" s="8" t="s">
        <v>57</v>
      </c>
      <c r="K509" s="11" t="str">
        <f t="shared" si="45"/>
        <v>Pink39</v>
      </c>
      <c r="L509" s="26">
        <f ca="1">OFFSET(K$1,MATCH(K509,K$2:K508,0),1)</f>
        <v>275</v>
      </c>
      <c r="N509" t="s">
        <v>27</v>
      </c>
      <c r="P509">
        <v>0.4978135728732746</v>
      </c>
      <c r="Q509">
        <f t="shared" ca="1" si="41"/>
        <v>19</v>
      </c>
      <c r="R509" s="26">
        <f ca="1">OFFSET(Q$1,MATCH(K509,K$2:K508,0),1)</f>
        <v>3</v>
      </c>
      <c r="S509">
        <f ca="1">IF(D509="Recapture",IF(OFFSET(B$1,MATCH(K509,K$2:K508,0),0)=B509,0,1),1)</f>
        <v>1</v>
      </c>
    </row>
    <row r="510" spans="1:19" x14ac:dyDescent="0.2">
      <c r="A510" s="1">
        <v>44426</v>
      </c>
      <c r="B510" s="28">
        <f t="shared" si="42"/>
        <v>20218</v>
      </c>
      <c r="C510">
        <f>A510-A$2</f>
        <v>450</v>
      </c>
      <c r="D510" s="5" t="s">
        <v>58</v>
      </c>
      <c r="E510" s="22" t="s">
        <v>49</v>
      </c>
      <c r="F510" s="4">
        <v>0.35833333333333334</v>
      </c>
      <c r="G510" s="4">
        <v>0.3611111111111111</v>
      </c>
      <c r="H510" s="3">
        <f t="shared" ref="H510:H548" si="46">G510-F510</f>
        <v>2.7777777777777679E-3</v>
      </c>
      <c r="I510">
        <v>103</v>
      </c>
      <c r="J510" s="8" t="s">
        <v>56</v>
      </c>
      <c r="K510" s="11" t="str">
        <f t="shared" si="45"/>
        <v>Green103</v>
      </c>
      <c r="L510" s="26">
        <f ca="1">OFFSET(K$1,MATCH(K510,K$2:K509,0),1)</f>
        <v>220</v>
      </c>
      <c r="N510" t="s">
        <v>27</v>
      </c>
      <c r="P510">
        <v>0.75271928112614861</v>
      </c>
      <c r="Q510">
        <f t="shared" ca="1" si="41"/>
        <v>13</v>
      </c>
      <c r="R510" s="26">
        <f ca="1">OFFSET(Q$1,MATCH(K510,K$2:K509,0),1)</f>
        <v>3</v>
      </c>
      <c r="S510">
        <f ca="1">IF(D510="Recapture",IF(OFFSET(B$1,MATCH(K510,K$2:K509,0),0)=B510,0,1),1)</f>
        <v>1</v>
      </c>
    </row>
    <row r="511" spans="1:19" x14ac:dyDescent="0.2">
      <c r="A511" s="1">
        <v>44435</v>
      </c>
      <c r="B511" s="28">
        <f t="shared" si="42"/>
        <v>20218</v>
      </c>
      <c r="C511">
        <f>A511-A$2</f>
        <v>459</v>
      </c>
      <c r="D511" s="5" t="s">
        <v>25</v>
      </c>
      <c r="E511" s="25" t="s">
        <v>49</v>
      </c>
      <c r="F511" s="4">
        <v>0.48402777777777778</v>
      </c>
      <c r="G511" s="4">
        <v>0.48402777777777778</v>
      </c>
      <c r="H511" s="3">
        <f t="shared" si="46"/>
        <v>0</v>
      </c>
      <c r="I511" s="5" t="s">
        <v>25</v>
      </c>
      <c r="L511" s="5">
        <v>160</v>
      </c>
      <c r="M511" t="s">
        <v>17</v>
      </c>
      <c r="N511" t="s">
        <v>26</v>
      </c>
      <c r="O511" t="s">
        <v>40</v>
      </c>
      <c r="P511">
        <v>0.9529578871805956</v>
      </c>
      <c r="Q511">
        <f t="shared" si="41"/>
        <v>7</v>
      </c>
      <c r="R511">
        <f ca="1">IF(ISNA(MATCH(P511,OFFSET('age-length key'!O$8,Data!Q511,17,1,5),1)),1,MATCH(P511,OFFSET('age-length key'!O$8,Data!Q511,17,1,5),1)+1)</f>
        <v>1</v>
      </c>
      <c r="S511">
        <f ca="1">IF(D511="Recapture",IF(OFFSET(B$1,MATCH(K511,K$2:K510,0),0)=B511,0,1),1)</f>
        <v>1</v>
      </c>
    </row>
    <row r="512" spans="1:19" x14ac:dyDescent="0.2">
      <c r="A512" s="1">
        <v>44435</v>
      </c>
      <c r="B512" s="28">
        <f t="shared" si="42"/>
        <v>20218</v>
      </c>
      <c r="C512">
        <f>A512-A$2</f>
        <v>459</v>
      </c>
      <c r="D512" s="5" t="s">
        <v>25</v>
      </c>
      <c r="E512" s="25" t="s">
        <v>49</v>
      </c>
      <c r="F512" s="4">
        <v>0.49444444444444446</v>
      </c>
      <c r="G512" s="4">
        <v>0.49513888888888885</v>
      </c>
      <c r="H512" s="3">
        <f t="shared" si="46"/>
        <v>6.9444444444438647E-4</v>
      </c>
      <c r="I512" s="5" t="s">
        <v>25</v>
      </c>
      <c r="L512" s="5">
        <v>200</v>
      </c>
      <c r="M512" t="s">
        <v>17</v>
      </c>
      <c r="N512" t="s">
        <v>26</v>
      </c>
      <c r="O512" t="s">
        <v>38</v>
      </c>
      <c r="P512">
        <v>0.36320984427035313</v>
      </c>
      <c r="Q512">
        <f t="shared" si="41"/>
        <v>11</v>
      </c>
      <c r="R512">
        <f ca="1">IF(ISNA(MATCH(P512,OFFSET('age-length key'!O$8,Data!Q512,17,1,5),1)),1,MATCH(P512,OFFSET('age-length key'!O$8,Data!Q512,17,1,5),1)+1)</f>
        <v>2</v>
      </c>
      <c r="S512">
        <f ca="1">IF(D512="Recapture",IF(OFFSET(B$1,MATCH(K512,K$2:K511,0),0)=B512,0,1),1)</f>
        <v>1</v>
      </c>
    </row>
    <row r="513" spans="1:19" x14ac:dyDescent="0.2">
      <c r="A513" s="1">
        <v>44435</v>
      </c>
      <c r="B513" s="28">
        <f t="shared" si="42"/>
        <v>20218</v>
      </c>
      <c r="C513">
        <f>A513-A$2</f>
        <v>459</v>
      </c>
      <c r="D513" s="5" t="s">
        <v>25</v>
      </c>
      <c r="E513" s="25" t="s">
        <v>49</v>
      </c>
      <c r="F513" s="4">
        <v>0.52847222222222223</v>
      </c>
      <c r="G513" s="4">
        <v>0.52916666666666667</v>
      </c>
      <c r="H513" s="3">
        <f t="shared" si="46"/>
        <v>6.9444444444444198E-4</v>
      </c>
      <c r="I513" s="5" t="s">
        <v>25</v>
      </c>
      <c r="L513" s="5">
        <v>190</v>
      </c>
      <c r="M513" t="s">
        <v>30</v>
      </c>
      <c r="N513" t="s">
        <v>26</v>
      </c>
      <c r="O513" t="s">
        <v>43</v>
      </c>
      <c r="P513">
        <v>0.46785265182510605</v>
      </c>
      <c r="Q513">
        <f t="shared" si="41"/>
        <v>10</v>
      </c>
      <c r="R513">
        <f ca="1">IF(ISNA(MATCH(P513,OFFSET('age-length key'!O$8,Data!Q513,17,1,5),1)),1,MATCH(P513,OFFSET('age-length key'!O$8,Data!Q513,17,1,5),1)+1)</f>
        <v>2</v>
      </c>
      <c r="S513">
        <f ca="1">IF(D513="Recapture",IF(OFFSET(B$1,MATCH(K513,K$2:K512,0),0)=B513,0,1),1)</f>
        <v>1</v>
      </c>
    </row>
    <row r="514" spans="1:19" x14ac:dyDescent="0.2">
      <c r="A514" s="1">
        <v>44435</v>
      </c>
      <c r="B514" s="28">
        <f t="shared" si="42"/>
        <v>20218</v>
      </c>
      <c r="C514">
        <f>A514-A$2</f>
        <v>459</v>
      </c>
      <c r="D514" s="5" t="s">
        <v>25</v>
      </c>
      <c r="E514" s="25" t="s">
        <v>49</v>
      </c>
      <c r="F514" s="4">
        <v>0.52986111111111112</v>
      </c>
      <c r="G514" s="4">
        <v>0.53055555555555556</v>
      </c>
      <c r="H514" s="3">
        <f t="shared" si="46"/>
        <v>6.9444444444444198E-4</v>
      </c>
      <c r="I514" s="5" t="s">
        <v>25</v>
      </c>
      <c r="L514" s="5">
        <v>270</v>
      </c>
      <c r="M514" t="s">
        <v>30</v>
      </c>
      <c r="N514" t="s">
        <v>26</v>
      </c>
      <c r="O514" t="s">
        <v>43</v>
      </c>
      <c r="P514">
        <v>0.19951922455780172</v>
      </c>
      <c r="Q514">
        <f t="shared" ref="Q514:Q549" si="47">INT((L514-95)/10)+1</f>
        <v>18</v>
      </c>
      <c r="R514">
        <f ca="1">IF(ISNA(MATCH(P514,OFFSET('age-length key'!O$8,Data!Q514,17,1,5),1)),1,MATCH(P514,OFFSET('age-length key'!O$8,Data!Q514,17,1,5),1)+1)</f>
        <v>3</v>
      </c>
      <c r="S514">
        <f ca="1">IF(D514="Recapture",IF(OFFSET(B$1,MATCH(K514,K$2:K513,0),0)=B514,0,1),1)</f>
        <v>1</v>
      </c>
    </row>
    <row r="515" spans="1:19" x14ac:dyDescent="0.2">
      <c r="A515" s="1">
        <v>44435</v>
      </c>
      <c r="B515" s="28">
        <f t="shared" si="42"/>
        <v>20218</v>
      </c>
      <c r="C515">
        <f>A515-A$2</f>
        <v>459</v>
      </c>
      <c r="D515" s="5" t="s">
        <v>25</v>
      </c>
      <c r="E515" s="25" t="s">
        <v>49</v>
      </c>
      <c r="F515" s="4">
        <v>0.53055555555555556</v>
      </c>
      <c r="G515" s="4">
        <v>0.53125</v>
      </c>
      <c r="H515" s="3">
        <f t="shared" si="46"/>
        <v>6.9444444444444198E-4</v>
      </c>
      <c r="I515" s="5" t="s">
        <v>25</v>
      </c>
      <c r="L515" s="5">
        <v>280</v>
      </c>
      <c r="M515" t="s">
        <v>30</v>
      </c>
      <c r="N515" t="s">
        <v>26</v>
      </c>
      <c r="O515" t="s">
        <v>44</v>
      </c>
      <c r="P515">
        <v>0.31960714297350828</v>
      </c>
      <c r="Q515">
        <f t="shared" si="47"/>
        <v>19</v>
      </c>
      <c r="R515">
        <f ca="1">IF(ISNA(MATCH(P515,OFFSET('age-length key'!O$8,Data!Q515,17,1,5),1)),1,MATCH(P515,OFFSET('age-length key'!O$8,Data!Q515,17,1,5),1)+1)</f>
        <v>3</v>
      </c>
      <c r="S515">
        <f ca="1">IF(D515="Recapture",IF(OFFSET(B$1,MATCH(K515,K$2:K514,0),0)=B515,0,1),1)</f>
        <v>1</v>
      </c>
    </row>
    <row r="516" spans="1:19" x14ac:dyDescent="0.2">
      <c r="A516" s="1">
        <v>44435</v>
      </c>
      <c r="B516" s="28">
        <f t="shared" si="42"/>
        <v>20218</v>
      </c>
      <c r="C516">
        <f>A516-A$2</f>
        <v>459</v>
      </c>
      <c r="D516" s="5" t="s">
        <v>25</v>
      </c>
      <c r="E516" s="25" t="s">
        <v>49</v>
      </c>
      <c r="F516" s="4">
        <v>0.3659722222222222</v>
      </c>
      <c r="G516" s="4">
        <v>0.3666666666666667</v>
      </c>
      <c r="H516" s="3">
        <f t="shared" si="46"/>
        <v>6.9444444444449749E-4</v>
      </c>
      <c r="I516" s="5" t="s">
        <v>25</v>
      </c>
      <c r="L516" s="5">
        <v>180</v>
      </c>
      <c r="M516" t="s">
        <v>18</v>
      </c>
      <c r="N516" t="s">
        <v>26</v>
      </c>
      <c r="O516" t="s">
        <v>36</v>
      </c>
      <c r="P516">
        <v>0.63725195575377525</v>
      </c>
      <c r="Q516">
        <f t="shared" si="47"/>
        <v>9</v>
      </c>
      <c r="R516">
        <f ca="1">IF(ISNA(MATCH(P516,OFFSET('age-length key'!O$8,Data!Q516,17,1,5),1)),1,MATCH(P516,OFFSET('age-length key'!O$8,Data!Q516,17,1,5),1)+1)</f>
        <v>2</v>
      </c>
      <c r="S516">
        <f ca="1">IF(D516="Recapture",IF(OFFSET(B$1,MATCH(K516,K$2:K515,0),0)=B516,0,1),1)</f>
        <v>1</v>
      </c>
    </row>
    <row r="517" spans="1:19" x14ac:dyDescent="0.2">
      <c r="A517" s="1">
        <v>44435</v>
      </c>
      <c r="B517" s="28">
        <f t="shared" si="42"/>
        <v>20218</v>
      </c>
      <c r="C517">
        <f>A517-A$2</f>
        <v>459</v>
      </c>
      <c r="D517" s="5" t="s">
        <v>25</v>
      </c>
      <c r="E517" s="25" t="s">
        <v>49</v>
      </c>
      <c r="F517" s="4">
        <v>0.4694444444444445</v>
      </c>
      <c r="G517" s="4">
        <v>0.47083333333333338</v>
      </c>
      <c r="H517" s="3">
        <f t="shared" si="46"/>
        <v>1.388888888888884E-3</v>
      </c>
      <c r="I517" s="5" t="s">
        <v>25</v>
      </c>
      <c r="L517" s="5">
        <v>190</v>
      </c>
      <c r="M517" t="s">
        <v>17</v>
      </c>
      <c r="N517" t="s">
        <v>26</v>
      </c>
      <c r="O517" t="s">
        <v>40</v>
      </c>
      <c r="P517">
        <v>0.29362035370134765</v>
      </c>
      <c r="Q517">
        <f t="shared" si="47"/>
        <v>10</v>
      </c>
      <c r="R517">
        <f ca="1">IF(ISNA(MATCH(P517,OFFSET('age-length key'!O$8,Data!Q517,17,1,5),1)),1,MATCH(P517,OFFSET('age-length key'!O$8,Data!Q517,17,1,5),1)+1)</f>
        <v>2</v>
      </c>
      <c r="S517">
        <f ca="1">IF(D517="Recapture",IF(OFFSET(B$1,MATCH(K517,K$2:K516,0),0)=B517,0,1),1)</f>
        <v>1</v>
      </c>
    </row>
    <row r="518" spans="1:19" x14ac:dyDescent="0.2">
      <c r="A518" s="1">
        <v>44435</v>
      </c>
      <c r="B518" s="28">
        <f t="shared" si="42"/>
        <v>20218</v>
      </c>
      <c r="C518">
        <f>A518-A$2</f>
        <v>459</v>
      </c>
      <c r="D518" s="5" t="s">
        <v>25</v>
      </c>
      <c r="E518" s="25" t="s">
        <v>49</v>
      </c>
      <c r="F518" s="4">
        <v>0.41875000000000001</v>
      </c>
      <c r="G518" s="4">
        <v>0.4201388888888889</v>
      </c>
      <c r="H518" s="3">
        <f t="shared" si="46"/>
        <v>1.388888888888884E-3</v>
      </c>
      <c r="I518" s="5" t="s">
        <v>25</v>
      </c>
      <c r="L518" s="5">
        <v>250</v>
      </c>
      <c r="M518" t="s">
        <v>16</v>
      </c>
      <c r="N518" t="s">
        <v>26</v>
      </c>
      <c r="O518" t="s">
        <v>38</v>
      </c>
      <c r="P518">
        <v>0.87728465854995175</v>
      </c>
      <c r="Q518">
        <f t="shared" si="47"/>
        <v>16</v>
      </c>
      <c r="R518">
        <f ca="1">IF(ISNA(MATCH(P518,OFFSET('age-length key'!O$8,Data!Q518,17,1,5),1)),1,MATCH(P518,OFFSET('age-length key'!O$8,Data!Q518,17,1,5),1)+1)</f>
        <v>3</v>
      </c>
      <c r="S518">
        <f ca="1">IF(D518="Recapture",IF(OFFSET(B$1,MATCH(K518,K$2:K517,0),0)=B518,0,1),1)</f>
        <v>1</v>
      </c>
    </row>
    <row r="519" spans="1:19" x14ac:dyDescent="0.2">
      <c r="A519" s="1">
        <v>44435</v>
      </c>
      <c r="B519" s="28">
        <f t="shared" si="42"/>
        <v>20218</v>
      </c>
      <c r="C519">
        <f>A519-A$2</f>
        <v>459</v>
      </c>
      <c r="D519" s="5" t="s">
        <v>25</v>
      </c>
      <c r="E519" s="25" t="s">
        <v>49</v>
      </c>
      <c r="F519" s="4">
        <v>0.4381944444444445</v>
      </c>
      <c r="G519" s="4">
        <v>0.44027777777777777</v>
      </c>
      <c r="H519" s="3">
        <f t="shared" si="46"/>
        <v>2.0833333333332704E-3</v>
      </c>
      <c r="I519" s="5" t="s">
        <v>25</v>
      </c>
      <c r="L519" s="5">
        <v>190</v>
      </c>
      <c r="M519" t="s">
        <v>16</v>
      </c>
      <c r="N519" t="s">
        <v>26</v>
      </c>
      <c r="O519" t="s">
        <v>38</v>
      </c>
      <c r="P519">
        <v>0.52325624903815626</v>
      </c>
      <c r="Q519">
        <f t="shared" si="47"/>
        <v>10</v>
      </c>
      <c r="R519">
        <f ca="1">IF(ISNA(MATCH(P519,OFFSET('age-length key'!O$8,Data!Q519,17,1,5),1)),1,MATCH(P519,OFFSET('age-length key'!O$8,Data!Q519,17,1,5),1)+1)</f>
        <v>2</v>
      </c>
      <c r="S519">
        <f ca="1">IF(D519="Recapture",IF(OFFSET(B$1,MATCH(K519,K$2:K518,0),0)=B519,0,1),1)</f>
        <v>1</v>
      </c>
    </row>
    <row r="520" spans="1:19" x14ac:dyDescent="0.2">
      <c r="A520" s="1">
        <v>44435</v>
      </c>
      <c r="B520" s="28">
        <f t="shared" si="42"/>
        <v>20218</v>
      </c>
      <c r="C520">
        <f>A520-A$2</f>
        <v>459</v>
      </c>
      <c r="D520" s="5" t="s">
        <v>25</v>
      </c>
      <c r="E520" s="25" t="s">
        <v>49</v>
      </c>
      <c r="F520" s="4">
        <v>0.45069444444444445</v>
      </c>
      <c r="G520" s="4">
        <v>0.45277777777777778</v>
      </c>
      <c r="H520" s="3">
        <f t="shared" si="46"/>
        <v>2.0833333333333259E-3</v>
      </c>
      <c r="I520" s="5" t="s">
        <v>25</v>
      </c>
      <c r="L520" s="5">
        <v>250</v>
      </c>
      <c r="M520" t="s">
        <v>16</v>
      </c>
      <c r="N520" t="s">
        <v>26</v>
      </c>
      <c r="O520" t="s">
        <v>39</v>
      </c>
      <c r="P520">
        <v>0.367777584291891</v>
      </c>
      <c r="Q520">
        <f t="shared" si="47"/>
        <v>16</v>
      </c>
      <c r="R520">
        <f ca="1">IF(ISNA(MATCH(P520,OFFSET('age-length key'!O$8,Data!Q520,17,1,5),1)),1,MATCH(P520,OFFSET('age-length key'!O$8,Data!Q520,17,1,5),1)+1)</f>
        <v>2</v>
      </c>
      <c r="S520">
        <f ca="1">IF(D520="Recapture",IF(OFFSET(B$1,MATCH(K520,K$2:K519,0),0)=B520,0,1),1)</f>
        <v>1</v>
      </c>
    </row>
    <row r="521" spans="1:19" x14ac:dyDescent="0.2">
      <c r="A521" s="1">
        <v>44435</v>
      </c>
      <c r="B521" s="28">
        <f t="shared" si="42"/>
        <v>20218</v>
      </c>
      <c r="C521">
        <f>A521-A$2</f>
        <v>459</v>
      </c>
      <c r="D521" s="5" t="s">
        <v>25</v>
      </c>
      <c r="E521" s="25" t="s">
        <v>49</v>
      </c>
      <c r="F521" s="4">
        <v>0.36319444444444443</v>
      </c>
      <c r="G521" s="4">
        <v>0.3659722222222222</v>
      </c>
      <c r="H521" s="3">
        <f t="shared" si="46"/>
        <v>2.7777777777777679E-3</v>
      </c>
      <c r="I521" s="5" t="s">
        <v>25</v>
      </c>
      <c r="L521" s="5">
        <v>200</v>
      </c>
      <c r="M521" t="s">
        <v>18</v>
      </c>
      <c r="N521" t="s">
        <v>26</v>
      </c>
      <c r="O521" t="s">
        <v>36</v>
      </c>
      <c r="P521">
        <v>0.23785919381205886</v>
      </c>
      <c r="Q521">
        <f t="shared" si="47"/>
        <v>11</v>
      </c>
      <c r="R521">
        <f ca="1">IF(ISNA(MATCH(P521,OFFSET('age-length key'!O$8,Data!Q521,17,1,5),1)),1,MATCH(P521,OFFSET('age-length key'!O$8,Data!Q521,17,1,5),1)+1)</f>
        <v>2</v>
      </c>
      <c r="S521">
        <f ca="1">IF(D521="Recapture",IF(OFFSET(B$1,MATCH(K521,K$2:K520,0),0)=B521,0,1),1)</f>
        <v>1</v>
      </c>
    </row>
    <row r="522" spans="1:19" x14ac:dyDescent="0.2">
      <c r="A522" s="1">
        <v>44435</v>
      </c>
      <c r="B522" s="28">
        <f t="shared" si="42"/>
        <v>20218</v>
      </c>
      <c r="C522">
        <f>A522-A$2</f>
        <v>459</v>
      </c>
      <c r="D522" s="5" t="s">
        <v>25</v>
      </c>
      <c r="E522" s="25" t="s">
        <v>49</v>
      </c>
      <c r="F522" s="4">
        <v>0.47222222222222227</v>
      </c>
      <c r="G522" s="4">
        <v>0.47569444444444442</v>
      </c>
      <c r="H522" s="3">
        <f t="shared" si="46"/>
        <v>3.4722222222221544E-3</v>
      </c>
      <c r="I522" s="5" t="s">
        <v>25</v>
      </c>
      <c r="L522" s="5">
        <v>230</v>
      </c>
      <c r="M522" t="s">
        <v>17</v>
      </c>
      <c r="N522" t="s">
        <v>26</v>
      </c>
      <c r="O522" t="s">
        <v>40</v>
      </c>
      <c r="P522">
        <v>0.69947039927331278</v>
      </c>
      <c r="Q522">
        <f t="shared" si="47"/>
        <v>14</v>
      </c>
      <c r="R522">
        <f ca="1">IF(ISNA(MATCH(P522,OFFSET('age-length key'!O$8,Data!Q522,17,1,5),1)),1,MATCH(P522,OFFSET('age-length key'!O$8,Data!Q522,17,1,5),1)+1)</f>
        <v>2</v>
      </c>
      <c r="S522">
        <f ca="1">IF(D522="Recapture",IF(OFFSET(B$1,MATCH(K522,K$2:K521,0),0)=B522,0,1),1)</f>
        <v>1</v>
      </c>
    </row>
    <row r="523" spans="1:19" x14ac:dyDescent="0.2">
      <c r="A523" s="1">
        <v>44435</v>
      </c>
      <c r="B523" s="28">
        <f t="shared" ref="B523:B549" si="48">YEAR(A523)*10+MONTH(A523)</f>
        <v>20218</v>
      </c>
      <c r="C523">
        <f>A523-A$2</f>
        <v>459</v>
      </c>
      <c r="D523" s="5" t="s">
        <v>25</v>
      </c>
      <c r="E523" s="25" t="s">
        <v>49</v>
      </c>
      <c r="F523" s="4">
        <v>0.35833333333333334</v>
      </c>
      <c r="G523" s="4">
        <v>0.36249999999999999</v>
      </c>
      <c r="H523" s="3">
        <f t="shared" si="46"/>
        <v>4.1666666666666519E-3</v>
      </c>
      <c r="I523" s="5" t="s">
        <v>25</v>
      </c>
      <c r="L523" s="5">
        <v>140</v>
      </c>
      <c r="M523" t="s">
        <v>18</v>
      </c>
      <c r="N523" t="s">
        <v>26</v>
      </c>
      <c r="O523" t="s">
        <v>36</v>
      </c>
      <c r="P523">
        <v>0.99900058656884383</v>
      </c>
      <c r="Q523">
        <f t="shared" si="47"/>
        <v>5</v>
      </c>
      <c r="R523">
        <f ca="1">IF(ISNA(MATCH(P523,OFFSET('age-length key'!O$8,Data!Q523,17,1,5),1)),1,MATCH(P523,OFFSET('age-length key'!O$8,Data!Q523,17,1,5),1)+1)</f>
        <v>2</v>
      </c>
      <c r="S523">
        <f ca="1">IF(D523="Recapture",IF(OFFSET(B$1,MATCH(K523,K$2:K522,0),0)=B523,0,1),1)</f>
        <v>1</v>
      </c>
    </row>
    <row r="524" spans="1:19" x14ac:dyDescent="0.2">
      <c r="A524" s="1">
        <v>44435</v>
      </c>
      <c r="B524" s="28">
        <f t="shared" si="48"/>
        <v>20218</v>
      </c>
      <c r="C524">
        <f>A524-A$2</f>
        <v>459</v>
      </c>
      <c r="D524" s="5" t="s">
        <v>25</v>
      </c>
      <c r="E524" s="25" t="s">
        <v>49</v>
      </c>
      <c r="F524" s="4">
        <v>0.35347222222222219</v>
      </c>
      <c r="G524" s="4">
        <v>0.3576388888888889</v>
      </c>
      <c r="H524" s="3">
        <f t="shared" si="46"/>
        <v>4.1666666666667074E-3</v>
      </c>
      <c r="I524" s="5" t="s">
        <v>25</v>
      </c>
      <c r="L524" s="5">
        <v>180</v>
      </c>
      <c r="M524" t="s">
        <v>18</v>
      </c>
      <c r="N524" t="s">
        <v>26</v>
      </c>
      <c r="O524" t="s">
        <v>36</v>
      </c>
      <c r="P524">
        <v>0.20285846255852769</v>
      </c>
      <c r="Q524">
        <f t="shared" si="47"/>
        <v>9</v>
      </c>
      <c r="R524">
        <f ca="1">IF(ISNA(MATCH(P524,OFFSET('age-length key'!O$8,Data!Q524,17,1,5),1)),1,MATCH(P524,OFFSET('age-length key'!O$8,Data!Q524,17,1,5),1)+1)</f>
        <v>1</v>
      </c>
      <c r="S524">
        <f ca="1">IF(D524="Recapture",IF(OFFSET(B$1,MATCH(K524,K$2:K523,0),0)=B524,0,1),1)</f>
        <v>1</v>
      </c>
    </row>
    <row r="525" spans="1:19" x14ac:dyDescent="0.2">
      <c r="A525" s="1">
        <v>44435</v>
      </c>
      <c r="B525" s="28">
        <f t="shared" si="48"/>
        <v>20218</v>
      </c>
      <c r="C525">
        <f>A525-A$2</f>
        <v>459</v>
      </c>
      <c r="D525" s="5" t="s">
        <v>25</v>
      </c>
      <c r="E525" s="25" t="s">
        <v>49</v>
      </c>
      <c r="F525" s="4">
        <v>0.36736111111111108</v>
      </c>
      <c r="G525" s="4">
        <v>0.37222222222222223</v>
      </c>
      <c r="H525" s="3">
        <f t="shared" si="46"/>
        <v>4.8611111111111494E-3</v>
      </c>
      <c r="I525" s="5" t="s">
        <v>25</v>
      </c>
      <c r="L525" s="5">
        <v>160</v>
      </c>
      <c r="M525" t="s">
        <v>18</v>
      </c>
      <c r="N525" t="s">
        <v>26</v>
      </c>
      <c r="O525" t="s">
        <v>34</v>
      </c>
      <c r="P525">
        <v>0.44218022117492756</v>
      </c>
      <c r="Q525">
        <f t="shared" si="47"/>
        <v>7</v>
      </c>
      <c r="R525">
        <f ca="1">IF(ISNA(MATCH(P525,OFFSET('age-length key'!O$8,Data!Q525,17,1,5),1)),1,MATCH(P525,OFFSET('age-length key'!O$8,Data!Q525,17,1,5),1)+1)</f>
        <v>1</v>
      </c>
      <c r="S525">
        <f ca="1">IF(D525="Recapture",IF(OFFSET(B$1,MATCH(K525,K$2:K524,0),0)=B525,0,1),1)</f>
        <v>1</v>
      </c>
    </row>
    <row r="526" spans="1:19" x14ac:dyDescent="0.2">
      <c r="A526" s="1">
        <v>44435</v>
      </c>
      <c r="B526" s="28">
        <f t="shared" si="48"/>
        <v>20218</v>
      </c>
      <c r="C526">
        <f>A526-A$2</f>
        <v>459</v>
      </c>
      <c r="D526" s="5" t="s">
        <v>25</v>
      </c>
      <c r="E526" s="25" t="s">
        <v>49</v>
      </c>
      <c r="F526" s="4">
        <v>0.50555555555555554</v>
      </c>
      <c r="G526" s="4">
        <v>0.51111111111111118</v>
      </c>
      <c r="H526" s="3">
        <f t="shared" si="46"/>
        <v>5.5555555555556468E-3</v>
      </c>
      <c r="I526" s="5" t="s">
        <v>25</v>
      </c>
      <c r="L526" s="5">
        <v>290</v>
      </c>
      <c r="M526" t="s">
        <v>30</v>
      </c>
      <c r="N526" t="s">
        <v>26</v>
      </c>
      <c r="O526" t="s">
        <v>42</v>
      </c>
      <c r="P526">
        <v>0.72297728700701958</v>
      </c>
      <c r="Q526">
        <f t="shared" si="47"/>
        <v>20</v>
      </c>
      <c r="R526">
        <f ca="1">IF(ISNA(MATCH(P526,OFFSET('age-length key'!O$8,Data!Q526,17,1,5),1)),1,MATCH(P526,OFFSET('age-length key'!O$8,Data!Q526,17,1,5),1)+1)</f>
        <v>3</v>
      </c>
      <c r="S526">
        <f ca="1">IF(D526="Recapture",IF(OFFSET(B$1,MATCH(K526,K$2:K525,0),0)=B526,0,1),1)</f>
        <v>1</v>
      </c>
    </row>
    <row r="527" spans="1:19" x14ac:dyDescent="0.2">
      <c r="A527" s="1">
        <v>44435</v>
      </c>
      <c r="B527" s="28">
        <f t="shared" si="48"/>
        <v>20218</v>
      </c>
      <c r="C527">
        <f>A527-A$2</f>
        <v>459</v>
      </c>
      <c r="D527" s="5" t="s">
        <v>25</v>
      </c>
      <c r="E527" s="25" t="s">
        <v>49</v>
      </c>
      <c r="F527" s="4">
        <v>0.50486111111111109</v>
      </c>
      <c r="G527" s="4">
        <v>0.51111111111111118</v>
      </c>
      <c r="H527" s="3">
        <f t="shared" si="46"/>
        <v>6.2500000000000888E-3</v>
      </c>
      <c r="I527" s="5" t="s">
        <v>25</v>
      </c>
      <c r="L527" s="5">
        <v>280</v>
      </c>
      <c r="M527" t="s">
        <v>30</v>
      </c>
      <c r="N527" t="s">
        <v>26</v>
      </c>
      <c r="O527" t="s">
        <v>42</v>
      </c>
      <c r="P527">
        <v>7.926272697712422E-2</v>
      </c>
      <c r="Q527">
        <f t="shared" si="47"/>
        <v>19</v>
      </c>
      <c r="R527">
        <f ca="1">IF(ISNA(MATCH(P527,OFFSET('age-length key'!O$8,Data!Q527,17,1,5),1)),1,MATCH(P527,OFFSET('age-length key'!O$8,Data!Q527,17,1,5),1)+1)</f>
        <v>3</v>
      </c>
      <c r="S527">
        <f ca="1">IF(D527="Recapture",IF(OFFSET(B$1,MATCH(K527,K$2:K526,0),0)=B527,0,1),1)</f>
        <v>1</v>
      </c>
    </row>
    <row r="528" spans="1:19" x14ac:dyDescent="0.2">
      <c r="A528" s="1">
        <v>44435</v>
      </c>
      <c r="B528" s="28">
        <f t="shared" si="48"/>
        <v>20218</v>
      </c>
      <c r="C528">
        <f>A528-A$2</f>
        <v>459</v>
      </c>
      <c r="D528" s="5" t="s">
        <v>25</v>
      </c>
      <c r="E528" s="25" t="s">
        <v>49</v>
      </c>
      <c r="F528" s="4">
        <v>0.47638888888888892</v>
      </c>
      <c r="G528" s="4">
        <v>0.48333333333333334</v>
      </c>
      <c r="H528" s="3">
        <f t="shared" si="46"/>
        <v>6.9444444444444198E-3</v>
      </c>
      <c r="I528" s="5" t="s">
        <v>25</v>
      </c>
      <c r="L528" s="5">
        <v>190</v>
      </c>
      <c r="M528" t="s">
        <v>17</v>
      </c>
      <c r="N528" t="s">
        <v>26</v>
      </c>
      <c r="O528" t="s">
        <v>40</v>
      </c>
      <c r="P528">
        <v>0.1686523045267222</v>
      </c>
      <c r="Q528">
        <f t="shared" si="47"/>
        <v>10</v>
      </c>
      <c r="R528">
        <f ca="1">IF(ISNA(MATCH(P528,OFFSET('age-length key'!O$8,Data!Q528,17,1,5),1)),1,MATCH(P528,OFFSET('age-length key'!O$8,Data!Q528,17,1,5),1)+1)</f>
        <v>2</v>
      </c>
      <c r="S528">
        <f ca="1">IF(D528="Recapture",IF(OFFSET(B$1,MATCH(K528,K$2:K527,0),0)=B528,0,1),1)</f>
        <v>1</v>
      </c>
    </row>
    <row r="529" spans="1:19" x14ac:dyDescent="0.2">
      <c r="A529" s="1">
        <v>44435</v>
      </c>
      <c r="B529" s="28">
        <f t="shared" si="48"/>
        <v>20218</v>
      </c>
      <c r="C529">
        <f>A529-A$2</f>
        <v>459</v>
      </c>
      <c r="D529" s="5" t="s">
        <v>25</v>
      </c>
      <c r="E529" s="25" t="s">
        <v>49</v>
      </c>
      <c r="F529" s="4">
        <v>0.3833333333333333</v>
      </c>
      <c r="G529" s="4">
        <v>0.39027777777777778</v>
      </c>
      <c r="H529" s="3">
        <f t="shared" si="46"/>
        <v>6.9444444444444753E-3</v>
      </c>
      <c r="I529" s="5" t="s">
        <v>25</v>
      </c>
      <c r="L529" s="5">
        <v>240</v>
      </c>
      <c r="M529" t="s">
        <v>8</v>
      </c>
      <c r="N529" t="s">
        <v>26</v>
      </c>
      <c r="O529" t="s">
        <v>37</v>
      </c>
      <c r="P529">
        <v>0.53928218062002309</v>
      </c>
      <c r="Q529">
        <f t="shared" si="47"/>
        <v>15</v>
      </c>
      <c r="R529">
        <f ca="1">IF(ISNA(MATCH(P529,OFFSET('age-length key'!O$8,Data!Q529,17,1,5),1)),1,MATCH(P529,OFFSET('age-length key'!O$8,Data!Q529,17,1,5),1)+1)</f>
        <v>2</v>
      </c>
      <c r="S529">
        <f ca="1">IF(D529="Recapture",IF(OFFSET(B$1,MATCH(K529,K$2:K528,0),0)=B529,0,1),1)</f>
        <v>1</v>
      </c>
    </row>
    <row r="530" spans="1:19" x14ac:dyDescent="0.2">
      <c r="A530" s="1">
        <v>44435</v>
      </c>
      <c r="B530" s="28">
        <f t="shared" si="48"/>
        <v>20218</v>
      </c>
      <c r="C530">
        <f>A530-A$2</f>
        <v>459</v>
      </c>
      <c r="D530" s="5" t="s">
        <v>25</v>
      </c>
      <c r="E530" s="25" t="s">
        <v>49</v>
      </c>
      <c r="F530" s="4">
        <v>0.3125</v>
      </c>
      <c r="G530" s="4">
        <v>0.31944444444444448</v>
      </c>
      <c r="H530" s="3">
        <f t="shared" si="46"/>
        <v>6.9444444444444753E-3</v>
      </c>
      <c r="I530" s="5" t="s">
        <v>25</v>
      </c>
      <c r="L530" s="5">
        <v>270</v>
      </c>
      <c r="M530" t="s">
        <v>19</v>
      </c>
      <c r="N530" t="s">
        <v>26</v>
      </c>
      <c r="O530" t="s">
        <v>34</v>
      </c>
      <c r="P530">
        <v>0.71560968072880515</v>
      </c>
      <c r="Q530">
        <f t="shared" si="47"/>
        <v>18</v>
      </c>
      <c r="R530">
        <f ca="1">IF(ISNA(MATCH(P530,OFFSET('age-length key'!O$8,Data!Q530,17,1,5),1)),1,MATCH(P530,OFFSET('age-length key'!O$8,Data!Q530,17,1,5),1)+1)</f>
        <v>3</v>
      </c>
      <c r="S530">
        <f ca="1">IF(D530="Recapture",IF(OFFSET(B$1,MATCH(K530,K$2:K529,0),0)=B530,0,1),1)</f>
        <v>1</v>
      </c>
    </row>
    <row r="531" spans="1:19" x14ac:dyDescent="0.2">
      <c r="A531" s="1">
        <v>44435</v>
      </c>
      <c r="B531" s="28">
        <f t="shared" si="48"/>
        <v>20218</v>
      </c>
      <c r="C531">
        <f>A531-A$2</f>
        <v>459</v>
      </c>
      <c r="D531" s="5" t="s">
        <v>25</v>
      </c>
      <c r="E531" s="25" t="s">
        <v>49</v>
      </c>
      <c r="F531" s="4">
        <v>0.51944444444444449</v>
      </c>
      <c r="G531" s="4">
        <v>0.52777777777777779</v>
      </c>
      <c r="H531" s="3">
        <f t="shared" si="46"/>
        <v>8.3333333333333037E-3</v>
      </c>
      <c r="I531" s="5" t="s">
        <v>25</v>
      </c>
      <c r="L531" s="5">
        <v>170</v>
      </c>
      <c r="M531" t="s">
        <v>30</v>
      </c>
      <c r="N531" t="s">
        <v>26</v>
      </c>
      <c r="O531" t="s">
        <v>43</v>
      </c>
      <c r="P531">
        <v>0.25190400902736187</v>
      </c>
      <c r="Q531">
        <f t="shared" si="47"/>
        <v>8</v>
      </c>
      <c r="R531">
        <f ca="1">IF(ISNA(MATCH(P531,OFFSET('age-length key'!O$8,Data!Q531,17,1,5),1)),1,MATCH(P531,OFFSET('age-length key'!O$8,Data!Q531,17,1,5),1)+1)</f>
        <v>1</v>
      </c>
      <c r="S531">
        <f ca="1">IF(D531="Recapture",IF(OFFSET(B$1,MATCH(K531,K$2:K530,0),0)=B531,0,1),1)</f>
        <v>1</v>
      </c>
    </row>
    <row r="532" spans="1:19" x14ac:dyDescent="0.2">
      <c r="A532" s="1">
        <v>44435</v>
      </c>
      <c r="B532" s="28">
        <f t="shared" si="48"/>
        <v>20218</v>
      </c>
      <c r="C532">
        <f>A532-A$2</f>
        <v>459</v>
      </c>
      <c r="D532" s="5" t="s">
        <v>25</v>
      </c>
      <c r="E532" s="25" t="s">
        <v>49</v>
      </c>
      <c r="F532" s="4">
        <v>0.49583333333333335</v>
      </c>
      <c r="G532" s="4">
        <v>0.50416666666666665</v>
      </c>
      <c r="H532" s="3">
        <f t="shared" si="46"/>
        <v>8.3333333333333037E-3</v>
      </c>
      <c r="I532" s="5" t="s">
        <v>25</v>
      </c>
      <c r="L532" s="5">
        <v>330</v>
      </c>
      <c r="M532" t="s">
        <v>30</v>
      </c>
      <c r="N532" t="s">
        <v>26</v>
      </c>
      <c r="O532" t="s">
        <v>41</v>
      </c>
      <c r="P532">
        <v>0.75067972287101659</v>
      </c>
      <c r="Q532">
        <f t="shared" si="47"/>
        <v>24</v>
      </c>
      <c r="R532">
        <f ca="1">IF(ISNA(MATCH(P532,OFFSET('age-length key'!O$8,Data!Q532,17,1,5),1)),1,MATCH(P532,OFFSET('age-length key'!O$8,Data!Q532,17,1,5),1)+1)</f>
        <v>3</v>
      </c>
      <c r="S532">
        <f ca="1">IF(D532="Recapture",IF(OFFSET(B$1,MATCH(K532,K$2:K531,0),0)=B532,0,1),1)</f>
        <v>1</v>
      </c>
    </row>
    <row r="533" spans="1:19" x14ac:dyDescent="0.2">
      <c r="A533" s="1">
        <v>44435</v>
      </c>
      <c r="B533" s="28">
        <f t="shared" si="48"/>
        <v>20218</v>
      </c>
      <c r="C533">
        <f>A533-A$2</f>
        <v>459</v>
      </c>
      <c r="D533" s="5" t="s">
        <v>25</v>
      </c>
      <c r="E533" s="25" t="s">
        <v>49</v>
      </c>
      <c r="F533" s="4">
        <v>0.48472222222222222</v>
      </c>
      <c r="G533" s="4">
        <v>0.49374999999999997</v>
      </c>
      <c r="H533" s="3">
        <f t="shared" si="46"/>
        <v>9.0277777777777457E-3</v>
      </c>
      <c r="I533" s="5" t="s">
        <v>25</v>
      </c>
      <c r="L533" s="5">
        <v>260</v>
      </c>
      <c r="M533" t="s">
        <v>17</v>
      </c>
      <c r="N533" t="s">
        <v>26</v>
      </c>
      <c r="O533" t="s">
        <v>38</v>
      </c>
      <c r="P533">
        <v>0.67410229317569281</v>
      </c>
      <c r="Q533">
        <f t="shared" si="47"/>
        <v>17</v>
      </c>
      <c r="R533">
        <f ca="1">IF(ISNA(MATCH(P533,OFFSET('age-length key'!O$8,Data!Q533,17,1,5),1)),1,MATCH(P533,OFFSET('age-length key'!O$8,Data!Q533,17,1,5),1)+1)</f>
        <v>3</v>
      </c>
      <c r="S533">
        <f ca="1">IF(D533="Recapture",IF(OFFSET(B$1,MATCH(K533,K$2:K532,0),0)=B533,0,1),1)</f>
        <v>1</v>
      </c>
    </row>
    <row r="534" spans="1:19" x14ac:dyDescent="0.2">
      <c r="A534" s="1">
        <v>44435</v>
      </c>
      <c r="B534" s="28">
        <f t="shared" si="48"/>
        <v>20218</v>
      </c>
      <c r="C534">
        <f>A534-A$2</f>
        <v>459</v>
      </c>
      <c r="D534" s="5" t="s">
        <v>25</v>
      </c>
      <c r="E534" s="25" t="s">
        <v>49</v>
      </c>
      <c r="F534" s="4">
        <v>0.44097222222222227</v>
      </c>
      <c r="G534" s="4">
        <v>0.45</v>
      </c>
      <c r="H534" s="3">
        <f t="shared" si="46"/>
        <v>9.0277777777777457E-3</v>
      </c>
      <c r="I534" s="5" t="s">
        <v>25</v>
      </c>
      <c r="L534" s="5">
        <v>290</v>
      </c>
      <c r="M534" t="s">
        <v>16</v>
      </c>
      <c r="N534" t="s">
        <v>26</v>
      </c>
      <c r="O534" t="s">
        <v>39</v>
      </c>
      <c r="P534">
        <v>0.63724140386899997</v>
      </c>
      <c r="Q534">
        <f t="shared" si="47"/>
        <v>20</v>
      </c>
      <c r="R534">
        <f ca="1">IF(ISNA(MATCH(P534,OFFSET('age-length key'!O$8,Data!Q534,17,1,5),1)),1,MATCH(P534,OFFSET('age-length key'!O$8,Data!Q534,17,1,5),1)+1)</f>
        <v>3</v>
      </c>
      <c r="S534">
        <f ca="1">IF(D534="Recapture",IF(OFFSET(B$1,MATCH(K534,K$2:K533,0),0)=B534,0,1),1)</f>
        <v>1</v>
      </c>
    </row>
    <row r="535" spans="1:19" x14ac:dyDescent="0.2">
      <c r="A535" s="1">
        <v>44435</v>
      </c>
      <c r="B535" s="28">
        <f t="shared" si="48"/>
        <v>20218</v>
      </c>
      <c r="C535">
        <f>A535-A$2</f>
        <v>459</v>
      </c>
      <c r="D535" s="5" t="s">
        <v>25</v>
      </c>
      <c r="E535" s="25" t="s">
        <v>49</v>
      </c>
      <c r="F535" s="4">
        <v>0.4597222222222222</v>
      </c>
      <c r="G535" s="4">
        <v>0.46875</v>
      </c>
      <c r="H535" s="3">
        <f t="shared" si="46"/>
        <v>9.0277777777778012E-3</v>
      </c>
      <c r="I535" s="5" t="s">
        <v>25</v>
      </c>
      <c r="L535" s="5">
        <v>210</v>
      </c>
      <c r="M535" t="s">
        <v>17</v>
      </c>
      <c r="N535" t="s">
        <v>26</v>
      </c>
      <c r="O535" t="s">
        <v>40</v>
      </c>
      <c r="P535">
        <v>0.11627482628276331</v>
      </c>
      <c r="Q535">
        <f t="shared" si="47"/>
        <v>12</v>
      </c>
      <c r="R535">
        <f ca="1">IF(ISNA(MATCH(P535,OFFSET('age-length key'!O$8,Data!Q535,17,1,5),1)),1,MATCH(P535,OFFSET('age-length key'!O$8,Data!Q535,17,1,5),1)+1)</f>
        <v>2</v>
      </c>
      <c r="S535">
        <f ca="1">IF(D535="Recapture",IF(OFFSET(B$1,MATCH(K535,K$2:K534,0),0)=B535,0,1),1)</f>
        <v>1</v>
      </c>
    </row>
    <row r="536" spans="1:19" x14ac:dyDescent="0.2">
      <c r="A536" s="1">
        <v>44435</v>
      </c>
      <c r="B536" s="28">
        <f t="shared" si="48"/>
        <v>20218</v>
      </c>
      <c r="C536">
        <f>A536-A$2</f>
        <v>459</v>
      </c>
      <c r="D536" s="5" t="s">
        <v>25</v>
      </c>
      <c r="E536" s="25" t="s">
        <v>49</v>
      </c>
      <c r="F536" s="4">
        <v>0.40833333333333338</v>
      </c>
      <c r="G536" s="4">
        <v>0.41805555555555557</v>
      </c>
      <c r="H536" s="3">
        <f t="shared" si="46"/>
        <v>9.7222222222221877E-3</v>
      </c>
      <c r="I536" s="5" t="s">
        <v>25</v>
      </c>
      <c r="L536" s="5">
        <v>250</v>
      </c>
      <c r="M536" t="s">
        <v>16</v>
      </c>
      <c r="N536" t="s">
        <v>26</v>
      </c>
      <c r="O536" t="s">
        <v>38</v>
      </c>
      <c r="P536">
        <v>0.23100533440290266</v>
      </c>
      <c r="Q536">
        <f t="shared" si="47"/>
        <v>16</v>
      </c>
      <c r="R536">
        <f ca="1">IF(ISNA(MATCH(P536,OFFSET('age-length key'!O$8,Data!Q536,17,1,5),1)),1,MATCH(P536,OFFSET('age-length key'!O$8,Data!Q536,17,1,5),1)+1)</f>
        <v>2</v>
      </c>
      <c r="S536">
        <f ca="1">IF(D536="Recapture",IF(OFFSET(B$1,MATCH(K536,K$2:K535,0),0)=B536,0,1),1)</f>
        <v>1</v>
      </c>
    </row>
    <row r="537" spans="1:19" x14ac:dyDescent="0.2">
      <c r="A537" s="1">
        <v>44435</v>
      </c>
      <c r="B537" s="28">
        <f t="shared" si="48"/>
        <v>20218</v>
      </c>
      <c r="C537">
        <f>A537-A$2</f>
        <v>459</v>
      </c>
      <c r="D537" s="5" t="s">
        <v>25</v>
      </c>
      <c r="E537" s="25" t="s">
        <v>49</v>
      </c>
      <c r="F537" s="4">
        <v>0.37291666666666662</v>
      </c>
      <c r="G537" s="4">
        <v>0.38263888888888892</v>
      </c>
      <c r="H537" s="3">
        <f t="shared" si="46"/>
        <v>9.7222222222222987E-3</v>
      </c>
      <c r="I537" s="5" t="s">
        <v>25</v>
      </c>
      <c r="L537" s="5">
        <v>170</v>
      </c>
      <c r="M537" t="s">
        <v>8</v>
      </c>
      <c r="N537" t="s">
        <v>26</v>
      </c>
      <c r="O537" t="s">
        <v>34</v>
      </c>
      <c r="P537">
        <v>0.5066553095852282</v>
      </c>
      <c r="Q537">
        <f t="shared" si="47"/>
        <v>8</v>
      </c>
      <c r="R537">
        <f ca="1">IF(ISNA(MATCH(P537,OFFSET('age-length key'!O$8,Data!Q537,17,1,5),1)),1,MATCH(P537,OFFSET('age-length key'!O$8,Data!Q537,17,1,5),1)+1)</f>
        <v>1</v>
      </c>
      <c r="S537">
        <f ca="1">IF(D537="Recapture",IF(OFFSET(B$1,MATCH(K537,K$2:K536,0),0)=B537,0,1),1)</f>
        <v>1</v>
      </c>
    </row>
    <row r="538" spans="1:19" x14ac:dyDescent="0.2">
      <c r="A538" s="1">
        <v>44435</v>
      </c>
      <c r="B538" s="28">
        <f t="shared" si="48"/>
        <v>20218</v>
      </c>
      <c r="C538">
        <f>A538-A$2</f>
        <v>459</v>
      </c>
      <c r="D538" s="5" t="s">
        <v>25</v>
      </c>
      <c r="E538" s="25" t="s">
        <v>49</v>
      </c>
      <c r="F538" s="4">
        <v>0.33749999999999997</v>
      </c>
      <c r="G538" s="4">
        <v>0.3527777777777778</v>
      </c>
      <c r="H538" s="3">
        <f t="shared" si="46"/>
        <v>1.5277777777777835E-2</v>
      </c>
      <c r="I538" s="5" t="s">
        <v>25</v>
      </c>
      <c r="L538" s="5">
        <v>240</v>
      </c>
      <c r="M538" t="s">
        <v>18</v>
      </c>
      <c r="N538" t="s">
        <v>26</v>
      </c>
      <c r="O538" t="s">
        <v>36</v>
      </c>
      <c r="P538">
        <v>0.35578819893104408</v>
      </c>
      <c r="Q538">
        <f t="shared" si="47"/>
        <v>15</v>
      </c>
      <c r="R538">
        <f ca="1">IF(ISNA(MATCH(P538,OFFSET('age-length key'!O$8,Data!Q538,17,1,5),1)),1,MATCH(P538,OFFSET('age-length key'!O$8,Data!Q538,17,1,5),1)+1)</f>
        <v>2</v>
      </c>
      <c r="S538">
        <f ca="1">IF(D538="Recapture",IF(OFFSET(B$1,MATCH(K538,K$2:K537,0),0)=B538,0,1),1)</f>
        <v>1</v>
      </c>
    </row>
    <row r="539" spans="1:19" x14ac:dyDescent="0.2">
      <c r="A539" s="1">
        <v>44435</v>
      </c>
      <c r="B539" s="28">
        <f t="shared" si="48"/>
        <v>20218</v>
      </c>
      <c r="C539">
        <f>A539-A$2</f>
        <v>459</v>
      </c>
      <c r="D539" s="5" t="s">
        <v>25</v>
      </c>
      <c r="E539" s="25" t="s">
        <v>49</v>
      </c>
      <c r="F539" s="4">
        <v>0.32013888888888892</v>
      </c>
      <c r="G539" s="4">
        <v>0.33680555555555558</v>
      </c>
      <c r="H539" s="3">
        <f t="shared" si="46"/>
        <v>1.6666666666666663E-2</v>
      </c>
      <c r="I539" s="5" t="s">
        <v>25</v>
      </c>
      <c r="L539" s="5">
        <v>200</v>
      </c>
      <c r="M539" t="s">
        <v>19</v>
      </c>
      <c r="N539" t="s">
        <v>26</v>
      </c>
      <c r="O539" t="s">
        <v>35</v>
      </c>
      <c r="P539">
        <v>0.73225943405752048</v>
      </c>
      <c r="Q539">
        <f t="shared" si="47"/>
        <v>11</v>
      </c>
      <c r="R539">
        <f ca="1">IF(ISNA(MATCH(P539,OFFSET('age-length key'!O$8,Data!Q539,17,1,5),1)),1,MATCH(P539,OFFSET('age-length key'!O$8,Data!Q539,17,1,5),1)+1)</f>
        <v>2</v>
      </c>
      <c r="S539">
        <f ca="1">IF(D539="Recapture",IF(OFFSET(B$1,MATCH(K539,K$2:K538,0),0)=B539,0,1),1)</f>
        <v>1</v>
      </c>
    </row>
    <row r="540" spans="1:19" x14ac:dyDescent="0.2">
      <c r="A540" s="1">
        <v>44435</v>
      </c>
      <c r="B540" s="28">
        <f t="shared" si="48"/>
        <v>20218</v>
      </c>
      <c r="C540">
        <f>A540-A$2</f>
        <v>459</v>
      </c>
      <c r="D540" s="5" t="s">
        <v>25</v>
      </c>
      <c r="E540" s="25" t="s">
        <v>49</v>
      </c>
      <c r="F540" s="4">
        <v>0.39097222222222222</v>
      </c>
      <c r="G540" s="4">
        <v>0.40763888888888888</v>
      </c>
      <c r="H540" s="3">
        <f t="shared" si="46"/>
        <v>1.6666666666666663E-2</v>
      </c>
      <c r="I540" s="5" t="s">
        <v>25</v>
      </c>
      <c r="L540" s="5">
        <v>270</v>
      </c>
      <c r="M540" t="s">
        <v>12</v>
      </c>
      <c r="N540" t="s">
        <v>26</v>
      </c>
      <c r="O540" t="s">
        <v>38</v>
      </c>
      <c r="P540">
        <v>8.4308204746017329E-2</v>
      </c>
      <c r="Q540">
        <f t="shared" si="47"/>
        <v>18</v>
      </c>
      <c r="R540">
        <f ca="1">IF(ISNA(MATCH(P540,OFFSET('age-length key'!O$8,Data!Q540,17,1,5),1)),1,MATCH(P540,OFFSET('age-length key'!O$8,Data!Q540,17,1,5),1)+1)</f>
        <v>2</v>
      </c>
      <c r="S540">
        <f ca="1">IF(D540="Recapture",IF(OFFSET(B$1,MATCH(K540,K$2:K539,0),0)=B540,0,1),1)</f>
        <v>1</v>
      </c>
    </row>
    <row r="541" spans="1:19" x14ac:dyDescent="0.2">
      <c r="A541" s="1">
        <v>44435</v>
      </c>
      <c r="B541" s="28">
        <f t="shared" si="48"/>
        <v>20218</v>
      </c>
      <c r="C541">
        <f>A541-A$2</f>
        <v>459</v>
      </c>
      <c r="D541" s="5" t="s">
        <v>25</v>
      </c>
      <c r="E541" s="25" t="s">
        <v>49</v>
      </c>
      <c r="F541" s="4">
        <v>0.42083333333333334</v>
      </c>
      <c r="G541" s="4">
        <v>0.4375</v>
      </c>
      <c r="H541" s="3">
        <f t="shared" si="46"/>
        <v>1.6666666666666663E-2</v>
      </c>
      <c r="I541" s="5" t="s">
        <v>25</v>
      </c>
      <c r="L541" s="5">
        <v>330</v>
      </c>
      <c r="M541" t="s">
        <v>16</v>
      </c>
      <c r="N541" t="s">
        <v>26</v>
      </c>
      <c r="O541" t="s">
        <v>38</v>
      </c>
      <c r="P541">
        <v>0.96799716631322963</v>
      </c>
      <c r="Q541">
        <f t="shared" si="47"/>
        <v>24</v>
      </c>
      <c r="R541">
        <f ca="1">IF(ISNA(MATCH(P541,OFFSET('age-length key'!O$8,Data!Q541,17,1,5),1)),1,MATCH(P541,OFFSET('age-length key'!O$8,Data!Q541,17,1,5),1)+1)</f>
        <v>4</v>
      </c>
      <c r="S541">
        <f ca="1">IF(D541="Recapture",IF(OFFSET(B$1,MATCH(K541,K$2:K540,0),0)=B541,0,1),1)</f>
        <v>1</v>
      </c>
    </row>
    <row r="542" spans="1:19" x14ac:dyDescent="0.2">
      <c r="A542" s="1">
        <v>44435</v>
      </c>
      <c r="B542" s="28">
        <f t="shared" si="48"/>
        <v>20218</v>
      </c>
      <c r="C542">
        <f>A542-A$2</f>
        <v>459</v>
      </c>
      <c r="D542" s="5" t="s">
        <v>58</v>
      </c>
      <c r="E542" s="22" t="s">
        <v>49</v>
      </c>
      <c r="F542" s="4">
        <v>0.44513888888888892</v>
      </c>
      <c r="G542" s="4">
        <v>0.45208333333333334</v>
      </c>
      <c r="H542" s="3">
        <f t="shared" si="46"/>
        <v>6.9444444444444198E-3</v>
      </c>
      <c r="I542">
        <v>82</v>
      </c>
      <c r="J542" s="8" t="s">
        <v>56</v>
      </c>
      <c r="K542" s="11" t="str">
        <f t="shared" ref="K542:K543" si="49">_xlfn.CONCAT(J542,I542)</f>
        <v>Green82</v>
      </c>
      <c r="L542">
        <v>270</v>
      </c>
      <c r="M542" t="s">
        <v>16</v>
      </c>
      <c r="N542" t="s">
        <v>26</v>
      </c>
      <c r="P542">
        <v>0.12837422645109436</v>
      </c>
      <c r="Q542">
        <f t="shared" si="47"/>
        <v>18</v>
      </c>
      <c r="R542">
        <f ca="1">IF(ISNA(MATCH(P542,OFFSET('age-length key'!O$8,Data!Q542,17,1,5),1)),1,MATCH(P542,OFFSET('age-length key'!O$8,Data!Q542,17,1,5),1)+1)</f>
        <v>2</v>
      </c>
      <c r="S542">
        <f ca="1">IF(D542="Recapture",IF(OFFSET(B$1,MATCH(K542,K$2:K541,0),0)=B542,0,1),1)</f>
        <v>1</v>
      </c>
    </row>
    <row r="543" spans="1:19" x14ac:dyDescent="0.2">
      <c r="A543" s="1">
        <v>44435</v>
      </c>
      <c r="B543" s="28">
        <f t="shared" si="48"/>
        <v>20218</v>
      </c>
      <c r="C543">
        <f>A543-A$2</f>
        <v>459</v>
      </c>
      <c r="D543" s="5" t="s">
        <v>58</v>
      </c>
      <c r="E543" s="22" t="s">
        <v>49</v>
      </c>
      <c r="F543" s="4">
        <v>0.38194444444444442</v>
      </c>
      <c r="G543" s="4">
        <v>0.3923611111111111</v>
      </c>
      <c r="H543" s="3">
        <f t="shared" si="46"/>
        <v>1.0416666666666685E-2</v>
      </c>
      <c r="I543">
        <v>103</v>
      </c>
      <c r="J543" s="8" t="s">
        <v>56</v>
      </c>
      <c r="K543" s="11" t="str">
        <f t="shared" si="49"/>
        <v>Green103</v>
      </c>
      <c r="L543">
        <v>260</v>
      </c>
      <c r="M543" t="s">
        <v>30</v>
      </c>
      <c r="N543" t="s">
        <v>26</v>
      </c>
      <c r="P543">
        <v>0.58562396354303881</v>
      </c>
      <c r="Q543">
        <f t="shared" si="47"/>
        <v>17</v>
      </c>
      <c r="R543">
        <f ca="1">IF(ISNA(MATCH(P543,OFFSET('age-length key'!O$8,Data!Q543,17,1,5),1)),1,MATCH(P543,OFFSET('age-length key'!O$8,Data!Q543,17,1,5),1)+1)</f>
        <v>3</v>
      </c>
      <c r="S543">
        <f ca="1">IF(D543="Recapture",IF(OFFSET(B$1,MATCH(K543,K$2:K542,0),0)=B543,0,1),1)</f>
        <v>1</v>
      </c>
    </row>
    <row r="544" spans="1:19" x14ac:dyDescent="0.2">
      <c r="A544" s="17">
        <v>44450</v>
      </c>
      <c r="B544" s="28">
        <f t="shared" si="48"/>
        <v>20219</v>
      </c>
      <c r="C544">
        <f>A544-A$2</f>
        <v>474</v>
      </c>
      <c r="D544" s="5" t="s">
        <v>25</v>
      </c>
      <c r="E544" s="23" t="s">
        <v>65</v>
      </c>
      <c r="F544" s="18">
        <v>0.3756944444444445</v>
      </c>
      <c r="G544" s="18">
        <v>0.4375</v>
      </c>
      <c r="H544" s="3">
        <f t="shared" si="46"/>
        <v>6.1805555555555503E-2</v>
      </c>
      <c r="I544" s="5" t="s">
        <v>25</v>
      </c>
      <c r="L544" s="19">
        <v>152</v>
      </c>
      <c r="N544" t="s">
        <v>26</v>
      </c>
      <c r="P544">
        <v>0.58195526785308271</v>
      </c>
      <c r="Q544">
        <f t="shared" si="47"/>
        <v>6</v>
      </c>
      <c r="R544">
        <f ca="1">IF(ISNA(MATCH(P544,OFFSET('age-length key'!O$8,Data!Q544,17,1,5),1)),1,MATCH(P544,OFFSET('age-length key'!O$8,Data!Q544,17,1,5),1)+1)</f>
        <v>1</v>
      </c>
      <c r="S544">
        <f ca="1">IF(D544="Recapture",IF(OFFSET(B$1,MATCH(K544,K$2:K543,0),0)=B544,0,1),1)</f>
        <v>1</v>
      </c>
    </row>
    <row r="545" spans="1:19" x14ac:dyDescent="0.2">
      <c r="A545" s="17">
        <v>44450</v>
      </c>
      <c r="B545" s="28">
        <f t="shared" si="48"/>
        <v>20219</v>
      </c>
      <c r="C545">
        <f>A545-A$2</f>
        <v>474</v>
      </c>
      <c r="D545" s="5" t="s">
        <v>25</v>
      </c>
      <c r="E545" s="23" t="s">
        <v>65</v>
      </c>
      <c r="F545" s="18">
        <v>0.4375</v>
      </c>
      <c r="G545" s="18">
        <v>0.51041666666666663</v>
      </c>
      <c r="H545" s="3">
        <f t="shared" si="46"/>
        <v>7.291666666666663E-2</v>
      </c>
      <c r="I545" s="5" t="s">
        <v>25</v>
      </c>
      <c r="L545" s="19">
        <v>203</v>
      </c>
      <c r="N545" t="s">
        <v>26</v>
      </c>
      <c r="P545">
        <v>0.92218680676174669</v>
      </c>
      <c r="Q545">
        <f t="shared" si="47"/>
        <v>11</v>
      </c>
      <c r="R545">
        <f ca="1">IF(ISNA(MATCH(P545,OFFSET('age-length key'!O$8,Data!Q545,17,1,5),1)),1,MATCH(P545,OFFSET('age-length key'!O$8,Data!Q545,17,1,5),1)+1)</f>
        <v>2</v>
      </c>
      <c r="S545">
        <f ca="1">IF(D545="Recapture",IF(OFFSET(B$1,MATCH(K545,K$2:K544,0),0)=B545,0,1),1)</f>
        <v>1</v>
      </c>
    </row>
    <row r="546" spans="1:19" x14ac:dyDescent="0.2">
      <c r="A546" s="17">
        <v>44450</v>
      </c>
      <c r="B546" s="28">
        <f t="shared" si="48"/>
        <v>20219</v>
      </c>
      <c r="C546">
        <f>A546-A$2</f>
        <v>474</v>
      </c>
      <c r="D546" s="5" t="s">
        <v>25</v>
      </c>
      <c r="E546" s="23" t="s">
        <v>65</v>
      </c>
      <c r="F546" s="18">
        <v>0.51041666666666663</v>
      </c>
      <c r="G546" s="18">
        <v>0.58333333333333337</v>
      </c>
      <c r="H546" s="3">
        <f t="shared" si="46"/>
        <v>7.2916666666666741E-2</v>
      </c>
      <c r="I546" s="5" t="s">
        <v>25</v>
      </c>
      <c r="L546" s="19">
        <v>152</v>
      </c>
      <c r="N546" t="s">
        <v>26</v>
      </c>
      <c r="P546">
        <v>0.19366124467629067</v>
      </c>
      <c r="Q546">
        <f t="shared" si="47"/>
        <v>6</v>
      </c>
      <c r="R546">
        <f ca="1">IF(ISNA(MATCH(P546,OFFSET('age-length key'!O$8,Data!Q546,17,1,5),1)),1,MATCH(P546,OFFSET('age-length key'!O$8,Data!Q546,17,1,5),1)+1)</f>
        <v>1</v>
      </c>
      <c r="S546">
        <f ca="1">IF(D546="Recapture",IF(OFFSET(B$1,MATCH(K546,K$2:K545,0),0)=B546,0,1),1)</f>
        <v>1</v>
      </c>
    </row>
    <row r="547" spans="1:19" x14ac:dyDescent="0.2">
      <c r="A547" s="17">
        <v>44450</v>
      </c>
      <c r="B547" s="28">
        <f t="shared" si="48"/>
        <v>20219</v>
      </c>
      <c r="C547">
        <f>A547-A$2</f>
        <v>474</v>
      </c>
      <c r="D547" s="5" t="s">
        <v>25</v>
      </c>
      <c r="E547" s="23" t="s">
        <v>65</v>
      </c>
      <c r="F547" s="18">
        <v>0.58333333333333337</v>
      </c>
      <c r="G547" s="18">
        <v>0.66666666666666663</v>
      </c>
      <c r="H547" s="3">
        <f t="shared" si="46"/>
        <v>8.3333333333333259E-2</v>
      </c>
      <c r="I547" s="5" t="s">
        <v>25</v>
      </c>
      <c r="L547" s="19">
        <v>152</v>
      </c>
      <c r="N547" t="s">
        <v>26</v>
      </c>
      <c r="P547">
        <v>0.86453927441711509</v>
      </c>
      <c r="Q547">
        <f t="shared" si="47"/>
        <v>6</v>
      </c>
      <c r="R547">
        <f ca="1">IF(ISNA(MATCH(P547,OFFSET('age-length key'!O$8,Data!Q547,17,1,5),1)),1,MATCH(P547,OFFSET('age-length key'!O$8,Data!Q547,17,1,5),1)+1)</f>
        <v>1</v>
      </c>
      <c r="S547">
        <f ca="1">IF(D547="Recapture",IF(OFFSET(B$1,MATCH(K547,K$2:K546,0),0)=B547,0,1),1)</f>
        <v>1</v>
      </c>
    </row>
    <row r="548" spans="1:19" x14ac:dyDescent="0.2">
      <c r="A548" s="17">
        <v>44450</v>
      </c>
      <c r="B548" s="28">
        <f t="shared" si="48"/>
        <v>20219</v>
      </c>
      <c r="C548">
        <f>A548-A$2</f>
        <v>474</v>
      </c>
      <c r="D548" s="5" t="s">
        <v>58</v>
      </c>
      <c r="E548" s="23" t="s">
        <v>65</v>
      </c>
      <c r="F548" s="18">
        <v>0.33333333333333331</v>
      </c>
      <c r="G548" s="18">
        <v>0.375</v>
      </c>
      <c r="H548" s="3">
        <f t="shared" si="46"/>
        <v>4.1666666666666685E-2</v>
      </c>
      <c r="I548" s="5">
        <v>156</v>
      </c>
      <c r="J548" s="5" t="s">
        <v>56</v>
      </c>
      <c r="K548" s="11" t="str">
        <f t="shared" ref="K548:K549" si="50">_xlfn.CONCAT(J548,I548)</f>
        <v>Green156</v>
      </c>
      <c r="L548" s="20">
        <v>254</v>
      </c>
      <c r="N548" t="s">
        <v>26</v>
      </c>
      <c r="P548">
        <v>0.31158512845243569</v>
      </c>
      <c r="Q548">
        <f t="shared" si="47"/>
        <v>16</v>
      </c>
      <c r="R548">
        <f ca="1">IF(ISNA(MATCH(P548,OFFSET('age-length key'!O$8,Data!Q548,17,1,5),1)),1,MATCH(P548,OFFSET('age-length key'!O$8,Data!Q548,17,1,5),1)+1)</f>
        <v>2</v>
      </c>
      <c r="S548">
        <f ca="1">IF(D548="Recapture",IF(OFFSET(B$1,MATCH(K548,K$2:K547,0),0)=B548,0,1),1)</f>
        <v>1</v>
      </c>
    </row>
    <row r="549" spans="1:19" x14ac:dyDescent="0.2">
      <c r="A549" s="1" t="s">
        <v>83</v>
      </c>
      <c r="B549" s="28" t="e">
        <f t="shared" si="48"/>
        <v>#VALUE!</v>
      </c>
      <c r="C549" t="e">
        <f>A549-A$2</f>
        <v>#VALUE!</v>
      </c>
      <c r="D549" s="5" t="s">
        <v>58</v>
      </c>
      <c r="E549" s="22" t="s">
        <v>67</v>
      </c>
      <c r="F549"/>
      <c r="G549"/>
      <c r="H549" s="3"/>
      <c r="I549">
        <v>6</v>
      </c>
      <c r="J549" s="8" t="s">
        <v>57</v>
      </c>
      <c r="K549" s="11" t="str">
        <f t="shared" si="50"/>
        <v>Pink6</v>
      </c>
      <c r="L549" s="26">
        <f ca="1">OFFSET(K$1,MATCH(K549,K$2:K548,0),1)</f>
        <v>263</v>
      </c>
      <c r="M549" t="s">
        <v>77</v>
      </c>
      <c r="N549" t="s">
        <v>27</v>
      </c>
      <c r="R549" s="26">
        <f ca="1">OFFSET(Q$1,MATCH(K549,K$2:K548,0),1)</f>
        <v>3</v>
      </c>
      <c r="S549" t="e">
        <f ca="1">IF(D549="Recapture",IF(OFFSET(B$1,MATCH(K549,K$2:K548,0),0)=B549,0,1),1)</f>
        <v>#VALUE!</v>
      </c>
    </row>
  </sheetData>
  <autoFilter ref="A1:S549" xr:uid="{8688BAA2-63AD-4D15-BB7E-11167C74A68F}"/>
  <sortState xmlns:xlrd2="http://schemas.microsoft.com/office/spreadsheetml/2017/richdata2" ref="A2:O549">
    <sortCondition ref="A1:A549"/>
  </sortState>
  <phoneticPr fontId="2" type="noConversion"/>
  <pageMargins left="0.7" right="0.7" top="0.75" bottom="0.75" header="0.3" footer="0.3"/>
  <pageSetup orientation="portrait" horizontalDpi="4294967293" verticalDpi="4294967293"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DEE2-F38A-1349-A749-4EB5D606AB3A}">
  <sheetPr codeName="Sheet2"/>
  <dimension ref="A1:AJ42"/>
  <sheetViews>
    <sheetView zoomScale="125" workbookViewId="0">
      <selection activeCell="J16" sqref="J16:J20"/>
    </sheetView>
  </sheetViews>
  <sheetFormatPr baseColWidth="10" defaultRowHeight="15" x14ac:dyDescent="0.2"/>
  <cols>
    <col min="16" max="16" width="11.83203125" bestFit="1" customWidth="1"/>
  </cols>
  <sheetData>
    <row r="1" spans="1:36" x14ac:dyDescent="0.2">
      <c r="A1" t="s">
        <v>100</v>
      </c>
      <c r="B1">
        <f>EXP(C1)</f>
        <v>462.04840522340976</v>
      </c>
      <c r="C1">
        <v>6.135669658804253</v>
      </c>
      <c r="O1" t="s">
        <v>94</v>
      </c>
      <c r="P1">
        <v>1</v>
      </c>
      <c r="Q1">
        <v>2</v>
      </c>
      <c r="R1">
        <v>3</v>
      </c>
      <c r="S1">
        <v>4</v>
      </c>
      <c r="T1">
        <v>5</v>
      </c>
    </row>
    <row r="2" spans="1:36" x14ac:dyDescent="0.2">
      <c r="A2" t="s">
        <v>101</v>
      </c>
      <c r="B2">
        <f>EXP(C2)</f>
        <v>0.36760931785226236</v>
      </c>
      <c r="C2">
        <v>-1.0007345410191828</v>
      </c>
      <c r="O2" t="s">
        <v>114</v>
      </c>
      <c r="P2">
        <f>B16</f>
        <v>150.44</v>
      </c>
      <c r="Q2">
        <f>B17</f>
        <v>224.69</v>
      </c>
      <c r="R2">
        <f>B18</f>
        <v>295.06</v>
      </c>
      <c r="S2">
        <f>B19</f>
        <v>377.29</v>
      </c>
      <c r="T2">
        <f>B20</f>
        <v>440</v>
      </c>
    </row>
    <row r="3" spans="1:36" x14ac:dyDescent="0.2">
      <c r="A3" t="s">
        <v>102</v>
      </c>
      <c r="B3">
        <v>0</v>
      </c>
      <c r="O3" t="s">
        <v>96</v>
      </c>
      <c r="P3">
        <f>C16</f>
        <v>15.39</v>
      </c>
      <c r="Q3">
        <f>C17</f>
        <v>25.27</v>
      </c>
      <c r="R3">
        <f>C18</f>
        <v>29.86</v>
      </c>
      <c r="S3">
        <f>C19</f>
        <v>36.57</v>
      </c>
      <c r="T3">
        <f>T2*0.1</f>
        <v>44</v>
      </c>
    </row>
    <row r="4" spans="1:36" x14ac:dyDescent="0.2">
      <c r="O4" t="s">
        <v>97</v>
      </c>
      <c r="P4">
        <f>E16</f>
        <v>15</v>
      </c>
      <c r="Q4">
        <f>E17</f>
        <v>22</v>
      </c>
      <c r="R4">
        <f>E18</f>
        <v>32</v>
      </c>
      <c r="S4">
        <f>E19</f>
        <v>6</v>
      </c>
      <c r="T4">
        <f>E20</f>
        <v>1</v>
      </c>
    </row>
    <row r="5" spans="1:36" x14ac:dyDescent="0.2">
      <c r="A5" t="s">
        <v>103</v>
      </c>
      <c r="B5">
        <f>SUM(H16:H19)</f>
        <v>-17.253069051944415</v>
      </c>
      <c r="O5" t="s">
        <v>108</v>
      </c>
      <c r="P5">
        <f>P4/SUM($P4:$T4)</f>
        <v>0.19736842105263158</v>
      </c>
      <c r="Q5">
        <f t="shared" ref="Q5:T5" si="0">Q4/SUM($P4:$T4)</f>
        <v>0.28947368421052633</v>
      </c>
      <c r="R5">
        <f t="shared" si="0"/>
        <v>0.42105263157894735</v>
      </c>
      <c r="S5">
        <f t="shared" si="0"/>
        <v>7.8947368421052627E-2</v>
      </c>
      <c r="T5">
        <f t="shared" si="0"/>
        <v>1.3157894736842105E-2</v>
      </c>
    </row>
    <row r="6" spans="1:36" x14ac:dyDescent="0.2">
      <c r="O6" t="s">
        <v>130</v>
      </c>
      <c r="P6">
        <f>SUM($P5:P5)</f>
        <v>0.19736842105263158</v>
      </c>
      <c r="Q6">
        <f>SUM($P5:Q5)</f>
        <v>0.48684210526315791</v>
      </c>
      <c r="R6">
        <f>SUM($P5:R5)</f>
        <v>0.90789473684210531</v>
      </c>
      <c r="S6">
        <f>SUM($P5:S5)</f>
        <v>0.98684210526315796</v>
      </c>
      <c r="T6">
        <f>SUM($P5:T5)</f>
        <v>1</v>
      </c>
    </row>
    <row r="7" spans="1:36" x14ac:dyDescent="0.2">
      <c r="A7" t="s">
        <v>105</v>
      </c>
      <c r="B7">
        <v>1.0000000000000001E-5</v>
      </c>
    </row>
    <row r="8" spans="1:36" x14ac:dyDescent="0.2">
      <c r="A8" t="s">
        <v>106</v>
      </c>
      <c r="B8">
        <v>3</v>
      </c>
      <c r="O8" t="s">
        <v>95</v>
      </c>
      <c r="P8" t="s">
        <v>115</v>
      </c>
      <c r="Q8" t="s">
        <v>116</v>
      </c>
      <c r="R8" t="s">
        <v>117</v>
      </c>
      <c r="S8" t="s">
        <v>118</v>
      </c>
      <c r="T8" t="s">
        <v>119</v>
      </c>
      <c r="U8" t="s">
        <v>109</v>
      </c>
      <c r="V8" t="s">
        <v>110</v>
      </c>
      <c r="W8" t="s">
        <v>111</v>
      </c>
      <c r="X8" t="s">
        <v>112</v>
      </c>
      <c r="Y8" t="s">
        <v>113</v>
      </c>
      <c r="Z8" t="s">
        <v>120</v>
      </c>
      <c r="AA8" t="s">
        <v>121</v>
      </c>
      <c r="AB8" t="s">
        <v>122</v>
      </c>
      <c r="AC8" t="s">
        <v>123</v>
      </c>
      <c r="AD8" t="s">
        <v>124</v>
      </c>
      <c r="AE8" t="s">
        <v>125</v>
      </c>
      <c r="AF8" t="s">
        <v>115</v>
      </c>
      <c r="AG8" t="s">
        <v>116</v>
      </c>
      <c r="AH8" t="s">
        <v>117</v>
      </c>
      <c r="AI8" t="s">
        <v>118</v>
      </c>
      <c r="AJ8" t="s">
        <v>119</v>
      </c>
    </row>
    <row r="9" spans="1:36" x14ac:dyDescent="0.2">
      <c r="O9">
        <v>100</v>
      </c>
      <c r="P9">
        <f t="shared" ref="P9:T49" si="1">_xlfn.NORM.DIST($O9+5,P$2,P$3,TRUE)-_xlfn.NORM.DIST($O9-5,P$2,P$3,TRUE)</f>
        <v>1.4180371416250821E-3</v>
      </c>
      <c r="Q9">
        <f t="shared" ref="Q9:T19" si="2">_xlfn.NORM.DIST($O9+5,Q$2,Q$3,TRUE)-_xlfn.NORM.DIST($O9-5,Q$2,Q$3,TRUE)</f>
        <v>9.4428288513855751E-7</v>
      </c>
      <c r="R9">
        <f t="shared" si="2"/>
        <v>8.7195680431451301E-11</v>
      </c>
      <c r="S9">
        <f t="shared" si="2"/>
        <v>4.2353817126632766E-14</v>
      </c>
      <c r="T9">
        <f t="shared" si="2"/>
        <v>1.1088013273994668E-14</v>
      </c>
      <c r="U9">
        <f t="shared" ref="U9:U49" si="3">P9/SUM($P9:$T9)</f>
        <v>0.99933447326379188</v>
      </c>
      <c r="V9">
        <f t="shared" ref="V9:V49" si="4">Q9/SUM($P9:$T9)</f>
        <v>6.6546524906288312E-4</v>
      </c>
      <c r="W9">
        <f t="shared" ref="W9:W49" si="5">R9/SUM($P9:$T9)</f>
        <v>6.1449483103793646E-8</v>
      </c>
      <c r="X9">
        <f t="shared" ref="X9:X49" si="6">S9/SUM($P9:$T9)</f>
        <v>2.984804014403248E-11</v>
      </c>
      <c r="Y9">
        <f t="shared" ref="Y9:Y49" si="7">T9/SUM($P9:$T9)</f>
        <v>7.8140646527853972E-12</v>
      </c>
      <c r="Z9">
        <f t="shared" ref="Z9:Z49" si="8">SUMPRODUCT(P$5:T$5,U9:Y9)</f>
        <v>0.19742972764482397</v>
      </c>
      <c r="AA9">
        <f t="shared" ref="AA9:AA49" si="9">U9*P$5/$Z9</f>
        <v>0.9990241563133152</v>
      </c>
      <c r="AB9">
        <f t="shared" ref="AB9:AB49" si="10">V9*Q$5/$Z9</f>
        <v>9.7571262270521909E-4</v>
      </c>
      <c r="AC9">
        <f t="shared" ref="AC9:AC49" si="11">W9*R$5/$Z9</f>
        <v>1.3105152338843689E-7</v>
      </c>
      <c r="AD9">
        <f t="shared" ref="AD9:AD49" si="12">X9*S$5/$Z9</f>
        <v>1.1935508649115434E-11</v>
      </c>
      <c r="AE9">
        <f t="shared" ref="AE9:AE49" si="13">Y9*T$5/$Z9</f>
        <v>5.2077588008020765E-13</v>
      </c>
      <c r="AF9">
        <f>SUM($AA9:AA9)</f>
        <v>0.9990241563133152</v>
      </c>
      <c r="AG9">
        <f>SUM($AA9:AB9)</f>
        <v>0.99999986893602044</v>
      </c>
      <c r="AH9">
        <f>SUM($AA9:AC9)</f>
        <v>0.99999999998754385</v>
      </c>
      <c r="AI9">
        <f>SUM($AA9:AD9)</f>
        <v>0.99999999999947942</v>
      </c>
      <c r="AJ9">
        <f>SUM($AA9:AE9)</f>
        <v>1.0000000000000002</v>
      </c>
    </row>
    <row r="10" spans="1:36" x14ac:dyDescent="0.2">
      <c r="A10" t="s">
        <v>107</v>
      </c>
      <c r="B10">
        <f>0.8*(1-0.2)*1*0.9</f>
        <v>0.57600000000000018</v>
      </c>
      <c r="C10" t="s">
        <v>145</v>
      </c>
      <c r="H10" t="s">
        <v>144</v>
      </c>
      <c r="O10">
        <v>110</v>
      </c>
      <c r="P10">
        <f t="shared" si="1"/>
        <v>9.0694971248465907E-3</v>
      </c>
      <c r="Q10">
        <f t="shared" si="2"/>
        <v>6.0133314914127885E-6</v>
      </c>
      <c r="R10">
        <f t="shared" si="2"/>
        <v>7.2146375253016255E-10</v>
      </c>
      <c r="S10">
        <f t="shared" si="2"/>
        <v>3.2060668484863561E-13</v>
      </c>
      <c r="T10">
        <f t="shared" si="2"/>
        <v>6.2124882487903941E-14</v>
      </c>
      <c r="U10">
        <f t="shared" si="3"/>
        <v>0.99933733172492201</v>
      </c>
      <c r="V10">
        <f t="shared" si="4"/>
        <v>6.6258873724573222E-4</v>
      </c>
      <c r="W10">
        <f t="shared" si="5"/>
        <v>7.9495660174426421E-8</v>
      </c>
      <c r="X10">
        <f t="shared" si="6"/>
        <v>3.5326570432671909E-11</v>
      </c>
      <c r="Y10">
        <f t="shared" si="7"/>
        <v>6.8453314935293497E-12</v>
      </c>
      <c r="Z10">
        <f t="shared" si="8"/>
        <v>0.19742946673912062</v>
      </c>
      <c r="AA10">
        <f t="shared" si="9"/>
        <v>0.99902833411449998</v>
      </c>
      <c r="AB10">
        <f t="shared" si="10"/>
        <v>9.7149633261364103E-4</v>
      </c>
      <c r="AC10">
        <f t="shared" si="11"/>
        <v>1.6953830382258496E-7</v>
      </c>
      <c r="AD10">
        <f t="shared" si="12"/>
        <v>1.4126258947382273E-11</v>
      </c>
      <c r="AE10">
        <f t="shared" si="13"/>
        <v>4.5621432665705492E-13</v>
      </c>
      <c r="AF10">
        <f>SUM($AA10:AA10)</f>
        <v>0.99902833411449998</v>
      </c>
      <c r="AG10">
        <f>SUM($AA10:AB10)</f>
        <v>0.9999998304471136</v>
      </c>
      <c r="AH10">
        <f>SUM($AA10:AC10)</f>
        <v>0.99999999998541744</v>
      </c>
      <c r="AI10">
        <f>SUM($AA10:AD10)</f>
        <v>0.9999999999995437</v>
      </c>
      <c r="AJ10">
        <f>SUM($AA10:AE10)</f>
        <v>0.99999999999999989</v>
      </c>
    </row>
    <row r="11" spans="1:36" x14ac:dyDescent="0.2">
      <c r="O11">
        <v>120</v>
      </c>
      <c r="P11">
        <f t="shared" si="1"/>
        <v>3.8518032326903817E-2</v>
      </c>
      <c r="Q11">
        <f t="shared" si="2"/>
        <v>3.2800154950822658E-5</v>
      </c>
      <c r="R11">
        <f t="shared" si="2"/>
        <v>5.3406780580814409E-9</v>
      </c>
      <c r="S11">
        <f t="shared" si="2"/>
        <v>2.2529210019125549E-12</v>
      </c>
      <c r="T11">
        <f t="shared" si="2"/>
        <v>3.3061971441480815E-13</v>
      </c>
      <c r="U11">
        <f t="shared" si="3"/>
        <v>0.99914903280802247</v>
      </c>
      <c r="V11">
        <f t="shared" si="4"/>
        <v>8.5082858898213225E-4</v>
      </c>
      <c r="W11">
        <f t="shared" si="5"/>
        <v>1.3853597896650482E-7</v>
      </c>
      <c r="X11">
        <f t="shared" si="6"/>
        <v>5.8440260420092749E-11</v>
      </c>
      <c r="Y11">
        <f t="shared" si="7"/>
        <v>8.5762004943873437E-12</v>
      </c>
      <c r="Z11">
        <f t="shared" si="8"/>
        <v>0.19744681782353277</v>
      </c>
      <c r="AA11">
        <f t="shared" si="9"/>
        <v>0.99875231809423459</v>
      </c>
      <c r="AB11">
        <f t="shared" si="10"/>
        <v>1.2473864557514638E-3</v>
      </c>
      <c r="AC11">
        <f t="shared" si="11"/>
        <v>2.9542607551338492E-7</v>
      </c>
      <c r="AD11">
        <f t="shared" si="12"/>
        <v>2.336682262527422E-11</v>
      </c>
      <c r="AE11">
        <f t="shared" si="13"/>
        <v>5.7151968611647307E-13</v>
      </c>
      <c r="AF11">
        <f>SUM($AA11:AA11)</f>
        <v>0.99875231809423459</v>
      </c>
      <c r="AG11">
        <f>SUM($AA11:AB11)</f>
        <v>0.9999997045499861</v>
      </c>
      <c r="AH11">
        <f>SUM($AA11:AC11)</f>
        <v>0.99999999997606159</v>
      </c>
      <c r="AI11">
        <f>SUM($AA11:AD11)</f>
        <v>0.99999999999942846</v>
      </c>
      <c r="AJ11">
        <f>SUM($AA11:AE11)</f>
        <v>1</v>
      </c>
    </row>
    <row r="12" spans="1:36" x14ac:dyDescent="0.2">
      <c r="O12">
        <v>130</v>
      </c>
      <c r="P12">
        <f t="shared" si="1"/>
        <v>0.10870715138860651</v>
      </c>
      <c r="Q12">
        <f t="shared" si="2"/>
        <v>1.5325094125772902E-4</v>
      </c>
      <c r="R12">
        <f t="shared" si="2"/>
        <v>3.5371064295883604E-8</v>
      </c>
      <c r="S12">
        <f t="shared" si="2"/>
        <v>1.4696534274854437E-11</v>
      </c>
      <c r="T12">
        <f t="shared" si="2"/>
        <v>1.6712595707054181E-12</v>
      </c>
      <c r="U12">
        <f t="shared" si="3"/>
        <v>0.99859190049292379</v>
      </c>
      <c r="V12">
        <f t="shared" si="4"/>
        <v>1.4077744355181817E-3</v>
      </c>
      <c r="W12">
        <f t="shared" si="5"/>
        <v>3.2492120220699478E-7</v>
      </c>
      <c r="X12">
        <f t="shared" si="6"/>
        <v>1.3500344645885411E-10</v>
      </c>
      <c r="Y12">
        <f t="shared" si="7"/>
        <v>1.5352313528681313E-11</v>
      </c>
      <c r="Z12">
        <f t="shared" si="8"/>
        <v>0.19749815714840921</v>
      </c>
      <c r="AA12">
        <f t="shared" si="9"/>
        <v>0.99793592771669293</v>
      </c>
      <c r="AB12">
        <f t="shared" si="10"/>
        <v>2.063379518425671E-3</v>
      </c>
      <c r="AC12">
        <f t="shared" si="11"/>
        <v>6.927098926915349E-7</v>
      </c>
      <c r="AD12">
        <f t="shared" si="12"/>
        <v>5.3965905199256976E-11</v>
      </c>
      <c r="AE12">
        <f t="shared" si="13"/>
        <v>1.0228152418940825E-12</v>
      </c>
      <c r="AF12">
        <f>SUM($AA12:AA12)</f>
        <v>0.99793592771669293</v>
      </c>
      <c r="AG12">
        <f>SUM($AA12:AB12)</f>
        <v>0.99999930723511865</v>
      </c>
      <c r="AH12">
        <f>SUM($AA12:AC12)</f>
        <v>0.99999999994501132</v>
      </c>
      <c r="AI12">
        <f>SUM($AA12:AD12)</f>
        <v>0.99999999999897726</v>
      </c>
      <c r="AJ12">
        <f>SUM($AA12:AE12)</f>
        <v>1</v>
      </c>
    </row>
    <row r="13" spans="1:36" x14ac:dyDescent="0.2">
      <c r="O13">
        <v>140</v>
      </c>
      <c r="P13">
        <f t="shared" si="1"/>
        <v>0.20399530169855462</v>
      </c>
      <c r="Q13">
        <f t="shared" si="2"/>
        <v>6.1335885294731634E-4</v>
      </c>
      <c r="R13">
        <f t="shared" si="2"/>
        <v>2.0959311950947319E-7</v>
      </c>
      <c r="S13">
        <f t="shared" si="2"/>
        <v>8.8998286046304313E-11</v>
      </c>
      <c r="T13">
        <f t="shared" si="2"/>
        <v>8.0243843506265048E-12</v>
      </c>
      <c r="U13">
        <f t="shared" si="3"/>
        <v>0.99700126127296029</v>
      </c>
      <c r="V13">
        <f t="shared" si="4"/>
        <v>2.9977138929653271E-3</v>
      </c>
      <c r="W13">
        <f t="shared" si="5"/>
        <v>1.024359888512862E-6</v>
      </c>
      <c r="X13">
        <f t="shared" si="6"/>
        <v>4.3496787769365472E-10</v>
      </c>
      <c r="Y13">
        <f t="shared" si="7"/>
        <v>3.9218164594475631E-11</v>
      </c>
      <c r="Z13">
        <f t="shared" si="8"/>
        <v>0.19764475535401446</v>
      </c>
      <c r="AA13">
        <f t="shared" si="9"/>
        <v>0.99560731764658761</v>
      </c>
      <c r="AB13">
        <f t="shared" si="10"/>
        <v>4.3904999313108617E-3</v>
      </c>
      <c r="AC13">
        <f t="shared" si="11"/>
        <v>2.182245746767786E-6</v>
      </c>
      <c r="AD13">
        <f t="shared" si="12"/>
        <v>1.737438933307209E-10</v>
      </c>
      <c r="AE13">
        <f t="shared" si="13"/>
        <v>2.6108888170696253E-12</v>
      </c>
      <c r="AF13">
        <f>SUM($AA13:AA13)</f>
        <v>0.99560731764658761</v>
      </c>
      <c r="AG13">
        <f>SUM($AA13:AB13)</f>
        <v>0.99999781757789852</v>
      </c>
      <c r="AH13">
        <f>SUM($AA13:AC13)</f>
        <v>0.99999999982364529</v>
      </c>
      <c r="AI13">
        <f>SUM($AA13:AD13)</f>
        <v>0.9999999999973892</v>
      </c>
      <c r="AJ13">
        <f>SUM($AA13:AE13)</f>
        <v>1</v>
      </c>
    </row>
    <row r="14" spans="1:36" x14ac:dyDescent="0.2">
      <c r="M14" t="s">
        <v>150</v>
      </c>
      <c r="O14">
        <v>150</v>
      </c>
      <c r="P14">
        <f t="shared" si="1"/>
        <v>0.25463238998476756</v>
      </c>
      <c r="Q14">
        <f t="shared" si="2"/>
        <v>2.102939928018091E-3</v>
      </c>
      <c r="R14">
        <f t="shared" si="2"/>
        <v>1.1111947476123241E-6</v>
      </c>
      <c r="S14">
        <f t="shared" si="2"/>
        <v>5.0032040797591805E-10</v>
      </c>
      <c r="T14">
        <f t="shared" si="2"/>
        <v>3.659593415254322E-11</v>
      </c>
      <c r="U14">
        <f t="shared" si="3"/>
        <v>0.99180462404867364</v>
      </c>
      <c r="V14">
        <f t="shared" si="4"/>
        <v>8.1910457064385926E-3</v>
      </c>
      <c r="W14">
        <f t="shared" si="5"/>
        <v>4.3281535745174845E-6</v>
      </c>
      <c r="X14">
        <f t="shared" si="6"/>
        <v>1.9487705164536173E-9</v>
      </c>
      <c r="Y14">
        <f t="shared" si="7"/>
        <v>1.4254281128981439E-10</v>
      </c>
      <c r="Z14">
        <f t="shared" si="8"/>
        <v>0.19812382735554349</v>
      </c>
      <c r="AA14">
        <f t="shared" si="9"/>
        <v>0.98802307250959998</v>
      </c>
      <c r="AB14">
        <f t="shared" si="10"/>
        <v>1.1967728515180281E-2</v>
      </c>
      <c r="AC14">
        <f t="shared" si="11"/>
        <v>9.1981892170801747E-6</v>
      </c>
      <c r="AD14">
        <f t="shared" si="12"/>
        <v>7.7653609858069413E-10</v>
      </c>
      <c r="AE14">
        <f t="shared" si="13"/>
        <v>9.4666216147698903E-12</v>
      </c>
      <c r="AF14">
        <f>SUM($AA14:AA14)</f>
        <v>0.98802307250959998</v>
      </c>
      <c r="AG14">
        <f>SUM($AA14:AB14)</f>
        <v>0.99999080102478022</v>
      </c>
      <c r="AH14">
        <f>SUM($AA14:AC14)</f>
        <v>0.99999999921399729</v>
      </c>
      <c r="AI14">
        <f>SUM($AA14:AD14)</f>
        <v>0.99999999999053335</v>
      </c>
      <c r="AJ14">
        <f>SUM($AA14:AE14)</f>
        <v>1</v>
      </c>
    </row>
    <row r="15" spans="1:36" x14ac:dyDescent="0.2">
      <c r="A15" t="s">
        <v>94</v>
      </c>
      <c r="B15" t="s">
        <v>95</v>
      </c>
      <c r="C15" t="s">
        <v>96</v>
      </c>
      <c r="D15" t="s">
        <v>104</v>
      </c>
      <c r="E15" t="s">
        <v>97</v>
      </c>
      <c r="F15" t="s">
        <v>108</v>
      </c>
      <c r="G15" t="s">
        <v>98</v>
      </c>
      <c r="H15" t="s">
        <v>99</v>
      </c>
      <c r="I15" t="s">
        <v>146</v>
      </c>
      <c r="J15" t="s">
        <v>147</v>
      </c>
      <c r="K15" t="s">
        <v>148</v>
      </c>
      <c r="L15" t="s">
        <v>149</v>
      </c>
      <c r="O15">
        <v>160</v>
      </c>
      <c r="P15">
        <f t="shared" si="1"/>
        <v>0.21144517842207722</v>
      </c>
      <c r="Q15">
        <f t="shared" si="2"/>
        <v>6.1766781349808404E-3</v>
      </c>
      <c r="R15">
        <f t="shared" si="2"/>
        <v>5.2710174134621975E-6</v>
      </c>
      <c r="S15">
        <f t="shared" si="2"/>
        <v>2.6110592712007942E-9</v>
      </c>
      <c r="T15">
        <f t="shared" si="2"/>
        <v>1.5852869535687818E-10</v>
      </c>
      <c r="U15">
        <f t="shared" si="3"/>
        <v>0.97159383615356754</v>
      </c>
      <c r="V15">
        <f t="shared" si="4"/>
        <v>2.8381930714317504E-2</v>
      </c>
      <c r="W15">
        <f t="shared" si="5"/>
        <v>2.4220405815804939E-5</v>
      </c>
      <c r="X15">
        <f t="shared" si="6"/>
        <v>1.1997857376848272E-8</v>
      </c>
      <c r="Y15">
        <f t="shared" si="7"/>
        <v>7.2844178529694751E-10</v>
      </c>
      <c r="Z15">
        <f t="shared" si="8"/>
        <v>0.19998796241737091</v>
      </c>
      <c r="AA15">
        <f t="shared" si="9"/>
        <v>0.95886741895942462</v>
      </c>
      <c r="AB15">
        <f t="shared" si="10"/>
        <v>4.1081582859147918E-2</v>
      </c>
      <c r="AC15">
        <f t="shared" si="11"/>
        <v>5.0993397219436391E-5</v>
      </c>
      <c r="AD15">
        <f t="shared" si="12"/>
        <v>4.7362813998599506E-9</v>
      </c>
      <c r="AE15">
        <f t="shared" si="13"/>
        <v>4.7926686271503524E-11</v>
      </c>
      <c r="AF15">
        <f>SUM($AA15:AA15)</f>
        <v>0.95886741895942462</v>
      </c>
      <c r="AG15">
        <f>SUM($AA15:AB15)</f>
        <v>0.99994900181857249</v>
      </c>
      <c r="AH15">
        <f>SUM($AA15:AC15)</f>
        <v>0.99999999521579197</v>
      </c>
      <c r="AI15">
        <f>SUM($AA15:AD15)</f>
        <v>0.99999999995207334</v>
      </c>
      <c r="AJ15">
        <f>SUM($AA15:AE15)</f>
        <v>1</v>
      </c>
    </row>
    <row r="16" spans="1:36" x14ac:dyDescent="0.2">
      <c r="A16">
        <v>1</v>
      </c>
      <c r="B16">
        <v>150.44</v>
      </c>
      <c r="C16">
        <v>15.39</v>
      </c>
      <c r="D16">
        <f>C16/SQRT(E16)</f>
        <v>3.9736809132088098</v>
      </c>
      <c r="E16">
        <v>15</v>
      </c>
      <c r="F16">
        <f>E16/E$21</f>
        <v>0.19736842105263158</v>
      </c>
      <c r="G16">
        <f>Linf*(1-EXP(-K*A16))</f>
        <v>142.13180390317288</v>
      </c>
      <c r="H16">
        <f>LN(_xlfn.NORM.DIST(B16,G16,C16,FALSE))</f>
        <v>-3.7983721457747799</v>
      </c>
      <c r="I16">
        <f>0.8*(1-0.2)*2619/(5763+0.00001*B16^3*0.9862)*0.9</f>
        <v>0.26024733852086862</v>
      </c>
      <c r="J16">
        <f>0.8*(1-0.2)*(5763+50*0.9862)/(5763+0.00001*C16^3*0.9862)*0.9</f>
        <v>0.58092480940837155</v>
      </c>
      <c r="K16">
        <f>3*alpha*K*Linf*B16*B16/I16</f>
        <v>443.13453152853805</v>
      </c>
      <c r="L16">
        <f>3*alpha*K*Linf*B16*B16/J16</f>
        <v>198.51894869913272</v>
      </c>
      <c r="M16">
        <f>L16*0.18</f>
        <v>35.733410765843885</v>
      </c>
      <c r="O16">
        <v>170</v>
      </c>
      <c r="P16">
        <f t="shared" si="1"/>
        <v>0.11679463109333876</v>
      </c>
      <c r="Q16">
        <f t="shared" si="2"/>
        <v>1.554220231648284E-2</v>
      </c>
      <c r="R16">
        <f t="shared" si="2"/>
        <v>2.2371566803369722E-5</v>
      </c>
      <c r="S16">
        <f t="shared" si="2"/>
        <v>1.2649961442251188E-8</v>
      </c>
      <c r="T16">
        <f t="shared" si="2"/>
        <v>6.5228513973091183E-10</v>
      </c>
      <c r="U16">
        <f t="shared" si="3"/>
        <v>0.8824064739280999</v>
      </c>
      <c r="V16">
        <f t="shared" si="4"/>
        <v>0.11742440397114247</v>
      </c>
      <c r="W16">
        <f t="shared" si="5"/>
        <v>1.6902159966096508E-4</v>
      </c>
      <c r="X16">
        <f t="shared" si="6"/>
        <v>9.5572953714478796E-8</v>
      </c>
      <c r="Y16">
        <f t="shared" si="7"/>
        <v>4.9281428842877642E-9</v>
      </c>
      <c r="Z16">
        <f t="shared" si="8"/>
        <v>0.20822162191896909</v>
      </c>
      <c r="AA16">
        <f t="shared" si="9"/>
        <v>0.83641252469728844</v>
      </c>
      <c r="AB16">
        <f t="shared" si="10"/>
        <v>0.16324565393588047</v>
      </c>
      <c r="AC16">
        <f t="shared" si="11"/>
        <v>3.4178481886298917E-4</v>
      </c>
      <c r="AD16">
        <f t="shared" si="12"/>
        <v>3.6236549876272929E-8</v>
      </c>
      <c r="AE16">
        <f t="shared" si="13"/>
        <v>3.1141811653359578E-10</v>
      </c>
      <c r="AF16">
        <f>SUM($AA16:AA16)</f>
        <v>0.83641252469728844</v>
      </c>
      <c r="AG16">
        <f>SUM($AA16:AB16)</f>
        <v>0.99965817863316886</v>
      </c>
      <c r="AH16">
        <f>SUM($AA16:AC16)</f>
        <v>0.9999999634520319</v>
      </c>
      <c r="AI16">
        <f>SUM($AA16:AD16)</f>
        <v>0.99999999968858178</v>
      </c>
      <c r="AJ16">
        <f>SUM($AA16:AE16)</f>
        <v>0.99999999999999989</v>
      </c>
    </row>
    <row r="17" spans="1:36" x14ac:dyDescent="0.2">
      <c r="A17">
        <v>2</v>
      </c>
      <c r="B17">
        <v>224.69</v>
      </c>
      <c r="C17">
        <v>25.27</v>
      </c>
      <c r="D17">
        <f>C17/SQRT(E17)</f>
        <v>5.3875821023062755</v>
      </c>
      <c r="E17">
        <v>22</v>
      </c>
      <c r="F17">
        <f>E17/E$21</f>
        <v>0.28947368421052633</v>
      </c>
      <c r="G17">
        <f>Linf*(1-EXP(-K*A17))</f>
        <v>240.54210708825067</v>
      </c>
      <c r="H17">
        <f>LN(_xlfn.NORM.DIST(B17,G17,C17,FALSE))</f>
        <v>-4.3453149602799828</v>
      </c>
      <c r="I17">
        <f t="shared" ref="I17:I20" si="14">0.8*(1-0.2)*2619/(5763+0.00001*B17^3*0.9862)*0.9</f>
        <v>0.25677909953740208</v>
      </c>
      <c r="J17">
        <f t="shared" ref="J17:J20" si="15">0.8*(1-0.2)*(5763+50*0.9862)/(5763+0.00001*C17^3*0.9862)*0.9</f>
        <v>0.58091239169014608</v>
      </c>
      <c r="K17">
        <f>3*alpha*K*Linf*B17*B17/I17</f>
        <v>1001.8508205678081</v>
      </c>
      <c r="L17">
        <f>3*alpha*K*Linf*B17*B17/J17</f>
        <v>442.84535027344799</v>
      </c>
      <c r="M17">
        <f t="shared" ref="M17:M20" si="16">L17*0.18</f>
        <v>79.712163049220635</v>
      </c>
      <c r="O17">
        <v>180</v>
      </c>
      <c r="P17">
        <f t="shared" si="1"/>
        <v>4.289772721123708E-2</v>
      </c>
      <c r="Q17">
        <f t="shared" si="2"/>
        <v>3.3505150239872793E-2</v>
      </c>
      <c r="R17">
        <f t="shared" si="2"/>
        <v>8.4957609589111577E-5</v>
      </c>
      <c r="S17">
        <f t="shared" si="2"/>
        <v>5.6894147930168546E-8</v>
      </c>
      <c r="T17">
        <f t="shared" si="2"/>
        <v>2.5493075840019363E-9</v>
      </c>
      <c r="U17">
        <f t="shared" si="3"/>
        <v>0.56084335291654619</v>
      </c>
      <c r="V17">
        <f t="shared" si="4"/>
        <v>0.43804513716942395</v>
      </c>
      <c r="W17">
        <f t="shared" si="5"/>
        <v>1.1107327524160968E-3</v>
      </c>
      <c r="X17">
        <f t="shared" si="6"/>
        <v>7.438320573339653E-7</v>
      </c>
      <c r="Y17">
        <f t="shared" si="7"/>
        <v>3.3329556271985865E-8</v>
      </c>
      <c r="Z17">
        <f t="shared" si="8"/>
        <v>0.23796304284045705</v>
      </c>
      <c r="AA17">
        <f t="shared" si="9"/>
        <v>0.46516789204623171</v>
      </c>
      <c r="AB17">
        <f t="shared" si="10"/>
        <v>0.53286652495847275</v>
      </c>
      <c r="AC17">
        <f t="shared" si="11"/>
        <v>1.9653343763101909E-3</v>
      </c>
      <c r="AD17">
        <f t="shared" si="12"/>
        <v>2.4677606561412764E-7</v>
      </c>
      <c r="AE17">
        <f t="shared" si="13"/>
        <v>1.842919756856826E-9</v>
      </c>
      <c r="AF17">
        <f>SUM($AA17:AA17)</f>
        <v>0.46516789204623171</v>
      </c>
      <c r="AG17">
        <f>SUM($AA17:AB17)</f>
        <v>0.99803441700470441</v>
      </c>
      <c r="AH17">
        <f>SUM($AA17:AC17)</f>
        <v>0.9999997513810146</v>
      </c>
      <c r="AI17">
        <f>SUM($AA17:AD17)</f>
        <v>0.99999999815708018</v>
      </c>
      <c r="AJ17">
        <f>SUM($AA17:AE17)</f>
        <v>0.99999999999999989</v>
      </c>
    </row>
    <row r="18" spans="1:36" x14ac:dyDescent="0.2">
      <c r="A18">
        <v>3</v>
      </c>
      <c r="B18">
        <v>295.06</v>
      </c>
      <c r="C18">
        <v>29.86</v>
      </c>
      <c r="D18">
        <f>C18/SQRT(E18)</f>
        <v>5.2785521215575768</v>
      </c>
      <c r="E18">
        <v>32</v>
      </c>
      <c r="F18">
        <f>E18/E$21</f>
        <v>0.42105263157894735</v>
      </c>
      <c r="G18">
        <f>Linf*(1-EXP(-K*A18))</f>
        <v>308.68018390866831</v>
      </c>
      <c r="H18">
        <f>LN(_xlfn.NORM.DIST(B18,G18,C18,FALSE))</f>
        <v>-4.4194877845749945</v>
      </c>
      <c r="I18">
        <f t="shared" si="14"/>
        <v>0.25074133677787863</v>
      </c>
      <c r="J18">
        <f t="shared" si="15"/>
        <v>0.5809019670877843</v>
      </c>
      <c r="K18">
        <f>3*alpha*K*Linf*B18*B18/I18</f>
        <v>1769.253162508174</v>
      </c>
      <c r="L18">
        <f>3*alpha*K*Linf*B18*B18/J18</f>
        <v>763.682907272286</v>
      </c>
      <c r="M18">
        <f t="shared" si="16"/>
        <v>137.46292330901147</v>
      </c>
      <c r="O18">
        <v>190</v>
      </c>
      <c r="P18">
        <f t="shared" si="1"/>
        <v>1.0470911306627251E-2</v>
      </c>
      <c r="Q18">
        <f t="shared" si="2"/>
        <v>6.188168844473399E-2</v>
      </c>
      <c r="R18">
        <f t="shared" si="2"/>
        <v>2.886808739512816E-4</v>
      </c>
      <c r="S18">
        <f t="shared" si="2"/>
        <v>2.3754933759305518E-7</v>
      </c>
      <c r="T18">
        <f t="shared" si="2"/>
        <v>9.4637385405060426E-9</v>
      </c>
      <c r="U18">
        <f t="shared" si="3"/>
        <v>0.14414497666887885</v>
      </c>
      <c r="V18">
        <f t="shared" si="4"/>
        <v>0.85187757549349163</v>
      </c>
      <c r="W18">
        <f t="shared" si="5"/>
        <v>3.9740473987323367E-3</v>
      </c>
      <c r="X18">
        <f t="shared" si="6"/>
        <v>3.2701588927972676E-6</v>
      </c>
      <c r="Y18">
        <f t="shared" si="7"/>
        <v>1.3028000440212065E-7</v>
      </c>
      <c r="Z18">
        <f t="shared" si="8"/>
        <v>0.27671934972214207</v>
      </c>
      <c r="AA18">
        <f t="shared" si="9"/>
        <v>0.10281054243720854</v>
      </c>
      <c r="AB18">
        <f t="shared" si="10"/>
        <v>0.89114165858673267</v>
      </c>
      <c r="AC18">
        <f t="shared" si="11"/>
        <v>6.0468598127882585E-3</v>
      </c>
      <c r="AD18">
        <f t="shared" si="12"/>
        <v>9.3296850821700805E-7</v>
      </c>
      <c r="AE18">
        <f t="shared" si="13"/>
        <v>6.1947622598842232E-9</v>
      </c>
      <c r="AF18">
        <f>SUM($AA18:AA18)</f>
        <v>0.10281054243720854</v>
      </c>
      <c r="AG18">
        <f>SUM($AA18:AB18)</f>
        <v>0.99395220102394122</v>
      </c>
      <c r="AH18">
        <f>SUM($AA18:AC18)</f>
        <v>0.99999906083672951</v>
      </c>
      <c r="AI18">
        <f>SUM($AA18:AD18)</f>
        <v>0.99999999380523774</v>
      </c>
      <c r="AJ18">
        <f>SUM($AA18:AE18)</f>
        <v>1</v>
      </c>
    </row>
    <row r="19" spans="1:36" x14ac:dyDescent="0.2">
      <c r="A19">
        <v>4</v>
      </c>
      <c r="B19">
        <v>377.29</v>
      </c>
      <c r="C19">
        <v>36.57</v>
      </c>
      <c r="D19">
        <f>C19/SQRT(E19)</f>
        <v>14.929639982263472</v>
      </c>
      <c r="E19">
        <v>6</v>
      </c>
      <c r="F19">
        <f>E19/E$21</f>
        <v>7.8947368421052627E-2</v>
      </c>
      <c r="G19">
        <f>Linf*(1-EXP(-K*A19))</f>
        <v>355.85814559072463</v>
      </c>
      <c r="H19">
        <f>LN(_xlfn.NORM.DIST(B19,G19,C19,FALSE))</f>
        <v>-4.6898941613146583</v>
      </c>
      <c r="I19">
        <f t="shared" si="14"/>
        <v>0.2397310263642847</v>
      </c>
      <c r="J19">
        <f t="shared" si="15"/>
        <v>0.58087981729543459</v>
      </c>
      <c r="K19">
        <f>3*alpha*K*Linf*B19*B19/I19</f>
        <v>3025.6701832457902</v>
      </c>
      <c r="L19">
        <f>3*alpha*K*Linf*B19*B19/J19</f>
        <v>1248.7041155028051</v>
      </c>
      <c r="M19">
        <f t="shared" si="16"/>
        <v>224.76674079050491</v>
      </c>
      <c r="O19">
        <v>200</v>
      </c>
      <c r="P19">
        <f t="shared" si="1"/>
        <v>1.6972710343720054E-3</v>
      </c>
      <c r="Q19">
        <f t="shared" si="2"/>
        <v>9.792026026408171E-2</v>
      </c>
      <c r="R19">
        <f t="shared" si="2"/>
        <v>8.7770610808174908E-4</v>
      </c>
      <c r="S19">
        <f t="shared" si="2"/>
        <v>9.2076694849923624E-7</v>
      </c>
      <c r="T19">
        <f t="shared" si="2"/>
        <v>3.3370256286125734E-8</v>
      </c>
      <c r="U19">
        <f t="shared" si="3"/>
        <v>1.688890900540525E-2</v>
      </c>
      <c r="V19">
        <f t="shared" si="4"/>
        <v>0.97436787165673466</v>
      </c>
      <c r="W19">
        <f t="shared" si="5"/>
        <v>8.7337250755391456E-3</v>
      </c>
      <c r="X19">
        <f t="shared" si="6"/>
        <v>9.1622073867195168E-6</v>
      </c>
      <c r="Y19">
        <f t="shared" si="7"/>
        <v>3.3205493435640866E-7</v>
      </c>
      <c r="Z19">
        <f t="shared" si="8"/>
        <v>0.28906528051639141</v>
      </c>
      <c r="AA19">
        <f t="shared" si="9"/>
        <v>1.1531434345016014E-2</v>
      </c>
      <c r="AB19">
        <f t="shared" si="10"/>
        <v>0.97574449993087431</v>
      </c>
      <c r="AC19">
        <f t="shared" si="11"/>
        <v>1.2721548295158449E-2</v>
      </c>
      <c r="AD19">
        <f t="shared" si="12"/>
        <v>2.5023142205707372E-6</v>
      </c>
      <c r="AE19">
        <f t="shared" si="13"/>
        <v>1.5114730711711635E-8</v>
      </c>
      <c r="AF19">
        <f>SUM($AA19:AA19)</f>
        <v>1.1531434345016014E-2</v>
      </c>
      <c r="AG19">
        <f>SUM($AA19:AB19)</f>
        <v>0.98727593427589033</v>
      </c>
      <c r="AH19">
        <f>SUM($AA19:AC19)</f>
        <v>0.99999748257104881</v>
      </c>
      <c r="AI19">
        <f>SUM($AA19:AD19)</f>
        <v>0.99999998488526942</v>
      </c>
      <c r="AJ19">
        <f>SUM($AA19:AE19)</f>
        <v>1.0000000000000002</v>
      </c>
    </row>
    <row r="20" spans="1:36" x14ac:dyDescent="0.2">
      <c r="A20">
        <v>5</v>
      </c>
      <c r="B20">
        <v>440</v>
      </c>
      <c r="E20">
        <v>1</v>
      </c>
      <c r="F20">
        <f>E20/E$21</f>
        <v>1.3157894736842105E-2</v>
      </c>
      <c r="G20">
        <f>Linf*(1-EXP(-K*A20))</f>
        <v>388.52358277850595</v>
      </c>
      <c r="I20">
        <f t="shared" si="14"/>
        <v>0.22846049832109019</v>
      </c>
      <c r="J20">
        <f t="shared" si="15"/>
        <v>0.58092843310775655</v>
      </c>
      <c r="K20">
        <f>3*alpha*K*Linf*B20*B20/I20</f>
        <v>4318.0679731671662</v>
      </c>
      <c r="L20">
        <f>3*alpha*K*Linf*B20*B20/J20</f>
        <v>1698.157474676615</v>
      </c>
      <c r="M20">
        <f t="shared" si="16"/>
        <v>305.66834544179068</v>
      </c>
      <c r="O20">
        <v>210</v>
      </c>
      <c r="P20">
        <f t="shared" si="1"/>
        <v>1.8254032854880808E-4</v>
      </c>
      <c r="Q20">
        <f t="shared" si="1"/>
        <v>0.13275443312181237</v>
      </c>
      <c r="R20">
        <f t="shared" si="1"/>
        <v>2.3878154048719603E-3</v>
      </c>
      <c r="S20">
        <f t="shared" si="1"/>
        <v>3.3132718059277241E-6</v>
      </c>
      <c r="T20">
        <f t="shared" si="1"/>
        <v>1.1176690348429314E-7</v>
      </c>
      <c r="U20">
        <f t="shared" si="3"/>
        <v>1.348871187288897E-3</v>
      </c>
      <c r="V20">
        <f t="shared" si="4"/>
        <v>0.98098119602651923</v>
      </c>
      <c r="W20">
        <f t="shared" si="5"/>
        <v>1.7644623660985466E-2</v>
      </c>
      <c r="X20">
        <f t="shared" si="6"/>
        <v>2.4483230145373481E-5</v>
      </c>
      <c r="Y20">
        <f t="shared" si="7"/>
        <v>8.2589506111331287E-7</v>
      </c>
      <c r="Z20">
        <f t="shared" si="8"/>
        <v>0.29166572451079242</v>
      </c>
      <c r="AA20">
        <f t="shared" si="9"/>
        <v>9.1277292484447234E-4</v>
      </c>
      <c r="AB20">
        <f t="shared" si="10"/>
        <v>0.97360854255789464</v>
      </c>
      <c r="AC20">
        <f t="shared" si="11"/>
        <v>2.5472020197571024E-2</v>
      </c>
      <c r="AD20">
        <f t="shared" si="12"/>
        <v>6.6270611456530612E-6</v>
      </c>
      <c r="AE20">
        <f t="shared" si="13"/>
        <v>3.7258544163987421E-8</v>
      </c>
      <c r="AF20">
        <f>SUM($AA20:AA20)</f>
        <v>9.1277292484447234E-4</v>
      </c>
      <c r="AG20">
        <f>SUM($AA20:AB20)</f>
        <v>0.97452131548273913</v>
      </c>
      <c r="AH20">
        <f>SUM($AA20:AC20)</f>
        <v>0.99999333568031012</v>
      </c>
      <c r="AI20">
        <f>SUM($AA20:AD20)</f>
        <v>0.99999996274145575</v>
      </c>
      <c r="AJ20">
        <f>SUM($AA20:AE20)</f>
        <v>0.99999999999999989</v>
      </c>
    </row>
    <row r="21" spans="1:36" x14ac:dyDescent="0.2">
      <c r="E21">
        <f>SUM(E16:E20)</f>
        <v>76</v>
      </c>
      <c r="O21">
        <v>220</v>
      </c>
      <c r="P21">
        <f t="shared" si="1"/>
        <v>1.3013684984075624E-5</v>
      </c>
      <c r="Q21">
        <f t="shared" si="1"/>
        <v>0.15420404279529376</v>
      </c>
      <c r="R21">
        <f t="shared" si="1"/>
        <v>5.8126959696450375E-3</v>
      </c>
      <c r="S21">
        <f t="shared" si="1"/>
        <v>1.106821419520711E-5</v>
      </c>
      <c r="T21">
        <f t="shared" si="1"/>
        <v>3.5556933624481071E-7</v>
      </c>
      <c r="U21">
        <f t="shared" si="3"/>
        <v>8.1314604718303103E-5</v>
      </c>
      <c r="V21">
        <f t="shared" si="4"/>
        <v>0.96352730231346295</v>
      </c>
      <c r="W21">
        <f t="shared" si="5"/>
        <v>3.6320002804565592E-2</v>
      </c>
      <c r="X21">
        <f t="shared" si="6"/>
        <v>6.9158540668694837E-5</v>
      </c>
      <c r="Y21">
        <f t="shared" si="7"/>
        <v>2.2217365843783641E-6</v>
      </c>
      <c r="Z21">
        <f t="shared" si="8"/>
        <v>0.29422996885123232</v>
      </c>
      <c r="AA21">
        <f t="shared" si="9"/>
        <v>5.4545548859045568E-5</v>
      </c>
      <c r="AB21">
        <f t="shared" si="10"/>
        <v>0.94795169617521968</v>
      </c>
      <c r="AC21">
        <f t="shared" si="11"/>
        <v>5.1975102398727116E-2</v>
      </c>
      <c r="AD21">
        <f t="shared" si="12"/>
        <v>1.8556521658724755E-5</v>
      </c>
      <c r="AE21">
        <f t="shared" si="13"/>
        <v>9.9355535482595672E-8</v>
      </c>
      <c r="AF21">
        <f>SUM($AA21:AA21)</f>
        <v>5.4545548859045568E-5</v>
      </c>
      <c r="AG21">
        <f>SUM($AA21:AB21)</f>
        <v>0.94800624172407877</v>
      </c>
      <c r="AH21">
        <f>SUM($AA21:AC21)</f>
        <v>0.99998134412280593</v>
      </c>
      <c r="AI21">
        <f>SUM($AA21:AD21)</f>
        <v>0.99999990064446465</v>
      </c>
      <c r="AJ21">
        <f>SUM($AA21:AE21)</f>
        <v>1.0000000000000002</v>
      </c>
    </row>
    <row r="22" spans="1:36" x14ac:dyDescent="0.2">
      <c r="O22">
        <v>230</v>
      </c>
      <c r="P22">
        <f t="shared" si="1"/>
        <v>6.1440823972969127E-7</v>
      </c>
      <c r="Q22">
        <f t="shared" si="1"/>
        <v>0.15346693230676522</v>
      </c>
      <c r="R22">
        <f t="shared" si="1"/>
        <v>1.2661464792243183E-2</v>
      </c>
      <c r="S22">
        <f t="shared" si="1"/>
        <v>3.4325179583714972E-5</v>
      </c>
      <c r="T22">
        <f t="shared" si="1"/>
        <v>1.0744675591417935E-6</v>
      </c>
      <c r="U22">
        <f t="shared" si="3"/>
        <v>3.6975922549312704E-6</v>
      </c>
      <c r="V22">
        <f t="shared" si="4"/>
        <v>0.92358484732432899</v>
      </c>
      <c r="W22">
        <f t="shared" si="5"/>
        <v>7.6198415197817754E-2</v>
      </c>
      <c r="X22">
        <f t="shared" si="6"/>
        <v>2.0657359385952911E-4</v>
      </c>
      <c r="Y22">
        <f t="shared" si="7"/>
        <v>6.4662917388697416E-6</v>
      </c>
      <c r="Z22">
        <f t="shared" si="8"/>
        <v>0.29945417498952798</v>
      </c>
      <c r="AA22">
        <f t="shared" si="9"/>
        <v>2.4370605121058853E-6</v>
      </c>
      <c r="AB22">
        <f t="shared" si="10"/>
        <v>0.89280274167270979</v>
      </c>
      <c r="AC22">
        <f t="shared" si="11"/>
        <v>0.10714007658202927</v>
      </c>
      <c r="AD22">
        <f t="shared" si="12"/>
        <v>5.4460558518041878E-5</v>
      </c>
      <c r="AE22">
        <f t="shared" si="13"/>
        <v>2.8412623080220915E-7</v>
      </c>
      <c r="AF22">
        <f>SUM($AA22:AA22)</f>
        <v>2.4370605121058853E-6</v>
      </c>
      <c r="AG22">
        <f>SUM($AA22:AB22)</f>
        <v>0.89280517873322185</v>
      </c>
      <c r="AH22">
        <f>SUM($AA22:AC22)</f>
        <v>0.99994525531525114</v>
      </c>
      <c r="AI22">
        <f>SUM($AA22:AD22)</f>
        <v>0.99999971587376912</v>
      </c>
      <c r="AJ22">
        <f>SUM($AA22:AE22)</f>
        <v>0.99999999999999989</v>
      </c>
    </row>
    <row r="23" spans="1:36" x14ac:dyDescent="0.2">
      <c r="O23">
        <v>240</v>
      </c>
      <c r="P23">
        <f t="shared" si="1"/>
        <v>1.9191794708994792E-8</v>
      </c>
      <c r="Q23">
        <f t="shared" si="1"/>
        <v>0.13085976094075669</v>
      </c>
      <c r="R23">
        <f t="shared" si="1"/>
        <v>2.4678772824406479E-2</v>
      </c>
      <c r="S23">
        <f t="shared" si="1"/>
        <v>9.8824448614412397E-5</v>
      </c>
      <c r="T23">
        <f t="shared" si="1"/>
        <v>3.084045233672479E-6</v>
      </c>
      <c r="U23">
        <f t="shared" si="3"/>
        <v>1.2330851842829338E-7</v>
      </c>
      <c r="V23">
        <f t="shared" si="4"/>
        <v>0.84078240144590022</v>
      </c>
      <c r="W23">
        <f t="shared" si="5"/>
        <v>0.1585627066018872</v>
      </c>
      <c r="X23">
        <f t="shared" si="6"/>
        <v>6.3495345421889747E-4</v>
      </c>
      <c r="Y23">
        <f t="shared" si="7"/>
        <v>1.9815189475310495E-5</v>
      </c>
      <c r="Z23">
        <f t="shared" si="8"/>
        <v>0.31019803721858896</v>
      </c>
      <c r="AA23">
        <f t="shared" si="9"/>
        <v>7.8457000575351006E-8</v>
      </c>
      <c r="AB23">
        <f t="shared" si="10"/>
        <v>0.78460966919146391</v>
      </c>
      <c r="AC23">
        <f t="shared" si="11"/>
        <v>0.21522781215394576</v>
      </c>
      <c r="AD23">
        <f t="shared" si="12"/>
        <v>1.6159968235103744E-4</v>
      </c>
      <c r="AE23">
        <f t="shared" si="13"/>
        <v>8.4051523873115179E-7</v>
      </c>
      <c r="AF23">
        <f>SUM($AA23:AA23)</f>
        <v>7.8457000575351006E-8</v>
      </c>
      <c r="AG23">
        <f>SUM($AA23:AB23)</f>
        <v>0.78460974764846447</v>
      </c>
      <c r="AH23">
        <f>SUM($AA23:AC23)</f>
        <v>0.99983755980241029</v>
      </c>
      <c r="AI23">
        <f>SUM($AA23:AD23)</f>
        <v>0.99999915948476137</v>
      </c>
      <c r="AJ23">
        <f>SUM($AA23:AE23)</f>
        <v>1</v>
      </c>
    </row>
    <row r="24" spans="1:36" x14ac:dyDescent="0.2">
      <c r="O24">
        <v>250</v>
      </c>
      <c r="P24">
        <f t="shared" si="1"/>
        <v>3.9625980274848871E-10</v>
      </c>
      <c r="Q24">
        <f t="shared" si="1"/>
        <v>9.5602112447802701E-2</v>
      </c>
      <c r="R24">
        <f t="shared" si="1"/>
        <v>4.3042720694579407E-2</v>
      </c>
      <c r="S24">
        <f t="shared" si="1"/>
        <v>2.641397507133496E-4</v>
      </c>
      <c r="T24">
        <f t="shared" si="1"/>
        <v>8.4082782935705694E-6</v>
      </c>
      <c r="U24">
        <f t="shared" si="3"/>
        <v>2.8524854001478673E-9</v>
      </c>
      <c r="V24">
        <f t="shared" si="4"/>
        <v>0.68819402848625666</v>
      </c>
      <c r="W24">
        <f t="shared" si="5"/>
        <v>0.30984402533975797</v>
      </c>
      <c r="X24">
        <f t="shared" si="6"/>
        <v>1.9014161347744741E-3</v>
      </c>
      <c r="Y24">
        <f t="shared" si="7"/>
        <v>6.0527186725557283E-5</v>
      </c>
      <c r="Z24">
        <f t="shared" si="8"/>
        <v>0.3298256118993757</v>
      </c>
      <c r="AA24">
        <f t="shared" si="9"/>
        <v>1.7069339650755429E-9</v>
      </c>
      <c r="AB24">
        <f t="shared" si="10"/>
        <v>0.6039981544501084</v>
      </c>
      <c r="AC24">
        <f t="shared" si="11"/>
        <v>0.39554430444934791</v>
      </c>
      <c r="AD24">
        <f t="shared" si="12"/>
        <v>4.5512475289387431E-4</v>
      </c>
      <c r="AE24">
        <f t="shared" si="13"/>
        <v>2.4146407159400373E-6</v>
      </c>
      <c r="AF24">
        <f>SUM($AA24:AA24)</f>
        <v>1.7069339650755429E-9</v>
      </c>
      <c r="AG24">
        <f>SUM($AA24:AB24)</f>
        <v>0.60399815615704233</v>
      </c>
      <c r="AH24">
        <f>SUM($AA24:AC24)</f>
        <v>0.99954246060639029</v>
      </c>
      <c r="AI24">
        <f>SUM($AA24:AD24)</f>
        <v>0.99999758535928418</v>
      </c>
      <c r="AJ24">
        <f>SUM($AA24:AE24)</f>
        <v>1.0000000000000002</v>
      </c>
    </row>
    <row r="25" spans="1:36" x14ac:dyDescent="0.2">
      <c r="O25">
        <v>260</v>
      </c>
      <c r="P25">
        <f t="shared" si="1"/>
        <v>5.4035664831530994E-12</v>
      </c>
      <c r="Q25">
        <f t="shared" si="1"/>
        <v>5.9840414886874083E-2</v>
      </c>
      <c r="R25">
        <f t="shared" si="1"/>
        <v>6.7176160941052734E-2</v>
      </c>
      <c r="S25">
        <f t="shared" si="1"/>
        <v>6.5542391774585937E-4</v>
      </c>
      <c r="T25">
        <f t="shared" si="1"/>
        <v>2.1774730256677968E-5</v>
      </c>
      <c r="U25">
        <f t="shared" si="3"/>
        <v>4.2316600829612301E-11</v>
      </c>
      <c r="V25">
        <f t="shared" si="4"/>
        <v>0.46862437209593116</v>
      </c>
      <c r="W25">
        <f t="shared" si="5"/>
        <v>0.52607232587421848</v>
      </c>
      <c r="X25">
        <f t="shared" si="6"/>
        <v>5.1327789503291203E-3</v>
      </c>
      <c r="Y25">
        <f t="shared" si="7"/>
        <v>1.7052303720461434E-4</v>
      </c>
      <c r="Z25">
        <f t="shared" si="8"/>
        <v>0.35756602383499214</v>
      </c>
      <c r="AA25">
        <f t="shared" si="9"/>
        <v>2.3357814035231944E-11</v>
      </c>
      <c r="AB25">
        <f t="shared" si="10"/>
        <v>0.37938286766321766</v>
      </c>
      <c r="AC25">
        <f t="shared" si="11"/>
        <v>0.61947758580221235</v>
      </c>
      <c r="AD25">
        <f t="shared" si="12"/>
        <v>1.1332715185558445E-3</v>
      </c>
      <c r="AE25">
        <f t="shared" si="13"/>
        <v>6.2749926564061596E-6</v>
      </c>
      <c r="AF25">
        <f>SUM($AA25:AA25)</f>
        <v>2.3357814035231944E-11</v>
      </c>
      <c r="AG25">
        <f>SUM($AA25:AB25)</f>
        <v>0.37938286768657548</v>
      </c>
      <c r="AH25">
        <f>SUM($AA25:AC25)</f>
        <v>0.99886045348878783</v>
      </c>
      <c r="AI25">
        <f>SUM($AA25:AD25)</f>
        <v>0.99999372500734363</v>
      </c>
      <c r="AJ25">
        <f>SUM($AA25:AE25)</f>
        <v>1</v>
      </c>
    </row>
    <row r="26" spans="1:36" x14ac:dyDescent="0.2">
      <c r="O26">
        <v>270</v>
      </c>
      <c r="P26">
        <f t="shared" si="1"/>
        <v>4.8627768478581856E-14</v>
      </c>
      <c r="Q26">
        <f t="shared" si="1"/>
        <v>3.209083873559182E-2</v>
      </c>
      <c r="R26">
        <f t="shared" si="1"/>
        <v>9.3814979854718122E-2</v>
      </c>
      <c r="S26">
        <f t="shared" si="1"/>
        <v>1.5098411310625849E-3</v>
      </c>
      <c r="T26">
        <f t="shared" si="1"/>
        <v>5.356218680411896E-5</v>
      </c>
      <c r="U26">
        <f t="shared" si="3"/>
        <v>3.8148635216109395E-13</v>
      </c>
      <c r="V26">
        <f t="shared" si="4"/>
        <v>0.25175362534727358</v>
      </c>
      <c r="W26">
        <f t="shared" si="5"/>
        <v>0.73598142712648407</v>
      </c>
      <c r="X26">
        <f t="shared" si="6"/>
        <v>1.1844750508868986E-2</v>
      </c>
      <c r="Y26">
        <f t="shared" si="7"/>
        <v>4.2019701699193263E-4</v>
      </c>
      <c r="Z26">
        <f t="shared" si="8"/>
        <v>0.38370360691793992</v>
      </c>
      <c r="AA26">
        <f t="shared" si="9"/>
        <v>1.96227915562091E-13</v>
      </c>
      <c r="AB26">
        <f t="shared" si="10"/>
        <v>0.18992797599168082</v>
      </c>
      <c r="AC26">
        <f t="shared" si="11"/>
        <v>0.80762054642636905</v>
      </c>
      <c r="AD26">
        <f t="shared" si="12"/>
        <v>2.4370682615947274E-3</v>
      </c>
      <c r="AE26">
        <f t="shared" si="13"/>
        <v>1.440932015918561E-5</v>
      </c>
      <c r="AF26">
        <f>SUM($AA26:AA26)</f>
        <v>1.96227915562091E-13</v>
      </c>
      <c r="AG26">
        <f>SUM($AA26:AB26)</f>
        <v>0.18992797599187705</v>
      </c>
      <c r="AH26">
        <f>SUM($AA26:AC26)</f>
        <v>0.9975485224182461</v>
      </c>
      <c r="AI26">
        <f>SUM($AA26:AD26)</f>
        <v>0.99998559067984083</v>
      </c>
      <c r="AJ26">
        <f>SUM($AA26:AE26)</f>
        <v>1</v>
      </c>
    </row>
    <row r="27" spans="1:36" x14ac:dyDescent="0.2">
      <c r="O27">
        <v>280</v>
      </c>
      <c r="P27">
        <f t="shared" si="1"/>
        <v>0</v>
      </c>
      <c r="Q27">
        <f t="shared" si="1"/>
        <v>1.4744109203394973E-2</v>
      </c>
      <c r="R27">
        <f t="shared" si="1"/>
        <v>0.11723908721381432</v>
      </c>
      <c r="S27">
        <f t="shared" si="1"/>
        <v>3.2289539901375493E-3</v>
      </c>
      <c r="T27">
        <f t="shared" si="1"/>
        <v>1.2514803829301267E-4</v>
      </c>
      <c r="U27">
        <f t="shared" si="3"/>
        <v>0</v>
      </c>
      <c r="V27">
        <f t="shared" si="4"/>
        <v>0.10894342781134465</v>
      </c>
      <c r="W27">
        <f t="shared" si="5"/>
        <v>0.86627329317427648</v>
      </c>
      <c r="X27">
        <f t="shared" si="6"/>
        <v>2.3858566908179453E-2</v>
      </c>
      <c r="Y27">
        <f t="shared" si="7"/>
        <v>9.2471210619946096E-4</v>
      </c>
      <c r="Z27">
        <f t="shared" si="8"/>
        <v>0.39817864351291721</v>
      </c>
      <c r="AA27">
        <f t="shared" si="9"/>
        <v>0</v>
      </c>
      <c r="AB27">
        <f t="shared" si="10"/>
        <v>7.9201272928266425E-2</v>
      </c>
      <c r="AC27">
        <f t="shared" si="11"/>
        <v>0.91603770242327787</v>
      </c>
      <c r="AD27">
        <f t="shared" si="12"/>
        <v>4.7304673477227147E-3</v>
      </c>
      <c r="AE27">
        <f t="shared" si="13"/>
        <v>3.0557300732934336E-5</v>
      </c>
      <c r="AF27">
        <f>SUM($AA27:AA27)</f>
        <v>0</v>
      </c>
      <c r="AG27">
        <f>SUM($AA27:AB27)</f>
        <v>7.9201272928266425E-2</v>
      </c>
      <c r="AH27">
        <f>SUM($AA27:AC27)</f>
        <v>0.99523897535154426</v>
      </c>
      <c r="AI27">
        <f>SUM($AA27:AD27)</f>
        <v>0.99996944269926702</v>
      </c>
      <c r="AJ27">
        <f>SUM($AA27:AE27)</f>
        <v>1</v>
      </c>
    </row>
    <row r="28" spans="1:36" x14ac:dyDescent="0.2">
      <c r="O28">
        <v>290</v>
      </c>
      <c r="P28">
        <f t="shared" si="1"/>
        <v>0</v>
      </c>
      <c r="Q28">
        <f t="shared" si="1"/>
        <v>5.8035902823860841E-3</v>
      </c>
      <c r="R28">
        <f t="shared" si="1"/>
        <v>0.13110432786986659</v>
      </c>
      <c r="S28">
        <f t="shared" si="1"/>
        <v>6.4108438122029493E-3</v>
      </c>
      <c r="T28">
        <f t="shared" si="1"/>
        <v>2.7774766910164351E-4</v>
      </c>
      <c r="U28">
        <f t="shared" si="3"/>
        <v>0</v>
      </c>
      <c r="V28">
        <f t="shared" si="4"/>
        <v>4.0415956468553581E-2</v>
      </c>
      <c r="W28">
        <f t="shared" si="5"/>
        <v>0.91300497626600152</v>
      </c>
      <c r="X28">
        <f t="shared" si="6"/>
        <v>4.4644844283212241E-2</v>
      </c>
      <c r="Y28">
        <f t="shared" si="7"/>
        <v>1.9342229822328239E-3</v>
      </c>
      <c r="Z28">
        <f t="shared" si="8"/>
        <v>0.39967254699344384</v>
      </c>
      <c r="AA28">
        <f t="shared" si="9"/>
        <v>0</v>
      </c>
      <c r="AB28">
        <f t="shared" si="10"/>
        <v>2.9272352849484987E-2</v>
      </c>
      <c r="AC28">
        <f t="shared" si="11"/>
        <v>0.96184526756545108</v>
      </c>
      <c r="AD28">
        <f t="shared" si="12"/>
        <v>8.8187017002824032E-3</v>
      </c>
      <c r="AE28">
        <f t="shared" si="13"/>
        <v>6.3677884781557936E-5</v>
      </c>
      <c r="AF28">
        <f>SUM($AA28:AA28)</f>
        <v>0</v>
      </c>
      <c r="AG28">
        <f>SUM($AA28:AB28)</f>
        <v>2.9272352849484987E-2</v>
      </c>
      <c r="AH28">
        <f>SUM($AA28:AC28)</f>
        <v>0.99111762041493612</v>
      </c>
      <c r="AI28">
        <f>SUM($AA28:AD28)</f>
        <v>0.99993632211521855</v>
      </c>
      <c r="AJ28">
        <f>SUM($AA28:AE28)</f>
        <v>1</v>
      </c>
    </row>
    <row r="29" spans="1:36" x14ac:dyDescent="0.2">
      <c r="O29">
        <v>300</v>
      </c>
      <c r="P29">
        <f t="shared" si="1"/>
        <v>0</v>
      </c>
      <c r="Q29">
        <f t="shared" si="1"/>
        <v>1.9570577316744275E-3</v>
      </c>
      <c r="R29">
        <f t="shared" si="1"/>
        <v>0.13119175995300253</v>
      </c>
      <c r="S29">
        <f t="shared" si="1"/>
        <v>1.1816592778020232E-2</v>
      </c>
      <c r="T29">
        <f t="shared" si="1"/>
        <v>5.8551470585025192E-4</v>
      </c>
      <c r="U29">
        <f t="shared" si="3"/>
        <v>0</v>
      </c>
      <c r="V29">
        <f t="shared" si="4"/>
        <v>1.3445862535110389E-2</v>
      </c>
      <c r="W29">
        <f t="shared" si="5"/>
        <v>0.90134610825099848</v>
      </c>
      <c r="X29">
        <f t="shared" si="6"/>
        <v>8.1185281126428172E-2</v>
      </c>
      <c r="Y29">
        <f t="shared" si="7"/>
        <v>4.022748087463052E-3</v>
      </c>
      <c r="Z29">
        <f t="shared" si="8"/>
        <v>0.3898686694032949</v>
      </c>
      <c r="AA29">
        <f t="shared" si="9"/>
        <v>0</v>
      </c>
      <c r="AB29">
        <f t="shared" si="10"/>
        <v>9.9834217799133502E-3</v>
      </c>
      <c r="AC29">
        <f t="shared" si="11"/>
        <v>0.97344100879761097</v>
      </c>
      <c r="AD29">
        <f t="shared" si="12"/>
        <v>1.6439803458083897E-2</v>
      </c>
      <c r="AE29">
        <f t="shared" si="13"/>
        <v>1.3576596439176294E-4</v>
      </c>
      <c r="AF29">
        <f>SUM($AA29:AA29)</f>
        <v>0</v>
      </c>
      <c r="AG29">
        <f>SUM($AA29:AB29)</f>
        <v>9.9834217799133502E-3</v>
      </c>
      <c r="AH29">
        <f>SUM($AA29:AC29)</f>
        <v>0.98342443057752438</v>
      </c>
      <c r="AI29">
        <f>SUM($AA29:AD29)</f>
        <v>0.99986423403560831</v>
      </c>
      <c r="AJ29">
        <f>SUM($AA29:AE29)</f>
        <v>1</v>
      </c>
    </row>
    <row r="30" spans="1:36" x14ac:dyDescent="0.2">
      <c r="O30">
        <v>310</v>
      </c>
      <c r="P30">
        <f t="shared" si="1"/>
        <v>0</v>
      </c>
      <c r="Q30">
        <f t="shared" si="1"/>
        <v>5.6536056104294907E-4</v>
      </c>
      <c r="R30">
        <f t="shared" si="1"/>
        <v>0.11747380109506156</v>
      </c>
      <c r="S30">
        <f t="shared" si="1"/>
        <v>2.0220596941760031E-2</v>
      </c>
      <c r="T30">
        <f t="shared" si="1"/>
        <v>1.1724290079956825E-3</v>
      </c>
      <c r="U30">
        <f t="shared" si="3"/>
        <v>0</v>
      </c>
      <c r="V30">
        <f t="shared" si="4"/>
        <v>4.0547349270677827E-3</v>
      </c>
      <c r="W30">
        <f t="shared" si="5"/>
        <v>0.84251565662249006</v>
      </c>
      <c r="X30">
        <f t="shared" si="6"/>
        <v>0.14502101192673372</v>
      </c>
      <c r="Y30">
        <f t="shared" si="7"/>
        <v>8.4085965237083189E-3</v>
      </c>
      <c r="Z30">
        <f t="shared" si="8"/>
        <v>0.3674768401105169</v>
      </c>
      <c r="AA30">
        <f t="shared" si="9"/>
        <v>0</v>
      </c>
      <c r="AB30">
        <f t="shared" si="10"/>
        <v>3.1940490657381684E-3</v>
      </c>
      <c r="AC30">
        <f t="shared" si="11"/>
        <v>0.96534909318551021</v>
      </c>
      <c r="AD30">
        <f t="shared" si="12"/>
        <v>3.1155779106869633E-2</v>
      </c>
      <c r="AE30">
        <f t="shared" si="13"/>
        <v>3.0107864188191078E-4</v>
      </c>
      <c r="AF30">
        <f>SUM($AA30:AA30)</f>
        <v>0</v>
      </c>
      <c r="AG30">
        <f>SUM($AA30:AB30)</f>
        <v>3.1940490657381684E-3</v>
      </c>
      <c r="AH30">
        <f>SUM($AA30:AC30)</f>
        <v>0.96854314225124838</v>
      </c>
      <c r="AI30">
        <f>SUM($AA30:AD30)</f>
        <v>0.999698921358118</v>
      </c>
      <c r="AJ30">
        <f>SUM($AA30:AE30)</f>
        <v>0.99999999999999989</v>
      </c>
    </row>
    <row r="31" spans="1:36" x14ac:dyDescent="0.2">
      <c r="O31">
        <v>320</v>
      </c>
      <c r="P31">
        <f t="shared" si="1"/>
        <v>0</v>
      </c>
      <c r="Q31">
        <f t="shared" si="1"/>
        <v>1.3990947843867119E-4</v>
      </c>
      <c r="R31">
        <f t="shared" si="1"/>
        <v>9.4128222109761128E-2</v>
      </c>
      <c r="S31">
        <f t="shared" si="1"/>
        <v>3.2123369958201108E-2</v>
      </c>
      <c r="T31">
        <f t="shared" si="1"/>
        <v>2.2299596223056425E-3</v>
      </c>
      <c r="U31">
        <f t="shared" si="3"/>
        <v>0</v>
      </c>
      <c r="V31">
        <f t="shared" si="4"/>
        <v>1.0877615381398806E-3</v>
      </c>
      <c r="W31">
        <f t="shared" si="5"/>
        <v>0.73182361057380363</v>
      </c>
      <c r="X31">
        <f t="shared" si="6"/>
        <v>0.24975124420384584</v>
      </c>
      <c r="Y31">
        <f t="shared" si="7"/>
        <v>1.733738368421046E-2</v>
      </c>
      <c r="Z31">
        <f t="shared" si="8"/>
        <v>0.32839646238300102</v>
      </c>
      <c r="AA31">
        <f t="shared" si="9"/>
        <v>0</v>
      </c>
      <c r="AB31">
        <f t="shared" si="10"/>
        <v>9.5883596827734709E-4</v>
      </c>
      <c r="AC31">
        <f t="shared" si="11"/>
        <v>0.93830565301380975</v>
      </c>
      <c r="AD31">
        <f t="shared" si="12"/>
        <v>6.0040852287810559E-2</v>
      </c>
      <c r="AE31">
        <f t="shared" si="13"/>
        <v>6.9465873010236628E-4</v>
      </c>
      <c r="AF31">
        <f>SUM($AA31:AA31)</f>
        <v>0</v>
      </c>
      <c r="AG31">
        <f>SUM($AA31:AB31)</f>
        <v>9.5883596827734709E-4</v>
      </c>
      <c r="AH31">
        <f>SUM($AA31:AC31)</f>
        <v>0.93926448898208714</v>
      </c>
      <c r="AI31">
        <f>SUM($AA31:AD31)</f>
        <v>0.99930534126989767</v>
      </c>
      <c r="AJ31">
        <f>SUM($AA31:AE31)</f>
        <v>1</v>
      </c>
    </row>
    <row r="32" spans="1:36" x14ac:dyDescent="0.2">
      <c r="O32">
        <v>330</v>
      </c>
      <c r="P32">
        <f t="shared" si="1"/>
        <v>0</v>
      </c>
      <c r="Q32">
        <f t="shared" si="1"/>
        <v>2.9658687825007135E-5</v>
      </c>
      <c r="R32">
        <f t="shared" si="1"/>
        <v>6.7490389878984924E-2</v>
      </c>
      <c r="S32">
        <f t="shared" si="1"/>
        <v>4.7377739718561018E-2</v>
      </c>
      <c r="T32">
        <f t="shared" si="1"/>
        <v>4.0287419447211205E-3</v>
      </c>
      <c r="U32">
        <f t="shared" si="3"/>
        <v>0</v>
      </c>
      <c r="V32">
        <f t="shared" si="4"/>
        <v>2.4938664037053165E-4</v>
      </c>
      <c r="W32">
        <f t="shared" si="5"/>
        <v>0.5674965018184629</v>
      </c>
      <c r="X32">
        <f t="shared" si="6"/>
        <v>0.39837822247817495</v>
      </c>
      <c r="Y32">
        <f t="shared" si="7"/>
        <v>3.3875889062991639E-2</v>
      </c>
      <c r="Z32">
        <f t="shared" si="8"/>
        <v>0.27091473405540795</v>
      </c>
      <c r="AA32">
        <f t="shared" si="9"/>
        <v>0</v>
      </c>
      <c r="AB32">
        <f t="shared" si="10"/>
        <v>2.6647081352976085E-4</v>
      </c>
      <c r="AC32">
        <f t="shared" si="11"/>
        <v>0.88199667816384275</v>
      </c>
      <c r="AD32">
        <f t="shared" si="12"/>
        <v>0.11609155334636082</v>
      </c>
      <c r="AE32">
        <f t="shared" si="13"/>
        <v>1.6452976762667405E-3</v>
      </c>
      <c r="AF32">
        <f>SUM($AA32:AA32)</f>
        <v>0</v>
      </c>
      <c r="AG32">
        <f>SUM($AA32:AB32)</f>
        <v>2.6647081352976085E-4</v>
      </c>
      <c r="AH32">
        <f>SUM($AA32:AC32)</f>
        <v>0.88226314897737246</v>
      </c>
      <c r="AI32">
        <f>SUM($AA32:AD32)</f>
        <v>0.99835470232373325</v>
      </c>
      <c r="AJ32">
        <f>SUM($AA32:AE32)</f>
        <v>1</v>
      </c>
    </row>
    <row r="33" spans="15:36" x14ac:dyDescent="0.2">
      <c r="O33">
        <v>340</v>
      </c>
      <c r="P33">
        <f t="shared" si="1"/>
        <v>0</v>
      </c>
      <c r="Q33">
        <f t="shared" si="1"/>
        <v>5.3854512371831476E-6</v>
      </c>
      <c r="R33">
        <f t="shared" si="1"/>
        <v>4.3301763615574473E-2</v>
      </c>
      <c r="S33">
        <f t="shared" si="1"/>
        <v>6.4871548904132534E-2</v>
      </c>
      <c r="T33">
        <f t="shared" si="1"/>
        <v>6.9135991275392616E-3</v>
      </c>
      <c r="U33">
        <f t="shared" si="3"/>
        <v>0</v>
      </c>
      <c r="V33">
        <f t="shared" si="4"/>
        <v>4.6792455906713418E-5</v>
      </c>
      <c r="W33">
        <f t="shared" si="5"/>
        <v>0.37623511483589156</v>
      </c>
      <c r="X33">
        <f t="shared" si="6"/>
        <v>0.56364805064775558</v>
      </c>
      <c r="Y33">
        <f t="shared" si="7"/>
        <v>6.0070042060446117E-2</v>
      </c>
      <c r="Z33">
        <f t="shared" si="8"/>
        <v>0.20371725598322971</v>
      </c>
      <c r="AA33">
        <f t="shared" si="9"/>
        <v>0</v>
      </c>
      <c r="AB33">
        <f t="shared" si="10"/>
        <v>6.6490119058397278E-5</v>
      </c>
      <c r="AC33">
        <f t="shared" si="11"/>
        <v>0.7776208472349565</v>
      </c>
      <c r="AD33">
        <f t="shared" si="12"/>
        <v>0.21843279843686719</v>
      </c>
      <c r="AE33">
        <f t="shared" si="13"/>
        <v>3.8798642091178288E-3</v>
      </c>
      <c r="AF33">
        <f>SUM($AA33:AA33)</f>
        <v>0</v>
      </c>
      <c r="AG33">
        <f>SUM($AA33:AB33)</f>
        <v>6.6490119058397278E-5</v>
      </c>
      <c r="AH33">
        <f>SUM($AA33:AC33)</f>
        <v>0.77768733735401485</v>
      </c>
      <c r="AI33">
        <f>SUM($AA33:AD33)</f>
        <v>0.99612013579088199</v>
      </c>
      <c r="AJ33">
        <f>SUM($AA33:AE33)</f>
        <v>0.99999999999999978</v>
      </c>
    </row>
    <row r="34" spans="15:36" x14ac:dyDescent="0.2">
      <c r="O34">
        <v>350</v>
      </c>
      <c r="P34">
        <f t="shared" si="1"/>
        <v>0</v>
      </c>
      <c r="Q34">
        <f t="shared" si="1"/>
        <v>8.3760409153033066E-7</v>
      </c>
      <c r="R34">
        <f t="shared" si="1"/>
        <v>2.4860426426786209E-2</v>
      </c>
      <c r="S34">
        <f t="shared" si="1"/>
        <v>8.2463423341273101E-2</v>
      </c>
      <c r="T34">
        <f t="shared" si="1"/>
        <v>1.1269418168280447E-2</v>
      </c>
      <c r="U34">
        <f t="shared" si="3"/>
        <v>0</v>
      </c>
      <c r="V34">
        <f t="shared" si="4"/>
        <v>7.0627801248079177E-6</v>
      </c>
      <c r="W34">
        <f t="shared" si="5"/>
        <v>0.20962615564658696</v>
      </c>
      <c r="X34">
        <f t="shared" si="6"/>
        <v>0.69534166951627741</v>
      </c>
      <c r="Y34">
        <f t="shared" si="7"/>
        <v>9.502511205701078E-2</v>
      </c>
      <c r="Z34">
        <f t="shared" si="8"/>
        <v>0.14441141435537111</v>
      </c>
      <c r="AA34">
        <f t="shared" si="9"/>
        <v>0</v>
      </c>
      <c r="AB34">
        <f t="shared" si="10"/>
        <v>1.4157391869772155E-5</v>
      </c>
      <c r="AC34">
        <f t="shared" si="11"/>
        <v>0.61119576230707173</v>
      </c>
      <c r="AD34">
        <f t="shared" si="12"/>
        <v>0.38013196676215255</v>
      </c>
      <c r="AE34">
        <f t="shared" si="13"/>
        <v>8.6581135389057953E-3</v>
      </c>
      <c r="AF34">
        <f>SUM($AA34:AA34)</f>
        <v>0</v>
      </c>
      <c r="AG34">
        <f>SUM($AA34:AB34)</f>
        <v>1.4157391869772155E-5</v>
      </c>
      <c r="AH34">
        <f>SUM($AA34:AC34)</f>
        <v>0.61120991969894145</v>
      </c>
      <c r="AI34">
        <f>SUM($AA34:AD34)</f>
        <v>0.991341886461094</v>
      </c>
      <c r="AJ34">
        <f>SUM($AA34:AE34)</f>
        <v>0.99999999999999978</v>
      </c>
    </row>
    <row r="35" spans="15:36" x14ac:dyDescent="0.2">
      <c r="O35">
        <v>360</v>
      </c>
      <c r="P35">
        <f t="shared" si="1"/>
        <v>0</v>
      </c>
      <c r="Q35">
        <f t="shared" si="1"/>
        <v>1.1157895363211878E-7</v>
      </c>
      <c r="R35">
        <f t="shared" si="1"/>
        <v>1.2771683427802882E-2</v>
      </c>
      <c r="S35">
        <f t="shared" si="1"/>
        <v>9.7318627621270359E-2</v>
      </c>
      <c r="T35">
        <f t="shared" si="1"/>
        <v>1.7448640288779467E-2</v>
      </c>
      <c r="U35">
        <f t="shared" si="3"/>
        <v>0</v>
      </c>
      <c r="V35">
        <f t="shared" si="4"/>
        <v>8.7486101183683372E-7</v>
      </c>
      <c r="W35">
        <f t="shared" si="5"/>
        <v>0.10013938581416303</v>
      </c>
      <c r="X35">
        <f t="shared" si="6"/>
        <v>0.76304957395485373</v>
      </c>
      <c r="Y35">
        <f t="shared" si="7"/>
        <v>0.13681016536997145</v>
      </c>
      <c r="Z35">
        <f t="shared" si="8"/>
        <v>0.10420509476440223</v>
      </c>
      <c r="AA35">
        <f t="shared" si="9"/>
        <v>0</v>
      </c>
      <c r="AB35">
        <f t="shared" si="10"/>
        <v>2.4302961466627855E-6</v>
      </c>
      <c r="AC35">
        <f t="shared" si="11"/>
        <v>0.40462466846828865</v>
      </c>
      <c r="AD35">
        <f t="shared" si="12"/>
        <v>0.57809799007178753</v>
      </c>
      <c r="AE35">
        <f t="shared" si="13"/>
        <v>1.7274911163777319E-2</v>
      </c>
      <c r="AF35">
        <f>SUM($AA35:AA35)</f>
        <v>0</v>
      </c>
      <c r="AG35">
        <f>SUM($AA35:AB35)</f>
        <v>2.4302961466627855E-6</v>
      </c>
      <c r="AH35">
        <f>SUM($AA35:AC35)</f>
        <v>0.40462709876443531</v>
      </c>
      <c r="AI35">
        <f>SUM($AA35:AD35)</f>
        <v>0.98272508883622289</v>
      </c>
      <c r="AJ35">
        <f>SUM($AA35:AE35)</f>
        <v>1.0000000000000002</v>
      </c>
    </row>
    <row r="36" spans="15:36" x14ac:dyDescent="0.2">
      <c r="O36">
        <v>370</v>
      </c>
      <c r="P36">
        <f t="shared" si="1"/>
        <v>0</v>
      </c>
      <c r="Q36">
        <f t="shared" si="1"/>
        <v>1.2730109411052126E-8</v>
      </c>
      <c r="R36">
        <f t="shared" si="1"/>
        <v>5.8711209009948417E-3</v>
      </c>
      <c r="S36">
        <f t="shared" si="1"/>
        <v>0.10662483332419753</v>
      </c>
      <c r="T36">
        <f t="shared" si="1"/>
        <v>2.5661656922802589E-2</v>
      </c>
      <c r="U36">
        <f t="shared" si="3"/>
        <v>0</v>
      </c>
      <c r="V36">
        <f t="shared" si="4"/>
        <v>9.2141924952935089E-8</v>
      </c>
      <c r="W36">
        <f t="shared" si="5"/>
        <v>4.2495815548875507E-2</v>
      </c>
      <c r="X36">
        <f t="shared" si="6"/>
        <v>0.77176221138742207</v>
      </c>
      <c r="Y36">
        <f t="shared" si="7"/>
        <v>0.18574188092177751</v>
      </c>
      <c r="Z36">
        <f t="shared" si="8"/>
        <v>8.1265569393850975E-2</v>
      </c>
      <c r="AA36">
        <f t="shared" si="9"/>
        <v>0</v>
      </c>
      <c r="AB36">
        <f t="shared" si="10"/>
        <v>3.2821602906770695E-7</v>
      </c>
      <c r="AC36">
        <f t="shared" si="11"/>
        <v>0.22017903893873988</v>
      </c>
      <c r="AD36">
        <f t="shared" si="12"/>
        <v>0.74974673887486865</v>
      </c>
      <c r="AE36">
        <f t="shared" si="13"/>
        <v>3.0073893970362489E-2</v>
      </c>
      <c r="AF36">
        <f>SUM($AA36:AA36)</f>
        <v>0</v>
      </c>
      <c r="AG36">
        <f>SUM($AA36:AB36)</f>
        <v>3.2821602906770695E-7</v>
      </c>
      <c r="AH36">
        <f>SUM($AA36:AC36)</f>
        <v>0.22017936715476896</v>
      </c>
      <c r="AI36">
        <f>SUM($AA36:AD36)</f>
        <v>0.96992610602963758</v>
      </c>
      <c r="AJ36">
        <f>SUM($AA36:AE36)</f>
        <v>1</v>
      </c>
    </row>
    <row r="37" spans="15:36" x14ac:dyDescent="0.2">
      <c r="O37">
        <v>380</v>
      </c>
      <c r="P37">
        <f t="shared" si="1"/>
        <v>0</v>
      </c>
      <c r="Q37">
        <f t="shared" si="1"/>
        <v>1.2438480245791084E-9</v>
      </c>
      <c r="R37">
        <f t="shared" si="1"/>
        <v>2.4150350372802443E-3</v>
      </c>
      <c r="S37">
        <f t="shared" si="1"/>
        <v>0.10845477205957715</v>
      </c>
      <c r="T37">
        <f t="shared" si="1"/>
        <v>3.5848500885985332E-2</v>
      </c>
      <c r="U37">
        <f t="shared" si="3"/>
        <v>0</v>
      </c>
      <c r="V37">
        <f t="shared" si="4"/>
        <v>8.4777968825776883E-9</v>
      </c>
      <c r="W37">
        <f t="shared" si="5"/>
        <v>1.6460352153791755E-2</v>
      </c>
      <c r="X37">
        <f t="shared" si="6"/>
        <v>0.7392040750142943</v>
      </c>
      <c r="Y37">
        <f t="shared" si="7"/>
        <v>0.24433556435411694</v>
      </c>
      <c r="Z37">
        <f t="shared" si="8"/>
        <v>6.8503835129904614E-2</v>
      </c>
      <c r="AA37">
        <f t="shared" si="9"/>
        <v>0</v>
      </c>
      <c r="AB37">
        <f t="shared" si="10"/>
        <v>3.5824258494937425E-8</v>
      </c>
      <c r="AC37">
        <f t="shared" si="11"/>
        <v>0.1011720669058527</v>
      </c>
      <c r="AD37">
        <f t="shared" si="12"/>
        <v>0.85189707025645434</v>
      </c>
      <c r="AE37">
        <f t="shared" si="13"/>
        <v>4.6930827013434345E-2</v>
      </c>
      <c r="AF37">
        <f>SUM($AA37:AA37)</f>
        <v>0</v>
      </c>
      <c r="AG37">
        <f>SUM($AA37:AB37)</f>
        <v>3.5824258494937425E-8</v>
      </c>
      <c r="AH37">
        <f>SUM($AA37:AC37)</f>
        <v>0.10117210273011119</v>
      </c>
      <c r="AI37">
        <f>SUM($AA37:AD37)</f>
        <v>0.95306917298656557</v>
      </c>
      <c r="AJ37">
        <f>SUM($AA37:AE37)</f>
        <v>0.99999999999999989</v>
      </c>
    </row>
    <row r="38" spans="15:36" x14ac:dyDescent="0.2">
      <c r="O38">
        <v>390</v>
      </c>
      <c r="P38">
        <f t="shared" si="1"/>
        <v>0</v>
      </c>
      <c r="Q38">
        <f t="shared" si="1"/>
        <v>1.0407974482262716E-10</v>
      </c>
      <c r="R38">
        <f t="shared" si="1"/>
        <v>8.8889636686784179E-4</v>
      </c>
      <c r="S38">
        <f t="shared" si="1"/>
        <v>0.10241578627507109</v>
      </c>
      <c r="T38">
        <f t="shared" si="1"/>
        <v>4.7568632700493677E-2</v>
      </c>
      <c r="U38">
        <f t="shared" si="3"/>
        <v>0</v>
      </c>
      <c r="V38">
        <f t="shared" si="4"/>
        <v>6.8984859592036706E-10</v>
      </c>
      <c r="W38">
        <f t="shared" si="5"/>
        <v>5.891673847274694E-3</v>
      </c>
      <c r="X38">
        <f t="shared" si="6"/>
        <v>0.67881975001324579</v>
      </c>
      <c r="Y38">
        <f t="shared" si="7"/>
        <v>0.31528857544963096</v>
      </c>
      <c r="Z38">
        <f t="shared" si="8"/>
        <v>6.0220271760770591E-2</v>
      </c>
      <c r="AA38">
        <f t="shared" si="9"/>
        <v>0</v>
      </c>
      <c r="AB38">
        <f t="shared" si="10"/>
        <v>3.3160430660595877E-9</v>
      </c>
      <c r="AC38">
        <f t="shared" si="11"/>
        <v>4.1193848936030238E-2</v>
      </c>
      <c r="AD38">
        <f t="shared" si="12"/>
        <v>0.8899168225058306</v>
      </c>
      <c r="AE38">
        <f t="shared" si="13"/>
        <v>6.888932524209615E-2</v>
      </c>
      <c r="AF38">
        <f>SUM($AA38:AA38)</f>
        <v>0</v>
      </c>
      <c r="AG38">
        <f>SUM($AA38:AB38)</f>
        <v>3.3160430660595877E-9</v>
      </c>
      <c r="AH38">
        <f>SUM($AA38:AC38)</f>
        <v>4.1193852252073303E-2</v>
      </c>
      <c r="AI38">
        <f>SUM($AA38:AD38)</f>
        <v>0.93111067475790388</v>
      </c>
      <c r="AJ38">
        <f>SUM($AA38:AE38)</f>
        <v>1</v>
      </c>
    </row>
    <row r="39" spans="15:36" x14ac:dyDescent="0.2">
      <c r="O39">
        <v>400</v>
      </c>
      <c r="P39">
        <f t="shared" si="1"/>
        <v>0</v>
      </c>
      <c r="Q39">
        <f t="shared" si="1"/>
        <v>7.4578121456170265E-12</v>
      </c>
      <c r="R39">
        <f t="shared" si="1"/>
        <v>2.9275168622511227E-4</v>
      </c>
      <c r="S39">
        <f t="shared" si="1"/>
        <v>8.9786902960949044E-2</v>
      </c>
      <c r="T39">
        <f t="shared" si="1"/>
        <v>5.995616450428945E-2</v>
      </c>
      <c r="U39">
        <f t="shared" si="3"/>
        <v>0</v>
      </c>
      <c r="V39">
        <f t="shared" si="4"/>
        <v>4.9706877913716987E-11</v>
      </c>
      <c r="W39">
        <f t="shared" si="5"/>
        <v>1.9512119696898705E-3</v>
      </c>
      <c r="X39">
        <f t="shared" si="6"/>
        <v>0.59843644980432753</v>
      </c>
      <c r="Y39">
        <f t="shared" si="7"/>
        <v>0.39961233817627567</v>
      </c>
      <c r="Z39">
        <f t="shared" si="8"/>
        <v>5.3324602909550892E-2</v>
      </c>
      <c r="AA39">
        <f t="shared" si="9"/>
        <v>0</v>
      </c>
      <c r="AB39">
        <f t="shared" si="10"/>
        <v>2.6983479098180654E-10</v>
      </c>
      <c r="AC39">
        <f t="shared" si="11"/>
        <v>1.5406827051291785E-2</v>
      </c>
      <c r="AD39">
        <f t="shared" si="12"/>
        <v>0.88598846126291608</v>
      </c>
      <c r="AE39">
        <f t="shared" si="13"/>
        <v>9.860471141595735E-2</v>
      </c>
      <c r="AF39">
        <f>SUM($AA39:AA39)</f>
        <v>0</v>
      </c>
      <c r="AG39">
        <f>SUM($AA39:AB39)</f>
        <v>2.6983479098180654E-10</v>
      </c>
      <c r="AH39">
        <f>SUM($AA39:AC39)</f>
        <v>1.5406827321126576E-2</v>
      </c>
      <c r="AI39">
        <f>SUM($AA39:AD39)</f>
        <v>0.90139528858404261</v>
      </c>
      <c r="AJ39">
        <f>SUM($AA39:AE39)</f>
        <v>1</v>
      </c>
    </row>
    <row r="40" spans="15:36" x14ac:dyDescent="0.2">
      <c r="O40">
        <v>410</v>
      </c>
      <c r="P40">
        <f t="shared" si="1"/>
        <v>0</v>
      </c>
      <c r="Q40">
        <f t="shared" si="1"/>
        <v>4.5752290844802701E-13</v>
      </c>
      <c r="R40">
        <f t="shared" si="1"/>
        <v>8.6270661020737549E-5</v>
      </c>
      <c r="S40">
        <f t="shared" si="1"/>
        <v>7.3078013195871594E-2</v>
      </c>
      <c r="T40">
        <f t="shared" si="1"/>
        <v>7.1781187111028655E-2</v>
      </c>
      <c r="U40">
        <f t="shared" si="3"/>
        <v>0</v>
      </c>
      <c r="V40">
        <f t="shared" si="4"/>
        <v>3.1565174502612834E-12</v>
      </c>
      <c r="W40">
        <f t="shared" si="5"/>
        <v>5.9519390598660696E-4</v>
      </c>
      <c r="X40">
        <f t="shared" si="6"/>
        <v>0.50417589944438057</v>
      </c>
      <c r="Y40">
        <f t="shared" si="7"/>
        <v>0.49522890664647623</v>
      </c>
      <c r="Z40">
        <f t="shared" si="8"/>
        <v>4.6570138268075975E-2</v>
      </c>
      <c r="AA40">
        <f t="shared" si="9"/>
        <v>0</v>
      </c>
      <c r="AB40">
        <f t="shared" si="10"/>
        <v>1.9620485778723046E-11</v>
      </c>
      <c r="AC40">
        <f t="shared" si="11"/>
        <v>5.3813016180629695E-3</v>
      </c>
      <c r="AD40">
        <f t="shared" si="12"/>
        <v>0.85469706474409302</v>
      </c>
      <c r="AE40">
        <f t="shared" si="13"/>
        <v>0.13992163361822357</v>
      </c>
      <c r="AF40">
        <f>SUM($AA40:AA40)</f>
        <v>0</v>
      </c>
      <c r="AG40">
        <f>SUM($AA40:AB40)</f>
        <v>1.9620485778723046E-11</v>
      </c>
      <c r="AH40">
        <f>SUM($AA40:AC40)</f>
        <v>5.3813016376834553E-3</v>
      </c>
      <c r="AI40">
        <f>SUM($AA40:AD40)</f>
        <v>0.86007836638177648</v>
      </c>
      <c r="AJ40">
        <f>SUM($AA40:AE40)</f>
        <v>1</v>
      </c>
    </row>
    <row r="41" spans="15:36" x14ac:dyDescent="0.2">
      <c r="O41">
        <v>420</v>
      </c>
      <c r="P41">
        <f t="shared" si="1"/>
        <v>0</v>
      </c>
      <c r="Q41">
        <f t="shared" si="1"/>
        <v>2.4091839634365897E-14</v>
      </c>
      <c r="R41">
        <f t="shared" si="1"/>
        <v>2.2747661586386414E-5</v>
      </c>
      <c r="S41">
        <f t="shared" si="1"/>
        <v>5.5218907901161796E-2</v>
      </c>
      <c r="T41">
        <f t="shared" si="1"/>
        <v>8.1630252414151339E-2</v>
      </c>
      <c r="U41">
        <f t="shared" si="3"/>
        <v>0</v>
      </c>
      <c r="V41">
        <f t="shared" si="4"/>
        <v>1.7601741650615219E-13</v>
      </c>
      <c r="W41">
        <f t="shared" si="5"/>
        <v>1.6619671576596735E-4</v>
      </c>
      <c r="X41">
        <f t="shared" si="6"/>
        <v>0.40343492479458687</v>
      </c>
      <c r="Y41">
        <f t="shared" si="7"/>
        <v>0.59639887848947115</v>
      </c>
      <c r="Z41">
        <f t="shared" si="8"/>
        <v>3.9767456870597045E-2</v>
      </c>
      <c r="AA41">
        <f t="shared" si="9"/>
        <v>0</v>
      </c>
      <c r="AB41">
        <f t="shared" si="10"/>
        <v>1.2812589501776109E-12</v>
      </c>
      <c r="AC41">
        <f t="shared" si="11"/>
        <v>1.7596690872324389E-3</v>
      </c>
      <c r="AD41">
        <f t="shared" si="12"/>
        <v>0.80090928985773313</v>
      </c>
      <c r="AE41">
        <f t="shared" si="13"/>
        <v>0.19733104105375321</v>
      </c>
      <c r="AF41">
        <f>SUM($AA41:AA41)</f>
        <v>0</v>
      </c>
      <c r="AG41">
        <f>SUM($AA41:AB41)</f>
        <v>1.2812589501776109E-12</v>
      </c>
      <c r="AH41">
        <f>SUM($AA41:AC41)</f>
        <v>1.7596690885136978E-3</v>
      </c>
      <c r="AI41">
        <f>SUM($AA41:AD41)</f>
        <v>0.80266895894624679</v>
      </c>
      <c r="AJ41">
        <f>SUM($AA41:AE41)</f>
        <v>1</v>
      </c>
    </row>
    <row r="42" spans="15:36" x14ac:dyDescent="0.2">
      <c r="O42">
        <v>430</v>
      </c>
      <c r="P42">
        <f t="shared" si="1"/>
        <v>0</v>
      </c>
      <c r="Q42">
        <f t="shared" si="1"/>
        <v>0</v>
      </c>
      <c r="R42">
        <f t="shared" si="1"/>
        <v>5.3667874768681401E-6</v>
      </c>
      <c r="S42">
        <f t="shared" si="1"/>
        <v>3.8736093068988176E-2</v>
      </c>
      <c r="T42">
        <f t="shared" si="1"/>
        <v>8.8177019621660802E-2</v>
      </c>
      <c r="U42">
        <f t="shared" si="3"/>
        <v>0</v>
      </c>
      <c r="V42">
        <f t="shared" si="4"/>
        <v>0</v>
      </c>
      <c r="W42">
        <f t="shared" si="5"/>
        <v>4.2285311791756028E-5</v>
      </c>
      <c r="X42">
        <f t="shared" si="6"/>
        <v>0.30520451575110674</v>
      </c>
      <c r="Y42">
        <f t="shared" si="7"/>
        <v>0.69475319893710152</v>
      </c>
      <c r="Z42">
        <f t="shared" si="8"/>
        <v>3.3254387150277342E-2</v>
      </c>
      <c r="AA42">
        <f t="shared" si="9"/>
        <v>0</v>
      </c>
      <c r="AB42">
        <f t="shared" si="10"/>
        <v>0</v>
      </c>
      <c r="AC42">
        <f t="shared" si="11"/>
        <v>5.3539828373913307E-4</v>
      </c>
      <c r="AD42">
        <f t="shared" si="12"/>
        <v>0.72456885883613797</v>
      </c>
      <c r="AE42">
        <f t="shared" si="13"/>
        <v>0.27489574288012292</v>
      </c>
      <c r="AF42">
        <f>SUM($AA42:AA42)</f>
        <v>0</v>
      </c>
      <c r="AG42">
        <f>SUM($AA42:AB42)</f>
        <v>0</v>
      </c>
      <c r="AH42">
        <f>SUM($AA42:AC42)</f>
        <v>5.3539828373913307E-4</v>
      </c>
      <c r="AI42">
        <f>SUM($AA42:AD42)</f>
        <v>0.72510425711987714</v>
      </c>
      <c r="AJ42">
        <f>SUM($AA42:AE42)</f>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1F23-C7DD-41CE-A0A8-E7B61F45D720}">
  <sheetPr codeName="Sheet3"/>
  <dimension ref="A2:A5"/>
  <sheetViews>
    <sheetView workbookViewId="0">
      <selection activeCell="A5" sqref="A5"/>
    </sheetView>
  </sheetViews>
  <sheetFormatPr baseColWidth="10" defaultColWidth="8.83203125" defaultRowHeight="15" x14ac:dyDescent="0.2"/>
  <sheetData>
    <row r="2" spans="1:1" x14ac:dyDescent="0.2">
      <c r="A2" s="2" t="s">
        <v>90</v>
      </c>
    </row>
    <row r="3" spans="1:1" x14ac:dyDescent="0.2">
      <c r="A3" s="2" t="s">
        <v>91</v>
      </c>
    </row>
    <row r="4" spans="1:1" x14ac:dyDescent="0.2">
      <c r="A4" s="2" t="s">
        <v>92</v>
      </c>
    </row>
    <row r="5" spans="1:1" x14ac:dyDescent="0.2">
      <c r="A5" s="2"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F65DF-A36E-FB45-8339-8BF3935C1927}">
  <sheetPr codeName="Sheet4"/>
  <dimension ref="A1:F12"/>
  <sheetViews>
    <sheetView workbookViewId="0">
      <selection activeCell="B12" sqref="B12:E16"/>
    </sheetView>
  </sheetViews>
  <sheetFormatPr baseColWidth="10" defaultRowHeight="15" x14ac:dyDescent="0.2"/>
  <cols>
    <col min="1" max="1" width="19.5" bestFit="1" customWidth="1"/>
    <col min="2" max="2" width="14.83203125" bestFit="1" customWidth="1"/>
    <col min="3" max="5" width="3.1640625" bestFit="1" customWidth="1"/>
    <col min="6" max="6" width="10" bestFit="1" customWidth="1"/>
  </cols>
  <sheetData>
    <row r="1" spans="1:6" x14ac:dyDescent="0.2">
      <c r="A1" s="29" t="s">
        <v>46</v>
      </c>
      <c r="B1" t="s">
        <v>47</v>
      </c>
    </row>
    <row r="2" spans="1:6" x14ac:dyDescent="0.2">
      <c r="A2" s="29" t="s">
        <v>45</v>
      </c>
      <c r="B2" t="s">
        <v>141</v>
      </c>
    </row>
    <row r="3" spans="1:6" x14ac:dyDescent="0.2">
      <c r="A3" s="29" t="s">
        <v>48</v>
      </c>
      <c r="B3" t="s">
        <v>49</v>
      </c>
    </row>
    <row r="5" spans="1:6" x14ac:dyDescent="0.2">
      <c r="A5" s="29" t="s">
        <v>140</v>
      </c>
      <c r="B5" s="29" t="s">
        <v>139</v>
      </c>
    </row>
    <row r="6" spans="1:6" x14ac:dyDescent="0.2">
      <c r="A6" s="29" t="s">
        <v>132</v>
      </c>
      <c r="B6">
        <v>1</v>
      </c>
      <c r="C6">
        <v>2</v>
      </c>
      <c r="D6">
        <v>3</v>
      </c>
      <c r="E6">
        <v>4</v>
      </c>
      <c r="F6" t="s">
        <v>138</v>
      </c>
    </row>
    <row r="7" spans="1:6" x14ac:dyDescent="0.2">
      <c r="A7" s="22" t="s">
        <v>133</v>
      </c>
      <c r="B7" s="30"/>
      <c r="C7" s="30">
        <v>6</v>
      </c>
      <c r="D7" s="30">
        <v>14</v>
      </c>
      <c r="E7" s="30">
        <v>2</v>
      </c>
      <c r="F7" s="30">
        <v>22</v>
      </c>
    </row>
    <row r="8" spans="1:6" x14ac:dyDescent="0.2">
      <c r="A8" s="22" t="s">
        <v>134</v>
      </c>
      <c r="B8" s="30"/>
      <c r="C8" s="30">
        <v>3</v>
      </c>
      <c r="D8" s="30">
        <v>8</v>
      </c>
      <c r="E8" s="30">
        <v>3</v>
      </c>
      <c r="F8" s="30">
        <v>14</v>
      </c>
    </row>
    <row r="9" spans="1:6" x14ac:dyDescent="0.2">
      <c r="A9" s="22" t="s">
        <v>135</v>
      </c>
      <c r="B9" s="30"/>
      <c r="C9" s="30"/>
      <c r="D9" s="30">
        <v>2</v>
      </c>
      <c r="E9" s="30"/>
      <c r="F9" s="30">
        <v>2</v>
      </c>
    </row>
    <row r="10" spans="1:6" x14ac:dyDescent="0.2">
      <c r="A10" s="22" t="s">
        <v>136</v>
      </c>
      <c r="B10" s="30">
        <v>3</v>
      </c>
      <c r="C10" s="30">
        <v>33</v>
      </c>
      <c r="D10" s="30">
        <v>27</v>
      </c>
      <c r="E10" s="30">
        <v>4</v>
      </c>
      <c r="F10" s="30">
        <v>67</v>
      </c>
    </row>
    <row r="11" spans="1:6" x14ac:dyDescent="0.2">
      <c r="A11" s="22" t="s">
        <v>137</v>
      </c>
      <c r="B11" s="30">
        <v>5</v>
      </c>
      <c r="C11" s="30">
        <v>24</v>
      </c>
      <c r="D11" s="30">
        <v>19</v>
      </c>
      <c r="E11" s="30">
        <v>1</v>
      </c>
      <c r="F11" s="30">
        <v>49</v>
      </c>
    </row>
    <row r="12" spans="1:6" x14ac:dyDescent="0.2">
      <c r="A12" s="22" t="s">
        <v>138</v>
      </c>
      <c r="B12" s="30">
        <v>8</v>
      </c>
      <c r="C12" s="30">
        <v>66</v>
      </c>
      <c r="D12" s="30">
        <v>70</v>
      </c>
      <c r="E12" s="30">
        <v>10</v>
      </c>
      <c r="F12" s="30">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Data</vt:lpstr>
      <vt:lpstr>age-length key</vt:lpstr>
      <vt:lpstr>Explanations</vt:lpstr>
      <vt:lpstr>PIVOT</vt:lpstr>
      <vt:lpstr>alpha</vt:lpstr>
      <vt:lpstr>beta</vt:lpstr>
      <vt:lpstr>e</vt:lpstr>
      <vt:lpstr>K</vt:lpstr>
      <vt:lpstr>Linf</vt:lpstr>
      <vt:lpstr>t0</vt:lpstr>
    </vt:vector>
  </TitlesOfParts>
  <Company>Thompson Rivers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dc:creator>
  <cp:lastModifiedBy>Brett Van Poorten</cp:lastModifiedBy>
  <dcterms:created xsi:type="dcterms:W3CDTF">2020-07-15T03:07:54Z</dcterms:created>
  <dcterms:modified xsi:type="dcterms:W3CDTF">2023-01-19T05:45:02Z</dcterms:modified>
</cp:coreProperties>
</file>