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over20" sheetId="1" r:id="rId1"/>
    <sheet name="univ20" sheetId="2" r:id="rId2"/>
    <sheet name="engg20" sheetId="3" r:id="rId3"/>
    <sheet name="manage20" sheetId="4" r:id="rId4"/>
    <sheet name="pharma20" sheetId="5" r:id="rId5"/>
    <sheet name="college20" sheetId="6" r:id="rId6"/>
    <sheet name="med20" sheetId="7" r:id="rId7"/>
    <sheet name="law20" sheetId="8" r:id="rId8"/>
    <sheet name="arch20" sheetId="9" r:id="rId9"/>
    <sheet name="dent20" sheetId="10" r:id="rId10"/>
  </sheets>
  <calcPr calcId="124519"/>
</workbook>
</file>

<file path=xl/calcChain.xml><?xml version="1.0" encoding="utf-8"?>
<calcChain xmlns="http://schemas.openxmlformats.org/spreadsheetml/2006/main">
  <c r="F1" i="1"/>
  <c r="B56" i="4"/>
  <c r="B20" i="1"/>
  <c r="D44" i="2"/>
  <c r="B8"/>
  <c r="C90" i="3"/>
  <c r="C83" i="1"/>
  <c r="F139" i="3"/>
  <c r="C99" i="1"/>
  <c r="D27" i="2"/>
  <c r="C60" i="1"/>
  <c r="F31" i="2"/>
  <c r="B131" i="3"/>
  <c r="C53" i="2"/>
  <c r="C152" i="3"/>
  <c r="F32" i="2"/>
  <c r="E14" i="4"/>
  <c r="E106" i="3"/>
  <c r="B101"/>
  <c r="B43" i="2"/>
  <c r="E43" i="6"/>
  <c r="D42" i="4"/>
  <c r="B95" i="1"/>
  <c r="D138" i="3"/>
  <c r="A95" i="1"/>
  <c r="A70" i="3"/>
  <c r="B96" i="1"/>
  <c r="D30" i="2"/>
  <c r="A96" i="1"/>
  <c r="C71" i="3"/>
  <c r="D4" i="2"/>
  <c r="D31"/>
  <c r="E75" i="1"/>
  <c r="E104" i="3"/>
  <c r="F99"/>
  <c r="F41" i="2"/>
  <c r="A42" i="6"/>
  <c r="F40" i="4"/>
  <c r="F93" i="1"/>
  <c r="B137" i="3"/>
  <c r="E93" i="1"/>
  <c r="C68" i="3"/>
  <c r="F94" i="1"/>
  <c r="B29" i="2"/>
  <c r="E94" i="1"/>
  <c r="E69" i="3"/>
  <c r="B3" i="2"/>
  <c r="B30"/>
  <c r="A73" i="1"/>
  <c r="A103" i="3"/>
  <c r="D98"/>
  <c r="D40" i="2"/>
  <c r="C38" i="6"/>
  <c r="B39" i="4"/>
  <c r="D92" i="1"/>
  <c r="B45" i="5"/>
  <c r="C92" i="1"/>
  <c r="E66" i="3"/>
  <c r="D93" i="1"/>
  <c r="C66" i="4"/>
  <c r="C93" i="1"/>
  <c r="A68" i="3"/>
  <c r="F1" i="2"/>
  <c r="A83" i="6"/>
  <c r="A69" i="1"/>
  <c r="C101" i="3"/>
  <c r="B97"/>
  <c r="D57" i="4"/>
  <c r="E36" i="6"/>
  <c r="B37" i="4"/>
  <c r="B91" i="1"/>
  <c r="D63"/>
  <c r="A91"/>
  <c r="E64" i="3"/>
  <c r="B92" i="1"/>
  <c r="D58" i="2"/>
  <c r="A92" i="1"/>
  <c r="A66" i="3"/>
  <c r="D102" i="1"/>
  <c r="B14"/>
  <c r="C66"/>
  <c r="C99" i="3"/>
  <c r="F95"/>
  <c r="E68" i="2"/>
  <c r="A33" i="6"/>
  <c r="F33" i="4"/>
  <c r="F89" i="1"/>
  <c r="F87" i="3"/>
  <c r="E89" i="1"/>
  <c r="A63" i="3"/>
  <c r="F90" i="1"/>
  <c r="D107" i="3"/>
  <c r="E90" i="1"/>
  <c r="C64" i="3"/>
  <c r="B101" i="1"/>
  <c r="D62" i="2"/>
  <c r="C62" i="1"/>
  <c r="E97" i="3"/>
  <c r="D94"/>
  <c r="E77" i="1"/>
  <c r="C31" i="6"/>
  <c r="F31" i="4"/>
  <c r="D88" i="1"/>
  <c r="B4" i="10"/>
  <c r="C88" i="1"/>
  <c r="C61" i="3"/>
  <c r="D89" i="1"/>
  <c r="B36" i="2"/>
  <c r="C89" i="1"/>
  <c r="E62" i="3"/>
  <c r="F99" i="1"/>
  <c r="A66"/>
  <c r="A10" i="6"/>
  <c r="C77" i="1"/>
  <c r="B8" i="6"/>
  <c r="B19" i="4"/>
  <c r="A68"/>
  <c r="D20" i="9"/>
  <c r="D42" i="5"/>
  <c r="E10" i="2"/>
  <c r="F40" i="5"/>
  <c r="E4" i="7"/>
  <c r="C15" i="10"/>
  <c r="C76" i="3"/>
  <c r="F90" i="6"/>
  <c r="F24" i="10"/>
  <c r="F33" i="5"/>
  <c r="D6" i="4"/>
  <c r="C76" i="2"/>
  <c r="C181" i="3"/>
  <c r="B157"/>
  <c r="C150"/>
  <c r="D87"/>
  <c r="F87" i="6"/>
  <c r="B49" i="2"/>
  <c r="C148" i="3"/>
  <c r="A49" i="2"/>
  <c r="E144" i="3"/>
  <c r="B50" i="2"/>
  <c r="D51"/>
  <c r="A50"/>
  <c r="A146" i="3"/>
  <c r="D60" i="2"/>
  <c r="C12" i="5"/>
  <c r="A75" i="2"/>
  <c r="C179" i="3"/>
  <c r="F155"/>
  <c r="A31" i="1"/>
  <c r="B86" i="3"/>
  <c r="B77" i="6"/>
  <c r="D70"/>
  <c r="F96" i="1"/>
  <c r="D22" i="4"/>
  <c r="F26" i="5"/>
  <c r="F12" i="6"/>
  <c r="A78" i="1"/>
  <c r="E36" i="5"/>
  <c r="D19" i="9"/>
  <c r="E27" i="10"/>
  <c r="F20" i="1"/>
  <c r="F40" i="7"/>
  <c r="A47" i="5"/>
  <c r="E40" i="7"/>
  <c r="A19" i="4"/>
  <c r="E66" i="5"/>
  <c r="C19" i="8"/>
  <c r="D53" i="5"/>
  <c r="B24" i="2"/>
  <c r="D31" i="5"/>
  <c r="C63"/>
  <c r="D18" i="10"/>
  <c r="A20" i="2"/>
  <c r="C6" i="7"/>
  <c r="F19" i="8"/>
  <c r="A67" i="5"/>
  <c r="D152" i="3"/>
  <c r="D18" i="9"/>
  <c r="E10" i="6"/>
  <c r="C18" i="9"/>
  <c r="C59" i="2"/>
  <c r="D66" i="6"/>
  <c r="B58" i="5"/>
  <c r="A14" i="6"/>
  <c r="B56" i="1"/>
  <c r="D6" i="7"/>
  <c r="C26"/>
  <c r="F18" i="9"/>
  <c r="C32" i="3"/>
  <c r="E18" i="9"/>
  <c r="D17" i="10"/>
  <c r="E30" i="6"/>
  <c r="F4" i="1"/>
  <c r="A73" i="4"/>
  <c r="D91" i="3"/>
  <c r="F72" i="4"/>
  <c r="E198" i="3"/>
  <c r="D64" i="6"/>
  <c r="D56" i="5"/>
  <c r="B12" i="6"/>
  <c r="A101" i="1"/>
  <c r="B5" i="7"/>
  <c r="A25"/>
  <c r="D17" i="9"/>
  <c r="A154" i="3"/>
  <c r="C17" i="9"/>
  <c r="B16" i="10"/>
  <c r="C29" i="6"/>
  <c r="F70" i="2"/>
  <c r="A58" i="5"/>
  <c r="D14" i="10"/>
  <c r="D83" i="6"/>
  <c r="B31" i="1"/>
  <c r="F15" i="8"/>
  <c r="A63" i="5"/>
  <c r="E15" i="8"/>
  <c r="F71" i="5"/>
  <c r="E6" i="6"/>
  <c r="C14" i="9"/>
  <c r="B32" i="5"/>
  <c r="A113" i="3"/>
  <c r="B70" i="5"/>
  <c r="D112" i="3"/>
  <c r="D66" i="5"/>
  <c r="A42"/>
  <c r="A80" i="1"/>
  <c r="A49" i="6"/>
  <c r="C46"/>
  <c r="C95" i="2"/>
  <c r="B71" i="4"/>
  <c r="A24" i="1"/>
  <c r="D175" i="3"/>
  <c r="B75" i="1"/>
  <c r="D52" i="3"/>
  <c r="A166"/>
  <c r="E64" i="4"/>
  <c r="D77" i="1"/>
  <c r="F100" i="3"/>
  <c r="C65" i="2"/>
  <c r="E63" i="5"/>
  <c r="E11" i="3"/>
  <c r="B13" i="9"/>
  <c r="D3" i="1"/>
  <c r="D12"/>
  <c r="B28" i="4"/>
  <c r="F56" i="1"/>
  <c r="C56" i="2"/>
  <c r="D55" i="4"/>
  <c r="A62" i="2"/>
  <c r="D72"/>
  <c r="F66"/>
  <c r="B11" i="8"/>
  <c r="C13" i="2"/>
  <c r="F44" i="6"/>
  <c r="F76"/>
  <c r="A9" i="8"/>
  <c r="B6" i="5"/>
  <c r="C64" i="2"/>
  <c r="A167" i="3"/>
  <c r="D146"/>
  <c r="D124"/>
  <c r="F72"/>
  <c r="D18" i="6"/>
  <c r="D38" i="2"/>
  <c r="F64" i="5"/>
  <c r="C38" i="2"/>
  <c r="E130" i="3"/>
  <c r="D39" i="2"/>
  <c r="E107" i="3"/>
  <c r="C39" i="2"/>
  <c r="A132" i="3"/>
  <c r="F49" i="2"/>
  <c r="A109" i="3"/>
  <c r="A63" i="2"/>
  <c r="C165" i="3"/>
  <c r="B145"/>
  <c r="F122"/>
  <c r="D71"/>
  <c r="B15" i="6"/>
  <c r="D54"/>
  <c r="B63" i="5"/>
  <c r="F11" i="4"/>
  <c r="E12" i="5"/>
  <c r="D74"/>
  <c r="F105" i="3"/>
  <c r="C22" i="5"/>
  <c r="F8" i="9"/>
  <c r="A17" i="10"/>
  <c r="B107" i="3"/>
  <c r="B30" i="7"/>
  <c r="C36" i="5"/>
  <c r="A30" i="7"/>
  <c r="A121" i="3"/>
  <c r="A56" i="5"/>
  <c r="E8" i="8"/>
  <c r="C39" i="5"/>
  <c r="B61"/>
  <c r="B17"/>
  <c r="A49"/>
  <c r="F7" i="10"/>
  <c r="B104" i="3"/>
  <c r="E96" i="6"/>
  <c r="B9" i="8"/>
  <c r="C56" i="5"/>
  <c r="D105" i="3"/>
  <c r="F7" i="9"/>
  <c r="A76" i="5"/>
  <c r="E7" i="9"/>
  <c r="B119" i="3"/>
  <c r="F51" i="6"/>
  <c r="F43" i="5"/>
  <c r="E75"/>
  <c r="B9" i="10"/>
  <c r="F96" i="6"/>
  <c r="E15" i="7"/>
  <c r="B8" i="9"/>
  <c r="B28" i="10"/>
  <c r="A8" i="9"/>
  <c r="F6" i="10"/>
  <c r="A20" i="6"/>
  <c r="B56" i="5"/>
  <c r="F58" i="4"/>
  <c r="F80" i="3"/>
  <c r="D58" i="4"/>
  <c r="D21" i="10"/>
  <c r="B50" i="6"/>
  <c r="B42" i="5"/>
  <c r="A74"/>
  <c r="B27" i="1"/>
  <c r="D95" i="6"/>
  <c r="C14" i="7"/>
  <c r="F6" i="9"/>
  <c r="B45" i="1"/>
  <c r="E6" i="9"/>
  <c r="D5" i="10"/>
  <c r="E18" i="6"/>
  <c r="D71" i="4"/>
  <c r="E43" i="5"/>
  <c r="F3" i="10"/>
  <c r="F72" i="6"/>
  <c r="A54" i="3"/>
  <c r="B5" i="8"/>
  <c r="C52" i="5"/>
  <c r="A5" i="8"/>
  <c r="E53" i="3"/>
  <c r="A72" i="5"/>
  <c r="E3" i="9"/>
  <c r="A18" i="5"/>
  <c r="F65" i="3"/>
  <c r="F71" i="4"/>
  <c r="E27" i="5"/>
  <c r="F12" i="9"/>
  <c r="F177" i="3"/>
  <c r="E80" i="6"/>
  <c r="B34" i="7"/>
  <c r="C40" i="5"/>
  <c r="C62" i="3"/>
  <c r="F12" i="8"/>
  <c r="A60" i="5"/>
  <c r="E12" i="8"/>
  <c r="D17" i="5"/>
  <c r="B51"/>
  <c r="F6" i="6"/>
  <c r="E75"/>
  <c r="F52" i="1"/>
  <c r="A21" i="7"/>
  <c r="D13" i="9"/>
  <c r="E5" i="6"/>
  <c r="E1" i="3"/>
  <c r="B12" i="10"/>
  <c r="C25" i="6"/>
  <c r="A12" i="10"/>
  <c r="C20" i="3"/>
  <c r="B43" i="6"/>
  <c r="B35" i="5"/>
  <c r="F66"/>
  <c r="F79" i="3"/>
  <c r="B90" i="6"/>
  <c r="A9" i="7"/>
  <c r="D1" i="9"/>
  <c r="B40" i="3"/>
  <c r="C1" i="9"/>
  <c r="B21"/>
  <c r="C13" i="6"/>
  <c r="C55" i="2"/>
  <c r="E53"/>
  <c r="E152" i="3"/>
  <c r="F135"/>
  <c r="A79" i="2"/>
  <c r="B58" i="3"/>
  <c r="B43" i="5"/>
  <c r="F27" i="2"/>
  <c r="A70" i="5"/>
  <c r="E27" i="2"/>
  <c r="C116" i="3"/>
  <c r="F28" i="2"/>
  <c r="F38" i="1"/>
  <c r="E28" i="2"/>
  <c r="E117" i="3"/>
  <c r="B39" i="2"/>
  <c r="E73"/>
  <c r="C52"/>
  <c r="A151" i="3"/>
  <c r="D134"/>
  <c r="C193"/>
  <c r="F56"/>
  <c r="B41" i="5"/>
  <c r="D40" i="6"/>
  <c r="C22" i="1"/>
  <c r="B1" i="4"/>
  <c r="B70" i="6"/>
  <c r="D60" i="5"/>
  <c r="A92" i="3"/>
  <c r="B8" i="5"/>
  <c r="B19" i="8"/>
  <c r="C6" i="10"/>
  <c r="B30" i="1"/>
  <c r="D19" i="7"/>
  <c r="E25" i="5"/>
  <c r="C19" i="7"/>
  <c r="A33" i="4"/>
  <c r="C45" i="5"/>
  <c r="A39" i="7"/>
  <c r="A25" i="5"/>
  <c r="D28" i="3"/>
  <c r="B3" i="5"/>
  <c r="F34"/>
  <c r="B18" i="9"/>
  <c r="A75" i="1"/>
  <c r="A86" i="6"/>
  <c r="D39" i="7"/>
  <c r="E45" i="5"/>
  <c r="F50" i="1"/>
  <c r="B18" i="8"/>
  <c r="C65" i="5"/>
  <c r="A18" i="8"/>
  <c r="C21" i="2"/>
  <c r="F37" i="6"/>
  <c r="F29" i="5"/>
  <c r="D61"/>
  <c r="C52" i="1"/>
  <c r="B86" i="6"/>
  <c r="A5" i="7"/>
  <c r="D18" i="8"/>
  <c r="E70" i="3"/>
  <c r="C18" i="8"/>
  <c r="B17" i="9"/>
  <c r="C9" i="6"/>
  <c r="C49" i="1"/>
  <c r="E44" i="4"/>
  <c r="B70" i="3"/>
  <c r="D44" i="4"/>
  <c r="E29" i="3"/>
  <c r="F35" i="6"/>
  <c r="F27" i="5"/>
  <c r="E59"/>
  <c r="E99" i="1"/>
  <c r="F84" i="6"/>
  <c r="E3" i="7"/>
  <c r="B17" i="8"/>
  <c r="E44" i="1"/>
  <c r="A17" i="8"/>
  <c r="F15" i="9"/>
  <c r="A8" i="6"/>
  <c r="F6" i="4"/>
  <c r="D29" i="5"/>
  <c r="B14" i="9"/>
  <c r="C22" i="10"/>
  <c r="F99" i="2"/>
  <c r="D35" i="7"/>
  <c r="E41" i="5"/>
  <c r="C35" i="7"/>
  <c r="F100" i="2"/>
  <c r="C61" i="5"/>
  <c r="A14" i="8"/>
  <c r="D82" i="6"/>
  <c r="B10" i="3"/>
  <c r="C2" i="9"/>
  <c r="C16" i="6"/>
  <c r="A5"/>
  <c r="F47"/>
  <c r="A36" i="3"/>
  <c r="A38" i="1"/>
  <c r="A95" i="2"/>
  <c r="E90" i="3"/>
  <c r="C86" i="1"/>
  <c r="E55" i="2"/>
  <c r="C96" i="3"/>
  <c r="B76" i="1"/>
  <c r="D86" i="3"/>
  <c r="A17" i="6"/>
  <c r="F26" i="10"/>
  <c r="E193" i="3"/>
  <c r="E165"/>
  <c r="A65" i="1"/>
  <c r="A74" i="4"/>
  <c r="C41" i="1"/>
  <c r="D49" i="5"/>
  <c r="C37"/>
  <c r="E13" i="3"/>
  <c r="F15" i="5"/>
  <c r="F69" i="2"/>
  <c r="A40" i="1"/>
  <c r="E153" i="3"/>
  <c r="B19" i="5"/>
  <c r="F53" i="6"/>
  <c r="A36" i="1"/>
  <c r="E46" i="6"/>
  <c r="C121" i="3"/>
  <c r="B23" i="5"/>
  <c r="E94" i="2"/>
  <c r="A37" i="1"/>
  <c r="D6" i="3"/>
  <c r="C40" i="2"/>
  <c r="E138" i="3"/>
  <c r="B125"/>
  <c r="F95" i="2"/>
  <c r="F44" i="3"/>
  <c r="D14" i="5"/>
  <c r="B17" i="2"/>
  <c r="F96"/>
  <c r="A17"/>
  <c r="A102" i="3"/>
  <c r="B18" i="2"/>
  <c r="B6" i="3"/>
  <c r="A18" i="2"/>
  <c r="C103" i="3"/>
  <c r="D28" i="2"/>
  <c r="D1" i="4"/>
  <c r="E37" i="2"/>
  <c r="E136" i="3"/>
  <c r="F123"/>
  <c r="D94" i="2"/>
  <c r="D43" i="3"/>
  <c r="F12" i="5"/>
  <c r="B26" i="6"/>
  <c r="D95" i="2"/>
  <c r="D191" i="3"/>
  <c r="B54" i="6"/>
  <c r="B46" i="5"/>
  <c r="F4" i="3"/>
  <c r="A70" i="4"/>
  <c r="D8" i="8"/>
  <c r="E16" i="9"/>
  <c r="B201" i="3"/>
  <c r="F8" i="7"/>
  <c r="A15" i="5"/>
  <c r="E8" i="7"/>
  <c r="B93" i="2"/>
  <c r="E34" i="5"/>
  <c r="C28" i="7"/>
  <c r="F10" i="5"/>
  <c r="B94" i="2"/>
  <c r="D96" i="6"/>
  <c r="E20" i="5"/>
  <c r="D7" i="9"/>
  <c r="D3" i="3"/>
  <c r="C75" i="6"/>
  <c r="F28" i="7"/>
  <c r="A35" i="5"/>
  <c r="B73"/>
  <c r="D7" i="8"/>
  <c r="E54" i="5"/>
  <c r="C7" i="8"/>
  <c r="D19" i="10"/>
  <c r="D23" i="6"/>
  <c r="D15" i="5"/>
  <c r="C47"/>
  <c r="E1" i="7"/>
  <c r="D75" i="6"/>
  <c r="C95"/>
  <c r="F7" i="8"/>
  <c r="F12" i="10"/>
  <c r="E7" i="8"/>
  <c r="D6" i="9"/>
  <c r="E74" i="5"/>
  <c r="E57" i="3"/>
  <c r="D94" i="6"/>
  <c r="D59" i="3"/>
  <c r="B30" i="4"/>
  <c r="B76" i="3"/>
  <c r="F21" i="6"/>
  <c r="F13" i="5"/>
  <c r="D45"/>
  <c r="B89" i="3"/>
  <c r="B74" i="6"/>
  <c r="A94"/>
  <c r="D6" i="8"/>
  <c r="C81" i="1"/>
  <c r="C6" i="8"/>
  <c r="B5" i="9"/>
  <c r="C73" i="5"/>
  <c r="E74" i="1"/>
  <c r="C15" i="5"/>
  <c r="D3" i="9"/>
  <c r="E11" i="10"/>
  <c r="C153" i="3"/>
  <c r="F24" i="7"/>
  <c r="A31" i="5"/>
  <c r="E24" i="7"/>
  <c r="B73" i="3"/>
  <c r="E50" i="5"/>
  <c r="C3" i="8"/>
  <c r="D59" i="6"/>
  <c r="B66" i="1"/>
  <c r="A57" i="6"/>
  <c r="C75" i="4"/>
  <c r="D12" i="8"/>
  <c r="F157" i="3"/>
  <c r="B26" i="10"/>
  <c r="F12" i="7"/>
  <c r="A19" i="5"/>
  <c r="C91" i="2"/>
  <c r="D32" i="7"/>
  <c r="E38" i="5"/>
  <c r="C32" i="7"/>
  <c r="D56" i="3"/>
  <c r="D22" i="5"/>
  <c r="C54"/>
  <c r="F11" i="10"/>
  <c r="A72" i="3"/>
  <c r="E100" i="6"/>
  <c r="B13" i="8"/>
  <c r="C60" i="5"/>
  <c r="A197" i="3"/>
  <c r="F11" i="9"/>
  <c r="A4" i="6"/>
  <c r="E11" i="9"/>
  <c r="F91" i="1"/>
  <c r="D14" i="6"/>
  <c r="D6" i="5"/>
  <c r="C38"/>
  <c r="E33" i="3"/>
  <c r="A29" i="10"/>
  <c r="E88" i="6"/>
  <c r="B1" i="8"/>
  <c r="B28" i="1"/>
  <c r="A1" i="8"/>
  <c r="F20"/>
  <c r="A68" i="5"/>
  <c r="F10" i="2"/>
  <c r="C12"/>
  <c r="C124" i="3"/>
  <c r="D114"/>
  <c r="A102" i="1"/>
  <c r="E67" i="6"/>
  <c r="D67" i="4"/>
  <c r="D6" i="2"/>
  <c r="D36" i="3"/>
  <c r="C6" i="2"/>
  <c r="A88" i="3"/>
  <c r="D7" i="2"/>
  <c r="A37"/>
  <c r="C7"/>
  <c r="C89" i="3"/>
  <c r="F17" i="2"/>
  <c r="B3" i="3"/>
  <c r="C8" i="2"/>
  <c r="E122" i="3"/>
  <c r="B113"/>
  <c r="F10"/>
  <c r="A65" i="6"/>
  <c r="F65" i="4"/>
  <c r="F11" i="6"/>
  <c r="F43" i="1"/>
  <c r="F180" i="3"/>
  <c r="F39" i="6"/>
  <c r="F31" i="5"/>
  <c r="E33" i="2"/>
  <c r="E55" i="4"/>
  <c r="F38" i="7"/>
  <c r="A6" i="9"/>
  <c r="F140" i="3"/>
  <c r="C31" i="10"/>
  <c r="C4" i="5"/>
  <c r="A99" i="6"/>
  <c r="A89" i="2"/>
  <c r="A24" i="5"/>
  <c r="E17" i="7"/>
  <c r="D67" i="6"/>
  <c r="A90" i="2"/>
  <c r="B64" i="6"/>
  <c r="C6" i="5"/>
  <c r="F17" i="8"/>
  <c r="A14" i="3"/>
  <c r="D31" i="10"/>
  <c r="B18" i="7"/>
  <c r="C24" i="5"/>
  <c r="D139" i="3"/>
  <c r="F37" i="7"/>
  <c r="A44" i="5"/>
  <c r="E37" i="7"/>
  <c r="E87" i="2"/>
  <c r="B9" i="6"/>
  <c r="B1" i="5"/>
  <c r="A33"/>
  <c r="E88" i="2"/>
  <c r="A25" i="10"/>
  <c r="E84" i="6"/>
  <c r="B38" i="7"/>
  <c r="E12" i="3"/>
  <c r="A38" i="7"/>
  <c r="F16" i="8"/>
  <c r="A64" i="5"/>
  <c r="F136" i="3"/>
  <c r="D63" i="6"/>
  <c r="F48" i="3"/>
  <c r="D18" i="4"/>
  <c r="C86" i="2"/>
  <c r="D7" i="6"/>
  <c r="D75" i="4"/>
  <c r="C31" i="5"/>
  <c r="C87" i="2"/>
  <c r="E23" i="10"/>
  <c r="C83" i="6"/>
  <c r="F36" i="7"/>
  <c r="C11" i="3"/>
  <c r="E36" i="7"/>
  <c r="D15" i="8"/>
  <c r="E62" i="5"/>
  <c r="D135" i="3"/>
  <c r="A1" i="5"/>
  <c r="F13" i="8"/>
  <c r="A1" i="10"/>
  <c r="A85" i="2"/>
  <c r="B14" i="7"/>
  <c r="C20" i="5"/>
  <c r="A14" i="7"/>
  <c r="A86" i="2"/>
  <c r="A40" i="5"/>
  <c r="E33" i="7"/>
  <c r="B45" i="6"/>
  <c r="A10" i="3"/>
  <c r="E70" i="5"/>
  <c r="B3" i="10"/>
  <c r="B49" i="5"/>
  <c r="B10"/>
  <c r="C42" i="1"/>
  <c r="D2" i="4"/>
  <c r="A33" i="3"/>
  <c r="B194"/>
  <c r="B38" i="2"/>
  <c r="D65"/>
  <c r="B17" i="10"/>
  <c r="E68" i="1"/>
  <c r="B48" i="3"/>
  <c r="C19" i="9"/>
  <c r="B36" i="1"/>
  <c r="D24" i="7"/>
  <c r="B39" i="1"/>
  <c r="D181" i="3"/>
  <c r="D27"/>
  <c r="E123"/>
  <c r="F63"/>
  <c r="F44" i="2"/>
  <c r="B29" i="3"/>
  <c r="D156"/>
  <c r="A63" i="1"/>
  <c r="B51" i="6"/>
  <c r="A60" i="1"/>
  <c r="E25"/>
  <c r="D22"/>
  <c r="E47"/>
  <c r="F22"/>
  <c r="C69" i="2"/>
  <c r="C9"/>
  <c r="D170" i="3"/>
  <c r="F86" i="6"/>
  <c r="A127" i="3"/>
  <c r="A85" i="1"/>
  <c r="A110" i="3"/>
  <c r="F103"/>
  <c r="F15" i="7"/>
  <c r="C47" i="6"/>
  <c r="F47" i="4"/>
  <c r="F97" i="1"/>
  <c r="D3" i="6"/>
  <c r="E97" i="1"/>
  <c r="E73" i="3"/>
  <c r="F98" i="1"/>
  <c r="D129" i="3"/>
  <c r="E98" i="1"/>
  <c r="A75" i="3"/>
  <c r="B7" i="2"/>
  <c r="E116" i="3"/>
  <c r="C82" i="1"/>
  <c r="C108" i="3"/>
  <c r="D102"/>
  <c r="E27" i="1"/>
  <c r="D45" i="6"/>
  <c r="B46" i="4"/>
  <c r="F73" i="5"/>
  <c r="B25" i="4"/>
  <c r="B170" i="3"/>
  <c r="F25" i="6"/>
  <c r="F17" i="5"/>
  <c r="C169" i="3"/>
  <c r="D41" i="4"/>
  <c r="B28" i="7"/>
  <c r="C16" i="8"/>
  <c r="E200" i="3"/>
  <c r="E20" i="10"/>
  <c r="E69" i="4"/>
  <c r="C88" i="6"/>
  <c r="B85" i="3"/>
  <c r="C13" i="5"/>
  <c r="A7" i="7"/>
  <c r="D52" i="6"/>
  <c r="B169" i="3"/>
  <c r="A50" i="6"/>
  <c r="B68" i="4"/>
  <c r="B7" i="8"/>
  <c r="D56" i="6"/>
  <c r="F20" i="10"/>
  <c r="D7" i="7"/>
  <c r="E13" i="5"/>
  <c r="A59" i="1"/>
  <c r="B27" i="7"/>
  <c r="C33" i="5"/>
  <c r="A27" i="7"/>
  <c r="C24" i="2"/>
  <c r="B71" i="5"/>
  <c r="B91" i="6"/>
  <c r="F18" i="5"/>
  <c r="C36" i="2"/>
  <c r="C14" i="10"/>
  <c r="A74" i="6"/>
  <c r="D27" i="7"/>
  <c r="A88" i="2"/>
  <c r="C27" i="7"/>
  <c r="B6" i="8"/>
  <c r="C53" i="5"/>
  <c r="B58" i="2"/>
  <c r="B49" i="6"/>
  <c r="F93"/>
  <c r="F7" i="4"/>
  <c r="B67" i="2"/>
  <c r="B69" i="5"/>
  <c r="F85" i="6"/>
  <c r="A17" i="5"/>
  <c r="E186" i="3"/>
  <c r="A13" i="10"/>
  <c r="E72" i="6"/>
  <c r="B26" i="7"/>
  <c r="F51" i="2"/>
  <c r="A26" i="7"/>
  <c r="F4" i="8"/>
  <c r="A52" i="5"/>
  <c r="B68" i="1"/>
  <c r="F62" i="4"/>
  <c r="B3" i="8"/>
  <c r="C11" i="9"/>
  <c r="D6" i="1"/>
  <c r="D3" i="7"/>
  <c r="E9" i="5"/>
  <c r="C3" i="7"/>
  <c r="B48" i="2"/>
  <c r="C29" i="5"/>
  <c r="A23" i="7"/>
  <c r="B31" i="6"/>
  <c r="D8" i="1"/>
  <c r="E28" i="6"/>
  <c r="F46" i="4"/>
  <c r="B32" i="7"/>
  <c r="B74" i="1"/>
  <c r="F4" i="10"/>
  <c r="E24"/>
  <c r="E73" i="4"/>
  <c r="C39" i="1"/>
  <c r="B11" i="7"/>
  <c r="C17" i="5"/>
  <c r="A11" i="7"/>
  <c r="D77" i="2"/>
  <c r="B70" i="4"/>
  <c r="A26" i="5"/>
  <c r="D11" i="9"/>
  <c r="F37" i="1"/>
  <c r="C79" i="6"/>
  <c r="F32" i="7"/>
  <c r="A39" i="5"/>
  <c r="E22" i="4"/>
  <c r="D11" i="8"/>
  <c r="E58" i="5"/>
  <c r="C11" i="8"/>
  <c r="F58" i="3"/>
  <c r="B62" i="5"/>
  <c r="A69" i="6"/>
  <c r="A10" i="5"/>
  <c r="A33" i="1"/>
  <c r="E7" i="10"/>
  <c r="C67" i="6"/>
  <c r="F20" i="7"/>
  <c r="E100" i="3"/>
  <c r="E20" i="7"/>
  <c r="D40"/>
  <c r="E46" i="5"/>
  <c r="B58" i="1"/>
  <c r="E59"/>
  <c r="A96" i="3"/>
  <c r="B93"/>
  <c r="C46" i="1"/>
  <c r="D29" i="6"/>
  <c r="D28" i="4"/>
  <c r="B87" i="1"/>
  <c r="B13" i="5"/>
  <c r="A87" i="1"/>
  <c r="C59" i="3"/>
  <c r="B88" i="1"/>
  <c r="F7" i="5"/>
  <c r="A88" i="1"/>
  <c r="E60" i="3"/>
  <c r="D94" i="1"/>
  <c r="D4" i="5"/>
  <c r="A57" i="1"/>
  <c r="A94" i="3"/>
  <c r="F91"/>
  <c r="D38" i="6"/>
  <c r="E27"/>
  <c r="D26" i="4"/>
  <c r="D59" i="5"/>
  <c r="D19" i="8"/>
  <c r="D159" i="3"/>
  <c r="D11" i="6"/>
  <c r="D3" i="5"/>
  <c r="C2" i="6"/>
  <c r="D74"/>
  <c r="D17" i="7"/>
  <c r="E5" i="8"/>
  <c r="E3"/>
  <c r="A10" i="10"/>
  <c r="A59" i="4"/>
  <c r="E77" i="6"/>
  <c r="B19"/>
  <c r="E2" i="5"/>
  <c r="C97" i="6"/>
  <c r="B38"/>
  <c r="F8" i="8"/>
  <c r="E35" i="6"/>
  <c r="A54" i="4"/>
  <c r="D37" i="7"/>
  <c r="B64" i="5"/>
  <c r="B10" i="10"/>
  <c r="A30"/>
  <c r="A3" i="5"/>
  <c r="A34" i="7"/>
  <c r="D16"/>
  <c r="E22" i="5"/>
  <c r="C16" i="7"/>
  <c r="B1" i="6"/>
  <c r="F56" i="5"/>
  <c r="C62" i="6"/>
  <c r="E4" i="5"/>
  <c r="B39" i="7"/>
  <c r="E3" i="10"/>
  <c r="B30"/>
  <c r="F16" i="7"/>
  <c r="A50" i="5"/>
  <c r="E16" i="7"/>
  <c r="D36"/>
  <c r="E42" i="5"/>
  <c r="C23" i="7"/>
  <c r="B35" i="6"/>
  <c r="C63"/>
  <c r="B198" i="3"/>
  <c r="F57" i="5"/>
  <c r="B55"/>
  <c r="E60" i="6"/>
  <c r="E12" i="1"/>
  <c r="A53" i="4"/>
  <c r="D42" i="1"/>
  <c r="C32"/>
  <c r="F24"/>
  <c r="D93" i="2"/>
  <c r="B3" i="4"/>
  <c r="C8" i="3"/>
  <c r="C24" i="4"/>
  <c r="D26" i="2"/>
  <c r="F37"/>
  <c r="A32" i="1"/>
  <c r="B23" i="3"/>
  <c r="A58" i="4"/>
  <c r="A39" i="3"/>
  <c r="E8" i="1"/>
  <c r="C13" i="4"/>
  <c r="B29"/>
  <c r="C19"/>
  <c r="D186" i="3"/>
  <c r="F42" i="4"/>
  <c r="B126" i="3"/>
  <c r="D10" i="5"/>
  <c r="D78" i="2"/>
  <c r="B184" i="3"/>
  <c r="C78" i="2"/>
  <c r="A184" i="3"/>
  <c r="D79" i="2"/>
  <c r="D185" i="3"/>
  <c r="C79" i="2"/>
  <c r="C185" i="3"/>
  <c r="F89" i="2"/>
  <c r="B199" i="3"/>
  <c r="C3"/>
  <c r="E17" i="4"/>
  <c r="B185" i="3"/>
  <c r="A41" i="4"/>
  <c r="F124" i="3"/>
  <c r="D72" i="4"/>
  <c r="B77" i="2"/>
  <c r="C182" i="3"/>
  <c r="A77" i="2"/>
  <c r="A182" i="3"/>
  <c r="B78" i="2"/>
  <c r="E183" i="3"/>
  <c r="A78" i="2"/>
  <c r="C183" i="3"/>
  <c r="D88" i="2"/>
  <c r="D197" i="3"/>
  <c r="A2"/>
  <c r="E15" i="4"/>
  <c r="F183" i="3"/>
  <c r="C39" i="4"/>
  <c r="B122" i="3"/>
  <c r="D76" i="6"/>
  <c r="F75" i="2"/>
  <c r="D180" i="3"/>
  <c r="E75" i="2"/>
  <c r="C180" i="3"/>
  <c r="F76" i="2"/>
  <c r="F181" i="3"/>
  <c r="E76" i="2"/>
  <c r="E181" i="3"/>
  <c r="B87" i="2"/>
  <c r="E195" i="3"/>
  <c r="E101" i="2"/>
  <c r="A14" i="4"/>
  <c r="D182" i="3"/>
  <c r="D37" i="4"/>
  <c r="F120" i="3"/>
  <c r="F69" i="6"/>
  <c r="D74" i="2"/>
  <c r="F178" i="3"/>
  <c r="C74" i="2"/>
  <c r="E178" i="3"/>
  <c r="D75" i="2"/>
  <c r="B180" i="3"/>
  <c r="C75" i="2"/>
  <c r="A180" i="3"/>
  <c r="F85" i="2"/>
  <c r="F193" i="3"/>
  <c r="C100" i="2"/>
  <c r="C12" i="4"/>
  <c r="B181" i="3"/>
  <c r="A34" i="4"/>
  <c r="D119" i="3"/>
  <c r="D57" i="6"/>
  <c r="B73" i="2"/>
  <c r="A177" i="3"/>
  <c r="A73" i="2"/>
  <c r="E176" i="3"/>
  <c r="B74" i="2"/>
  <c r="C178" i="3"/>
  <c r="A74" i="2"/>
  <c r="A178" i="3"/>
  <c r="D84" i="2"/>
  <c r="B192" i="3"/>
  <c r="A99" i="2"/>
  <c r="C10" i="4"/>
  <c r="F179" i="3"/>
  <c r="F99" i="6"/>
  <c r="B118" i="3"/>
  <c r="A54" i="6"/>
  <c r="F71" i="2"/>
  <c r="B175" i="3"/>
  <c r="E71" i="2"/>
  <c r="A175" i="3"/>
  <c r="F72" i="2"/>
  <c r="D176" i="3"/>
  <c r="E72" i="2"/>
  <c r="C176" i="3"/>
  <c r="B83" i="2"/>
  <c r="E35" i="1"/>
  <c r="C76"/>
  <c r="E31"/>
  <c r="F148" i="3"/>
  <c r="C20" i="9"/>
  <c r="D21" i="6"/>
  <c r="F5" i="7"/>
  <c r="A14" i="9"/>
  <c r="F20" i="6"/>
  <c r="E12" i="9"/>
  <c r="F95" i="6"/>
  <c r="A8" i="5"/>
  <c r="D4" i="9"/>
  <c r="C55" i="6"/>
  <c r="B31" i="7"/>
  <c r="C7" i="9"/>
  <c r="C6" i="1"/>
  <c r="C67" i="3"/>
  <c r="F71"/>
  <c r="D46" i="4"/>
  <c r="C66" i="5"/>
  <c r="F200" i="3"/>
  <c r="F65" i="1"/>
  <c r="D33" i="3"/>
  <c r="E65" i="1"/>
  <c r="C33" i="3"/>
  <c r="F66" i="1"/>
  <c r="D34" i="3"/>
  <c r="E66" i="1"/>
  <c r="C34" i="3"/>
  <c r="B61" i="1"/>
  <c r="C46" i="3"/>
  <c r="E3" i="1"/>
  <c r="E65" i="3"/>
  <c r="D70"/>
  <c r="F44" i="4"/>
  <c r="E64" i="5"/>
  <c r="D199" i="3"/>
  <c r="B31" i="5"/>
  <c r="C59"/>
  <c r="B138" i="3"/>
  <c r="B59" i="5"/>
  <c r="E64" i="6"/>
  <c r="E56" i="5"/>
  <c r="D42" i="6"/>
  <c r="D84"/>
  <c r="C25" i="7"/>
  <c r="F10" i="8"/>
  <c r="E9" i="9"/>
  <c r="E37" i="4"/>
  <c r="C56" i="6"/>
  <c r="B76"/>
  <c r="C57" i="4"/>
  <c r="A76" i="6"/>
  <c r="F9"/>
  <c r="F1" i="5"/>
  <c r="C7" i="6"/>
  <c r="D71"/>
  <c r="B16" i="7"/>
  <c r="C4" i="8"/>
  <c r="F9" i="9"/>
  <c r="E8" i="10"/>
  <c r="E57" i="4"/>
  <c r="C76" i="6"/>
  <c r="B96"/>
  <c r="C1" i="5"/>
  <c r="A96" i="6"/>
  <c r="D36"/>
  <c r="D28" i="5"/>
  <c r="A34" i="6"/>
  <c r="B52" i="4"/>
  <c r="B36" i="7"/>
  <c r="C3" i="9"/>
  <c r="F8" i="10"/>
  <c r="E28"/>
  <c r="E1" i="5"/>
  <c r="C96" i="6"/>
  <c r="B15" i="7"/>
  <c r="C21" i="5"/>
  <c r="A15" i="7"/>
  <c r="D6" i="6"/>
  <c r="F34"/>
  <c r="F176" i="3"/>
  <c r="D34" i="6"/>
  <c r="D26" i="5"/>
  <c r="B32" i="6"/>
  <c r="C50" i="4"/>
  <c r="F34" i="7"/>
  <c r="A2" i="9"/>
  <c r="D7" i="10"/>
  <c r="C27"/>
  <c r="C76" i="4"/>
  <c r="A95" i="6"/>
  <c r="F13" i="7"/>
  <c r="A20" i="5"/>
  <c r="E13" i="7"/>
  <c r="F63" i="6"/>
  <c r="B12" i="7"/>
  <c r="C41"/>
  <c r="F5" i="9"/>
  <c r="E4" i="10"/>
  <c r="E53" i="4"/>
  <c r="C72" i="6"/>
  <c r="B92"/>
  <c r="C73" i="4"/>
  <c r="A92" i="6"/>
  <c r="D64" i="5"/>
  <c r="D72" i="6"/>
  <c r="B128" i="3"/>
  <c r="B111"/>
  <c r="C126"/>
  <c r="D109"/>
  <c r="C114"/>
  <c r="F190"/>
  <c r="F83" i="1"/>
  <c r="C31"/>
  <c r="C62" i="4"/>
  <c r="C79" i="3"/>
  <c r="A72" i="1"/>
  <c r="B66" i="5"/>
  <c r="B81" i="3"/>
  <c r="B53"/>
  <c r="A39" i="2"/>
  <c r="B13" i="1"/>
  <c r="F55" i="4"/>
  <c r="F16" i="9"/>
  <c r="E91" i="3"/>
  <c r="B23" i="4"/>
  <c r="F14" i="5"/>
  <c r="C23" i="2"/>
  <c r="E7" i="3"/>
  <c r="C147"/>
  <c r="E25" i="4"/>
  <c r="A16" i="1"/>
  <c r="A58" i="2"/>
  <c r="E14" i="1"/>
  <c r="A56" i="3"/>
  <c r="D52" i="4"/>
  <c r="E5" i="3"/>
  <c r="B65"/>
  <c r="D63" i="5"/>
  <c r="C30" i="1"/>
  <c r="F34" i="2"/>
  <c r="B19" i="3"/>
  <c r="F51" i="1"/>
  <c r="C53" i="3"/>
  <c r="B61"/>
  <c r="D32" i="4"/>
  <c r="E48" i="5"/>
  <c r="B186" i="3"/>
  <c r="B55" i="1"/>
  <c r="F22" i="3"/>
  <c r="E56" i="4"/>
  <c r="E22" i="3"/>
  <c r="D56" i="4"/>
  <c r="F23" i="3"/>
  <c r="E59" i="4"/>
  <c r="E23" i="3"/>
  <c r="D59" i="4"/>
  <c r="B34" i="3"/>
  <c r="F47" i="1"/>
  <c r="C51" i="3"/>
  <c r="F59"/>
  <c r="D30" i="4"/>
  <c r="F46" i="5"/>
  <c r="F184" i="3"/>
  <c r="F16" i="5"/>
  <c r="A45"/>
  <c r="D127" i="3"/>
  <c r="F44" i="5"/>
  <c r="C50" i="6"/>
  <c r="C42" i="5"/>
  <c r="D28" i="6"/>
  <c r="B60"/>
  <c r="E14" i="7"/>
  <c r="B41"/>
  <c r="A20" i="8"/>
  <c r="A27" i="4"/>
  <c r="E45" i="6"/>
  <c r="D65"/>
  <c r="E46" i="4"/>
  <c r="C65" i="6"/>
  <c r="D71" i="5"/>
  <c r="D92" i="6"/>
  <c r="A69" i="5"/>
  <c r="B55" i="6"/>
  <c r="D5" i="7"/>
  <c r="E34"/>
  <c r="B20" i="8"/>
  <c r="A19" i="9"/>
  <c r="A47" i="4"/>
  <c r="E65" i="6"/>
  <c r="D85"/>
  <c r="E66" i="4"/>
  <c r="C85" i="6"/>
  <c r="B22"/>
  <c r="B14" i="5"/>
  <c r="E19" i="6"/>
  <c r="A38" i="4"/>
  <c r="D25" i="7"/>
  <c r="E13" i="8"/>
  <c r="B19" i="9"/>
  <c r="A18" i="10"/>
  <c r="A67" i="4"/>
  <c r="E85" i="6"/>
  <c r="D4" i="7"/>
  <c r="E10" i="5"/>
  <c r="C4" i="7"/>
  <c r="D68" i="5"/>
  <c r="E20" i="6"/>
  <c r="B166" i="3"/>
  <c r="D20" i="6"/>
  <c r="D12" i="5"/>
  <c r="A18" i="6"/>
  <c r="B36" i="4"/>
  <c r="B24" i="7"/>
  <c r="C12" i="8"/>
  <c r="F17" i="9"/>
  <c r="E16" i="10"/>
  <c r="E65" i="4"/>
  <c r="C84" i="6"/>
  <c r="B3" i="7"/>
  <c r="C9" i="5"/>
  <c r="A3" i="7"/>
  <c r="F49" i="6"/>
  <c r="D1" i="7"/>
  <c r="E30"/>
  <c r="B16" i="8"/>
  <c r="A15" i="9"/>
  <c r="A43" i="4"/>
  <c r="E61" i="6"/>
  <c r="D81"/>
  <c r="E62" i="4"/>
  <c r="C81" i="6"/>
  <c r="B50" i="5"/>
  <c r="E55" i="6"/>
  <c r="E47" i="5"/>
  <c r="F33" i="6"/>
  <c r="F65"/>
  <c r="E18" i="7"/>
  <c r="B4" i="8"/>
  <c r="A3" i="9"/>
  <c r="A31" i="4"/>
  <c r="E49" i="6"/>
  <c r="D69"/>
  <c r="E50" i="4"/>
  <c r="C69" i="6"/>
  <c r="B21" i="5"/>
  <c r="F26" i="6"/>
  <c r="A45" i="4"/>
  <c r="F30" i="7"/>
  <c r="A19" i="8"/>
  <c r="D3" i="10"/>
  <c r="C23"/>
  <c r="C72" i="4"/>
  <c r="A91" i="6"/>
  <c r="F9" i="7"/>
  <c r="A16" i="5"/>
  <c r="E9" i="7"/>
  <c r="B13" i="6"/>
  <c r="B5" i="5"/>
  <c r="F10" i="6"/>
  <c r="F79"/>
  <c r="F18" i="7"/>
  <c r="A7" i="8"/>
  <c r="D12" i="9"/>
  <c r="C11" i="10"/>
  <c r="C60" i="4"/>
  <c r="A79" i="6"/>
  <c r="F98"/>
  <c r="A4" i="5"/>
  <c r="E98" i="6"/>
  <c r="A62" i="4"/>
  <c r="C39" i="3"/>
  <c r="D50"/>
  <c r="B20" i="4"/>
  <c r="A29" i="5"/>
  <c r="F172" i="3"/>
  <c r="D44" i="1"/>
  <c r="B12" i="3"/>
  <c r="C30" i="4"/>
  <c r="A12" i="3"/>
  <c r="A30" i="4"/>
  <c r="B13" i="3"/>
  <c r="B32" i="4"/>
  <c r="A13" i="3"/>
  <c r="E31" i="4"/>
  <c r="D23" i="3"/>
  <c r="C58" i="4"/>
  <c r="A38" i="3"/>
  <c r="B49"/>
  <c r="F18" i="4"/>
  <c r="C27" i="5"/>
  <c r="D171" i="3"/>
  <c r="D2" i="5"/>
  <c r="F30"/>
  <c r="F116" i="3"/>
  <c r="D30" i="5"/>
  <c r="B36" i="6"/>
  <c r="B28" i="5"/>
  <c r="B14" i="6"/>
  <c r="A46"/>
  <c r="A4" i="7"/>
  <c r="D30"/>
  <c r="C9" i="8"/>
  <c r="F21" i="10"/>
  <c r="A35" i="6"/>
  <c r="E21" i="10"/>
  <c r="A36" i="4"/>
  <c r="E54" i="6"/>
  <c r="B57" i="5"/>
  <c r="F62" i="6"/>
  <c r="F54" i="5"/>
  <c r="F40" i="6"/>
  <c r="B79"/>
  <c r="A24" i="7"/>
  <c r="D9" i="8"/>
  <c r="C8" i="9"/>
  <c r="C36" i="4"/>
  <c r="A55" i="6"/>
  <c r="F74"/>
  <c r="A56" i="4"/>
  <c r="E74" i="6"/>
  <c r="F7"/>
  <c r="F75" i="4"/>
  <c r="D5" i="6"/>
  <c r="F68"/>
  <c r="F14" i="7"/>
  <c r="A3" i="8"/>
  <c r="D8" i="9"/>
  <c r="C7" i="10"/>
  <c r="C56" i="4"/>
  <c r="A75" i="6"/>
  <c r="F94"/>
  <c r="A76" i="4"/>
  <c r="E94" i="6"/>
  <c r="B54" i="5"/>
  <c r="C6" i="6"/>
  <c r="D155" i="3"/>
  <c r="B6" i="6"/>
  <c r="B74" i="4"/>
  <c r="E3" i="6"/>
  <c r="B66"/>
  <c r="D13" i="7"/>
  <c r="E1" i="8"/>
  <c r="B7" i="9"/>
  <c r="A6" i="10"/>
  <c r="A55" i="4"/>
  <c r="E73" i="6"/>
  <c r="D93"/>
  <c r="E74" i="4"/>
  <c r="C93" i="6"/>
  <c r="D35"/>
  <c r="D68"/>
  <c r="A20" i="7"/>
  <c r="D5" i="8"/>
  <c r="C4" i="9"/>
  <c r="C32" i="4"/>
  <c r="A51" i="6"/>
  <c r="F70"/>
  <c r="A52" i="4"/>
  <c r="E70" i="6"/>
  <c r="F35" i="5"/>
  <c r="D41" i="6"/>
  <c r="A51" i="5"/>
  <c r="C86" i="6"/>
  <c r="E22" i="10"/>
  <c r="B12" i="9"/>
  <c r="C29" i="7"/>
  <c r="D59" i="2"/>
  <c r="B51"/>
  <c r="D35" i="3"/>
  <c r="D24" i="6"/>
  <c r="C74" i="4"/>
  <c r="A107" i="3"/>
  <c r="E168"/>
  <c r="C42" i="2"/>
  <c r="C43"/>
  <c r="E29" i="7"/>
  <c r="E9" i="8"/>
  <c r="B57" i="1"/>
  <c r="B196" i="3"/>
  <c r="F189"/>
  <c r="E85" i="2"/>
  <c r="A93" i="3"/>
  <c r="F74" i="4"/>
  <c r="B83" i="6"/>
  <c r="C98" i="2"/>
  <c r="C133" i="3"/>
  <c r="B31" i="4"/>
  <c r="E133" i="3"/>
  <c r="C26" i="6"/>
  <c r="B66" i="4"/>
  <c r="E86" i="1"/>
  <c r="B72" i="3"/>
  <c r="D25" i="6"/>
  <c r="F67" i="4"/>
  <c r="B90" i="1"/>
  <c r="E111" i="3"/>
  <c r="D24" i="4"/>
  <c r="D3"/>
  <c r="C7" i="3"/>
  <c r="A23" i="4"/>
  <c r="B189" i="3"/>
  <c r="B48" i="4"/>
  <c r="B130" i="3"/>
  <c r="B39" i="5"/>
  <c r="B81" i="2"/>
  <c r="E187" i="3"/>
  <c r="A81" i="2"/>
  <c r="C187" i="3"/>
  <c r="B82" i="2"/>
  <c r="A189" i="3"/>
  <c r="A82" i="2"/>
  <c r="E188" i="3"/>
  <c r="D92" i="2"/>
  <c r="F1" i="4"/>
  <c r="A6" i="3"/>
  <c r="A21" i="4"/>
  <c r="F187" i="3"/>
  <c r="C46" i="4"/>
  <c r="F128" i="3"/>
  <c r="F24" i="5"/>
  <c r="B64" i="4"/>
  <c r="F84" i="3"/>
  <c r="F63" i="4"/>
  <c r="D69" i="5"/>
  <c r="D55" i="6"/>
  <c r="D47" i="5"/>
  <c r="C3" i="6"/>
  <c r="D30" i="10"/>
  <c r="D99" i="6"/>
  <c r="C18" i="7"/>
  <c r="F10" i="9"/>
  <c r="A3" i="6"/>
  <c r="E10" i="9"/>
  <c r="D9" i="10"/>
  <c r="E22" i="6"/>
  <c r="C9" i="10"/>
  <c r="B20" i="6"/>
  <c r="B12" i="5"/>
  <c r="B74"/>
  <c r="A30" i="6"/>
  <c r="A93"/>
  <c r="D18" i="7"/>
  <c r="C38"/>
  <c r="F9" i="10"/>
  <c r="A23" i="6"/>
  <c r="E9" i="10"/>
  <c r="D29"/>
  <c r="E42" i="6"/>
  <c r="C29" i="10"/>
  <c r="F46" i="6"/>
  <c r="F38" i="5"/>
  <c r="F24" i="6"/>
  <c r="E56"/>
  <c r="A12" i="7"/>
  <c r="D38"/>
  <c r="C17" i="8"/>
  <c r="F29" i="10"/>
  <c r="A43" i="6"/>
  <c r="E29" i="10"/>
  <c r="A44" i="4"/>
  <c r="E62" i="6"/>
  <c r="D11" i="5"/>
  <c r="E39"/>
  <c r="D123" i="3"/>
  <c r="D39" i="5"/>
  <c r="A45" i="6"/>
  <c r="A37" i="5"/>
  <c r="B23" i="6"/>
  <c r="F54"/>
  <c r="E10" i="7"/>
  <c r="B37"/>
  <c r="A16" i="8"/>
  <c r="D28" i="10"/>
  <c r="E41" i="6"/>
  <c r="C28" i="10"/>
  <c r="E42" i="4"/>
  <c r="C61" i="6"/>
  <c r="F68" i="5"/>
  <c r="E24" i="6"/>
  <c r="A89"/>
  <c r="D14" i="7"/>
  <c r="C34"/>
  <c r="F5" i="10"/>
  <c r="A19" i="6"/>
  <c r="E5" i="10"/>
  <c r="D25"/>
  <c r="E38" i="6"/>
  <c r="C25" i="10"/>
  <c r="F74" i="5"/>
  <c r="F60" i="6"/>
  <c r="F52" i="5"/>
  <c r="E8" i="6"/>
  <c r="A77"/>
  <c r="D2" i="7"/>
  <c r="C22"/>
  <c r="F14" i="9"/>
  <c r="A7" i="6"/>
  <c r="E14" i="9"/>
  <c r="D13" i="10"/>
  <c r="E26" i="6"/>
  <c r="C13" i="10"/>
  <c r="A46" i="5"/>
  <c r="F31" i="6"/>
  <c r="E63"/>
  <c r="C17" i="7"/>
  <c r="F2" i="8"/>
  <c r="E1" i="9"/>
  <c r="E29" i="4"/>
  <c r="C48" i="6"/>
  <c r="B68"/>
  <c r="C49" i="4"/>
  <c r="A68" i="6"/>
  <c r="D32" i="5"/>
  <c r="A38" i="6"/>
  <c r="A30" i="5"/>
  <c r="F15" i="6"/>
  <c r="E47"/>
  <c r="C5" i="7"/>
  <c r="F31"/>
  <c r="E10" i="8"/>
  <c r="B23" i="10"/>
  <c r="C36" i="6"/>
  <c r="A23" i="10"/>
  <c r="C37" i="4"/>
  <c r="A56" i="6"/>
  <c r="C190" i="3"/>
  <c r="E97" i="2"/>
  <c r="E8" i="4"/>
  <c r="D178" i="3"/>
  <c r="B89" i="6"/>
  <c r="D115" i="3"/>
  <c r="C43" i="6"/>
  <c r="D70" i="2"/>
  <c r="D173" i="3"/>
  <c r="C70" i="2"/>
  <c r="C173" i="3"/>
  <c r="D71" i="2"/>
  <c r="F174" i="3"/>
  <c r="C71" i="2"/>
  <c r="E174" i="3"/>
  <c r="F81" i="2"/>
  <c r="D188" i="3"/>
  <c r="C96" i="2"/>
  <c r="A7" i="4"/>
  <c r="B177" i="3"/>
  <c r="F83" i="6"/>
  <c r="B114" i="3"/>
  <c r="E39" i="6"/>
  <c r="A50" i="4"/>
  <c r="B74" i="3"/>
  <c r="F49" i="4"/>
  <c r="C55" i="5"/>
  <c r="B41" i="6"/>
  <c r="B33" i="5"/>
  <c r="A65"/>
  <c r="F19" i="10"/>
  <c r="F88" i="6"/>
  <c r="E7" i="7"/>
  <c r="B21" i="8"/>
  <c r="C68" i="5"/>
  <c r="A21" i="8"/>
  <c r="F19" i="9"/>
  <c r="A12" i="6"/>
  <c r="E19" i="9"/>
  <c r="A6" i="6"/>
  <c r="B69"/>
  <c r="F59" i="5"/>
  <c r="E15" i="6"/>
  <c r="C82"/>
  <c r="F7" i="7"/>
  <c r="E27"/>
  <c r="B20" i="9"/>
  <c r="C12" i="6"/>
  <c r="A20" i="9"/>
  <c r="F18" i="10"/>
  <c r="A32" i="6"/>
  <c r="E18" i="10"/>
  <c r="E32" i="6"/>
  <c r="E24" i="5"/>
  <c r="D10" i="6"/>
  <c r="C42"/>
  <c r="C1" i="7"/>
  <c r="F27"/>
  <c r="E6" i="8"/>
  <c r="B19" i="10"/>
  <c r="C32" i="6"/>
  <c r="A19" i="10"/>
  <c r="C33" i="4"/>
  <c r="A52" i="6"/>
  <c r="B73" i="4"/>
  <c r="D25" i="5"/>
  <c r="F112" i="3"/>
  <c r="B25" i="5"/>
  <c r="F30" i="6"/>
  <c r="F22" i="5"/>
  <c r="F8" i="6"/>
  <c r="E40"/>
  <c r="A101"/>
  <c r="D26" i="7"/>
  <c r="C5" i="8"/>
  <c r="F17" i="10"/>
  <c r="A31" i="6"/>
  <c r="E17" i="10"/>
  <c r="A32" i="4"/>
  <c r="E50" i="6"/>
  <c r="D54" i="5"/>
  <c r="C10" i="6"/>
  <c r="C78"/>
  <c r="F3" i="7"/>
  <c r="E23"/>
  <c r="B16" i="9"/>
  <c r="C8" i="6"/>
  <c r="A16" i="9"/>
  <c r="F14" i="10"/>
  <c r="A28" i="6"/>
  <c r="E14" i="10"/>
  <c r="E60" i="5"/>
  <c r="C91" i="6"/>
  <c r="B65" i="5"/>
  <c r="F22" i="10"/>
  <c r="F100" i="6"/>
  <c r="B101"/>
  <c r="C57" i="1"/>
  <c r="C62" i="5"/>
  <c r="A159" i="3"/>
  <c r="D23" i="5"/>
  <c r="E21" i="4"/>
  <c r="D101" i="3"/>
  <c r="A32"/>
  <c r="E88" i="1"/>
  <c r="A65" i="2"/>
  <c r="E167" i="3"/>
  <c r="C41" i="6"/>
  <c r="F167" i="3"/>
  <c r="B89" i="2"/>
  <c r="D161" i="3"/>
  <c r="A100" i="1"/>
  <c r="D136" i="3"/>
  <c r="A9" i="10"/>
  <c r="A22" i="7"/>
  <c r="D18" i="5"/>
  <c r="F33" i="7"/>
  <c r="F76" i="5"/>
  <c r="E46" i="1"/>
  <c r="A190" i="3"/>
  <c r="A162"/>
  <c r="B176"/>
  <c r="E41" i="2"/>
  <c r="E61" i="5"/>
  <c r="A53" i="1"/>
  <c r="F56" i="4"/>
  <c r="C199" i="3"/>
  <c r="B15" i="2"/>
  <c r="D1" i="3"/>
  <c r="F12"/>
  <c r="E16" i="5"/>
  <c r="F19" i="7"/>
  <c r="E48" i="6"/>
  <c r="C44"/>
  <c r="B4" i="7"/>
  <c r="A84" i="6"/>
  <c r="F2" i="7"/>
  <c r="E82" i="6"/>
  <c r="A27" i="10"/>
  <c r="C98" i="6"/>
  <c r="F68" i="4"/>
  <c r="E69" i="6"/>
  <c r="F89"/>
  <c r="C77"/>
  <c r="F91" i="2"/>
  <c r="B2" i="3"/>
  <c r="C2" i="5"/>
  <c r="B9" i="7"/>
  <c r="C34" i="6"/>
  <c r="E33"/>
  <c r="C74"/>
  <c r="C73"/>
  <c r="F2" i="5"/>
  <c r="D15" i="7"/>
  <c r="C41" i="5"/>
  <c r="E21" i="8"/>
  <c r="E93" i="6"/>
  <c r="F16"/>
  <c r="B57"/>
  <c r="B11" i="9"/>
  <c r="C97" i="2"/>
  <c r="D11" i="3"/>
  <c r="E40" i="4"/>
  <c r="D45"/>
  <c r="E13"/>
  <c r="F153" i="3"/>
  <c r="A7" i="2"/>
  <c r="D62" i="5"/>
  <c r="F162" i="3"/>
  <c r="E71" i="1"/>
  <c r="E29" i="5"/>
  <c r="D22" i="10"/>
  <c r="C1"/>
  <c r="F11" i="8"/>
  <c r="C8" i="7"/>
  <c r="D20" i="3"/>
  <c r="C22" i="6"/>
  <c r="D66" i="2"/>
  <c r="B78" i="6"/>
  <c r="C63" i="4"/>
  <c r="B47" i="3"/>
  <c r="C41" i="2"/>
  <c r="D73" i="5"/>
  <c r="A17" i="1"/>
  <c r="B78" i="3"/>
  <c r="C68" i="2"/>
  <c r="D46"/>
  <c r="F65" i="5"/>
  <c r="C154" i="3"/>
  <c r="B173"/>
  <c r="B62" i="6"/>
  <c r="D69" i="4"/>
  <c r="B73" i="6"/>
  <c r="E95" i="2"/>
  <c r="E129" i="3"/>
  <c r="D81" i="2"/>
  <c r="B71" i="3"/>
  <c r="A188"/>
  <c r="C125"/>
  <c r="E67" i="5"/>
  <c r="E189" i="3"/>
  <c r="E85"/>
  <c r="C87"/>
  <c r="D27" i="4"/>
  <c r="B40" i="2"/>
  <c r="D24" i="3"/>
  <c r="F42" i="1"/>
  <c r="E57"/>
  <c r="E86" i="6"/>
  <c r="D93" i="3"/>
  <c r="E84" i="2"/>
  <c r="D131" i="3"/>
  <c r="C83" i="2"/>
  <c r="D13" i="5"/>
  <c r="A38" i="2"/>
  <c r="C53" i="1"/>
  <c r="F22" i="2"/>
  <c r="E50" i="1"/>
  <c r="E81" i="2"/>
  <c r="B28" i="3"/>
  <c r="A96" i="2"/>
  <c r="F59" i="1"/>
  <c r="D72" i="3"/>
  <c r="C186"/>
  <c r="F56" i="2"/>
  <c r="E196" i="3"/>
  <c r="F14" i="1"/>
  <c r="A52" i="3"/>
  <c r="E36" i="4"/>
  <c r="A136" i="3"/>
  <c r="F9"/>
  <c r="D91" i="2"/>
  <c r="C17" i="10"/>
  <c r="C78" i="3"/>
  <c r="C138"/>
  <c r="E145"/>
  <c r="C143"/>
  <c r="D96" i="1"/>
  <c r="D97"/>
  <c r="D158" i="3"/>
  <c r="C80" i="2"/>
  <c r="D60" i="3"/>
  <c r="F63" i="5"/>
  <c r="C15" i="9"/>
  <c r="C7" i="7"/>
  <c r="C71" i="6"/>
  <c r="C54"/>
  <c r="D68" i="3"/>
  <c r="B61" i="6"/>
  <c r="D20" i="5"/>
  <c r="B93" i="6"/>
  <c r="F76" i="4"/>
  <c r="B63" i="6"/>
  <c r="F2" i="4"/>
  <c r="C47" i="3"/>
  <c r="A19" i="7"/>
  <c r="C44" i="1"/>
  <c r="F8" i="5"/>
  <c r="D189" i="3"/>
  <c r="A34" i="2"/>
  <c r="C54" i="3"/>
  <c r="B121"/>
  <c r="D24" i="2"/>
  <c r="F53" i="3"/>
  <c r="D15"/>
  <c r="C2" i="4"/>
  <c r="D122" i="3"/>
  <c r="F30" i="1"/>
  <c r="F3"/>
  <c r="D10" i="4"/>
  <c r="D62"/>
  <c r="F15"/>
  <c r="B14"/>
  <c r="B25" i="10"/>
  <c r="B40" i="4"/>
  <c r="A71" i="3"/>
  <c r="B117"/>
  <c r="F7" i="2"/>
  <c r="E7" i="1"/>
  <c r="B85"/>
  <c r="F141" i="3"/>
  <c r="F154"/>
  <c r="F15"/>
  <c r="D8" i="6"/>
  <c r="B36" i="5"/>
  <c r="C34" i="2"/>
  <c r="A48" i="3"/>
  <c r="A158"/>
  <c r="A9" i="1"/>
  <c r="D35" i="5"/>
  <c r="E101" i="6"/>
  <c r="D29" i="7"/>
  <c r="A61" i="4"/>
  <c r="C115" i="3"/>
  <c r="C196"/>
  <c r="D3" i="2"/>
  <c r="A26" i="1"/>
  <c r="E125" i="3"/>
  <c r="F55" i="2"/>
  <c r="F11" i="5"/>
  <c r="C25" i="4"/>
  <c r="D55" i="3"/>
  <c r="F168"/>
  <c r="B143"/>
  <c r="B18" i="1"/>
  <c r="E60" i="4"/>
  <c r="F46" i="3"/>
  <c r="E77" i="2"/>
  <c r="E33" i="1"/>
  <c r="E2"/>
  <c r="D4" i="6"/>
  <c r="A42" i="2"/>
  <c r="E40"/>
  <c r="C170" i="3"/>
  <c r="E99" i="2"/>
  <c r="B22" i="4"/>
  <c r="E49" i="2"/>
  <c r="C35" i="3"/>
  <c r="A133"/>
  <c r="E32" i="1"/>
  <c r="E47" i="3"/>
  <c r="F11" i="2"/>
  <c r="E141" i="3"/>
  <c r="B29" i="10"/>
  <c r="B92" i="3"/>
  <c r="C24" i="1"/>
  <c r="D11"/>
  <c r="F32" i="6"/>
  <c r="A39"/>
  <c r="C8" i="8"/>
  <c r="B75" i="5"/>
  <c r="E49" i="4"/>
  <c r="F45" i="5"/>
  <c r="F61" i="1"/>
  <c r="C22" i="4"/>
  <c r="E96" i="1"/>
  <c r="D41"/>
  <c r="E40"/>
  <c r="F65" i="2"/>
  <c r="D48"/>
  <c r="C101" i="1"/>
  <c r="E30" i="2"/>
  <c r="F86" i="1"/>
  <c r="E63"/>
  <c r="E184" i="3"/>
  <c r="C97"/>
  <c r="E82"/>
  <c r="F36" i="4"/>
  <c r="A35" i="2"/>
  <c r="F98"/>
  <c r="D97" i="3"/>
  <c r="F52" i="2"/>
  <c r="A1" i="6"/>
  <c r="E37" i="5"/>
  <c r="A7" i="3"/>
  <c r="D90"/>
  <c r="C4" i="10"/>
  <c r="D13" i="8"/>
  <c r="B52" i="6"/>
  <c r="D46"/>
  <c r="A100" i="2"/>
  <c r="B65" i="4"/>
  <c r="D54"/>
  <c r="D48" i="3"/>
  <c r="E81" i="1"/>
  <c r="C50" i="3"/>
  <c r="B139"/>
  <c r="D5"/>
  <c r="E58"/>
  <c r="C30"/>
  <c r="B6" i="10"/>
  <c r="E11" i="6"/>
  <c r="E10" i="10"/>
  <c r="A51" i="3"/>
  <c r="F98"/>
  <c r="A50" i="1"/>
  <c r="E23" i="5"/>
  <c r="D73" i="2"/>
  <c r="E63" i="3"/>
  <c r="F5" i="2"/>
  <c r="B12" i="1"/>
  <c r="C13" i="9"/>
  <c r="F20" i="4"/>
  <c r="B7" i="10"/>
  <c r="E44" i="6"/>
  <c r="C16" i="4"/>
  <c r="C30" i="6"/>
  <c r="C94"/>
  <c r="E30" i="10"/>
  <c r="B31"/>
  <c r="B53" i="6"/>
  <c r="C65" i="4"/>
  <c r="D51" i="6"/>
  <c r="A64" i="4"/>
  <c r="C40" i="6"/>
  <c r="A37"/>
  <c r="A48"/>
  <c r="A51" i="4"/>
  <c r="D44" i="6"/>
  <c r="E58" i="4"/>
  <c r="F91" i="6"/>
  <c r="A2" i="4"/>
  <c r="D62" i="6"/>
  <c r="E83"/>
  <c r="A20" i="10"/>
  <c r="D20"/>
  <c r="B39" i="6"/>
  <c r="E54" i="4"/>
  <c r="B37" i="6"/>
  <c r="E5" i="9"/>
  <c r="C53" i="4"/>
  <c r="E99" i="6"/>
  <c r="E29"/>
  <c r="D7" i="5"/>
  <c r="A36" i="6"/>
  <c r="D133" i="3"/>
  <c r="F83" i="2"/>
  <c r="F73"/>
  <c r="E71" i="5"/>
  <c r="C10"/>
  <c r="A143" i="3"/>
  <c r="B4" i="1"/>
  <c r="A2" i="5"/>
  <c r="E102" i="3"/>
  <c r="A171"/>
  <c r="C119"/>
  <c r="D23" i="7"/>
  <c r="E68" i="5"/>
  <c r="E14" i="6"/>
  <c r="C99"/>
  <c r="A24"/>
  <c r="F50" i="4"/>
  <c r="D174" i="3"/>
  <c r="F23" i="4"/>
  <c r="F23" i="6"/>
  <c r="C14" i="3"/>
  <c r="E50"/>
  <c r="E18"/>
  <c r="E4" i="6"/>
  <c r="A23" i="5"/>
  <c r="A9" i="6"/>
  <c r="F3"/>
  <c r="F29" i="2"/>
  <c r="F198" i="3"/>
  <c r="C30" i="7"/>
  <c r="E56" i="3"/>
  <c r="C11" i="1"/>
  <c r="F19" i="4"/>
  <c r="F50" i="3"/>
  <c r="C17" i="6"/>
  <c r="F50" i="5"/>
  <c r="B34" i="6"/>
  <c r="C13" i="3"/>
  <c r="C16"/>
  <c r="D111"/>
  <c r="F169"/>
  <c r="D51" i="5"/>
  <c r="E9" i="4"/>
  <c r="F26" i="1"/>
  <c r="D50" i="5"/>
  <c r="F45" i="3"/>
  <c r="E159"/>
  <c r="E54" i="1"/>
  <c r="C33"/>
  <c r="A11" i="5"/>
  <c r="A7" i="10"/>
  <c r="E21" i="7"/>
  <c r="E49" i="5"/>
  <c r="B24"/>
  <c r="D19" i="6"/>
  <c r="A65" i="3"/>
  <c r="B44" i="1"/>
  <c r="B32"/>
  <c r="E62" i="2"/>
  <c r="C11" i="7"/>
  <c r="C9" i="3"/>
  <c r="D18" i="1"/>
  <c r="D29"/>
  <c r="D95"/>
  <c r="F78" i="2"/>
  <c r="C188" i="3"/>
  <c r="B98" i="1"/>
  <c r="D49" i="4"/>
  <c r="C14"/>
  <c r="C3"/>
  <c r="E35" i="7"/>
  <c r="D86" i="1"/>
  <c r="B52"/>
  <c r="A57" i="4"/>
  <c r="C194" i="3"/>
  <c r="E155"/>
  <c r="A21" i="1"/>
  <c r="C184" i="3"/>
  <c r="B69" i="2"/>
  <c r="B70"/>
  <c r="A148" i="3"/>
  <c r="F70" i="1"/>
  <c r="B76" i="5"/>
  <c r="C34" i="1"/>
  <c r="E59" i="6"/>
  <c r="B56"/>
  <c r="B19" i="2"/>
  <c r="B10"/>
  <c r="B8" i="1"/>
  <c r="F35" i="2"/>
  <c r="A63" i="4"/>
  <c r="F21" i="8"/>
  <c r="E41" i="7"/>
  <c r="B10"/>
  <c r="A88" i="6"/>
  <c r="A2" i="1"/>
  <c r="E58"/>
  <c r="D45"/>
  <c r="B57" i="2"/>
  <c r="A165" i="3"/>
  <c r="F152"/>
  <c r="E19" i="5"/>
  <c r="E132" i="3"/>
  <c r="B26" i="2"/>
  <c r="A118" i="3"/>
  <c r="D84" i="1"/>
  <c r="B41" i="2"/>
  <c r="F142" i="3"/>
  <c r="F19" i="1"/>
  <c r="A6" i="2"/>
  <c r="C145" i="3"/>
  <c r="E74" i="2"/>
  <c r="C65" i="3"/>
  <c r="F175"/>
  <c r="C61" i="2"/>
  <c r="A55" i="1"/>
  <c r="E5" i="5"/>
  <c r="D36" i="2"/>
  <c r="D32"/>
  <c r="A24"/>
  <c r="F51" i="4"/>
  <c r="F72" i="5"/>
  <c r="C151" i="3"/>
  <c r="A20" i="4"/>
  <c r="B50" i="3"/>
  <c r="D163"/>
  <c r="A111"/>
  <c r="D46"/>
  <c r="A13" i="8"/>
  <c r="A82" i="1"/>
  <c r="A80" i="6"/>
  <c r="A7" i="5"/>
  <c r="C43" i="4"/>
  <c r="B67" i="5"/>
  <c r="B5" i="10"/>
  <c r="F117" i="3"/>
  <c r="E131"/>
  <c r="B4" i="6"/>
  <c r="A6" i="7"/>
  <c r="B55" i="3"/>
  <c r="C94"/>
  <c r="F48" i="5"/>
  <c r="F12" i="4"/>
  <c r="C15" i="2"/>
  <c r="C21" i="3"/>
  <c r="B32"/>
  <c r="B52"/>
  <c r="C86"/>
  <c r="A35" i="1"/>
  <c r="F2" i="6"/>
  <c r="F10" i="1"/>
  <c r="C144" i="3"/>
  <c r="D120"/>
  <c r="E51" i="6"/>
  <c r="D7" i="1"/>
  <c r="E101"/>
  <c r="C110" i="3"/>
  <c r="F9" i="4"/>
  <c r="A13" i="2"/>
  <c r="B93" i="1"/>
  <c r="F118" i="3"/>
  <c r="F40" i="2"/>
  <c r="A174" i="3"/>
  <c r="A66" i="6"/>
  <c r="E20" i="8"/>
  <c r="E38" i="2"/>
  <c r="F60" i="1"/>
  <c r="C141" i="3"/>
  <c r="E16" i="6"/>
  <c r="F25" i="10"/>
  <c r="B20" i="7"/>
  <c r="A100" i="6"/>
  <c r="E21" i="9"/>
  <c r="E66" i="6"/>
  <c r="F18" i="3"/>
  <c r="F41" i="1"/>
  <c r="A13" i="4"/>
  <c r="D59" i="1"/>
  <c r="A74" i="3"/>
  <c r="A179"/>
  <c r="F46" i="1"/>
  <c r="F61" i="4"/>
  <c r="C35" i="5"/>
  <c r="D54" i="2"/>
  <c r="E26" i="10"/>
  <c r="F88" i="1"/>
  <c r="C83" i="3"/>
  <c r="D116"/>
  <c r="E9" i="6"/>
  <c r="A84" i="3"/>
  <c r="D48" i="6"/>
  <c r="F3" i="2"/>
  <c r="B24" i="1"/>
  <c r="E45"/>
  <c r="C19" i="2"/>
  <c r="C8" i="4"/>
  <c r="C4"/>
  <c r="E17" i="6"/>
  <c r="A28" i="7"/>
  <c r="D46" i="5"/>
  <c r="C28" i="4"/>
  <c r="A2" i="7"/>
  <c r="B59" i="1"/>
  <c r="D56" i="2"/>
  <c r="A41" i="3"/>
  <c r="B33" i="6"/>
  <c r="D88" i="3"/>
  <c r="D177"/>
  <c r="A176"/>
  <c r="F109"/>
  <c r="C100" i="6"/>
  <c r="F50"/>
  <c r="E87" i="1"/>
  <c r="E69" i="5"/>
  <c r="D13" i="6"/>
  <c r="A79" i="3"/>
  <c r="C31" i="4"/>
  <c r="B100" i="3"/>
  <c r="B46" i="1"/>
  <c r="D29" i="2"/>
  <c r="D80"/>
  <c r="A187" i="3"/>
  <c r="A157"/>
  <c r="E140"/>
  <c r="E76" i="6"/>
  <c r="B158" i="3"/>
  <c r="C2"/>
  <c r="F156"/>
  <c r="E31" i="6"/>
  <c r="A44"/>
  <c r="E18" i="8"/>
  <c r="C67" i="5"/>
  <c r="B84" i="6"/>
  <c r="D65" i="5"/>
  <c r="F82" i="6"/>
  <c r="B27" i="10"/>
  <c r="B5" i="6"/>
  <c r="C29" i="4"/>
  <c r="A2" i="10"/>
  <c r="C58" i="5"/>
  <c r="D77" i="6"/>
  <c r="D143" i="3"/>
  <c r="E92" i="2"/>
  <c r="B142" i="3"/>
  <c r="D17" i="6"/>
  <c r="C33"/>
  <c r="A8" i="8"/>
  <c r="A53" i="5"/>
  <c r="D73" i="6"/>
  <c r="C51" i="5"/>
  <c r="F28" i="10"/>
  <c r="B35" i="7"/>
  <c r="D33"/>
  <c r="A75" i="4"/>
  <c r="C12" i="7"/>
  <c r="E31"/>
  <c r="C36"/>
  <c r="E32" i="4"/>
  <c r="F39" i="1"/>
  <c r="D184" i="3"/>
  <c r="A125"/>
  <c r="C58"/>
  <c r="A54" i="2"/>
  <c r="E48"/>
  <c r="F161" i="3"/>
  <c r="D165"/>
  <c r="E5" i="2"/>
  <c r="A70" i="6"/>
  <c r="F36" i="5"/>
  <c r="D1" i="10"/>
  <c r="D79" i="6"/>
  <c r="E14" i="5"/>
  <c r="E50" i="2"/>
  <c r="B89" i="1"/>
  <c r="E88" i="3"/>
  <c r="D9" i="9"/>
  <c r="A18" i="4"/>
  <c r="D27" i="1"/>
  <c r="D101" i="2"/>
  <c r="F5" i="8"/>
  <c r="A192" i="3"/>
  <c r="B98"/>
  <c r="E179"/>
  <c r="C55"/>
  <c r="B17" i="7"/>
  <c r="F57" i="6"/>
  <c r="A156" i="3"/>
  <c r="B9" i="4"/>
  <c r="F188" i="3"/>
  <c r="E27"/>
  <c r="F92"/>
  <c r="D12" i="7"/>
  <c r="A15" i="1"/>
  <c r="E20" i="9"/>
  <c r="E20" i="4"/>
  <c r="A53" i="2"/>
  <c r="D38" i="3"/>
  <c r="D43" i="1"/>
  <c r="F59" i="6"/>
  <c r="C74" i="3"/>
  <c r="B53" i="4"/>
  <c r="A196" i="3"/>
  <c r="D12" i="2"/>
  <c r="F195" i="3"/>
  <c r="F85"/>
  <c r="D67" i="2"/>
  <c r="D53"/>
  <c r="A28" i="5"/>
  <c r="D2" i="8"/>
  <c r="D68" i="4"/>
  <c r="B75" i="6"/>
  <c r="F19" i="2"/>
  <c r="B39" i="3"/>
  <c r="F40" i="1"/>
  <c r="D34" i="4"/>
  <c r="D52" i="1"/>
  <c r="D99" i="3"/>
  <c r="D195"/>
  <c r="D60" i="4"/>
  <c r="E52" i="3"/>
  <c r="E166"/>
  <c r="D25" i="1"/>
  <c r="B124" i="3"/>
  <c r="A15" i="2"/>
  <c r="D183" i="3"/>
  <c r="A185"/>
  <c r="A32" i="5"/>
  <c r="B65" i="2"/>
  <c r="C5" i="9"/>
  <c r="C46" i="5"/>
  <c r="D149" i="3"/>
  <c r="E63" i="4"/>
  <c r="F101" i="3"/>
  <c r="C117"/>
  <c r="A198"/>
  <c r="F4" i="2"/>
  <c r="C56" i="3"/>
  <c r="A11"/>
  <c r="A39" i="1"/>
  <c r="D26"/>
  <c r="A51"/>
  <c r="C7"/>
  <c r="D18" i="2"/>
  <c r="F20"/>
  <c r="F36"/>
  <c r="A128" i="3"/>
  <c r="A14" i="10"/>
  <c r="E11" i="5"/>
  <c r="A48"/>
  <c r="D23" i="10"/>
  <c r="E2" i="6"/>
  <c r="F57" i="3"/>
  <c r="E13" i="2"/>
  <c r="F6"/>
  <c r="A57"/>
  <c r="A80"/>
  <c r="C71" i="5"/>
  <c r="C131" i="3"/>
  <c r="F23" i="1"/>
  <c r="A52"/>
  <c r="E53"/>
  <c r="A8" i="2"/>
  <c r="E10" i="1"/>
  <c r="F13" i="10"/>
  <c r="E154" i="3"/>
  <c r="D201"/>
  <c r="F16" i="1"/>
  <c r="C42" i="3"/>
  <c r="B156"/>
  <c r="A71" i="1"/>
  <c r="B57" i="4"/>
  <c r="A23" i="3"/>
  <c r="C21" i="1"/>
  <c r="B63"/>
  <c r="E9" i="3"/>
  <c r="C113"/>
  <c r="D45" i="2"/>
  <c r="D25"/>
  <c r="A73" i="5"/>
  <c r="F41"/>
  <c r="D7" i="4"/>
  <c r="C11" i="2"/>
  <c r="C23" i="3"/>
  <c r="E96"/>
  <c r="C71" i="4"/>
  <c r="E74" i="3"/>
  <c r="C61" i="4"/>
  <c r="F101" i="6"/>
  <c r="A25"/>
  <c r="F42"/>
  <c r="A138" i="3"/>
  <c r="D14" i="2"/>
  <c r="D15"/>
  <c r="D83" i="1"/>
  <c r="F16" i="3"/>
  <c r="C4" i="2"/>
  <c r="A41" i="5"/>
  <c r="D51" i="4"/>
  <c r="A194" i="3"/>
  <c r="B11" i="2"/>
  <c r="D194" i="3"/>
  <c r="B84"/>
  <c r="F111"/>
  <c r="F74" i="1"/>
  <c r="B16"/>
  <c r="D72"/>
  <c r="B22"/>
  <c r="B152" i="3"/>
  <c r="B72" i="1"/>
  <c r="C174" i="3"/>
  <c r="A199"/>
  <c r="A42" i="4"/>
  <c r="E60" i="2"/>
  <c r="A191" i="3"/>
  <c r="D101" i="1"/>
  <c r="F97" i="2"/>
  <c r="A81" i="3"/>
  <c r="C48" i="4"/>
  <c r="B141" i="3"/>
  <c r="E10" i="4"/>
  <c r="A87" i="2"/>
  <c r="B36" i="3"/>
  <c r="F27" i="1"/>
  <c r="B8" i="3"/>
  <c r="D32" i="6"/>
  <c r="C13" i="8"/>
  <c r="B85" i="6"/>
  <c r="C5" i="5"/>
  <c r="F1" i="9"/>
  <c r="C57" i="5"/>
  <c r="A24" i="4"/>
  <c r="E101" i="3"/>
  <c r="E36"/>
  <c r="D16"/>
  <c r="C35" i="1"/>
  <c r="F55" i="6"/>
  <c r="D76" i="1"/>
  <c r="E68" i="4"/>
  <c r="F151" i="3"/>
  <c r="D39" i="4"/>
  <c r="D141" i="3"/>
  <c r="F16" i="2"/>
  <c r="F13" i="3"/>
  <c r="B47" i="4"/>
  <c r="C48" i="3"/>
  <c r="B11" i="6"/>
  <c r="F11" i="7"/>
  <c r="A3" i="10"/>
  <c r="B15" i="5"/>
  <c r="F55" i="1"/>
  <c r="D38" i="4"/>
  <c r="F54" i="3"/>
  <c r="F57" i="1"/>
  <c r="D4" i="10"/>
  <c r="B95" i="6"/>
  <c r="E78"/>
  <c r="C21" i="8"/>
  <c r="F23" i="10"/>
  <c r="B16" i="3"/>
  <c r="D140"/>
  <c r="F35" i="1"/>
  <c r="F68" i="3"/>
  <c r="E52" i="1"/>
  <c r="A90"/>
  <c r="D142" i="3"/>
  <c r="E43" i="4"/>
  <c r="F197" i="3"/>
  <c r="C7" i="4"/>
  <c r="B51"/>
  <c r="B57" i="3"/>
  <c r="B84" i="2"/>
  <c r="B88" i="3"/>
  <c r="C64" i="5"/>
  <c r="C80" i="3"/>
  <c r="F19" i="6"/>
  <c r="B1" i="2"/>
  <c r="B90"/>
  <c r="D34" i="5"/>
  <c r="D69" i="2"/>
  <c r="F45"/>
  <c r="D12" i="4"/>
  <c r="D9" i="5"/>
  <c r="D16" i="4"/>
  <c r="E7" i="5"/>
  <c r="F75"/>
  <c r="F30" i="10"/>
  <c r="F39" i="7"/>
  <c r="B87" i="6"/>
  <c r="C64"/>
  <c r="F81"/>
  <c r="A63"/>
  <c r="E14" i="8"/>
  <c r="C19" i="5"/>
  <c r="A15" i="10"/>
  <c r="B3" i="9"/>
  <c r="B67" i="6"/>
  <c r="E57"/>
  <c r="E67" i="4"/>
  <c r="B2"/>
  <c r="A66"/>
  <c r="F61" i="5"/>
  <c r="B20" i="10"/>
  <c r="B29" i="7"/>
  <c r="A61" i="6"/>
  <c r="E53"/>
  <c r="C59"/>
  <c r="F6" i="8"/>
  <c r="B72" i="6"/>
  <c r="F38"/>
  <c r="D16" i="10"/>
  <c r="C49" i="6"/>
  <c r="A21"/>
  <c r="C8" i="1"/>
  <c r="A17" i="3"/>
  <c r="C76" i="5"/>
  <c r="E39" i="1"/>
  <c r="B8" i="10"/>
  <c r="F96" i="3"/>
  <c r="E164"/>
  <c r="E83" i="1"/>
  <c r="B59" i="4"/>
  <c r="B50"/>
  <c r="D14" i="1"/>
  <c r="A97" i="3"/>
  <c r="D99" i="2"/>
  <c r="B4" i="4"/>
  <c r="B98" i="2"/>
  <c r="F10" i="10"/>
  <c r="C73" i="3"/>
  <c r="C30" i="5"/>
  <c r="C37" i="3"/>
  <c r="D73" i="4"/>
  <c r="C19" i="10"/>
  <c r="A68" i="2"/>
  <c r="F87" i="1"/>
  <c r="F48" i="6"/>
  <c r="F52"/>
  <c r="F73" i="1"/>
  <c r="B75" i="2"/>
  <c r="A168" i="3"/>
  <c r="E93" i="2"/>
  <c r="D34"/>
  <c r="A115" i="3"/>
  <c r="C139"/>
  <c r="C87" i="6"/>
  <c r="A21" i="9"/>
  <c r="A8" i="1"/>
  <c r="F92"/>
  <c r="A13" i="5"/>
  <c r="A1" i="1"/>
  <c r="D40"/>
  <c r="E151" i="3"/>
  <c r="B73" i="1"/>
  <c r="F26" i="2"/>
  <c r="F83" i="3"/>
  <c r="F101" i="1"/>
  <c r="D16" i="6"/>
  <c r="E15" i="10"/>
  <c r="E28" i="7"/>
  <c r="E92" i="6"/>
  <c r="B42" i="3"/>
  <c r="F45" i="6"/>
  <c r="F37" i="3"/>
  <c r="F21" i="7"/>
  <c r="A90" i="6"/>
  <c r="D76" i="5"/>
  <c r="D33"/>
  <c r="A27" i="6"/>
  <c r="D78" i="1"/>
  <c r="C49" i="2"/>
  <c r="E69"/>
  <c r="A46"/>
  <c r="B58" i="6"/>
  <c r="D47" i="4"/>
  <c r="B59" i="6"/>
  <c r="D87"/>
  <c r="E19" i="8"/>
  <c r="D65" i="1"/>
  <c r="B12" i="2"/>
  <c r="F49" i="5"/>
  <c r="D11" i="7"/>
  <c r="D169" i="3"/>
  <c r="D70" i="5"/>
  <c r="B21" i="4"/>
  <c r="F10" i="7"/>
  <c r="C52" i="4"/>
  <c r="A55" i="2"/>
  <c r="E14" i="3"/>
  <c r="C72" i="1"/>
  <c r="F15" i="10"/>
  <c r="B132" i="3"/>
  <c r="F145"/>
  <c r="F9" i="5"/>
  <c r="A56" i="2"/>
  <c r="F2" i="3"/>
  <c r="E46"/>
  <c r="E75" i="4"/>
  <c r="B153" i="3"/>
  <c r="B41" i="4"/>
  <c r="E182" i="3"/>
  <c r="E100" i="1"/>
  <c r="B151" i="3"/>
  <c r="B15" i="9"/>
  <c r="E71" i="6"/>
  <c r="F41" i="7"/>
  <c r="A18" i="9"/>
  <c r="C69" i="4"/>
  <c r="A76" i="1"/>
  <c r="F29"/>
  <c r="A86" i="3"/>
  <c r="A43"/>
  <c r="C72"/>
  <c r="A67" i="2"/>
  <c r="B52" i="5"/>
  <c r="F44" i="1"/>
  <c r="E18"/>
  <c r="A3" i="2"/>
  <c r="B6"/>
  <c r="B60"/>
  <c r="A65" i="4"/>
  <c r="B29" i="6"/>
  <c r="A41" i="2"/>
  <c r="A31" i="3"/>
  <c r="B183"/>
  <c r="A31" i="7"/>
  <c r="C95" i="3"/>
  <c r="D21" i="8"/>
  <c r="F63" i="1"/>
  <c r="E12" i="4"/>
  <c r="B20" i="3"/>
  <c r="E11" i="4"/>
  <c r="E84" i="1"/>
  <c r="F125" i="3"/>
  <c r="B99"/>
  <c r="D16" i="9"/>
  <c r="B65" i="6"/>
  <c r="A28" i="4"/>
  <c r="F75" i="6"/>
  <c r="D190" i="3"/>
  <c r="F78"/>
  <c r="B27" i="4"/>
  <c r="C130" i="3"/>
  <c r="B80" i="6"/>
  <c r="B14" i="10"/>
  <c r="D19" i="5"/>
  <c r="D86" i="6"/>
  <c r="C75" i="5"/>
  <c r="E93" i="3"/>
  <c r="C12" i="1"/>
  <c r="C156" i="3"/>
  <c r="E30" i="5"/>
  <c r="A45" i="1"/>
  <c r="B144" i="3"/>
  <c r="B2" i="6"/>
  <c r="A5" i="10"/>
  <c r="A18" i="7"/>
  <c r="A82" i="6"/>
  <c r="C70"/>
  <c r="D118" i="3"/>
  <c r="F97"/>
  <c r="E60" i="1"/>
  <c r="C73"/>
  <c r="B80" i="2"/>
  <c r="E38" i="3"/>
  <c r="D153"/>
  <c r="B159"/>
  <c r="E89" i="2"/>
  <c r="B99" i="1"/>
  <c r="B15" i="8"/>
  <c r="B75" i="3"/>
  <c r="A89"/>
  <c r="D37" i="5"/>
  <c r="D10" i="10"/>
  <c r="A45" i="2"/>
  <c r="B63" i="3"/>
  <c r="B94" i="6"/>
  <c r="F147" i="3"/>
  <c r="B34" i="4"/>
  <c r="B136" i="3"/>
  <c r="B65" i="1"/>
  <c r="A30"/>
  <c r="D34" i="7"/>
  <c r="E12" i="6"/>
  <c r="B100"/>
  <c r="C37" i="7"/>
  <c r="A48" i="4"/>
  <c r="B112" i="3"/>
  <c r="D11" i="4"/>
  <c r="C14" i="2"/>
  <c r="D49" i="3"/>
  <c r="F5"/>
  <c r="F131"/>
  <c r="E41"/>
  <c r="B17"/>
  <c r="B10" i="6"/>
  <c r="A38" i="5"/>
  <c r="E35" i="2"/>
  <c r="E49" i="3"/>
  <c r="C26"/>
  <c r="E95" i="1"/>
  <c r="A120" i="3"/>
  <c r="B7" i="4"/>
  <c r="B20" i="2"/>
  <c r="B1" i="3"/>
  <c r="B16" i="4"/>
  <c r="E6" i="1"/>
  <c r="D51"/>
  <c r="F15" i="2"/>
  <c r="F14" i="3"/>
  <c r="A33" i="7"/>
  <c r="B46" i="6"/>
  <c r="A60" i="4"/>
  <c r="D1" i="8"/>
  <c r="D21" i="7"/>
  <c r="D20" i="4"/>
  <c r="C48" i="2"/>
  <c r="A34" i="3"/>
  <c r="F37" i="5"/>
  <c r="C81" i="3"/>
  <c r="C59" i="1"/>
  <c r="F45"/>
  <c r="F59" i="4"/>
  <c r="B149" i="3"/>
  <c r="F35" i="4"/>
  <c r="F137" i="3"/>
  <c r="B69" i="1"/>
  <c r="B150" i="3"/>
  <c r="E13" i="10"/>
  <c r="F119" i="3"/>
  <c r="D58" i="5"/>
  <c r="D91" i="6"/>
  <c r="E2" i="9"/>
  <c r="B17" i="6"/>
  <c r="D14" i="9"/>
  <c r="C1" i="1"/>
  <c r="D1" i="2"/>
  <c r="A8" i="10"/>
  <c r="D9" i="4"/>
  <c r="D2" i="3"/>
  <c r="B8" i="4"/>
  <c r="A14" i="5"/>
  <c r="A11" i="10"/>
  <c r="C13" i="7"/>
  <c r="F69" i="5"/>
  <c r="E45" i="4"/>
  <c r="F67" i="5"/>
  <c r="C44" i="4"/>
  <c r="F35" i="7"/>
  <c r="C27" i="6"/>
  <c r="C28"/>
  <c r="E38" i="7"/>
  <c r="C3" i="5"/>
  <c r="A15" i="4"/>
  <c r="B72"/>
  <c r="A22" i="6"/>
  <c r="C24"/>
  <c r="C58"/>
  <c r="A64"/>
  <c r="E17" i="9"/>
  <c r="F144" i="3"/>
  <c r="C16" i="9"/>
  <c r="C9" i="7"/>
  <c r="F21" i="5"/>
  <c r="B15" i="10"/>
  <c r="D9" i="7"/>
  <c r="C89" i="6"/>
  <c r="A11" i="9"/>
  <c r="F43" i="4"/>
  <c r="E201" i="3"/>
  <c r="D40" i="4"/>
  <c r="E7" i="6"/>
  <c r="E13"/>
  <c r="B44"/>
  <c r="C53"/>
  <c r="A7" i="9"/>
  <c r="B134" i="3"/>
  <c r="C21" i="7"/>
  <c r="C52" i="6"/>
  <c r="B7"/>
  <c r="A4" i="8"/>
  <c r="E30" i="4"/>
  <c r="F3" i="8"/>
  <c r="D2" i="10"/>
  <c r="B62" i="3"/>
  <c r="B18" i="6"/>
  <c r="D75" i="3"/>
  <c r="C84" i="1"/>
  <c r="F23" i="5"/>
  <c r="A55"/>
  <c r="B47" i="1"/>
  <c r="D21"/>
  <c r="E17" i="2"/>
  <c r="D126" i="3"/>
  <c r="F73"/>
  <c r="C49" i="5"/>
  <c r="F2" i="9"/>
  <c r="F20" i="5"/>
  <c r="A12" i="9"/>
  <c r="B147" i="3"/>
  <c r="B35" i="4"/>
  <c r="D54" i="3"/>
  <c r="E21" i="1"/>
  <c r="E1" i="4"/>
  <c r="B109" i="3"/>
  <c r="D16" i="8"/>
  <c r="D104" i="3"/>
  <c r="D98" i="1"/>
  <c r="E34" i="2"/>
  <c r="C28"/>
  <c r="F159" i="3"/>
  <c r="E29" i="2"/>
  <c r="D200" i="3"/>
  <c r="F24"/>
  <c r="B120"/>
  <c r="D166"/>
  <c r="B42" i="2"/>
  <c r="D26" i="3"/>
  <c r="A153"/>
  <c r="B76" i="4"/>
  <c r="D30" i="3"/>
  <c r="E120"/>
  <c r="F48" i="2"/>
  <c r="B59"/>
  <c r="E77" i="3"/>
  <c r="A42" i="1"/>
  <c r="E24" i="2"/>
  <c r="A41" i="1"/>
  <c r="D22" i="2"/>
  <c r="B31"/>
  <c r="F3" i="4"/>
  <c r="B40" i="7"/>
  <c r="D162" i="3"/>
  <c r="D17" i="2"/>
  <c r="C8" i="5"/>
  <c r="B1" i="10"/>
  <c r="A1" i="9"/>
  <c r="D31" i="7"/>
  <c r="A8"/>
  <c r="E146" i="3"/>
  <c r="E14" i="2"/>
  <c r="B21" i="1"/>
  <c r="C167" i="3"/>
  <c r="F67" i="2"/>
  <c r="B10" i="4"/>
  <c r="A13" i="7"/>
  <c r="E121" i="3"/>
  <c r="E150"/>
  <c r="C18" i="1"/>
  <c r="C64"/>
  <c r="F43" i="2"/>
  <c r="B42" i="1"/>
  <c r="C26"/>
  <c r="F1" i="3"/>
  <c r="A67" i="1"/>
  <c r="E2" i="2"/>
  <c r="B82" i="1"/>
  <c r="A93" i="2"/>
  <c r="A126" i="3"/>
  <c r="B123"/>
  <c r="F36" i="1"/>
  <c r="F31"/>
  <c r="A169" i="3"/>
  <c r="C27" i="2"/>
  <c r="A160" i="3"/>
  <c r="D103"/>
  <c r="C94" i="2"/>
  <c r="D23" i="4"/>
  <c r="B54" i="3"/>
  <c r="D167"/>
  <c r="F29" i="4"/>
  <c r="A47" i="1"/>
  <c r="B179" i="3"/>
  <c r="F89"/>
  <c r="C101" i="6"/>
  <c r="C28" i="5"/>
  <c r="E71" i="4"/>
  <c r="B88" i="6"/>
  <c r="D26" i="10"/>
  <c r="C146" i="3"/>
  <c r="B160"/>
  <c r="E79"/>
  <c r="E18" i="2"/>
  <c r="A4" i="3"/>
  <c r="F9" i="1"/>
  <c r="D52" i="5"/>
  <c r="D79" i="1"/>
  <c r="F62" i="2"/>
  <c r="E185" i="3"/>
  <c r="A11" i="1"/>
  <c r="C35" i="4"/>
  <c r="A27" i="1"/>
  <c r="C17" i="2"/>
  <c r="A122" i="3"/>
  <c r="A27" i="5"/>
  <c r="A59"/>
  <c r="E39" i="3"/>
  <c r="F8" i="1"/>
  <c r="B91" i="2"/>
  <c r="C38" i="1"/>
  <c r="F113" i="3"/>
  <c r="E8" i="5"/>
  <c r="A28" i="2"/>
  <c r="E45" i="3"/>
  <c r="A98" i="1"/>
  <c r="B76" i="2"/>
  <c r="E177" i="3"/>
  <c r="C21" i="10"/>
  <c r="C23" i="1"/>
  <c r="C2" i="2"/>
  <c r="E4"/>
  <c r="E47"/>
  <c r="B33"/>
  <c r="E41" i="4"/>
  <c r="D41" i="7"/>
  <c r="C20"/>
  <c r="A22" i="10"/>
  <c r="E87" i="6"/>
  <c r="E54" i="3"/>
  <c r="E44"/>
  <c r="F2" i="1"/>
  <c r="F86" i="3"/>
  <c r="F1" i="7"/>
  <c r="B146" i="3"/>
  <c r="C94" i="1"/>
  <c r="A40" i="2"/>
  <c r="C136" i="3"/>
  <c r="B133"/>
  <c r="B25" i="2"/>
  <c r="F165" i="3"/>
  <c r="E135"/>
  <c r="A145"/>
  <c r="C87" i="1"/>
  <c r="A64" i="2"/>
  <c r="F93" i="3"/>
  <c r="E6" i="4"/>
  <c r="A5" i="1"/>
  <c r="D75"/>
  <c r="F173" i="3"/>
  <c r="F25" i="1"/>
  <c r="F49" i="3"/>
  <c r="C45" i="1"/>
  <c r="F127" i="3"/>
  <c r="B21" i="2"/>
  <c r="F95" i="1"/>
  <c r="B86" i="2"/>
  <c r="D14" i="8"/>
  <c r="B46" i="3"/>
  <c r="F160"/>
  <c r="C107"/>
  <c r="F43"/>
  <c r="F3"/>
  <c r="C15"/>
  <c r="E58" i="6"/>
  <c r="E61" i="4"/>
  <c r="D58" i="6"/>
  <c r="F66"/>
  <c r="F4" i="9"/>
  <c r="D89" i="3"/>
  <c r="B103"/>
  <c r="E51" i="5"/>
  <c r="B21" i="10"/>
  <c r="B23" i="1"/>
  <c r="F90" i="3"/>
  <c r="D43" i="5"/>
  <c r="C9" i="4"/>
  <c r="E12" i="2"/>
  <c r="E24" i="3"/>
  <c r="E98"/>
  <c r="A32" i="2"/>
  <c r="C16" i="5"/>
  <c r="C43" i="3"/>
  <c r="C95" i="1"/>
  <c r="B50"/>
  <c r="E38"/>
  <c r="A77"/>
  <c r="D57" i="3"/>
  <c r="A59"/>
  <c r="C47" i="2"/>
  <c r="F106" i="3"/>
  <c r="B6" i="4"/>
  <c r="A24" i="10"/>
  <c r="A59" i="6"/>
  <c r="A62"/>
  <c r="D90"/>
  <c r="B200" i="3"/>
  <c r="C189"/>
  <c r="B100" i="1"/>
  <c r="D96" i="2"/>
  <c r="B79" i="3"/>
  <c r="C42" i="4"/>
  <c r="F170" i="3"/>
  <c r="B18" i="4"/>
  <c r="D47" i="3"/>
  <c r="B162"/>
  <c r="C109"/>
  <c r="B45"/>
  <c r="F30"/>
  <c r="E23" i="4"/>
  <c r="E109" i="3"/>
  <c r="A87" i="6"/>
  <c r="A195" i="3"/>
  <c r="B129"/>
  <c r="C67" i="2"/>
  <c r="D24" i="1"/>
  <c r="B25" i="6"/>
  <c r="E43" i="1"/>
  <c r="B102" i="3"/>
  <c r="E28"/>
  <c r="C1"/>
  <c r="C27"/>
  <c r="D16" i="5"/>
  <c r="B11" i="10"/>
  <c r="D26" i="6"/>
  <c r="C45" i="4"/>
  <c r="F18" i="8"/>
  <c r="B68" i="5"/>
  <c r="D17" i="8"/>
  <c r="A53" i="6"/>
  <c r="A60"/>
  <c r="E2" i="8"/>
  <c r="D60" i="6"/>
  <c r="E70" i="4"/>
  <c r="B12" i="8"/>
  <c r="A18" i="3"/>
  <c r="E91" i="2"/>
  <c r="E16" i="3"/>
  <c r="B2" i="5"/>
  <c r="D21" i="9"/>
  <c r="D12" i="6"/>
  <c r="E34" i="4"/>
  <c r="B8" i="8"/>
  <c r="A54" i="5"/>
  <c r="D28" i="7"/>
  <c r="E35" i="5"/>
  <c r="E12" i="7"/>
  <c r="B38" i="5"/>
  <c r="F17" i="7"/>
  <c r="D21" i="5"/>
  <c r="A62"/>
  <c r="C177" i="3"/>
  <c r="C25" i="2"/>
  <c r="C15" i="4"/>
  <c r="C22" i="2"/>
  <c r="C60"/>
  <c r="E79"/>
  <c r="F80" i="6"/>
  <c r="B62" i="1"/>
  <c r="C70" i="3"/>
  <c r="E78"/>
  <c r="C5" i="2"/>
  <c r="B2" i="8"/>
  <c r="C10" i="7"/>
  <c r="F28" i="6"/>
  <c r="E89"/>
  <c r="C135" i="3"/>
  <c r="E44" i="2"/>
  <c r="D79" i="3"/>
  <c r="A6" i="8"/>
  <c r="A10"/>
  <c r="B82" i="6"/>
  <c r="F23" i="2"/>
  <c r="D61" i="3"/>
  <c r="B102" i="1"/>
  <c r="D85" i="2"/>
  <c r="F62" i="1"/>
  <c r="C29"/>
  <c r="A35" i="7"/>
  <c r="A100" i="3"/>
  <c r="C195"/>
  <c r="E19" i="2"/>
  <c r="F97" i="6"/>
  <c r="D121" i="3"/>
  <c r="C38" i="4"/>
  <c r="E57" i="2"/>
  <c r="C17" i="3"/>
  <c r="D88" i="6"/>
  <c r="E79"/>
  <c r="B28" i="2"/>
  <c r="E46"/>
  <c r="C93"/>
  <c r="A72"/>
  <c r="E30" i="3"/>
  <c r="C175"/>
  <c r="B64" i="1"/>
  <c r="B9"/>
  <c r="D46"/>
  <c r="F5"/>
  <c r="E22" i="2"/>
  <c r="F4" i="5"/>
  <c r="B2" i="7"/>
  <c r="B40" i="5"/>
  <c r="C69"/>
  <c r="A78" i="6"/>
  <c r="B2" i="9"/>
  <c r="C51" i="2"/>
  <c r="F32" i="3"/>
  <c r="E11" i="1"/>
  <c r="E82"/>
  <c r="D78" i="6"/>
  <c r="D70" i="1"/>
  <c r="F54" i="4"/>
  <c r="D39" i="1"/>
  <c r="A61"/>
  <c r="F32"/>
  <c r="E82" i="2"/>
  <c r="A4" i="1"/>
  <c r="E110" i="3"/>
  <c r="B2" i="1"/>
  <c r="A54"/>
  <c r="D32" i="3"/>
  <c r="A25" i="1"/>
  <c r="F163" i="3"/>
  <c r="B80" i="1"/>
  <c r="B66" i="2"/>
  <c r="B11" i="3"/>
  <c r="C20" i="4"/>
  <c r="F150" i="3"/>
  <c r="E25"/>
  <c r="E134"/>
  <c r="C52"/>
  <c r="D99" i="1"/>
  <c r="F18"/>
  <c r="B47" i="5"/>
  <c r="B11" i="4"/>
  <c r="A14" i="2"/>
  <c r="A26" i="3"/>
  <c r="B116"/>
  <c r="E67" i="2"/>
  <c r="F61" i="6"/>
  <c r="E6" i="5"/>
  <c r="B22" i="7"/>
  <c r="D53" i="6"/>
  <c r="E11" i="8"/>
  <c r="D85" i="1"/>
  <c r="A37" i="7"/>
  <c r="A4" i="10"/>
  <c r="C58" i="2"/>
  <c r="D15" i="4"/>
  <c r="F14" i="6"/>
  <c r="B45" i="4"/>
  <c r="B55"/>
  <c r="E197" i="3"/>
  <c r="F13" i="2"/>
  <c r="B197" i="3"/>
  <c r="F38" i="2"/>
  <c r="A56" i="1"/>
  <c r="F26" i="7"/>
  <c r="D50" i="4"/>
  <c r="E63" i="2"/>
  <c r="B101"/>
  <c r="C63"/>
  <c r="B64" i="3"/>
  <c r="E34" i="6"/>
  <c r="B11" i="5"/>
  <c r="C15" i="1"/>
  <c r="E113" i="3"/>
  <c r="E194"/>
  <c r="B2" i="2"/>
  <c r="D100"/>
  <c r="D84" i="3"/>
  <c r="C70" i="1"/>
  <c r="F143" i="3"/>
  <c r="A80"/>
  <c r="B19" i="1"/>
  <c r="A67" i="3"/>
  <c r="B108"/>
  <c r="C29"/>
  <c r="F32" i="5"/>
  <c r="E13" i="9"/>
  <c r="C59" i="4"/>
  <c r="E26" i="5"/>
  <c r="B2" i="10"/>
  <c r="F1" i="8"/>
  <c r="A10" i="1"/>
  <c r="E5"/>
  <c r="C9"/>
  <c r="E48"/>
  <c r="A71" i="6"/>
  <c r="C14" i="5"/>
  <c r="B23" i="7"/>
  <c r="F6" i="5"/>
  <c r="D154" i="3"/>
  <c r="B43" i="4"/>
  <c r="A58" i="3"/>
  <c r="F58" i="1"/>
  <c r="E69"/>
  <c r="A70" i="2"/>
  <c r="F12" i="1"/>
  <c r="D39" i="6"/>
  <c r="F25" i="3"/>
  <c r="F134"/>
  <c r="E4"/>
  <c r="B1" i="1"/>
  <c r="E19" i="10"/>
  <c r="F2" i="2"/>
  <c r="D60" i="1"/>
  <c r="F57" i="2"/>
  <c r="F42" i="3"/>
  <c r="C32" i="2"/>
  <c r="D9"/>
  <c r="F69" i="4"/>
  <c r="E95" i="3"/>
  <c r="A4" i="4"/>
  <c r="E8" i="2"/>
  <c r="E20" i="3"/>
  <c r="C93"/>
  <c r="F5" i="6"/>
  <c r="F17" i="1"/>
  <c r="A40" i="4"/>
  <c r="E12" i="10"/>
  <c r="E72" i="5"/>
  <c r="C31" i="7"/>
  <c r="B26" i="4"/>
  <c r="E52" i="2"/>
  <c r="D28" i="1"/>
  <c r="F25" i="2"/>
  <c r="D33"/>
  <c r="A16" i="10"/>
  <c r="B83" i="3"/>
  <c r="A12" i="1"/>
  <c r="E190" i="3"/>
  <c r="D8" i="2"/>
  <c r="F191" i="3"/>
  <c r="D80"/>
  <c r="D106"/>
  <c r="D40" i="5"/>
  <c r="C84" i="2"/>
  <c r="A200" i="3"/>
  <c r="A28" i="1"/>
  <c r="D31"/>
  <c r="F14" i="2"/>
  <c r="C38" i="3"/>
  <c r="D41"/>
  <c r="E17" i="1"/>
  <c r="C92" i="2"/>
  <c r="B72" i="5"/>
  <c r="C37" i="6"/>
  <c r="C40" i="4"/>
  <c r="B30" i="6"/>
  <c r="D38" i="5"/>
  <c r="B190" i="3"/>
  <c r="A61"/>
  <c r="F74"/>
  <c r="C23" i="5"/>
  <c r="F20" i="9"/>
  <c r="A23" i="2"/>
  <c r="C127" i="3"/>
  <c r="F6" i="7"/>
  <c r="F5" i="4"/>
  <c r="A10" i="2"/>
  <c r="A22" i="3"/>
  <c r="A95"/>
  <c r="E6"/>
  <c r="C20" i="2"/>
  <c r="E80" i="1"/>
  <c r="A44" i="3"/>
  <c r="B69"/>
  <c r="C72" i="2"/>
  <c r="A49" i="1"/>
  <c r="F64" i="4"/>
  <c r="D90" i="2"/>
  <c r="B44"/>
  <c r="B19" i="7"/>
  <c r="C34" i="4"/>
  <c r="B15"/>
  <c r="D31"/>
  <c r="B106" i="3"/>
  <c r="E39" i="7"/>
  <c r="E40" i="5"/>
  <c r="A31" i="10"/>
  <c r="C33" i="7"/>
  <c r="F39" i="5"/>
  <c r="A32" i="7"/>
  <c r="B21" i="6"/>
  <c r="C41" i="4"/>
  <c r="F23" i="7"/>
  <c r="C74" i="5"/>
  <c r="D89" i="6"/>
  <c r="E26" i="7"/>
  <c r="F17" i="4"/>
  <c r="F201" i="3"/>
  <c r="A16" i="4"/>
  <c r="D95" i="3"/>
  <c r="A29" i="7"/>
  <c r="C26" i="5"/>
  <c r="C20" i="10"/>
  <c r="E22" i="7"/>
  <c r="F25" i="5"/>
  <c r="B71" i="6"/>
  <c r="E33" i="4"/>
  <c r="A72" i="6"/>
  <c r="B25" i="7"/>
  <c r="C16" i="10"/>
  <c r="A13" i="6"/>
  <c r="E19" i="7"/>
  <c r="D82" i="3"/>
  <c r="B60" i="4"/>
  <c r="D73" i="1"/>
  <c r="E21" i="5"/>
  <c r="F84" i="2"/>
  <c r="E9"/>
  <c r="E161" i="3"/>
  <c r="E58" i="2"/>
  <c r="D9" i="3"/>
  <c r="E3" i="4"/>
  <c r="A108" i="3"/>
  <c r="D98" i="2"/>
  <c r="F8" i="3"/>
  <c r="B97" i="2"/>
  <c r="D7" i="3"/>
  <c r="F110"/>
  <c r="E71"/>
  <c r="C4" i="6"/>
  <c r="E115" i="3"/>
  <c r="C14" i="8"/>
  <c r="B82" i="3"/>
  <c r="B100" i="2"/>
  <c r="A22" i="1"/>
  <c r="A13"/>
  <c r="C45" i="2"/>
  <c r="A11" i="8"/>
  <c r="F48" i="4"/>
  <c r="D130" i="3"/>
  <c r="E156"/>
  <c r="F25" i="7"/>
  <c r="D19" i="4"/>
  <c r="E57" i="5"/>
  <c r="E20" i="2"/>
  <c r="A5" i="3"/>
  <c r="A144"/>
  <c r="A22" i="4"/>
  <c r="A99" i="1"/>
  <c r="B33" i="4"/>
  <c r="D19" i="3"/>
  <c r="F14" i="4"/>
  <c r="E67" i="1"/>
  <c r="B38" i="4"/>
  <c r="A85" i="6"/>
  <c r="F68" i="1"/>
  <c r="B21" i="3"/>
  <c r="C16" i="2"/>
  <c r="D67" i="1"/>
  <c r="A173" i="3"/>
  <c r="F80" i="2"/>
  <c r="E31" i="3"/>
  <c r="D15" i="10"/>
  <c r="D8" i="5"/>
  <c r="B1" i="9"/>
  <c r="C18" i="10"/>
  <c r="C51" i="6"/>
  <c r="A7" i="1"/>
  <c r="D30"/>
  <c r="E175" i="3"/>
  <c r="D80" i="1"/>
  <c r="E51"/>
  <c r="F81" i="3"/>
  <c r="F62" i="5"/>
  <c r="A53" i="3"/>
  <c r="D5" i="2"/>
  <c r="F90"/>
  <c r="A40" i="3"/>
  <c r="A83"/>
  <c r="E44" i="5"/>
  <c r="D43" i="6"/>
  <c r="D4" i="3"/>
  <c r="D61" i="2"/>
  <c r="B33" i="1"/>
  <c r="C61"/>
  <c r="F60" i="2"/>
  <c r="A28" i="3"/>
  <c r="E43"/>
  <c r="D48" i="4"/>
  <c r="C57" i="2"/>
  <c r="D36" i="4"/>
  <c r="E6" i="2"/>
  <c r="F71" i="1"/>
  <c r="F75"/>
  <c r="F34" i="4"/>
  <c r="A17" i="7"/>
  <c r="C192" i="3"/>
  <c r="F9" i="2"/>
  <c r="E2" i="7"/>
  <c r="E18" i="5"/>
  <c r="E80" i="2"/>
  <c r="E52" i="5"/>
  <c r="E92" i="3"/>
  <c r="B63" i="4"/>
  <c r="E4"/>
  <c r="B48" i="6"/>
  <c r="E59" i="2"/>
  <c r="A58" i="1"/>
  <c r="C17"/>
  <c r="A183" i="3"/>
  <c r="D41" i="5"/>
  <c r="A37" i="4"/>
  <c r="D10" i="9"/>
  <c r="D157" i="3"/>
  <c r="B60"/>
  <c r="E49" i="1"/>
  <c r="C132" i="3"/>
  <c r="F39"/>
  <c r="F33" i="1"/>
  <c r="D76" i="3"/>
  <c r="F16" i="10"/>
  <c r="C60" i="6"/>
  <c r="F132" i="3"/>
  <c r="B16" i="2"/>
  <c r="B68"/>
  <c r="F194" i="3"/>
  <c r="B10" i="1"/>
  <c r="E48" i="3"/>
  <c r="C3" i="2"/>
  <c r="B84" i="1"/>
  <c r="E31" i="2"/>
  <c r="B7" i="5"/>
  <c r="A112" i="3"/>
  <c r="F82"/>
  <c r="D51"/>
  <c r="F39" i="4"/>
  <c r="C68"/>
  <c r="C1" i="8"/>
  <c r="B60" i="5"/>
  <c r="D108" i="3"/>
  <c r="B9" i="5"/>
  <c r="F4" i="6"/>
  <c r="A94" i="1"/>
  <c r="D10" i="2"/>
  <c r="B24" i="4"/>
  <c r="B135" i="3"/>
  <c r="D65" i="4"/>
  <c r="F64" i="3"/>
  <c r="C18"/>
  <c r="E2" i="10"/>
  <c r="E75" i="3"/>
  <c r="D25"/>
  <c r="B34" i="2"/>
  <c r="E31" i="10"/>
  <c r="E162" i="3"/>
  <c r="D40"/>
  <c r="D164"/>
  <c r="D33" i="4"/>
  <c r="D110" i="3"/>
  <c r="A19"/>
  <c r="A170"/>
  <c r="E32" i="7"/>
  <c r="D24" i="10"/>
  <c r="A52" i="2"/>
  <c r="D57" i="5"/>
  <c r="C50" i="1"/>
  <c r="F5" i="5"/>
  <c r="B18" i="3"/>
  <c r="E86"/>
  <c r="C111"/>
  <c r="A101" i="2"/>
  <c r="A1" i="3"/>
  <c r="D21" i="2"/>
  <c r="C159" i="3"/>
  <c r="F76" i="1"/>
  <c r="F39" i="2"/>
  <c r="B67" i="1"/>
  <c r="B191" i="3"/>
  <c r="C100" i="1"/>
  <c r="D1" i="5"/>
  <c r="F53" i="1"/>
  <c r="A94" i="2"/>
  <c r="B96"/>
  <c r="A17" i="9"/>
  <c r="F88" i="2"/>
  <c r="C32" i="5"/>
  <c r="E4" i="8"/>
  <c r="E28" i="5"/>
  <c r="D6" i="10"/>
  <c r="C40" i="1"/>
  <c r="F3" i="5"/>
  <c r="D81" i="3"/>
  <c r="A123"/>
  <c r="A4" i="9"/>
  <c r="E7" i="4"/>
  <c r="E65" i="2"/>
  <c r="D144" i="3"/>
  <c r="D31" i="6"/>
  <c r="C62" i="2"/>
  <c r="D19" i="1"/>
  <c r="E70" i="2"/>
  <c r="E26" i="1"/>
  <c r="B37"/>
  <c r="D82" i="2"/>
  <c r="D92" i="3"/>
  <c r="A83" i="1"/>
  <c r="C18" i="2"/>
  <c r="E94" i="3"/>
  <c r="A81" i="1"/>
  <c r="D12" i="10"/>
  <c r="C172" i="3"/>
  <c r="C26" i="4"/>
  <c r="F7" i="1"/>
  <c r="F67"/>
  <c r="E124" i="3"/>
  <c r="A15" i="6"/>
  <c r="B5" i="1"/>
  <c r="D13" i="3"/>
  <c r="B48" i="5"/>
  <c r="D67"/>
  <c r="F13" i="4"/>
  <c r="C149" i="3"/>
  <c r="C43" i="1"/>
  <c r="E55" i="3"/>
  <c r="C63"/>
  <c r="B68"/>
  <c r="E51" i="4"/>
  <c r="C55" i="1"/>
  <c r="C20" i="8"/>
  <c r="E31" i="5"/>
  <c r="C30" i="2"/>
  <c r="B34" i="5"/>
  <c r="F67" i="6"/>
  <c r="B43" i="3"/>
  <c r="F16" i="4"/>
  <c r="E35"/>
  <c r="C30" i="10"/>
  <c r="F28" i="1"/>
  <c r="A117" i="3"/>
  <c r="E83"/>
  <c r="D48" i="5"/>
  <c r="A5" i="4"/>
  <c r="C44" i="5"/>
  <c r="A42" i="3"/>
  <c r="D64"/>
  <c r="A69" i="2"/>
  <c r="F92" i="6"/>
  <c r="B52" i="2"/>
  <c r="B51" i="1"/>
  <c r="B148" i="3"/>
  <c r="C54" i="1"/>
  <c r="D168" i="3"/>
  <c r="B167"/>
  <c r="A22" i="2"/>
  <c r="D35"/>
  <c r="D68" i="1"/>
  <c r="D5" i="4"/>
  <c r="B193" i="3"/>
  <c r="C26" i="10"/>
  <c r="B22" i="5"/>
  <c r="D15" i="6"/>
  <c r="F13" i="9"/>
  <c r="B110" i="3"/>
  <c r="D80" i="6"/>
  <c r="F27"/>
  <c r="D68" i="2"/>
  <c r="B172" i="3"/>
  <c r="D37" i="2"/>
  <c r="F27" i="4"/>
  <c r="A9" i="3"/>
  <c r="C5" i="4"/>
  <c r="B105" i="3"/>
  <c r="A44" i="1"/>
  <c r="F30" i="2"/>
  <c r="A19"/>
  <c r="B51" i="3"/>
  <c r="C98" i="1"/>
  <c r="A137" i="3"/>
  <c r="E163"/>
  <c r="C6" i="9"/>
  <c r="C27" i="4"/>
  <c r="C37" i="1"/>
  <c r="D69" i="3"/>
  <c r="E95" i="6"/>
  <c r="C21" i="9"/>
  <c r="A26" i="10"/>
  <c r="A20" i="3"/>
  <c r="A71" i="5"/>
  <c r="C201" i="3"/>
  <c r="A97" i="6"/>
  <c r="D75" i="5"/>
  <c r="F115" i="3"/>
  <c r="C82" i="2"/>
  <c r="E36"/>
  <c r="E72" i="3"/>
  <c r="E127"/>
  <c r="F13" i="6"/>
  <c r="F171" i="3"/>
  <c r="C68" i="6"/>
  <c r="A186" i="3"/>
  <c r="D30" i="6"/>
  <c r="F52" i="3"/>
  <c r="D64" i="4"/>
  <c r="F15" i="1"/>
  <c r="E103" i="3"/>
  <c r="A2" i="2"/>
  <c r="F37" i="4"/>
  <c r="F14" i="8"/>
  <c r="F22" i="6"/>
  <c r="F70" i="3"/>
  <c r="F19"/>
  <c r="D57" i="1"/>
  <c r="A46"/>
  <c r="F41" i="4"/>
  <c r="C142" i="3"/>
  <c r="C6"/>
  <c r="C96" i="1"/>
  <c r="E25" i="10"/>
  <c r="A15" i="3"/>
  <c r="E54" i="2"/>
  <c r="E4" i="9"/>
  <c r="F18" i="2"/>
  <c r="A89" i="1"/>
  <c r="A155" i="3"/>
  <c r="B24" i="10"/>
  <c r="F4" i="4"/>
  <c r="A87" i="3"/>
  <c r="B171"/>
  <c r="D43" i="4"/>
  <c r="F28"/>
  <c r="D16" i="2"/>
  <c r="A43"/>
  <c r="A30" i="3"/>
  <c r="B27" i="5"/>
  <c r="C23" i="4"/>
  <c r="B44" i="3"/>
  <c r="F93" i="2"/>
  <c r="D42" i="3"/>
  <c r="D23" i="2"/>
  <c r="F19" i="5"/>
  <c r="D13" i="2"/>
  <c r="F49" i="1"/>
  <c r="C160" i="3"/>
  <c r="A75" i="5"/>
  <c r="C5" i="10"/>
  <c r="F56" i="6"/>
  <c r="F66" i="3"/>
  <c r="A6" i="5"/>
  <c r="A16" i="6"/>
  <c r="D20" i="8"/>
  <c r="F104" i="3"/>
  <c r="A172"/>
  <c r="A48" i="1"/>
  <c r="A34" i="5"/>
  <c r="C45" i="3"/>
  <c r="A57"/>
  <c r="A29" i="4"/>
  <c r="F107" i="3"/>
  <c r="F87" i="2"/>
  <c r="E99" i="3"/>
  <c r="E42" i="2"/>
  <c r="E81" i="3"/>
  <c r="B178"/>
  <c r="B115"/>
  <c r="D85"/>
  <c r="C166"/>
  <c r="E52" i="4"/>
  <c r="C55"/>
  <c r="E170" i="3"/>
  <c r="C69" i="1"/>
  <c r="C6" i="4"/>
  <c r="A97" i="1"/>
  <c r="E52" i="6"/>
  <c r="C39"/>
  <c r="F8" i="2"/>
  <c r="D21" i="4"/>
  <c r="A16" i="3"/>
  <c r="F10" i="4"/>
  <c r="F61" i="2"/>
  <c r="E16" i="8"/>
  <c r="A9" i="4"/>
  <c r="A64" i="3"/>
  <c r="A130"/>
  <c r="B95" i="2"/>
  <c r="B62" i="4"/>
  <c r="A34" i="1"/>
  <c r="B25" i="3"/>
  <c r="E10"/>
  <c r="F13" i="1"/>
  <c r="A73" i="6"/>
  <c r="B6" i="9"/>
  <c r="F62" i="3"/>
  <c r="A161"/>
  <c r="D53"/>
  <c r="B12" i="4"/>
  <c r="B18" i="5"/>
  <c r="A114" i="3"/>
  <c r="C75"/>
  <c r="C137"/>
  <c r="C67" i="4"/>
  <c r="D37" i="3"/>
  <c r="A40" i="6"/>
  <c r="F73" i="4"/>
  <c r="C45" i="6"/>
  <c r="C11" i="5"/>
  <c r="E76" i="3"/>
  <c r="F138"/>
  <c r="F40"/>
  <c r="A62" i="1"/>
  <c r="D63" i="3"/>
  <c r="C162"/>
  <c r="E91" i="1"/>
  <c r="D91"/>
  <c r="F133" i="3"/>
  <c r="C50" i="5"/>
  <c r="A135" i="3"/>
  <c r="A36" i="7"/>
  <c r="E32" i="3"/>
  <c r="D23" i="1"/>
  <c r="D50" i="6"/>
  <c r="A36" i="5"/>
  <c r="B43" i="1"/>
  <c r="B30" i="5"/>
  <c r="C25"/>
  <c r="F77" i="6"/>
  <c r="C48" i="5"/>
  <c r="B41" i="3"/>
  <c r="B53" i="2"/>
  <c r="E148" i="3"/>
  <c r="B187"/>
  <c r="B24" i="6"/>
  <c r="A124" i="3"/>
  <c r="F12" i="2"/>
  <c r="C66" i="3"/>
  <c r="B86" i="1"/>
  <c r="F42" i="5"/>
  <c r="C12" i="9"/>
  <c r="E37" i="6"/>
  <c r="F1"/>
  <c r="F2" i="10"/>
  <c r="B33" i="7"/>
  <c r="E81" i="6"/>
  <c r="B27" i="2"/>
  <c r="D74" i="3"/>
  <c r="F71" i="6"/>
  <c r="E48" i="4"/>
  <c r="F22"/>
  <c r="A2" i="8"/>
  <c r="C5" i="1"/>
  <c r="B5" i="2"/>
  <c r="D71" i="1"/>
  <c r="C36"/>
  <c r="E8" i="3"/>
  <c r="B35" i="2"/>
  <c r="A106" i="3"/>
  <c r="F21" i="9"/>
  <c r="D18" i="3"/>
  <c r="C54" i="2"/>
  <c r="D97" i="6"/>
  <c r="E37" i="1"/>
  <c r="C122" i="3"/>
  <c r="B48" i="1"/>
  <c r="E65" i="5"/>
  <c r="A101" i="3"/>
  <c r="F25" i="4"/>
  <c r="E72" i="1"/>
  <c r="A9" i="5"/>
  <c r="B47" i="6"/>
  <c r="A71" i="4"/>
  <c r="C157" i="3"/>
  <c r="B87"/>
  <c r="E78" i="2"/>
  <c r="E21"/>
  <c r="E91" i="6"/>
  <c r="D145" i="3"/>
  <c r="B37"/>
  <c r="E32" i="5"/>
  <c r="D160" i="3"/>
  <c r="B10" i="8"/>
  <c r="B99" i="2"/>
  <c r="F21" i="4"/>
  <c r="F47" i="3"/>
  <c r="B195"/>
  <c r="C128"/>
  <c r="B13" i="7"/>
  <c r="C70" i="5"/>
  <c r="E100" i="2"/>
  <c r="D14" i="3"/>
  <c r="A46"/>
  <c r="F102"/>
  <c r="B15"/>
  <c r="E2" i="4"/>
  <c r="E7" i="2"/>
  <c r="E96"/>
  <c r="D74" i="4"/>
  <c r="F126" i="3"/>
  <c r="D29" i="4"/>
  <c r="E105" i="3"/>
  <c r="F33" i="2"/>
  <c r="E6" i="10"/>
  <c r="A19" i="1"/>
  <c r="B7"/>
  <c r="D17"/>
  <c r="D4"/>
  <c r="D49"/>
  <c r="B5" i="3"/>
  <c r="B9"/>
  <c r="F67"/>
  <c r="F61"/>
  <c r="F64" i="6"/>
  <c r="C91" i="3"/>
  <c r="A26" i="4"/>
  <c r="C99" i="2"/>
  <c r="B77" i="1"/>
  <c r="F69"/>
  <c r="A97" i="2"/>
  <c r="E53" i="5"/>
  <c r="A5" i="9"/>
  <c r="A57" i="5"/>
  <c r="F27" i="10"/>
  <c r="A3" i="3"/>
  <c r="F8" i="4"/>
  <c r="D113" i="3"/>
  <c r="F80" i="1"/>
  <c r="A27" i="2"/>
  <c r="E42" i="1"/>
  <c r="D128" i="3"/>
  <c r="E26" i="2"/>
  <c r="C46"/>
  <c r="A84"/>
  <c r="E137" i="3"/>
  <c r="E16" i="1"/>
  <c r="B16" i="6"/>
  <c r="E73" i="5"/>
  <c r="D19" i="2"/>
  <c r="F73" i="6"/>
  <c r="E9" i="1"/>
  <c r="E1" i="10"/>
  <c r="C163" i="3"/>
  <c r="F58" i="2"/>
  <c r="C198" i="3"/>
  <c r="E26"/>
  <c r="C10"/>
  <c r="D39"/>
  <c r="B71" i="2"/>
  <c r="C97" i="1"/>
  <c r="F146" i="3"/>
  <c r="E73" i="1"/>
  <c r="A74"/>
  <c r="A1" i="2"/>
  <c r="A58" i="6"/>
  <c r="A22" i="5"/>
  <c r="A4" i="2"/>
  <c r="D137" i="3"/>
  <c r="D37" i="6"/>
  <c r="E6" i="7"/>
  <c r="E62" i="1"/>
  <c r="D78" i="3"/>
  <c r="D43" i="2"/>
  <c r="E64"/>
  <c r="E191" i="3"/>
  <c r="F21"/>
  <c r="D147"/>
  <c r="A41" i="7"/>
  <c r="B15" i="1"/>
  <c r="A43" i="5"/>
  <c r="B81" i="1"/>
  <c r="D50" i="2"/>
  <c r="E149" i="3"/>
  <c r="D55" i="2"/>
  <c r="B62"/>
  <c r="B6" i="1"/>
  <c r="D65" i="3"/>
  <c r="A30" i="2"/>
  <c r="B174" i="3"/>
  <c r="A66" i="2"/>
  <c r="D179" i="3"/>
  <c r="B90"/>
  <c r="D2" i="1"/>
  <c r="B4" i="3"/>
  <c r="B21" i="7"/>
  <c r="D11" i="2"/>
  <c r="A48"/>
  <c r="C164" i="3"/>
  <c r="E13" i="1"/>
  <c r="F30" i="4"/>
  <c r="C48" i="1"/>
  <c r="A150" i="3"/>
  <c r="E4" i="1"/>
  <c r="A201" i="3"/>
  <c r="C92"/>
  <c r="A76"/>
  <c r="E158"/>
  <c r="A67" i="6"/>
  <c r="F186" i="3"/>
  <c r="C33" i="2"/>
  <c r="E28" i="4"/>
  <c r="C104" i="3"/>
  <c r="B97" i="1"/>
  <c r="F70" i="5"/>
  <c r="E118" i="3"/>
  <c r="D101" i="6"/>
  <c r="A78" i="3"/>
  <c r="E139"/>
  <c r="D38" i="1"/>
  <c r="B28" i="6"/>
  <c r="C15" i="8"/>
  <c r="D52" i="2"/>
  <c r="D83"/>
  <c r="E80" i="3"/>
  <c r="D193"/>
  <c r="E5" i="7"/>
  <c r="A142" i="3"/>
  <c r="C58" i="1"/>
  <c r="B96" i="3"/>
  <c r="A81" i="6"/>
  <c r="C102" i="3"/>
  <c r="E29" i="1"/>
  <c r="F68" i="2"/>
  <c r="B140" i="3"/>
  <c r="B91"/>
  <c r="C44" i="2"/>
  <c r="C20" i="1"/>
  <c r="B13" i="2"/>
  <c r="D198" i="3"/>
  <c r="C15" i="7"/>
  <c r="E15" i="9"/>
  <c r="C77" i="3"/>
  <c r="C106"/>
  <c r="F81" i="1"/>
  <c r="F22" i="7"/>
  <c r="C200" i="3"/>
  <c r="E83" i="2"/>
  <c r="D66" i="4"/>
  <c r="E70" i="1"/>
  <c r="C18" i="4"/>
  <c r="B40" i="1"/>
  <c r="D34"/>
  <c r="F47" i="5"/>
  <c r="D82" i="1"/>
  <c r="A11" i="2"/>
  <c r="C2" i="7"/>
  <c r="D21" i="3"/>
  <c r="A164"/>
  <c r="D15" i="9"/>
  <c r="F31" i="10"/>
  <c r="D150" i="3"/>
  <c r="C56" i="1"/>
  <c r="E17" i="8"/>
  <c r="B54" i="4"/>
  <c r="C10" i="8"/>
  <c r="A14" i="1"/>
  <c r="A12" i="4"/>
  <c r="B17"/>
  <c r="D17" i="3"/>
  <c r="F77"/>
  <c r="A61" i="2"/>
  <c r="C9" i="9"/>
  <c r="A47" i="6"/>
  <c r="C89" i="2"/>
  <c r="C85" i="1"/>
  <c r="B40" i="6"/>
  <c r="E76" i="1"/>
  <c r="C14"/>
  <c r="F101" i="2"/>
  <c r="C14" i="6"/>
  <c r="C90" i="2"/>
  <c r="E41" i="1"/>
  <c r="A77" i="3"/>
  <c r="D62" i="1"/>
  <c r="F79" i="2"/>
  <c r="E76" i="5"/>
  <c r="A79" i="1"/>
  <c r="D10" i="7"/>
  <c r="C8" i="10"/>
  <c r="B53" i="5"/>
  <c r="A10" i="4"/>
  <c r="D1" i="6"/>
  <c r="C85" i="2"/>
  <c r="E37" i="3"/>
  <c r="A51" i="2"/>
  <c r="F35" i="3"/>
  <c r="A40" i="7"/>
  <c r="D1" i="1"/>
  <c r="C4" i="3"/>
  <c r="E126"/>
  <c r="F51" i="5"/>
  <c r="A62" i="3"/>
  <c r="D66" i="1"/>
  <c r="F196" i="3"/>
  <c r="C19"/>
  <c r="F31"/>
  <c r="B33"/>
  <c r="A2" i="6"/>
  <c r="D13" i="1"/>
  <c r="B1" i="7"/>
  <c r="B13" i="4"/>
  <c r="B79" i="2"/>
  <c r="D44" i="3"/>
  <c r="D64" i="2"/>
  <c r="C68" i="1"/>
  <c r="E22"/>
  <c r="F85"/>
  <c r="F60" i="4"/>
  <c r="E142" i="3"/>
  <c r="C51" i="1"/>
  <c r="D25" i="4"/>
  <c r="A3"/>
  <c r="B67" i="3"/>
  <c r="F94" i="2"/>
  <c r="A98" i="6"/>
  <c r="A5" i="5"/>
  <c r="B45" i="2"/>
  <c r="D29" i="3"/>
  <c r="B92" i="2"/>
  <c r="B78" i="1"/>
  <c r="C26" i="2"/>
  <c r="E32"/>
  <c r="E92" i="1"/>
  <c r="C191" i="3"/>
  <c r="F84" i="1"/>
  <c r="F75" i="3"/>
  <c r="A26" i="2"/>
  <c r="D5" i="9"/>
  <c r="A59" i="2"/>
  <c r="E66"/>
  <c r="A134" i="3"/>
  <c r="C78" i="1"/>
  <c r="D172" i="3"/>
  <c r="C11" i="4"/>
  <c r="F129" i="3"/>
  <c r="A24"/>
  <c r="B54" i="2"/>
  <c r="B35" i="1"/>
  <c r="E19"/>
  <c r="C72" i="5"/>
  <c r="F29" i="6"/>
  <c r="C49" i="3"/>
  <c r="C22"/>
  <c r="D22" i="6"/>
  <c r="F38" i="3"/>
  <c r="A50"/>
  <c r="D14" i="4"/>
  <c r="C57" i="6"/>
  <c r="D86" i="2"/>
  <c r="E59" i="3"/>
  <c r="B64" i="2"/>
  <c r="A21" i="3"/>
  <c r="F182"/>
  <c r="D10" i="8"/>
  <c r="A140" i="3"/>
  <c r="F82" i="2"/>
  <c r="E98"/>
  <c r="C105" i="3"/>
  <c r="F58" i="6"/>
  <c r="B75" i="4"/>
  <c r="D76"/>
  <c r="F63" i="2"/>
  <c r="D61" i="1"/>
  <c r="E61" i="2"/>
  <c r="E38" i="4"/>
  <c r="D17"/>
  <c r="A60" i="2"/>
  <c r="C88" i="3"/>
  <c r="E15"/>
  <c r="F69"/>
  <c r="F11" i="1"/>
  <c r="F47" i="2"/>
  <c r="F185" i="3"/>
  <c r="F34" i="1"/>
  <c r="C57" i="3"/>
  <c r="F74" i="2"/>
  <c r="B14" i="3"/>
  <c r="E56" i="1"/>
  <c r="C18" i="5"/>
  <c r="C84" i="3"/>
  <c r="A129"/>
  <c r="D22"/>
  <c r="D35" i="1"/>
  <c r="D2" i="9"/>
  <c r="E67" i="3"/>
  <c r="C16" i="1"/>
  <c r="D117" i="3"/>
  <c r="E24" i="1"/>
  <c r="D24" i="5"/>
  <c r="D89" i="2"/>
  <c r="D15" i="1"/>
  <c r="C28"/>
  <c r="A29"/>
  <c r="B30" i="3"/>
  <c r="C73" i="2"/>
  <c r="C90" i="1"/>
  <c r="A116" i="3"/>
  <c r="C18" i="6"/>
  <c r="D77" i="3"/>
  <c r="A98"/>
  <c r="C19" i="6"/>
  <c r="D100" i="1"/>
  <c r="C10" i="10"/>
  <c r="B27" i="6"/>
  <c r="C1" i="4"/>
  <c r="F92" i="2"/>
  <c r="C2" i="10"/>
  <c r="E143" i="3"/>
  <c r="F166"/>
  <c r="D37" i="1"/>
  <c r="A49" i="3"/>
  <c r="A12" i="5"/>
  <c r="A47" i="3"/>
  <c r="F70" i="4"/>
  <c r="C66" i="6"/>
  <c r="E34" i="3"/>
  <c r="C140"/>
  <c r="E34" i="1"/>
  <c r="F52" i="4"/>
  <c r="C92" i="6"/>
  <c r="B22" i="3"/>
  <c r="D8" i="10"/>
  <c r="B32" i="2"/>
  <c r="C47" i="1"/>
  <c r="A13" i="9"/>
  <c r="E64" i="1"/>
  <c r="C29" i="2"/>
  <c r="B17" i="1"/>
  <c r="D44" i="5"/>
  <c r="D27" i="6"/>
  <c r="D36" i="1"/>
  <c r="E90" i="6"/>
  <c r="B14" i="2"/>
  <c r="F11" i="3"/>
  <c r="B5" i="4"/>
  <c r="A1"/>
  <c r="B23" i="2"/>
  <c r="B3" i="6"/>
  <c r="A11"/>
  <c r="B8" i="7"/>
  <c r="F102" i="1"/>
  <c r="C21" i="6"/>
  <c r="E112" i="3"/>
  <c r="C71" i="1"/>
  <c r="B27" i="3"/>
  <c r="E18" i="4"/>
  <c r="A16" i="7"/>
  <c r="E11" i="2"/>
  <c r="F42"/>
  <c r="A33"/>
  <c r="C158" i="3"/>
  <c r="A152"/>
  <c r="B6" i="7"/>
  <c r="A55" i="3"/>
  <c r="D73"/>
  <c r="F9" i="8"/>
  <c r="B94" i="3"/>
  <c r="B9" i="9"/>
  <c r="A9"/>
  <c r="E17" i="3"/>
  <c r="A92" i="2"/>
  <c r="D36" i="5"/>
  <c r="E21" i="6"/>
  <c r="D54" i="1"/>
  <c r="A86"/>
  <c r="C161" i="3"/>
  <c r="C19" i="1"/>
  <c r="B155" i="3"/>
  <c r="A91" i="2"/>
  <c r="E199" i="3"/>
  <c r="C60"/>
  <c r="A72" i="4"/>
  <c r="D47" i="2"/>
  <c r="C10"/>
  <c r="C64" i="4"/>
  <c r="A84" i="1"/>
  <c r="F24" i="2"/>
  <c r="B22"/>
  <c r="F58" i="5"/>
  <c r="E23" i="1"/>
  <c r="C74"/>
  <c r="D5"/>
  <c r="C4"/>
  <c r="E108" i="3"/>
  <c r="D53" i="1"/>
  <c r="A10" i="7"/>
  <c r="A68" i="1"/>
  <c r="A25" i="2"/>
  <c r="D47" i="6"/>
  <c r="E119" i="3"/>
  <c r="D69" i="1"/>
  <c r="B56" i="3"/>
  <c r="F28"/>
  <c r="D125"/>
  <c r="A46" i="4"/>
  <c r="B188" i="3"/>
  <c r="B35"/>
  <c r="F7"/>
  <c r="C41"/>
  <c r="A93" i="1"/>
  <c r="B37" i="5"/>
  <c r="B47" i="2"/>
  <c r="D33" i="1"/>
  <c r="B20" i="5"/>
  <c r="B55" i="2"/>
  <c r="F27" i="3"/>
  <c r="D32" i="1"/>
  <c r="E40" i="3"/>
  <c r="F66" i="4"/>
  <c r="D42" i="2"/>
  <c r="F26" i="3"/>
  <c r="A141"/>
  <c r="A61" i="5"/>
  <c r="E61" i="3"/>
  <c r="B88" i="2"/>
  <c r="E16" i="4"/>
  <c r="D27" i="5"/>
  <c r="B38" i="3"/>
  <c r="A45"/>
  <c r="F114"/>
  <c r="F78" i="1"/>
  <c r="D57" i="2"/>
  <c r="C15" i="6"/>
  <c r="C118" i="3"/>
  <c r="D49" i="6"/>
  <c r="E19" i="3"/>
  <c r="C31" i="2"/>
  <c r="E76" i="4"/>
  <c r="B10" i="9"/>
  <c r="B16" i="5"/>
  <c r="B56" i="2"/>
  <c r="A6" i="4"/>
  <c r="D22" i="7"/>
  <c r="B72" i="2"/>
  <c r="E39" i="4"/>
  <c r="A91" i="3"/>
  <c r="B38" i="1"/>
  <c r="A9" i="2"/>
  <c r="D9" i="6"/>
  <c r="F59" i="2"/>
  <c r="C120" i="3"/>
  <c r="F17" i="6"/>
  <c r="A25" i="4"/>
  <c r="E36" i="1"/>
  <c r="D11" i="10"/>
  <c r="F192" i="3"/>
  <c r="E90" i="2"/>
  <c r="A104" i="3"/>
  <c r="A6" i="1"/>
  <c r="D10"/>
  <c r="C2"/>
  <c r="E56" i="2"/>
  <c r="F108" i="3"/>
  <c r="A12" i="2"/>
  <c r="D8" i="7"/>
  <c r="D10" i="3"/>
  <c r="E102" i="1"/>
  <c r="D5" i="5"/>
  <c r="D45" i="3"/>
  <c r="E173"/>
  <c r="B85" i="2"/>
  <c r="D151" i="3"/>
  <c r="E15" i="2"/>
  <c r="E27" i="4"/>
  <c r="D50" i="1"/>
  <c r="F199" i="3"/>
  <c r="F53" i="5"/>
  <c r="B94" i="1"/>
  <c r="A37" i="3"/>
  <c r="D55" i="1"/>
  <c r="C155" i="3"/>
  <c r="A193"/>
  <c r="E79" i="1"/>
  <c r="E15"/>
  <c r="E33" i="5"/>
  <c r="E84" i="3"/>
  <c r="C35" i="6"/>
  <c r="C13" i="1"/>
  <c r="C82" i="3"/>
  <c r="E68" i="6"/>
  <c r="C123" i="3"/>
  <c r="F64" i="2"/>
  <c r="C39" i="7"/>
  <c r="F158" i="3"/>
  <c r="D63" i="2"/>
  <c r="D2"/>
  <c r="A66" i="5"/>
  <c r="D63" i="4"/>
  <c r="D74" i="1"/>
  <c r="D20" i="7"/>
  <c r="C129" i="3"/>
  <c r="E17" i="5"/>
  <c r="C43"/>
  <c r="C12" i="3"/>
  <c r="F20"/>
  <c r="C23" i="6"/>
  <c r="F50" i="2"/>
  <c r="B61"/>
  <c r="D8" i="3"/>
  <c r="B67" i="4"/>
  <c r="D81" i="1"/>
  <c r="B26"/>
  <c r="D27" i="10"/>
  <c r="E21" i="3"/>
  <c r="A85"/>
  <c r="F45" i="4"/>
  <c r="B44" i="5"/>
  <c r="B97" i="6"/>
  <c r="E1" i="2"/>
  <c r="D35" i="4"/>
  <c r="C100" i="3"/>
  <c r="F100" i="1"/>
  <c r="E114" i="3"/>
  <c r="C10" i="9"/>
  <c r="D76" i="2"/>
  <c r="C88"/>
  <c r="D97"/>
  <c r="F29" i="7"/>
  <c r="A29" i="6"/>
  <c r="F54" i="2"/>
  <c r="B54" i="1"/>
  <c r="C101" i="2"/>
  <c r="B31" i="3"/>
  <c r="C90" i="6"/>
  <c r="A99" i="3"/>
  <c r="A36" i="2"/>
  <c r="E171" i="3"/>
  <c r="C24" i="7"/>
  <c r="C10" i="1"/>
  <c r="B42" i="6"/>
  <c r="C63" i="1"/>
  <c r="C3" i="10"/>
  <c r="D66" i="3"/>
  <c r="B165"/>
  <c r="A1" i="7"/>
  <c r="D13" i="4"/>
  <c r="A20" i="1"/>
  <c r="B49"/>
  <c r="C77" i="2"/>
  <c r="E68" i="3"/>
  <c r="A181"/>
  <c r="F29"/>
  <c r="A69" i="4"/>
  <c r="C79" i="1"/>
  <c r="F46" i="2"/>
  <c r="E15" i="5"/>
  <c r="F76" i="3"/>
  <c r="E47" i="4"/>
  <c r="A5" i="2"/>
  <c r="C102" i="1"/>
  <c r="E20"/>
  <c r="A21" i="10"/>
  <c r="B44" i="4"/>
  <c r="E23" i="2"/>
  <c r="A8" i="3"/>
  <c r="E86" i="2"/>
  <c r="D61" i="4"/>
  <c r="A16" i="2"/>
  <c r="E2" i="3"/>
  <c r="A21" i="5"/>
  <c r="A17" i="4"/>
  <c r="E25" i="6"/>
  <c r="C40" i="7"/>
  <c r="F26" i="4"/>
  <c r="D58" i="3"/>
  <c r="C17" i="4"/>
  <c r="A163" i="3"/>
  <c r="A47" i="2"/>
  <c r="B26" i="3"/>
  <c r="F121"/>
  <c r="F38" i="4"/>
  <c r="C35" i="2"/>
  <c r="B182" i="3"/>
  <c r="F64" i="1"/>
  <c r="F32" i="4"/>
  <c r="B46" i="2"/>
  <c r="A69" i="3"/>
  <c r="F53" i="2"/>
  <c r="A3" i="1"/>
  <c r="B99" i="6"/>
  <c r="F1" i="10"/>
  <c r="F18" i="6"/>
  <c r="A70" i="1"/>
  <c r="B22" i="10"/>
  <c r="B4" i="9"/>
  <c r="B66" i="3"/>
  <c r="E180"/>
  <c r="B29" i="5"/>
  <c r="D67" i="3"/>
  <c r="B4" i="2"/>
  <c r="C69" i="3"/>
  <c r="F3" i="9"/>
  <c r="F149" i="3"/>
  <c r="B63" i="2"/>
  <c r="E87" i="3"/>
  <c r="E78" i="1"/>
  <c r="E25" i="7"/>
  <c r="D4" i="4"/>
  <c r="F21" i="2"/>
  <c r="F36" i="6"/>
  <c r="E1"/>
  <c r="E11" i="7"/>
  <c r="F28" i="5"/>
  <c r="D58" i="1"/>
  <c r="B14" i="8"/>
  <c r="F60" i="3"/>
  <c r="C197"/>
  <c r="E30" i="1"/>
  <c r="F77"/>
  <c r="E172" i="3"/>
  <c r="A23" i="1"/>
  <c r="A15" i="8"/>
  <c r="E51" i="3"/>
  <c r="C25" i="1"/>
  <c r="A98" i="2"/>
  <c r="E16"/>
  <c r="C25" i="3"/>
  <c r="F57" i="4"/>
  <c r="D55" i="5"/>
  <c r="D100" i="3"/>
  <c r="E160"/>
  <c r="F4" i="7"/>
  <c r="D20" i="1"/>
  <c r="F79"/>
  <c r="E97" i="6"/>
  <c r="D90" i="1"/>
  <c r="F36" i="3"/>
  <c r="E19" i="4"/>
  <c r="E55" i="1"/>
  <c r="E1"/>
  <c r="C51" i="4"/>
  <c r="F6" i="1"/>
  <c r="B3"/>
  <c r="E24" i="4"/>
  <c r="D61" i="6"/>
  <c r="B79" i="1"/>
  <c r="C21" i="4"/>
  <c r="E55" i="5"/>
  <c r="D96" i="3"/>
  <c r="A49" i="4"/>
  <c r="E3" i="5"/>
  <c r="D83" i="3"/>
  <c r="E42"/>
  <c r="C2" i="8"/>
  <c r="A149" i="3"/>
  <c r="A82"/>
  <c r="B80"/>
  <c r="A39" i="4"/>
  <c r="A35"/>
  <c r="A139" i="3"/>
  <c r="D87" i="1"/>
  <c r="C171" i="3"/>
  <c r="F41"/>
  <c r="F33"/>
  <c r="E51" i="2"/>
  <c r="F86"/>
  <c r="C70" i="4"/>
  <c r="B83" i="1"/>
  <c r="C5" i="6"/>
  <c r="F6" i="3"/>
  <c r="B11" i="1"/>
  <c r="B7" i="7"/>
  <c r="A119" i="3"/>
  <c r="C91" i="1"/>
  <c r="F48"/>
  <c r="B25"/>
  <c r="E39" i="2"/>
  <c r="C98" i="3"/>
  <c r="E128"/>
  <c r="F51"/>
  <c r="A26" i="6"/>
  <c r="E8" i="9"/>
  <c r="C3" i="1"/>
  <c r="F53" i="4"/>
  <c r="B60" i="1"/>
  <c r="C1" i="6"/>
  <c r="B161" i="3"/>
  <c r="A11" i="4"/>
  <c r="D20" i="2"/>
  <c r="D2" i="6"/>
  <c r="C44" i="3"/>
  <c r="C80" i="6"/>
  <c r="E192" i="3"/>
  <c r="E157"/>
  <c r="F164"/>
  <c r="D47" i="1"/>
  <c r="B98" i="6"/>
  <c r="B18" i="10"/>
  <c r="F78" i="6"/>
  <c r="A8" i="4"/>
  <c r="E5"/>
  <c r="C34" i="5"/>
  <c r="F34" i="3"/>
  <c r="B9" i="2"/>
  <c r="E147" i="3"/>
  <c r="D192"/>
  <c r="A44" i="2"/>
  <c r="F82" i="1"/>
  <c r="B61" i="4"/>
  <c r="D33" i="6"/>
  <c r="B163" i="3"/>
  <c r="B41" i="1"/>
  <c r="C85" i="3"/>
  <c r="D49" i="2"/>
  <c r="C50"/>
  <c r="A35" i="3"/>
  <c r="C67" i="1"/>
  <c r="B59" i="3"/>
  <c r="A73"/>
  <c r="D70" i="4"/>
  <c r="F88" i="3"/>
  <c r="B168"/>
  <c r="C12" i="10"/>
  <c r="A83" i="2"/>
  <c r="B127" i="3"/>
  <c r="D12"/>
  <c r="D9" i="1"/>
  <c r="E61"/>
  <c r="E89" i="3"/>
  <c r="D31"/>
  <c r="C168"/>
  <c r="E28" i="1"/>
  <c r="C81" i="2"/>
  <c r="C47" i="4"/>
  <c r="D3" i="8"/>
  <c r="B24" i="3"/>
  <c r="A147"/>
  <c r="A12" i="8"/>
  <c r="A29" i="3"/>
  <c r="C80" i="1"/>
  <c r="E3" i="3"/>
  <c r="B69" i="4"/>
  <c r="B37" i="2"/>
  <c r="F72" i="1"/>
  <c r="F130" i="3"/>
  <c r="F24" i="4"/>
  <c r="E25" i="2"/>
  <c r="B154" i="3"/>
  <c r="A76" i="2"/>
  <c r="D4" i="8"/>
  <c r="A10" i="9"/>
  <c r="F77" i="2"/>
  <c r="E169" i="3"/>
  <c r="E23" i="6"/>
  <c r="B13" i="10"/>
  <c r="B95" i="3"/>
  <c r="E43" i="2"/>
  <c r="A64" i="1"/>
  <c r="B53"/>
  <c r="B70"/>
  <c r="F43" i="6"/>
  <c r="A21" i="2"/>
  <c r="C5" i="3"/>
  <c r="C112"/>
  <c r="B26" i="5"/>
  <c r="F17" i="3"/>
  <c r="A28" i="10"/>
  <c r="A43" i="1"/>
  <c r="A90" i="3"/>
  <c r="D56" i="1"/>
  <c r="B34"/>
  <c r="B4" i="5"/>
  <c r="B71" i="1"/>
  <c r="F54"/>
  <c r="C20" i="6"/>
  <c r="D100"/>
  <c r="C36" i="3"/>
  <c r="E72" i="4"/>
  <c r="D196" i="3"/>
  <c r="D87" i="2"/>
  <c r="D98" i="6"/>
  <c r="D41" i="2"/>
  <c r="D53" i="4"/>
  <c r="A60" i="3"/>
  <c r="B42" i="4"/>
  <c r="B49"/>
  <c r="B29" i="1"/>
  <c r="A25" i="3"/>
  <c r="A18" i="1"/>
  <c r="E26" i="4"/>
  <c r="B164" i="3"/>
  <c r="F55"/>
  <c r="E3" i="2"/>
  <c r="A27" i="3"/>
  <c r="C31"/>
  <c r="C134"/>
  <c r="F55" i="5"/>
  <c r="C54" i="4"/>
  <c r="B81" i="6"/>
  <c r="B7" i="3"/>
  <c r="A71" i="2"/>
  <c r="D148" i="3"/>
  <c r="B77"/>
  <c r="D48" i="1"/>
  <c r="C65"/>
  <c r="D16"/>
  <c r="A105" i="3"/>
  <c r="E45" i="2"/>
  <c r="C11" i="6"/>
  <c r="E35" i="3"/>
  <c r="F60" i="5"/>
  <c r="F41" i="6"/>
  <c r="C40" i="3"/>
  <c r="A41" i="6"/>
  <c r="D62" i="3"/>
  <c r="D72" i="5"/>
  <c r="A131" i="3"/>
  <c r="C27" i="1"/>
  <c r="D187" i="3"/>
  <c r="D132"/>
  <c r="B58" i="4"/>
  <c r="C66" i="2"/>
  <c r="C24" i="3"/>
  <c r="D64" i="1"/>
  <c r="E85"/>
  <c r="C75"/>
  <c r="C1" i="2"/>
  <c r="A29"/>
  <c r="C28" i="3"/>
  <c r="D8" i="4"/>
  <c r="A31" i="2"/>
  <c r="F94" i="3"/>
  <c r="C24" i="10"/>
  <c r="C37" i="2"/>
  <c r="C7" i="5"/>
  <c r="F21" i="1"/>
</calcChain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2"/>
  <sheetViews>
    <sheetView tabSelected="1" workbookViewId="0">
      <selection activeCell="B2" sqref="B2"/>
    </sheetView>
  </sheetViews>
  <sheetFormatPr defaultColWidth="14.42578125" defaultRowHeight="15.75" customHeight="1"/>
  <sheetData>
    <row r="1" spans="1:6">
      <c r="A1" s="1" t="str">
        <f ca="1">IFERROR(__xludf.DUMMYFUNCTION("IMPORTHTML(""https://www.nirfindia.org/2020/OverallRanking.html"",""table"",1)"),"Institute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IFERROR(__xludf.DUMMYFUNCTION("""COMPUTED_VALUE"""),"IR-O-U-0456")</f>
        <v>IR-O-U-0456</v>
      </c>
      <c r="B2" s="1" t="str">
        <f ca="1">IFERROR(__xludf.DUMMYFUNCTION("""COMPUTED_VALUE"""),"Indian Institute of Technology Madras
More DetailsClose | 
[TABLE]")</f>
        <v>Indian Institute of Technology Madras
More DetailsClose | 
[TABLE]</v>
      </c>
      <c r="C2" s="1" t="str">
        <f ca="1">IFERROR(__xludf.DUMMYFUNCTION("""COMPUTED_VALUE"""),"Chennai")</f>
        <v>Chennai</v>
      </c>
      <c r="D2" s="1" t="str">
        <f ca="1">IFERROR(__xludf.DUMMYFUNCTION("""COMPUTED_VALUE"""),"Tamil Nadu")</f>
        <v>Tamil Nadu</v>
      </c>
      <c r="E2" s="1">
        <f ca="1">IFERROR(__xludf.DUMMYFUNCTION("""COMPUTED_VALUE"""),85.31)</f>
        <v>85.31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IFERROR(__xludf.DUMMYFUNCTION("""COMPUTED_VALUE"""),"IR-O-U-0220")</f>
        <v>IR-O-U-0220</v>
      </c>
      <c r="B3" s="1" t="str">
        <f ca="1">IFERROR(__xludf.DUMMYFUNCTION("""COMPUTED_VALUE"""),"Indian Institute of Science
More DetailsClose | 
[TABLE]")</f>
        <v>Indian Institute of Science
More DetailsClose | 
[TABLE]</v>
      </c>
      <c r="C3" s="1" t="str">
        <f ca="1">IFERROR(__xludf.DUMMYFUNCTION("""COMPUTED_VALUE"""),"Bengaluru")</f>
        <v>Bengaluru</v>
      </c>
      <c r="D3" s="1" t="str">
        <f ca="1">IFERROR(__xludf.DUMMYFUNCTION("""COMPUTED_VALUE"""),"Karnataka")</f>
        <v>Karnataka</v>
      </c>
      <c r="E3" s="1">
        <f ca="1">IFERROR(__xludf.DUMMYFUNCTION("""COMPUTED_VALUE"""),84.18)</f>
        <v>84.18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IFERROR(__xludf.DUMMYFUNCTION("""COMPUTED_VALUE"""),"IR-O-I-1074")</f>
        <v>IR-O-I-1074</v>
      </c>
      <c r="B4" s="1" t="str">
        <f ca="1">IFERROR(__xludf.DUMMYFUNCTION("""COMPUTED_VALUE"""),"Indian Institute of Technology Delhi
More DetailsClose | 
[TABLE]")</f>
        <v>Indian Institute of Technology Delhi
More DetailsClose | 
[TABLE]</v>
      </c>
      <c r="C4" s="1" t="str">
        <f ca="1">IFERROR(__xludf.DUMMYFUNCTION("""COMPUTED_VALUE"""),"New Delhi")</f>
        <v>New Delhi</v>
      </c>
      <c r="D4" s="1" t="str">
        <f ca="1">IFERROR(__xludf.DUMMYFUNCTION("""COMPUTED_VALUE"""),"Delhi")</f>
        <v>Delhi</v>
      </c>
      <c r="E4" s="1">
        <f ca="1">IFERROR(__xludf.DUMMYFUNCTION("""COMPUTED_VALUE"""),81.33)</f>
        <v>81.33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IFERROR(__xludf.DUMMYFUNCTION("""COMPUTED_VALUE"""),"IR-O-U-0306")</f>
        <v>IR-O-U-0306</v>
      </c>
      <c r="B5" s="1" t="str">
        <f ca="1">IFERROR(__xludf.DUMMYFUNCTION("""COMPUTED_VALUE"""),"Indian Institute of Technology Bombay
More DetailsClose | 
[TABLE]")</f>
        <v>Indian Institute of Technology Bombay
More DetailsClose | 
[TABLE]</v>
      </c>
      <c r="C5" s="1" t="str">
        <f ca="1">IFERROR(__xludf.DUMMYFUNCTION("""COMPUTED_VALUE"""),"Mumbai")</f>
        <v>Mumbai</v>
      </c>
      <c r="D5" s="1" t="str">
        <f ca="1">IFERROR(__xludf.DUMMYFUNCTION("""COMPUTED_VALUE"""),"Maharashtra")</f>
        <v>Maharashtra</v>
      </c>
      <c r="E5" s="1">
        <f ca="1">IFERROR(__xludf.DUMMYFUNCTION("""COMPUTED_VALUE"""),80.75)</f>
        <v>80.75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IFERROR(__xludf.DUMMYFUNCTION("""COMPUTED_VALUE"""),"IR-O-U-0573")</f>
        <v>IR-O-U-0573</v>
      </c>
      <c r="B6" s="1" t="str">
        <f ca="1">IFERROR(__xludf.DUMMYFUNCTION("""COMPUTED_VALUE"""),"Indian Institute of Technology Kharagpur
More DetailsClose | 
[TABLE]")</f>
        <v>Indian Institute of Technology Kharagpur
More DetailsClose | 
[TABLE]</v>
      </c>
      <c r="C6" s="1" t="str">
        <f ca="1">IFERROR(__xludf.DUMMYFUNCTION("""COMPUTED_VALUE"""),"Kharagpur")</f>
        <v>Kharagpur</v>
      </c>
      <c r="D6" s="1" t="str">
        <f ca="1">IFERROR(__xludf.DUMMYFUNCTION("""COMPUTED_VALUE"""),"West Bengal")</f>
        <v>West Bengal</v>
      </c>
      <c r="E6" s="1">
        <f ca="1">IFERROR(__xludf.DUMMYFUNCTION("""COMPUTED_VALUE"""),75.85)</f>
        <v>75.849999999999994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IFERROR(__xludf.DUMMYFUNCTION("""COMPUTED_VALUE"""),"IR-O-I-1075")</f>
        <v>IR-O-I-1075</v>
      </c>
      <c r="B7" s="1" t="str">
        <f ca="1">IFERROR(__xludf.DUMMYFUNCTION("""COMPUTED_VALUE"""),"Indian Institute of Technology Kanpur
More DetailsClose | 
[TABLE]")</f>
        <v>Indian Institute of Technology Kanpur
More DetailsClose | 
[TABLE]</v>
      </c>
      <c r="C7" s="1" t="str">
        <f ca="1">IFERROR(__xludf.DUMMYFUNCTION("""COMPUTED_VALUE"""),"Kanpur")</f>
        <v>Kanpur</v>
      </c>
      <c r="D7" s="1" t="str">
        <f ca="1">IFERROR(__xludf.DUMMYFUNCTION("""COMPUTED_VALUE"""),"Uttar Pradesh")</f>
        <v>Uttar Pradesh</v>
      </c>
      <c r="E7" s="1">
        <f ca="1">IFERROR(__xludf.DUMMYFUNCTION("""COMPUTED_VALUE"""),74.99)</f>
        <v>74.989999999999995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IFERROR(__xludf.DUMMYFUNCTION("""COMPUTED_VALUE"""),"IR-O-U-0053")</f>
        <v>IR-O-U-0053</v>
      </c>
      <c r="B8" s="1" t="str">
        <f ca="1">IFERROR(__xludf.DUMMYFUNCTION("""COMPUTED_VALUE"""),"Indian Institute of Technology Guwahati
More DetailsClose | 
[TABLE]")</f>
        <v>Indian Institute of Technology Guwahati
More DetailsClose | 
[TABLE]</v>
      </c>
      <c r="C8" s="1" t="str">
        <f ca="1">IFERROR(__xludf.DUMMYFUNCTION("""COMPUTED_VALUE"""),"Guwahati")</f>
        <v>Guwahati</v>
      </c>
      <c r="D8" s="1" t="str">
        <f ca="1">IFERROR(__xludf.DUMMYFUNCTION("""COMPUTED_VALUE"""),"Assam")</f>
        <v>Assam</v>
      </c>
      <c r="E8" s="1">
        <f ca="1">IFERROR(__xludf.DUMMYFUNCTION("""COMPUTED_VALUE"""),68.81)</f>
        <v>68.81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IFERROR(__xludf.DUMMYFUNCTION("""COMPUTED_VALUE"""),"IR-O-U-0109")</f>
        <v>IR-O-U-0109</v>
      </c>
      <c r="B9" s="1" t="str">
        <f ca="1">IFERROR(__xludf.DUMMYFUNCTION("""COMPUTED_VALUE"""),"Jawaharlal Nehru University
More DetailsClose | 
[TABLE]")</f>
        <v>Jawaharlal Nehru University
More DetailsClose | 
[TABLE]</v>
      </c>
      <c r="C9" s="1" t="str">
        <f ca="1">IFERROR(__xludf.DUMMYFUNCTION("""COMPUTED_VALUE"""),"New Delhi")</f>
        <v>New Delhi</v>
      </c>
      <c r="D9" s="1" t="str">
        <f ca="1">IFERROR(__xludf.DUMMYFUNCTION("""COMPUTED_VALUE"""),"Delhi")</f>
        <v>Delhi</v>
      </c>
      <c r="E9" s="1">
        <f ca="1">IFERROR(__xludf.DUMMYFUNCTION("""COMPUTED_VALUE"""),68.76)</f>
        <v>68.760000000000005</v>
      </c>
      <c r="F9" s="1">
        <f ca="1">IFERROR(__xludf.DUMMYFUNCTION("""COMPUTED_VALUE"""),8)</f>
        <v>8</v>
      </c>
    </row>
    <row r="10" spans="1:6">
      <c r="A10" s="1" t="str">
        <f ca="1">IFERROR(__xludf.DUMMYFUNCTION("""COMPUTED_VALUE"""),"IR-O-U-0560")</f>
        <v>IR-O-U-0560</v>
      </c>
      <c r="B10" s="1" t="str">
        <f ca="1">IFERROR(__xludf.DUMMYFUNCTION("""COMPUTED_VALUE"""),"Indian Institute of Technology Roorkee
More DetailsClose | 
[TABLE]")</f>
        <v>Indian Institute of Technology Roorkee
More DetailsClose | 
[TABLE]</v>
      </c>
      <c r="C10" s="1" t="str">
        <f ca="1">IFERROR(__xludf.DUMMYFUNCTION("""COMPUTED_VALUE"""),"Roorkee")</f>
        <v>Roorkee</v>
      </c>
      <c r="D10" s="1" t="str">
        <f ca="1">IFERROR(__xludf.DUMMYFUNCTION("""COMPUTED_VALUE"""),"Uttarakhand")</f>
        <v>Uttarakhand</v>
      </c>
      <c r="E10" s="1">
        <f ca="1">IFERROR(__xludf.DUMMYFUNCTION("""COMPUTED_VALUE"""),68.48)</f>
        <v>68.48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IFERROR(__xludf.DUMMYFUNCTION("""COMPUTED_VALUE"""),"IR-O-U-0500")</f>
        <v>IR-O-U-0500</v>
      </c>
      <c r="B11" s="1" t="str">
        <f ca="1">IFERROR(__xludf.DUMMYFUNCTION("""COMPUTED_VALUE"""),"Banaras Hindu University
More DetailsClose | 
[TABLE]")</f>
        <v>Banaras Hindu University
More DetailsClose | 
[TABLE]</v>
      </c>
      <c r="C11" s="1" t="str">
        <f ca="1">IFERROR(__xludf.DUMMYFUNCTION("""COMPUTED_VALUE"""),"Varanasi")</f>
        <v>Varanasi</v>
      </c>
      <c r="D11" s="1" t="str">
        <f ca="1">IFERROR(__xludf.DUMMYFUNCTION("""COMPUTED_VALUE"""),"Uttar Pradesh")</f>
        <v>Uttar Pradesh</v>
      </c>
      <c r="E11" s="1">
        <f ca="1">IFERROR(__xludf.DUMMYFUNCTION("""COMPUTED_VALUE"""),62.03)</f>
        <v>62.03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IFERROR(__xludf.DUMMYFUNCTION("""COMPUTED_VALUE"""),"IR-O-U-0570")</f>
        <v>IR-O-U-0570</v>
      </c>
      <c r="B12" s="1" t="str">
        <f ca="1">IFERROR(__xludf.DUMMYFUNCTION("""COMPUTED_VALUE"""),"Calcutta University
More DetailsClose | 
[TABLE]")</f>
        <v>Calcutta University
More DetailsClose | 
[TABLE]</v>
      </c>
      <c r="C12" s="1" t="str">
        <f ca="1">IFERROR(__xludf.DUMMYFUNCTION("""COMPUTED_VALUE"""),"Kolkata")</f>
        <v>Kolkata</v>
      </c>
      <c r="D12" s="1" t="str">
        <f ca="1">IFERROR(__xludf.DUMMYFUNCTION("""COMPUTED_VALUE"""),"West Bengal")</f>
        <v>West Bengal</v>
      </c>
      <c r="E12" s="1">
        <f ca="1">IFERROR(__xludf.DUMMYFUNCTION("""COMPUTED_VALUE"""),61.01)</f>
        <v>61.01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IFERROR(__xludf.DUMMYFUNCTION("""COMPUTED_VALUE"""),"IR-O-U-0575")</f>
        <v>IR-O-U-0575</v>
      </c>
      <c r="B13" s="1" t="str">
        <f ca="1">IFERROR(__xludf.DUMMYFUNCTION("""COMPUTED_VALUE"""),"Jadavpur University
More DetailsClose | 
[TABLE]")</f>
        <v>Jadavpur University
More DetailsClose | 
[TABLE]</v>
      </c>
      <c r="C13" s="1" t="str">
        <f ca="1">IFERROR(__xludf.DUMMYFUNCTION("""COMPUTED_VALUE"""),"Kolkata")</f>
        <v>Kolkata</v>
      </c>
      <c r="D13" s="1" t="str">
        <f ca="1">IFERROR(__xludf.DUMMYFUNCTION("""COMPUTED_VALUE"""),"West Bengal")</f>
        <v>West Bengal</v>
      </c>
      <c r="E13" s="1">
        <f ca="1">IFERROR(__xludf.DUMMYFUNCTION("""COMPUTED_VALUE"""),60.77)</f>
        <v>60.77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IFERROR(__xludf.DUMMYFUNCTION("""COMPUTED_VALUE"""),"IR-O-U-0436")</f>
        <v>IR-O-U-0436</v>
      </c>
      <c r="B14" s="1" t="str">
        <f ca="1">IFERROR(__xludf.DUMMYFUNCTION("""COMPUTED_VALUE"""),"Amrita Vishwa Vidyapeetham
More DetailsClose | 
[TABLE]")</f>
        <v>Amrita Vishwa Vidyapeetham
More DetailsClose | 
[TABLE]</v>
      </c>
      <c r="C14" s="1" t="str">
        <f ca="1">IFERROR(__xludf.DUMMYFUNCTION("""COMPUTED_VALUE"""),"Coimbatore")</f>
        <v>Coimbatore</v>
      </c>
      <c r="D14" s="1" t="str">
        <f ca="1">IFERROR(__xludf.DUMMYFUNCTION("""COMPUTED_VALUE"""),"Tamil Nadu")</f>
        <v>Tamil Nadu</v>
      </c>
      <c r="E14" s="1">
        <f ca="1">IFERROR(__xludf.DUMMYFUNCTION("""COMPUTED_VALUE"""),60.74)</f>
        <v>60.74</v>
      </c>
      <c r="F14" s="1">
        <f ca="1">IFERROR(__xludf.DUMMYFUNCTION("""COMPUTED_VALUE"""),13)</f>
        <v>13</v>
      </c>
    </row>
    <row r="15" spans="1:6">
      <c r="A15" s="1" t="str">
        <f ca="1">IFERROR(__xludf.DUMMYFUNCTION("""COMPUTED_VALUE"""),"IR-O-U-0234")</f>
        <v>IR-O-U-0234</v>
      </c>
      <c r="B15" s="1" t="str">
        <f ca="1">IFERROR(__xludf.DUMMYFUNCTION("""COMPUTED_VALUE"""),"Manipal Academy of Higher Education
More DetailsClose | 
[TABLE]")</f>
        <v>Manipal Academy of Higher Education
More DetailsClose | 
[TABLE]</v>
      </c>
      <c r="C15" s="1" t="str">
        <f ca="1">IFERROR(__xludf.DUMMYFUNCTION("""COMPUTED_VALUE"""),"Manipal")</f>
        <v>Manipal</v>
      </c>
      <c r="D15" s="1" t="str">
        <f ca="1">IFERROR(__xludf.DUMMYFUNCTION("""COMPUTED_VALUE"""),"Karnataka")</f>
        <v>Karnataka</v>
      </c>
      <c r="E15" s="1">
        <f ca="1">IFERROR(__xludf.DUMMYFUNCTION("""COMPUTED_VALUE"""),59.96)</f>
        <v>59.96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IFERROR(__xludf.DUMMYFUNCTION("""COMPUTED_VALUE"""),"IR-O-U-0042")</f>
        <v>IR-O-U-0042</v>
      </c>
      <c r="B16" s="1" t="str">
        <f ca="1">IFERROR(__xludf.DUMMYFUNCTION("""COMPUTED_VALUE"""),"University of Hyderabad
More DetailsClose | 
[TABLE]")</f>
        <v>University of Hyderabad
More DetailsClose | 
[TABLE]</v>
      </c>
      <c r="C16" s="1" t="str">
        <f ca="1">IFERROR(__xludf.DUMMYFUNCTION("""COMPUTED_VALUE"""),"Hyderabad")</f>
        <v>Hyderabad</v>
      </c>
      <c r="D16" s="1" t="str">
        <f ca="1">IFERROR(__xludf.DUMMYFUNCTION("""COMPUTED_VALUE"""),"Telangana")</f>
        <v>Telangana</v>
      </c>
      <c r="E16" s="1">
        <f ca="1">IFERROR(__xludf.DUMMYFUNCTION("""COMPUTED_VALUE"""),59.92)</f>
        <v>59.92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IFERROR(__xludf.DUMMYFUNCTION("""COMPUTED_VALUE"""),"IR-O-U-0108")</f>
        <v>IR-O-U-0108</v>
      </c>
      <c r="B17" s="1" t="str">
        <f ca="1">IFERROR(__xludf.DUMMYFUNCTION("""COMPUTED_VALUE"""),"Jamia Millia Islamia
More DetailsClose | 
[TABLE]")</f>
        <v>Jamia Millia Islamia
More DetailsClose | 
[TABLE]</v>
      </c>
      <c r="C17" s="1" t="str">
        <f ca="1">IFERROR(__xludf.DUMMYFUNCTION("""COMPUTED_VALUE"""),"New Delhi")</f>
        <v>New Delhi</v>
      </c>
      <c r="D17" s="1" t="str">
        <f ca="1">IFERROR(__xludf.DUMMYFUNCTION("""COMPUTED_VALUE"""),"Delhi")</f>
        <v>Delhi</v>
      </c>
      <c r="E17" s="1">
        <f ca="1">IFERROR(__xludf.DUMMYFUNCTION("""COMPUTED_VALUE"""),59.85)</f>
        <v>59.85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IFERROR(__xludf.DUMMYFUNCTION("""COMPUTED_VALUE"""),"IR-O-U-0013")</f>
        <v>IR-O-U-0013</v>
      </c>
      <c r="B18" s="1" t="str">
        <f ca="1">IFERROR(__xludf.DUMMYFUNCTION("""COMPUTED_VALUE"""),"Indian Institute of Technology Hyderabad
More DetailsClose | 
[TABLE]")</f>
        <v>Indian Institute of Technology Hyderabad
More DetailsClose | 
[TABLE]</v>
      </c>
      <c r="C18" s="1" t="str">
        <f ca="1">IFERROR(__xludf.DUMMYFUNCTION("""COMPUTED_VALUE"""),"Hyderabad")</f>
        <v>Hyderabad</v>
      </c>
      <c r="D18" s="1" t="str">
        <f ca="1">IFERROR(__xludf.DUMMYFUNCTION("""COMPUTED_VALUE"""),"Telangana")</f>
        <v>Telangana</v>
      </c>
      <c r="E18" s="1">
        <f ca="1">IFERROR(__xludf.DUMMYFUNCTION("""COMPUTED_VALUE"""),59.59)</f>
        <v>59.59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IFERROR(__xludf.DUMMYFUNCTION("""COMPUTED_VALUE"""),"IR-O-U-0120")</f>
        <v>IR-O-U-0120</v>
      </c>
      <c r="B19" s="1" t="str">
        <f ca="1">IFERROR(__xludf.DUMMYFUNCTION("""COMPUTED_VALUE"""),"University of Delhi
More DetailsClose | 
[TABLE]")</f>
        <v>University of Delhi
More DetailsClose | 
[TABLE]</v>
      </c>
      <c r="C19" s="1" t="str">
        <f ca="1">IFERROR(__xludf.DUMMYFUNCTION("""COMPUTED_VALUE"""),"Delhi")</f>
        <v>Delhi</v>
      </c>
      <c r="D19" s="1" t="str">
        <f ca="1">IFERROR(__xludf.DUMMYFUNCTION("""COMPUTED_VALUE"""),"Delhi")</f>
        <v>Delhi</v>
      </c>
      <c r="E19" s="1">
        <f ca="1">IFERROR(__xludf.DUMMYFUNCTION("""COMPUTED_VALUE"""),58.97)</f>
        <v>58.97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IFERROR(__xludf.DUMMYFUNCTION("""COMPUTED_VALUE"""),"IR-O-U-0323")</f>
        <v>IR-O-U-0323</v>
      </c>
      <c r="B20" s="1" t="str">
        <f ca="1">IFERROR(__xludf.DUMMYFUNCTION("""COMPUTED_VALUE"""),"Savitribai Phule Pune University
More DetailsClose | 
[TABLE]")</f>
        <v>Savitribai Phule Pune University
More DetailsClose | 
[TABLE]</v>
      </c>
      <c r="C20" s="1" t="str">
        <f ca="1">IFERROR(__xludf.DUMMYFUNCTION("""COMPUTED_VALUE"""),"Pune")</f>
        <v>Pune</v>
      </c>
      <c r="D20" s="1" t="str">
        <f ca="1">IFERROR(__xludf.DUMMYFUNCTION("""COMPUTED_VALUE"""),"Maharashtra")</f>
        <v>Maharashtra</v>
      </c>
      <c r="E20" s="1">
        <f ca="1">IFERROR(__xludf.DUMMYFUNCTION("""COMPUTED_VALUE"""),58.77)</f>
        <v>58.77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IFERROR(__xludf.DUMMYFUNCTION("""COMPUTED_VALUE"""),"IR-O-U-0439")</f>
        <v>IR-O-U-0439</v>
      </c>
      <c r="B21" s="1" t="str">
        <f ca="1">IFERROR(__xludf.DUMMYFUNCTION("""COMPUTED_VALUE"""),"Anna University
More DetailsClose | 
[TABLE]")</f>
        <v>Anna University
More DetailsClose | 
[TABLE]</v>
      </c>
      <c r="C21" s="1" t="str">
        <f ca="1">IFERROR(__xludf.DUMMYFUNCTION("""COMPUTED_VALUE"""),"Chennai")</f>
        <v>Chennai</v>
      </c>
      <c r="D21" s="1" t="str">
        <f ca="1">IFERROR(__xludf.DUMMYFUNCTION("""COMPUTED_VALUE"""),"Tamil Nadu")</f>
        <v>Tamil Nadu</v>
      </c>
      <c r="E21" s="1">
        <f ca="1">IFERROR(__xludf.DUMMYFUNCTION("""COMPUTED_VALUE"""),58.1)</f>
        <v>58.1</v>
      </c>
      <c r="F21" s="1">
        <f ca="1">IFERROR(__xludf.DUMMYFUNCTION("""COMPUTED_VALUE"""),20)</f>
        <v>20</v>
      </c>
    </row>
    <row r="22" spans="1:6">
      <c r="A22" s="1" t="str">
        <f ca="1">IFERROR(__xludf.DUMMYFUNCTION("""COMPUTED_VALUE"""),"IR-O-U-0447")</f>
        <v>IR-O-U-0447</v>
      </c>
      <c r="B22" s="1" t="str">
        <f ca="1">IFERROR(__xludf.DUMMYFUNCTION("""COMPUTED_VALUE"""),"Bharathiar University
More DetailsClose | 
[TABLE]")</f>
        <v>Bharathiar University
More DetailsClose | 
[TABLE]</v>
      </c>
      <c r="C22" s="1" t="str">
        <f ca="1">IFERROR(__xludf.DUMMYFUNCTION("""COMPUTED_VALUE"""),"Coimbatore")</f>
        <v>Coimbatore</v>
      </c>
      <c r="D22" s="1" t="str">
        <f ca="1">IFERROR(__xludf.DUMMYFUNCTION("""COMPUTED_VALUE"""),"Tamil Nadu")</f>
        <v>Tamil Nadu</v>
      </c>
      <c r="E22" s="1">
        <f ca="1">IFERROR(__xludf.DUMMYFUNCTION("""COMPUTED_VALUE"""),57.32)</f>
        <v>57.32</v>
      </c>
      <c r="F22" s="1">
        <f ca="1">IFERROR(__xludf.DUMMYFUNCTION("""COMPUTED_VALUE"""),21)</f>
        <v>21</v>
      </c>
    </row>
    <row r="23" spans="1:6">
      <c r="A23" s="1" t="str">
        <f ca="1">IFERROR(__xludf.DUMMYFUNCTION("""COMPUTED_VALUE"""),"IR-O-U-0205")</f>
        <v>IR-O-U-0205</v>
      </c>
      <c r="B23" s="1" t="str">
        <f ca="1">IFERROR(__xludf.DUMMYFUNCTION("""COMPUTED_VALUE"""),"Indian Institute of Technology (Indian School of Mines)
More DetailsClose | 
[TABLE]")</f>
        <v>Indian Institute of Technology (Indian School of Mines)
More DetailsClose | 
[TABLE]</v>
      </c>
      <c r="C23" s="1" t="str">
        <f ca="1">IFERROR(__xludf.DUMMYFUNCTION("""COMPUTED_VALUE"""),"Dhanbad")</f>
        <v>Dhanbad</v>
      </c>
      <c r="D23" s="1" t="str">
        <f ca="1">IFERROR(__xludf.DUMMYFUNCTION("""COMPUTED_VALUE"""),"Jharkhand")</f>
        <v>Jharkhand</v>
      </c>
      <c r="E23" s="1">
        <f ca="1">IFERROR(__xludf.DUMMYFUNCTION("""COMPUTED_VALUE"""),56.05)</f>
        <v>56.05</v>
      </c>
      <c r="F23" s="1">
        <f ca="1">IFERROR(__xludf.DUMMYFUNCTION("""COMPUTED_VALUE"""),22)</f>
        <v>22</v>
      </c>
    </row>
    <row r="24" spans="1:6">
      <c r="A24" s="1" t="str">
        <f ca="1">IFERROR(__xludf.DUMMYFUNCTION("""COMPUTED_VALUE"""),"IR-O-U-0273")</f>
        <v>IR-O-U-0273</v>
      </c>
      <c r="B24" s="1" t="str">
        <f ca="1">IFERROR(__xludf.DUMMYFUNCTION("""COMPUTED_VALUE"""),"Indian Institute of Technology Indore
More DetailsClose | 
[TABLE]")</f>
        <v>Indian Institute of Technology Indore
More DetailsClose | 
[TABLE]</v>
      </c>
      <c r="C24" s="1" t="str">
        <f ca="1">IFERROR(__xludf.DUMMYFUNCTION("""COMPUTED_VALUE"""),"Indore")</f>
        <v>Indore</v>
      </c>
      <c r="D24" s="1" t="str">
        <f ca="1">IFERROR(__xludf.DUMMYFUNCTION("""COMPUTED_VALUE"""),"Madhya Pradesh")</f>
        <v>Madhya Pradesh</v>
      </c>
      <c r="E24" s="1">
        <f ca="1">IFERROR(__xludf.DUMMYFUNCTION("""COMPUTED_VALUE"""),55.94)</f>
        <v>55.94</v>
      </c>
      <c r="F24" s="1">
        <f ca="1">IFERROR(__xludf.DUMMYFUNCTION("""COMPUTED_VALUE"""),23)</f>
        <v>23</v>
      </c>
    </row>
    <row r="25" spans="1:6">
      <c r="A25" s="1" t="str">
        <f ca="1">IFERROR(__xludf.DUMMYFUNCTION("""COMPUTED_VALUE"""),"IR-O-U-0467")</f>
        <v>IR-O-U-0467</v>
      </c>
      <c r="B25" s="1" t="str">
        <f ca="1">IFERROR(__xludf.DUMMYFUNCTION("""COMPUTED_VALUE"""),"National Institute of Technology Tiruchirappalli
More DetailsClose | 
[TABLE]")</f>
        <v>National Institute of Technology Tiruchirappalli
More DetailsClose | 
[TABLE]</v>
      </c>
      <c r="C25" s="1" t="str">
        <f ca="1">IFERROR(__xludf.DUMMYFUNCTION("""COMPUTED_VALUE"""),"Tiruchirappalli")</f>
        <v>Tiruchirappalli</v>
      </c>
      <c r="D25" s="1" t="str">
        <f ca="1">IFERROR(__xludf.DUMMYFUNCTION("""COMPUTED_VALUE"""),"Tamil Nadu")</f>
        <v>Tamil Nadu</v>
      </c>
      <c r="E25" s="1">
        <f ca="1">IFERROR(__xludf.DUMMYFUNCTION("""COMPUTED_VALUE"""),55.92)</f>
        <v>55.92</v>
      </c>
      <c r="F25" s="1">
        <f ca="1">IFERROR(__xludf.DUMMYFUNCTION("""COMPUTED_VALUE"""),24)</f>
        <v>24</v>
      </c>
    </row>
    <row r="26" spans="1:6">
      <c r="A26" s="1" t="str">
        <f ca="1">IFERROR(__xludf.DUMMYFUNCTION("""COMPUTED_VALUE"""),"IR-O-U-0305")</f>
        <v>IR-O-U-0305</v>
      </c>
      <c r="B26" s="1" t="str">
        <f ca="1">IFERROR(__xludf.DUMMYFUNCTION("""COMPUTED_VALUE"""),"Indian Institute of Science Education &amp; Research Pune
More DetailsClose | 
[TABLE]")</f>
        <v>Indian Institute of Science Education &amp; Research Pune
More DetailsClose | 
[TABLE]</v>
      </c>
      <c r="C26" s="1" t="str">
        <f ca="1">IFERROR(__xludf.DUMMYFUNCTION("""COMPUTED_VALUE"""),"Pune")</f>
        <v>Pune</v>
      </c>
      <c r="D26" s="1" t="str">
        <f ca="1">IFERROR(__xludf.DUMMYFUNCTION("""COMPUTED_VALUE"""),"Maharashtra")</f>
        <v>Maharashtra</v>
      </c>
      <c r="E26" s="1">
        <f ca="1">IFERROR(__xludf.DUMMYFUNCTION("""COMPUTED_VALUE"""),55.43)</f>
        <v>55.43</v>
      </c>
      <c r="F26" s="1">
        <f ca="1">IFERROR(__xludf.DUMMYFUNCTION("""COMPUTED_VALUE"""),25)</f>
        <v>25</v>
      </c>
    </row>
    <row r="27" spans="1:6">
      <c r="A27" s="1" t="str">
        <f ca="1">IFERROR(__xludf.DUMMYFUNCTION("""COMPUTED_VALUE"""),"IR-O-U-0701")</f>
        <v>IR-O-U-0701</v>
      </c>
      <c r="B27" s="1" t="str">
        <f ca="1">IFERROR(__xludf.DUMMYFUNCTION("""COMPUTED_VALUE"""),"Indian Institute of Technology (BHU) Varanasi
More DetailsClose | 
[TABLE]")</f>
        <v>Indian Institute of Technology (BHU) Varanasi
More DetailsClose | 
[TABLE]</v>
      </c>
      <c r="C27" s="1" t="str">
        <f ca="1">IFERROR(__xludf.DUMMYFUNCTION("""COMPUTED_VALUE"""),"Varanasi")</f>
        <v>Varanasi</v>
      </c>
      <c r="D27" s="1" t="str">
        <f ca="1">IFERROR(__xludf.DUMMYFUNCTION("""COMPUTED_VALUE"""),"Uttar Pradesh")</f>
        <v>Uttar Pradesh</v>
      </c>
      <c r="E27" s="1">
        <f ca="1">IFERROR(__xludf.DUMMYFUNCTION("""COMPUTED_VALUE"""),54.82)</f>
        <v>54.82</v>
      </c>
      <c r="F27" s="1">
        <f ca="1">IFERROR(__xludf.DUMMYFUNCTION("""COMPUTED_VALUE"""),26)</f>
        <v>26</v>
      </c>
    </row>
    <row r="28" spans="1:6">
      <c r="A28" s="1" t="str">
        <f ca="1">IFERROR(__xludf.DUMMYFUNCTION("""COMPUTED_VALUE"""),"IR-O-U-0391")</f>
        <v>IR-O-U-0391</v>
      </c>
      <c r="B28" s="1" t="str">
        <f ca="1">IFERROR(__xludf.DUMMYFUNCTION("""COMPUTED_VALUE"""),"Birla Institute of Technology &amp; Science
More DetailsClose | 
[TABLE]")</f>
        <v>Birla Institute of Technology &amp; Science
More DetailsClose | 
[TABLE]</v>
      </c>
      <c r="C28" s="1" t="str">
        <f ca="1">IFERROR(__xludf.DUMMYFUNCTION("""COMPUTED_VALUE"""),"Pilani")</f>
        <v>Pilani</v>
      </c>
      <c r="D28" s="1" t="str">
        <f ca="1">IFERROR(__xludf.DUMMYFUNCTION("""COMPUTED_VALUE"""),"Rajasthan")</f>
        <v>Rajasthan</v>
      </c>
      <c r="E28" s="1">
        <f ca="1">IFERROR(__xludf.DUMMYFUNCTION("""COMPUTED_VALUE"""),54.13)</f>
        <v>54.13</v>
      </c>
      <c r="F28" s="1">
        <f ca="1">IFERROR(__xludf.DUMMYFUNCTION("""COMPUTED_VALUE"""),27)</f>
        <v>27</v>
      </c>
    </row>
    <row r="29" spans="1:6">
      <c r="A29" s="1" t="str">
        <f ca="1">IFERROR(__xludf.DUMMYFUNCTION("""COMPUTED_VALUE"""),"IR-O-U-0490")</f>
        <v>IR-O-U-0490</v>
      </c>
      <c r="B29" s="1" t="str">
        <f ca="1">IFERROR(__xludf.DUMMYFUNCTION("""COMPUTED_VALUE"""),"Vellore Institute of Technology
More DetailsClose | 
[TABLE]")</f>
        <v>Vellore Institute of Technology
More DetailsClose | 
[TABLE]</v>
      </c>
      <c r="C29" s="1" t="str">
        <f ca="1">IFERROR(__xludf.DUMMYFUNCTION("""COMPUTED_VALUE"""),"Vellore")</f>
        <v>Vellore</v>
      </c>
      <c r="D29" s="1" t="str">
        <f ca="1">IFERROR(__xludf.DUMMYFUNCTION("""COMPUTED_VALUE"""),"Tamil Nadu")</f>
        <v>Tamil Nadu</v>
      </c>
      <c r="E29" s="1">
        <f ca="1">IFERROR(__xludf.DUMMYFUNCTION("""COMPUTED_VALUE"""),53.89)</f>
        <v>53.89</v>
      </c>
      <c r="F29" s="1">
        <f ca="1">IFERROR(__xludf.DUMMYFUNCTION("""COMPUTED_VALUE"""),28)</f>
        <v>28</v>
      </c>
    </row>
    <row r="30" spans="1:6">
      <c r="A30" s="1" t="str">
        <f ca="1">IFERROR(__xludf.DUMMYFUNCTION("""COMPUTED_VALUE"""),"IR-O-U-0572")</f>
        <v>IR-O-U-0572</v>
      </c>
      <c r="B30" s="1" t="str">
        <f ca="1">IFERROR(__xludf.DUMMYFUNCTION("""COMPUTED_VALUE"""),"Indian Institute of Science Education &amp; Research Kolkata
More DetailsClose | 
[TABLE]")</f>
        <v>Indian Institute of Science Education &amp; Research Kolkata
More DetailsClose | 
[TABLE]</v>
      </c>
      <c r="C30" s="1" t="str">
        <f ca="1">IFERROR(__xludf.DUMMYFUNCTION("""COMPUTED_VALUE"""),"Mohanpur")</f>
        <v>Mohanpur</v>
      </c>
      <c r="D30" s="1" t="str">
        <f ca="1">IFERROR(__xludf.DUMMYFUNCTION("""COMPUTED_VALUE"""),"West Bengal")</f>
        <v>West Bengal</v>
      </c>
      <c r="E30" s="1">
        <f ca="1">IFERROR(__xludf.DUMMYFUNCTION("""COMPUTED_VALUE"""),53.49)</f>
        <v>53.49</v>
      </c>
      <c r="F30" s="1">
        <f ca="1">IFERROR(__xludf.DUMMYFUNCTION("""COMPUTED_VALUE"""),29)</f>
        <v>29</v>
      </c>
    </row>
    <row r="31" spans="1:6">
      <c r="A31" s="1" t="str">
        <f ca="1">IFERROR(__xludf.DUMMYFUNCTION("""COMPUTED_VALUE"""),"IR-O-U-0304")</f>
        <v>IR-O-U-0304</v>
      </c>
      <c r="B31" s="1" t="str">
        <f ca="1">IFERROR(__xludf.DUMMYFUNCTION("""COMPUTED_VALUE"""),"Homi Bhabha National Institute
More DetailsClose | 
[TABLE]")</f>
        <v>Homi Bhabha National Institute
More DetailsClose | 
[TABLE]</v>
      </c>
      <c r="C31" s="1" t="str">
        <f ca="1">IFERROR(__xludf.DUMMYFUNCTION("""COMPUTED_VALUE"""),"Mumbai")</f>
        <v>Mumbai</v>
      </c>
      <c r="D31" s="1" t="str">
        <f ca="1">IFERROR(__xludf.DUMMYFUNCTION("""COMPUTED_VALUE"""),"Maharashtra")</f>
        <v>Maharashtra</v>
      </c>
      <c r="E31" s="1">
        <f ca="1">IFERROR(__xludf.DUMMYFUNCTION("""COMPUTED_VALUE"""),53.2)</f>
        <v>53.2</v>
      </c>
      <c r="F31" s="1">
        <f ca="1">IFERROR(__xludf.DUMMYFUNCTION("""COMPUTED_VALUE"""),30)</f>
        <v>30</v>
      </c>
    </row>
    <row r="32" spans="1:6">
      <c r="A32" s="1" t="str">
        <f ca="1">IFERROR(__xludf.DUMMYFUNCTION("""COMPUTED_VALUE"""),"IR-O-U-0496")</f>
        <v>IR-O-U-0496</v>
      </c>
      <c r="B32" s="1" t="str">
        <f ca="1">IFERROR(__xludf.DUMMYFUNCTION("""COMPUTED_VALUE"""),"Aligarh Muslim University
More DetailsClose | 
[TABLE]")</f>
        <v>Aligarh Muslim University
More DetailsClose | 
[TABLE]</v>
      </c>
      <c r="C32" s="1" t="str">
        <f ca="1">IFERROR(__xludf.DUMMYFUNCTION("""COMPUTED_VALUE"""),"Aligarh")</f>
        <v>Aligarh</v>
      </c>
      <c r="D32" s="1" t="str">
        <f ca="1">IFERROR(__xludf.DUMMYFUNCTION("""COMPUTED_VALUE"""),"Uttar Pradesh")</f>
        <v>Uttar Pradesh</v>
      </c>
      <c r="E32" s="1">
        <f ca="1">IFERROR(__xludf.DUMMYFUNCTION("""COMPUTED_VALUE"""),52.54)</f>
        <v>52.54</v>
      </c>
      <c r="F32" s="1">
        <f ca="1">IFERROR(__xludf.DUMMYFUNCTION("""COMPUTED_VALUE"""),31)</f>
        <v>31</v>
      </c>
    </row>
    <row r="33" spans="1:6">
      <c r="A33" s="1" t="str">
        <f ca="1">IFERROR(__xludf.DUMMYFUNCTION("""COMPUTED_VALUE"""),"IR-O-U-0357")</f>
        <v>IR-O-U-0357</v>
      </c>
      <c r="B33" s="1" t="str">
        <f ca="1">IFERROR(__xludf.DUMMYFUNCTION("""COMPUTED_VALUE"""),"National Institute of Technology Rourkela
More DetailsClose | 
[TABLE]")</f>
        <v>National Institute of Technology Rourkela
More DetailsClose | 
[TABLE]</v>
      </c>
      <c r="C33" s="1" t="str">
        <f ca="1">IFERROR(__xludf.DUMMYFUNCTION("""COMPUTED_VALUE"""),"Rourkela")</f>
        <v>Rourkela</v>
      </c>
      <c r="D33" s="1" t="str">
        <f ca="1">IFERROR(__xludf.DUMMYFUNCTION("""COMPUTED_VALUE"""),"Odisha")</f>
        <v>Odisha</v>
      </c>
      <c r="E33" s="1">
        <f ca="1">IFERROR(__xludf.DUMMYFUNCTION("""COMPUTED_VALUE"""),51.87)</f>
        <v>51.87</v>
      </c>
      <c r="F33" s="1">
        <f ca="1">IFERROR(__xludf.DUMMYFUNCTION("""COMPUTED_VALUE"""),32)</f>
        <v>32</v>
      </c>
    </row>
    <row r="34" spans="1:6">
      <c r="A34" s="1" t="str">
        <f ca="1">IFERROR(__xludf.DUMMYFUNCTION("""COMPUTED_VALUE"""),"IR-O-U-0237")</f>
        <v>IR-O-U-0237</v>
      </c>
      <c r="B34" s="1" t="str">
        <f ca="1">IFERROR(__xludf.DUMMYFUNCTION("""COMPUTED_VALUE"""),"National Institute of Technology Karnataka
More DetailsClose | 
[TABLE]")</f>
        <v>National Institute of Technology Karnataka
More DetailsClose | 
[TABLE]</v>
      </c>
      <c r="C34" s="1" t="str">
        <f ca="1">IFERROR(__xludf.DUMMYFUNCTION("""COMPUTED_VALUE"""),"Surathkal")</f>
        <v>Surathkal</v>
      </c>
      <c r="D34" s="1" t="str">
        <f ca="1">IFERROR(__xludf.DUMMYFUNCTION("""COMPUTED_VALUE"""),"Karnataka")</f>
        <v>Karnataka</v>
      </c>
      <c r="E34" s="1">
        <f ca="1">IFERROR(__xludf.DUMMYFUNCTION("""COMPUTED_VALUE"""),51.86)</f>
        <v>51.86</v>
      </c>
      <c r="F34" s="1">
        <f ca="1">IFERROR(__xludf.DUMMYFUNCTION("""COMPUTED_VALUE"""),33)</f>
        <v>33</v>
      </c>
    </row>
    <row r="35" spans="1:6">
      <c r="A35" s="1" t="str">
        <f ca="1">IFERROR(__xludf.DUMMYFUNCTION("""COMPUTED_VALUE"""),"IR-O-U-0308")</f>
        <v>IR-O-U-0308</v>
      </c>
      <c r="B35" s="1" t="str">
        <f ca="1">IFERROR(__xludf.DUMMYFUNCTION("""COMPUTED_VALUE"""),"Institute of Chemical Technology
More DetailsClose | 
[TABLE]")</f>
        <v>Institute of Chemical Technology
More DetailsClose | 
[TABLE]</v>
      </c>
      <c r="C35" s="1" t="str">
        <f ca="1">IFERROR(__xludf.DUMMYFUNCTION("""COMPUTED_VALUE"""),"Mumbai")</f>
        <v>Mumbai</v>
      </c>
      <c r="D35" s="1" t="str">
        <f ca="1">IFERROR(__xludf.DUMMYFUNCTION("""COMPUTED_VALUE"""),"Maharashtra")</f>
        <v>Maharashtra</v>
      </c>
      <c r="E35" s="1">
        <f ca="1">IFERROR(__xludf.DUMMYFUNCTION("""COMPUTED_VALUE"""),51.7)</f>
        <v>51.7</v>
      </c>
      <c r="F35" s="1">
        <f ca="1">IFERROR(__xludf.DUMMYFUNCTION("""COMPUTED_VALUE"""),34)</f>
        <v>34</v>
      </c>
    </row>
    <row r="36" spans="1:6">
      <c r="A36" s="1" t="str">
        <f ca="1">IFERROR(__xludf.DUMMYFUNCTION("""COMPUTED_VALUE"""),"IR-O-U-0139")</f>
        <v>IR-O-U-0139</v>
      </c>
      <c r="B36" s="1" t="str">
        <f ca="1">IFERROR(__xludf.DUMMYFUNCTION("""COMPUTED_VALUE"""),"Indian Institute of Technology Gandhinagar
More DetailsClose | 
[TABLE]")</f>
        <v>Indian Institute of Technology Gandhinagar
More DetailsClose | 
[TABLE]</v>
      </c>
      <c r="C36" s="1" t="str">
        <f ca="1">IFERROR(__xludf.DUMMYFUNCTION("""COMPUTED_VALUE"""),"Gandhinagar")</f>
        <v>Gandhinagar</v>
      </c>
      <c r="D36" s="1" t="str">
        <f ca="1">IFERROR(__xludf.DUMMYFUNCTION("""COMPUTED_VALUE"""),"Gujarat")</f>
        <v>Gujarat</v>
      </c>
      <c r="E36" s="1">
        <f ca="1">IFERROR(__xludf.DUMMYFUNCTION("""COMPUTED_VALUE"""),51.49)</f>
        <v>51.49</v>
      </c>
      <c r="F36" s="1">
        <f ca="1">IFERROR(__xludf.DUMMYFUNCTION("""COMPUTED_VALUE"""),35)</f>
        <v>35</v>
      </c>
    </row>
    <row r="37" spans="1:6">
      <c r="A37" s="1" t="str">
        <f ca="1">IFERROR(__xludf.DUMMYFUNCTION("""COMPUTED_VALUE"""),"IR-O-U-0006")</f>
        <v>IR-O-U-0006</v>
      </c>
      <c r="B37" s="1" t="str">
        <f ca="1">IFERROR(__xludf.DUMMYFUNCTION("""COMPUTED_VALUE"""),"Andhra University
More DetailsClose | 
[TABLE]")</f>
        <v>Andhra University
More DetailsClose | 
[TABLE]</v>
      </c>
      <c r="C37" s="1" t="str">
        <f ca="1">IFERROR(__xludf.DUMMYFUNCTION("""COMPUTED_VALUE"""),"Visakhapatnam")</f>
        <v>Visakhapatnam</v>
      </c>
      <c r="D37" s="1" t="str">
        <f ca="1">IFERROR(__xludf.DUMMYFUNCTION("""COMPUTED_VALUE"""),"Andhra Pradesh")</f>
        <v>Andhra Pradesh</v>
      </c>
      <c r="E37" s="1">
        <f ca="1">IFERROR(__xludf.DUMMYFUNCTION("""COMPUTED_VALUE"""),51.24)</f>
        <v>51.24</v>
      </c>
      <c r="F37" s="1">
        <f ca="1">IFERROR(__xludf.DUMMYFUNCTION("""COMPUTED_VALUE"""),36)</f>
        <v>36</v>
      </c>
    </row>
    <row r="38" spans="1:6">
      <c r="A38" s="1" t="str">
        <f ca="1">IFERROR(__xludf.DUMMYFUNCTION("""COMPUTED_VALUE"""),"IR-O-U-0107")</f>
        <v>IR-O-U-0107</v>
      </c>
      <c r="B38" s="1" t="str">
        <f ca="1">IFERROR(__xludf.DUMMYFUNCTION("""COMPUTED_VALUE"""),"Jamia Hamdard
More DetailsClose | 
[TABLE]")</f>
        <v>Jamia Hamdard
More DetailsClose | 
[TABLE]</v>
      </c>
      <c r="C38" s="1" t="str">
        <f ca="1">IFERROR(__xludf.DUMMYFUNCTION("""COMPUTED_VALUE"""),"New Delhi")</f>
        <v>New Delhi</v>
      </c>
      <c r="D38" s="1" t="str">
        <f ca="1">IFERROR(__xludf.DUMMYFUNCTION("""COMPUTED_VALUE"""),"Delhi")</f>
        <v>Delhi</v>
      </c>
      <c r="E38" s="1">
        <f ca="1">IFERROR(__xludf.DUMMYFUNCTION("""COMPUTED_VALUE"""),51.02)</f>
        <v>51.02</v>
      </c>
      <c r="F38" s="1">
        <f ca="1">IFERROR(__xludf.DUMMYFUNCTION("""COMPUTED_VALUE"""),37)</f>
        <v>37</v>
      </c>
    </row>
    <row r="39" spans="1:6">
      <c r="A39" s="1" t="str">
        <f ca="1">IFERROR(__xludf.DUMMYFUNCTION("""COMPUTED_VALUE"""),"IR-O-U-0363")</f>
        <v>IR-O-U-0363</v>
      </c>
      <c r="B39" s="1" t="str">
        <f ca="1">IFERROR(__xludf.DUMMYFUNCTION("""COMPUTED_VALUE"""),"Siksha `O` Anusandhan
More DetailsClose | 
[TABLE]")</f>
        <v>Siksha `O` Anusandhan
More DetailsClose | 
[TABLE]</v>
      </c>
      <c r="C39" s="1" t="str">
        <f ca="1">IFERROR(__xludf.DUMMYFUNCTION("""COMPUTED_VALUE"""),"Bhubaneswar")</f>
        <v>Bhubaneswar</v>
      </c>
      <c r="D39" s="1" t="str">
        <f ca="1">IFERROR(__xludf.DUMMYFUNCTION("""COMPUTED_VALUE"""),"Odisha")</f>
        <v>Odisha</v>
      </c>
      <c r="E39" s="1">
        <f ca="1">IFERROR(__xludf.DUMMYFUNCTION("""COMPUTED_VALUE"""),50.97)</f>
        <v>50.97</v>
      </c>
      <c r="F39" s="1">
        <f ca="1">IFERROR(__xludf.DUMMYFUNCTION("""COMPUTED_VALUE"""),38)</f>
        <v>38</v>
      </c>
    </row>
    <row r="40" spans="1:6">
      <c r="A40" s="1" t="str">
        <f ca="1">IFERROR(__xludf.DUMMYFUNCTION("""COMPUTED_VALUE"""),"IR-O-U-0378")</f>
        <v>IR-O-U-0378</v>
      </c>
      <c r="B40" s="1" t="str">
        <f ca="1">IFERROR(__xludf.DUMMYFUNCTION("""COMPUTED_VALUE"""),"Indian Institute of Technology Ropar
More DetailsClose | 
[TABLE]")</f>
        <v>Indian Institute of Technology Ropar
More DetailsClose | 
[TABLE]</v>
      </c>
      <c r="C40" s="1" t="str">
        <f ca="1">IFERROR(__xludf.DUMMYFUNCTION("""COMPUTED_VALUE"""),"Rupnagar")</f>
        <v>Rupnagar</v>
      </c>
      <c r="D40" s="1" t="str">
        <f ca="1">IFERROR(__xludf.DUMMYFUNCTION("""COMPUTED_VALUE"""),"Punjab")</f>
        <v>Punjab</v>
      </c>
      <c r="E40" s="1">
        <f ca="1">IFERROR(__xludf.DUMMYFUNCTION("""COMPUTED_VALUE"""),50.92)</f>
        <v>50.92</v>
      </c>
      <c r="F40" s="1">
        <f ca="1">IFERROR(__xludf.DUMMYFUNCTION("""COMPUTED_VALUE"""),39)</f>
        <v>39</v>
      </c>
    </row>
    <row r="41" spans="1:6">
      <c r="A41" s="1" t="str">
        <f ca="1">IFERROR(__xludf.DUMMYFUNCTION("""COMPUTED_VALUE"""),"IR-O-U-0272")</f>
        <v>IR-O-U-0272</v>
      </c>
      <c r="B41" s="1" t="str">
        <f ca="1">IFERROR(__xludf.DUMMYFUNCTION("""COMPUTED_VALUE"""),"Indian Institute of Science Education &amp; Research Bhopal
More DetailsClose | 
[TABLE]")</f>
        <v>Indian Institute of Science Education &amp; Research Bhopal
More DetailsClose | 
[TABLE]</v>
      </c>
      <c r="C41" s="1" t="str">
        <f ca="1">IFERROR(__xludf.DUMMYFUNCTION("""COMPUTED_VALUE"""),"Bhopal")</f>
        <v>Bhopal</v>
      </c>
      <c r="D41" s="1" t="str">
        <f ca="1">IFERROR(__xludf.DUMMYFUNCTION("""COMPUTED_VALUE"""),"Madhya Pradesh")</f>
        <v>Madhya Pradesh</v>
      </c>
      <c r="E41" s="1">
        <f ca="1">IFERROR(__xludf.DUMMYFUNCTION("""COMPUTED_VALUE"""),50.83)</f>
        <v>50.83</v>
      </c>
      <c r="F41" s="1">
        <f ca="1">IFERROR(__xludf.DUMMYFUNCTION("""COMPUTED_VALUE"""),40)</f>
        <v>40</v>
      </c>
    </row>
    <row r="42" spans="1:6">
      <c r="A42" s="1" t="str">
        <f ca="1">IFERROR(__xludf.DUMMYFUNCTION("""COMPUTED_VALUE"""),"IR-O-I-1357")</f>
        <v>IR-O-I-1357</v>
      </c>
      <c r="B42" s="1" t="str">
        <f ca="1">IFERROR(__xludf.DUMMYFUNCTION("""COMPUTED_VALUE"""),"University of Madras
More DetailsClose | 
[TABLE]")</f>
        <v>University of Madras
More DetailsClose | 
[TABLE]</v>
      </c>
      <c r="C42" s="1" t="str">
        <f ca="1">IFERROR(__xludf.DUMMYFUNCTION("""COMPUTED_VALUE"""),"Chennai")</f>
        <v>Chennai</v>
      </c>
      <c r="D42" s="1" t="str">
        <f ca="1">IFERROR(__xludf.DUMMYFUNCTION("""COMPUTED_VALUE"""),"Tamil Nadu")</f>
        <v>Tamil Nadu</v>
      </c>
      <c r="E42" s="1">
        <f ca="1">IFERROR(__xludf.DUMMYFUNCTION("""COMPUTED_VALUE"""),50.76)</f>
        <v>50.76</v>
      </c>
      <c r="F42" s="1">
        <f ca="1">IFERROR(__xludf.DUMMYFUNCTION("""COMPUTED_VALUE"""),41)</f>
        <v>41</v>
      </c>
    </row>
    <row r="43" spans="1:6">
      <c r="A43" s="1" t="str">
        <f ca="1">IFERROR(__xludf.DUMMYFUNCTION("""COMPUTED_VALUE"""),"IR-O-U-0260")</f>
        <v>IR-O-U-0260</v>
      </c>
      <c r="B43" s="1" t="str">
        <f ca="1">IFERROR(__xludf.DUMMYFUNCTION("""COMPUTED_VALUE"""),"Kerala University
More DetailsClose | 
[TABLE]")</f>
        <v>Kerala University
More DetailsClose | 
[TABLE]</v>
      </c>
      <c r="C43" s="1" t="str">
        <f ca="1">IFERROR(__xludf.DUMMYFUNCTION("""COMPUTED_VALUE"""),"Thiruvananthapuram")</f>
        <v>Thiruvananthapuram</v>
      </c>
      <c r="D43" s="1" t="str">
        <f ca="1">IFERROR(__xludf.DUMMYFUNCTION("""COMPUTED_VALUE"""),"Kerala")</f>
        <v>Kerala</v>
      </c>
      <c r="E43" s="1">
        <f ca="1">IFERROR(__xludf.DUMMYFUNCTION("""COMPUTED_VALUE"""),50.71)</f>
        <v>50.71</v>
      </c>
      <c r="F43" s="1">
        <f ca="1">IFERROR(__xludf.DUMMYFUNCTION("""COMPUTED_VALUE"""),42)</f>
        <v>42</v>
      </c>
    </row>
    <row r="44" spans="1:6">
      <c r="A44" s="1" t="str">
        <f ca="1">IFERROR(__xludf.DUMMYFUNCTION("""COMPUTED_VALUE"""),"IR-O-U-0584")</f>
        <v>IR-O-U-0584</v>
      </c>
      <c r="B44" s="1" t="str">
        <f ca="1">IFERROR(__xludf.DUMMYFUNCTION("""COMPUTED_VALUE"""),"Indian Institute of Engineering Science and Technology
More DetailsClose | 
[TABLE]")</f>
        <v>Indian Institute of Engineering Science and Technology
More DetailsClose | 
[TABLE]</v>
      </c>
      <c r="C44" s="1" t="str">
        <f ca="1">IFERROR(__xludf.DUMMYFUNCTION("""COMPUTED_VALUE"""),"Shibpur")</f>
        <v>Shibpur</v>
      </c>
      <c r="D44" s="1" t="str">
        <f ca="1">IFERROR(__xludf.DUMMYFUNCTION("""COMPUTED_VALUE"""),"West Bengal")</f>
        <v>West Bengal</v>
      </c>
      <c r="E44" s="1">
        <f ca="1">IFERROR(__xludf.DUMMYFUNCTION("""COMPUTED_VALUE"""),50.41)</f>
        <v>50.41</v>
      </c>
      <c r="F44" s="1">
        <f ca="1">IFERROR(__xludf.DUMMYFUNCTION("""COMPUTED_VALUE"""),43)</f>
        <v>43</v>
      </c>
    </row>
    <row r="45" spans="1:6">
      <c r="A45" s="1" t="str">
        <f ca="1">IFERROR(__xludf.DUMMYFUNCTION("""COMPUTED_VALUE"""),"IR-O-U-0078")</f>
        <v>IR-O-U-0078</v>
      </c>
      <c r="B45" s="1" t="str">
        <f ca="1">IFERROR(__xludf.DUMMYFUNCTION("""COMPUTED_VALUE"""),"Panjab University
More DetailsClose | 
[TABLE]")</f>
        <v>Panjab University
More DetailsClose | 
[TABLE]</v>
      </c>
      <c r="C45" s="1" t="str">
        <f ca="1">IFERROR(__xludf.DUMMYFUNCTION("""COMPUTED_VALUE"""),"Chandigarh")</f>
        <v>Chandigarh</v>
      </c>
      <c r="D45" s="1" t="str">
        <f ca="1">IFERROR(__xludf.DUMMYFUNCTION("""COMPUTED_VALUE"""),"Chandigarh")</f>
        <v>Chandigarh</v>
      </c>
      <c r="E45" s="1">
        <f ca="1">IFERROR(__xludf.DUMMYFUNCTION("""COMPUTED_VALUE"""),50.24)</f>
        <v>50.24</v>
      </c>
      <c r="F45" s="1">
        <f ca="1">IFERROR(__xludf.DUMMYFUNCTION("""COMPUTED_VALUE"""),44)</f>
        <v>44</v>
      </c>
    </row>
    <row r="46" spans="1:6">
      <c r="A46" s="1" t="str">
        <f ca="1">IFERROR(__xludf.DUMMYFUNCTION("""COMPUTED_VALUE"""),"IR-O-U-0356")</f>
        <v>IR-O-U-0356</v>
      </c>
      <c r="B46" s="1" t="str">
        <f ca="1">IFERROR(__xludf.DUMMYFUNCTION("""COMPUTED_VALUE"""),"Kalinga Institute of Industrial Technology
More DetailsClose | 
[TABLE]")</f>
        <v>Kalinga Institute of Industrial Technology
More DetailsClose | 
[TABLE]</v>
      </c>
      <c r="C46" s="1" t="str">
        <f ca="1">IFERROR(__xludf.DUMMYFUNCTION("""COMPUTED_VALUE"""),"Bhubaneswar")</f>
        <v>Bhubaneswar</v>
      </c>
      <c r="D46" s="1" t="str">
        <f ca="1">IFERROR(__xludf.DUMMYFUNCTION("""COMPUTED_VALUE"""),"Odisha")</f>
        <v>Odisha</v>
      </c>
      <c r="E46" s="1">
        <f ca="1">IFERROR(__xludf.DUMMYFUNCTION("""COMPUTED_VALUE"""),50.24)</f>
        <v>50.24</v>
      </c>
      <c r="F46" s="1">
        <f ca="1">IFERROR(__xludf.DUMMYFUNCTION("""COMPUTED_VALUE"""),44)</f>
        <v>44</v>
      </c>
    </row>
    <row r="47" spans="1:6">
      <c r="A47" s="1" t="str">
        <f ca="1">IFERROR(__xludf.DUMMYFUNCTION("""COMPUTED_VALUE"""),"IR-O-U-0025")</f>
        <v>IR-O-U-0025</v>
      </c>
      <c r="B47" s="1" t="str">
        <f ca="1">IFERROR(__xludf.DUMMYFUNCTION("""COMPUTED_VALUE"""),"National Institute of Technology Warangal
More DetailsClose | 
[TABLE]")</f>
        <v>National Institute of Technology Warangal
More DetailsClose | 
[TABLE]</v>
      </c>
      <c r="C47" s="1" t="str">
        <f ca="1">IFERROR(__xludf.DUMMYFUNCTION("""COMPUTED_VALUE"""),"Warangal")</f>
        <v>Warangal</v>
      </c>
      <c r="D47" s="1" t="str">
        <f ca="1">IFERROR(__xludf.DUMMYFUNCTION("""COMPUTED_VALUE"""),"Telangana")</f>
        <v>Telangana</v>
      </c>
      <c r="E47" s="1">
        <f ca="1">IFERROR(__xludf.DUMMYFUNCTION("""COMPUTED_VALUE"""),49.82)</f>
        <v>49.82</v>
      </c>
      <c r="F47" s="1">
        <f ca="1">IFERROR(__xludf.DUMMYFUNCTION("""COMPUTED_VALUE"""),46)</f>
        <v>46</v>
      </c>
    </row>
    <row r="48" spans="1:6">
      <c r="A48" s="1" t="str">
        <f ca="1">IFERROR(__xludf.DUMMYFUNCTION("""COMPUTED_VALUE"""),"IR-O-U-0235")</f>
        <v>IR-O-U-0235</v>
      </c>
      <c r="B48" s="1" t="str">
        <f ca="1">IFERROR(__xludf.DUMMYFUNCTION("""COMPUTED_VALUE"""),"Mysore University
More DetailsClose | 
[TABLE]")</f>
        <v>Mysore University
More DetailsClose | 
[TABLE]</v>
      </c>
      <c r="C48" s="1" t="str">
        <f ca="1">IFERROR(__xludf.DUMMYFUNCTION("""COMPUTED_VALUE"""),"Mysuru")</f>
        <v>Mysuru</v>
      </c>
      <c r="D48" s="1" t="str">
        <f ca="1">IFERROR(__xludf.DUMMYFUNCTION("""COMPUTED_VALUE"""),"Karnataka")</f>
        <v>Karnataka</v>
      </c>
      <c r="E48" s="1">
        <f ca="1">IFERROR(__xludf.DUMMYFUNCTION("""COMPUTED_VALUE"""),49.75)</f>
        <v>49.75</v>
      </c>
      <c r="F48" s="1">
        <f ca="1">IFERROR(__xludf.DUMMYFUNCTION("""COMPUTED_VALUE"""),47)</f>
        <v>47</v>
      </c>
    </row>
    <row r="49" spans="1:6">
      <c r="A49" s="1" t="str">
        <f ca="1">IFERROR(__xludf.DUMMYFUNCTION("""COMPUTED_VALUE"""),"IR-O-U-0476")</f>
        <v>IR-O-U-0476</v>
      </c>
      <c r="B49" s="1" t="str">
        <f ca="1">IFERROR(__xludf.DUMMYFUNCTION("""COMPUTED_VALUE"""),"Shanmugha Arts Science Technology &amp; Research Academy
More DetailsClose | 
[TABLE]")</f>
        <v>Shanmugha Arts Science Technology &amp; Research Academy
More DetailsClose | 
[TABLE]</v>
      </c>
      <c r="C49" s="1" t="str">
        <f ca="1">IFERROR(__xludf.DUMMYFUNCTION("""COMPUTED_VALUE"""),"Thanjavur")</f>
        <v>Thanjavur</v>
      </c>
      <c r="D49" s="1" t="str">
        <f ca="1">IFERROR(__xludf.DUMMYFUNCTION("""COMPUTED_VALUE"""),"Tamil Nadu")</f>
        <v>Tamil Nadu</v>
      </c>
      <c r="E49" s="1">
        <f ca="1">IFERROR(__xludf.DUMMYFUNCTION("""COMPUTED_VALUE"""),49.4)</f>
        <v>49.4</v>
      </c>
      <c r="F49" s="1">
        <f ca="1">IFERROR(__xludf.DUMMYFUNCTION("""COMPUTED_VALUE"""),48)</f>
        <v>48</v>
      </c>
    </row>
    <row r="50" spans="1:6">
      <c r="A50" s="1" t="str">
        <f ca="1">IFERROR(__xludf.DUMMYFUNCTION("""COMPUTED_VALUE"""),"IR-O-U-0262")</f>
        <v>IR-O-U-0262</v>
      </c>
      <c r="B50" s="1" t="str">
        <f ca="1">IFERROR(__xludf.DUMMYFUNCTION("""COMPUTED_VALUE"""),"Mahatma Gandhi University
More DetailsClose | 
[TABLE]")</f>
        <v>Mahatma Gandhi University
More DetailsClose | 
[TABLE]</v>
      </c>
      <c r="C50" s="1" t="str">
        <f ca="1">IFERROR(__xludf.DUMMYFUNCTION("""COMPUTED_VALUE"""),"Kottayam")</f>
        <v>Kottayam</v>
      </c>
      <c r="D50" s="1" t="str">
        <f ca="1">IFERROR(__xludf.DUMMYFUNCTION("""COMPUTED_VALUE"""),"Kerala")</f>
        <v>Kerala</v>
      </c>
      <c r="E50" s="1">
        <f ca="1">IFERROR(__xludf.DUMMYFUNCTION("""COMPUTED_VALUE"""),49.29)</f>
        <v>49.29</v>
      </c>
      <c r="F50" s="1">
        <f ca="1">IFERROR(__xludf.DUMMYFUNCTION("""COMPUTED_VALUE"""),49)</f>
        <v>49</v>
      </c>
    </row>
    <row r="51" spans="1:6">
      <c r="A51" s="1" t="str">
        <f ca="1">IFERROR(__xludf.DUMMYFUNCTION("""COMPUTED_VALUE"""),"IR-O-U-0523")</f>
        <v>IR-O-U-0523</v>
      </c>
      <c r="B51" s="1" t="str">
        <f ca="1">IFERROR(__xludf.DUMMYFUNCTION("""COMPUTED_VALUE"""),"King George`s Medical University
More DetailsClose | 
[TABLE]")</f>
        <v>King George`s Medical University
More DetailsClose | 
[TABLE]</v>
      </c>
      <c r="C51" s="1" t="str">
        <f ca="1">IFERROR(__xludf.DUMMYFUNCTION("""COMPUTED_VALUE"""),"Lucknow")</f>
        <v>Lucknow</v>
      </c>
      <c r="D51" s="1" t="str">
        <f ca="1">IFERROR(__xludf.DUMMYFUNCTION("""COMPUTED_VALUE"""),"Uttar Pradesh")</f>
        <v>Uttar Pradesh</v>
      </c>
      <c r="E51" s="1">
        <f ca="1">IFERROR(__xludf.DUMMYFUNCTION("""COMPUTED_VALUE"""),48.91)</f>
        <v>48.91</v>
      </c>
      <c r="F51" s="1">
        <f ca="1">IFERROR(__xludf.DUMMYFUNCTION("""COMPUTED_VALUE"""),50)</f>
        <v>50</v>
      </c>
    </row>
    <row r="52" spans="1:6">
      <c r="A52" s="1" t="str">
        <f ca="1">IFERROR(__xludf.DUMMYFUNCTION("""COMPUTED_VALUE"""),"IR-O-I-1486")</f>
        <v>IR-O-I-1486</v>
      </c>
      <c r="B52" s="1" t="str">
        <f ca="1">IFERROR(__xludf.DUMMYFUNCTION("""COMPUTED_VALUE"""),"Sri Ramachandra Institute of Higher Education And Research
More DetailsClose | 
[TABLE]")</f>
        <v>Sri Ramachandra Institute of Higher Education And Research
More DetailsClose | 
[TABLE]</v>
      </c>
      <c r="C52" s="1" t="str">
        <f ca="1">IFERROR(__xludf.DUMMYFUNCTION("""COMPUTED_VALUE"""),"Chennai")</f>
        <v>Chennai</v>
      </c>
      <c r="D52" s="1" t="str">
        <f ca="1">IFERROR(__xludf.DUMMYFUNCTION("""COMPUTED_VALUE"""),"Tamil Nadu")</f>
        <v>Tamil Nadu</v>
      </c>
      <c r="E52" s="1">
        <f ca="1">IFERROR(__xludf.DUMMYFUNCTION("""COMPUTED_VALUE"""),48.59)</f>
        <v>48.59</v>
      </c>
      <c r="F52" s="1">
        <f ca="1">IFERROR(__xludf.DUMMYFUNCTION("""COMPUTED_VALUE"""),51)</f>
        <v>51</v>
      </c>
    </row>
    <row r="53" spans="1:6">
      <c r="A53" s="1" t="str">
        <f ca="1">IFERROR(__xludf.DUMMYFUNCTION("""COMPUTED_VALUE"""),"IR-O-I-1480")</f>
        <v>IR-O-I-1480</v>
      </c>
      <c r="B53" s="1" t="str">
        <f ca="1">IFERROR(__xludf.DUMMYFUNCTION("""COMPUTED_VALUE"""),"Thapar Institute of Engineering &amp; Technology
More DetailsClose | 
[TABLE]")</f>
        <v>Thapar Institute of Engineering &amp; Technology
More DetailsClose | 
[TABLE]</v>
      </c>
      <c r="C53" s="1" t="str">
        <f ca="1">IFERROR(__xludf.DUMMYFUNCTION("""COMPUTED_VALUE"""),"Patiala")</f>
        <v>Patiala</v>
      </c>
      <c r="D53" s="1" t="str">
        <f ca="1">IFERROR(__xludf.DUMMYFUNCTION("""COMPUTED_VALUE"""),"Punjab")</f>
        <v>Punjab</v>
      </c>
      <c r="E53" s="1">
        <f ca="1">IFERROR(__xludf.DUMMYFUNCTION("""COMPUTED_VALUE"""),48.59)</f>
        <v>48.59</v>
      </c>
      <c r="F53" s="1">
        <f ca="1">IFERROR(__xludf.DUMMYFUNCTION("""COMPUTED_VALUE"""),51)</f>
        <v>51</v>
      </c>
    </row>
    <row r="54" spans="1:6">
      <c r="A54" s="1" t="str">
        <f ca="1">IFERROR(__xludf.DUMMYFUNCTION("""COMPUTED_VALUE"""),"IR-O-U-0027")</f>
        <v>IR-O-U-0027</v>
      </c>
      <c r="B54" s="1" t="str">
        <f ca="1">IFERROR(__xludf.DUMMYFUNCTION("""COMPUTED_VALUE"""),"Osmania University
More DetailsClose | 
[TABLE]")</f>
        <v>Osmania University
More DetailsClose | 
[TABLE]</v>
      </c>
      <c r="C54" s="1" t="str">
        <f ca="1">IFERROR(__xludf.DUMMYFUNCTION("""COMPUTED_VALUE"""),"Hyderabad")</f>
        <v>Hyderabad</v>
      </c>
      <c r="D54" s="1" t="str">
        <f ca="1">IFERROR(__xludf.DUMMYFUNCTION("""COMPUTED_VALUE"""),"Telangana")</f>
        <v>Telangana</v>
      </c>
      <c r="E54" s="1">
        <f ca="1">IFERROR(__xludf.DUMMYFUNCTION("""COMPUTED_VALUE"""),48.54)</f>
        <v>48.54</v>
      </c>
      <c r="F54" s="1">
        <f ca="1">IFERROR(__xludf.DUMMYFUNCTION("""COMPUTED_VALUE"""),53)</f>
        <v>53</v>
      </c>
    </row>
    <row r="55" spans="1:6">
      <c r="A55" s="1" t="str">
        <f ca="1">IFERROR(__xludf.DUMMYFUNCTION("""COMPUTED_VALUE"""),"IR-O-U-0064")</f>
        <v>IR-O-U-0064</v>
      </c>
      <c r="B55" s="1" t="str">
        <f ca="1">IFERROR(__xludf.DUMMYFUNCTION("""COMPUTED_VALUE"""),"Indian Institute of Technology Patna
More DetailsClose | 
[TABLE]")</f>
        <v>Indian Institute of Technology Patna
More DetailsClose | 
[TABLE]</v>
      </c>
      <c r="C55" s="1" t="str">
        <f ca="1">IFERROR(__xludf.DUMMYFUNCTION("""COMPUTED_VALUE"""),"Patna")</f>
        <v>Patna</v>
      </c>
      <c r="D55" s="1" t="str">
        <f ca="1">IFERROR(__xludf.DUMMYFUNCTION("""COMPUTED_VALUE"""),"Bihar")</f>
        <v>Bihar</v>
      </c>
      <c r="E55" s="1">
        <f ca="1">IFERROR(__xludf.DUMMYFUNCTION("""COMPUTED_VALUE"""),48.09)</f>
        <v>48.09</v>
      </c>
      <c r="F55" s="1">
        <f ca="1">IFERROR(__xludf.DUMMYFUNCTION("""COMPUTED_VALUE"""),54)</f>
        <v>54</v>
      </c>
    </row>
    <row r="56" spans="1:6">
      <c r="A56" s="1" t="str">
        <f ca="1">IFERROR(__xludf.DUMMYFUNCTION("""COMPUTED_VALUE"""),"IR-O-U-0222")</f>
        <v>IR-O-U-0222</v>
      </c>
      <c r="B56" s="1" t="str">
        <f ca="1">IFERROR(__xludf.DUMMYFUNCTION("""COMPUTED_VALUE"""),"JSS Academy of Higher Education and Research
More DetailsClose | 
[TABLE]")</f>
        <v>JSS Academy of Higher Education and Research
More DetailsClose | 
[TABLE]</v>
      </c>
      <c r="C56" s="1" t="str">
        <f ca="1">IFERROR(__xludf.DUMMYFUNCTION("""COMPUTED_VALUE"""),"Mysuru")</f>
        <v>Mysuru</v>
      </c>
      <c r="D56" s="1" t="str">
        <f ca="1">IFERROR(__xludf.DUMMYFUNCTION("""COMPUTED_VALUE"""),"Karnataka")</f>
        <v>Karnataka</v>
      </c>
      <c r="E56" s="1">
        <f ca="1">IFERROR(__xludf.DUMMYFUNCTION("""COMPUTED_VALUE"""),48.09)</f>
        <v>48.09</v>
      </c>
      <c r="F56" s="1">
        <f ca="1">IFERROR(__xludf.DUMMYFUNCTION("""COMPUTED_VALUE"""),54)</f>
        <v>54</v>
      </c>
    </row>
    <row r="57" spans="1:6">
      <c r="A57" s="1" t="str">
        <f ca="1">IFERROR(__xludf.DUMMYFUNCTION("""COMPUTED_VALUE"""),"IR-O-U-0355")</f>
        <v>IR-O-U-0355</v>
      </c>
      <c r="B57" s="1" t="str">
        <f ca="1">IFERROR(__xludf.DUMMYFUNCTION("""COMPUTED_VALUE"""),"Indian Institute of Technology Bhubaneswar
More DetailsClose | 
[TABLE]")</f>
        <v>Indian Institute of Technology Bhubaneswar
More DetailsClose | 
[TABLE]</v>
      </c>
      <c r="C57" s="1" t="str">
        <f ca="1">IFERROR(__xludf.DUMMYFUNCTION("""COMPUTED_VALUE"""),"Bhubaneswar")</f>
        <v>Bhubaneswar</v>
      </c>
      <c r="D57" s="1" t="str">
        <f ca="1">IFERROR(__xludf.DUMMYFUNCTION("""COMPUTED_VALUE"""),"Odisha")</f>
        <v>Odisha</v>
      </c>
      <c r="E57" s="1">
        <f ca="1">IFERROR(__xludf.DUMMYFUNCTION("""COMPUTED_VALUE"""),47.96)</f>
        <v>47.96</v>
      </c>
      <c r="F57" s="1">
        <f ca="1">IFERROR(__xludf.DUMMYFUNCTION("""COMPUTED_VALUE"""),56)</f>
        <v>56</v>
      </c>
    </row>
    <row r="58" spans="1:6">
      <c r="A58" s="1" t="str">
        <f ca="1">IFERROR(__xludf.DUMMYFUNCTION("""COMPUTED_VALUE"""),"IR-O-U-0331")</f>
        <v>IR-O-U-0331</v>
      </c>
      <c r="B58" s="1" t="str">
        <f ca="1">IFERROR(__xludf.DUMMYFUNCTION("""COMPUTED_VALUE"""),"Tata Institute of Social Sciences
More DetailsClose | 
[TABLE]")</f>
        <v>Tata Institute of Social Sciences
More DetailsClose | 
[TABLE]</v>
      </c>
      <c r="C58" s="1" t="str">
        <f ca="1">IFERROR(__xludf.DUMMYFUNCTION("""COMPUTED_VALUE"""),"Mumbai")</f>
        <v>Mumbai</v>
      </c>
      <c r="D58" s="1" t="str">
        <f ca="1">IFERROR(__xludf.DUMMYFUNCTION("""COMPUTED_VALUE"""),"Maharashtra")</f>
        <v>Maharashtra</v>
      </c>
      <c r="E58" s="1">
        <f ca="1">IFERROR(__xludf.DUMMYFUNCTION("""COMPUTED_VALUE"""),47.45)</f>
        <v>47.45</v>
      </c>
      <c r="F58" s="1">
        <f ca="1">IFERROR(__xludf.DUMMYFUNCTION("""COMPUTED_VALUE"""),57)</f>
        <v>57</v>
      </c>
    </row>
    <row r="59" spans="1:6">
      <c r="A59" s="1" t="str">
        <f ca="1">IFERROR(__xludf.DUMMYFUNCTION("""COMPUTED_VALUE"""),"IR-O-U-0473")</f>
        <v>IR-O-U-0473</v>
      </c>
      <c r="B59" s="1" t="str">
        <f ca="1">IFERROR(__xludf.DUMMYFUNCTION("""COMPUTED_VALUE"""),"S. R. M. Institute of Science and Technology
More DetailsClose | 
[TABLE]")</f>
        <v>S. R. M. Institute of Science and Technology
More DetailsClose | 
[TABLE]</v>
      </c>
      <c r="C59" s="1" t="str">
        <f ca="1">IFERROR(__xludf.DUMMYFUNCTION("""COMPUTED_VALUE"""),"Chennai")</f>
        <v>Chennai</v>
      </c>
      <c r="D59" s="1" t="str">
        <f ca="1">IFERROR(__xludf.DUMMYFUNCTION("""COMPUTED_VALUE"""),"Tamil Nadu")</f>
        <v>Tamil Nadu</v>
      </c>
      <c r="E59" s="1">
        <f ca="1">IFERROR(__xludf.DUMMYFUNCTION("""COMPUTED_VALUE"""),47.27)</f>
        <v>47.27</v>
      </c>
      <c r="F59" s="1">
        <f ca="1">IFERROR(__xludf.DUMMYFUNCTION("""COMPUTED_VALUE"""),58)</f>
        <v>58</v>
      </c>
    </row>
    <row r="60" spans="1:6">
      <c r="A60" s="1" t="str">
        <f ca="1">IFERROR(__xludf.DUMMYFUNCTION("""COMPUTED_VALUE"""),"IR-O-U-0377")</f>
        <v>IR-O-U-0377</v>
      </c>
      <c r="B60" s="1" t="str">
        <f ca="1">IFERROR(__xludf.DUMMYFUNCTION("""COMPUTED_VALUE"""),"Indian Institute of Science Education &amp; Research Mohali
More DetailsClose | 
[TABLE]")</f>
        <v>Indian Institute of Science Education &amp; Research Mohali
More DetailsClose | 
[TABLE]</v>
      </c>
      <c r="C60" s="1" t="str">
        <f ca="1">IFERROR(__xludf.DUMMYFUNCTION("""COMPUTED_VALUE"""),"Mohali")</f>
        <v>Mohali</v>
      </c>
      <c r="D60" s="1" t="str">
        <f ca="1">IFERROR(__xludf.DUMMYFUNCTION("""COMPUTED_VALUE"""),"Punjab")</f>
        <v>Punjab</v>
      </c>
      <c r="E60" s="1">
        <f ca="1">IFERROR(__xludf.DUMMYFUNCTION("""COMPUTED_VALUE"""),47.19)</f>
        <v>47.19</v>
      </c>
      <c r="F60" s="1">
        <f ca="1">IFERROR(__xludf.DUMMYFUNCTION("""COMPUTED_VALUE"""),59)</f>
        <v>59</v>
      </c>
    </row>
    <row r="61" spans="1:6">
      <c r="A61" s="1" t="str">
        <f ca="1">IFERROR(__xludf.DUMMYFUNCTION("""COMPUTED_VALUE"""),"IR-O-U-0136")</f>
        <v>IR-O-U-0136</v>
      </c>
      <c r="B61" s="1" t="str">
        <f ca="1">IFERROR(__xludf.DUMMYFUNCTION("""COMPUTED_VALUE"""),"Gujarat University
More DetailsClose | 
[TABLE]")</f>
        <v>Gujarat University
More DetailsClose | 
[TABLE]</v>
      </c>
      <c r="C61" s="1" t="str">
        <f ca="1">IFERROR(__xludf.DUMMYFUNCTION("""COMPUTED_VALUE"""),"Ahmedabad")</f>
        <v>Ahmedabad</v>
      </c>
      <c r="D61" s="1" t="str">
        <f ca="1">IFERROR(__xludf.DUMMYFUNCTION("""COMPUTED_VALUE"""),"Gujarat")</f>
        <v>Gujarat</v>
      </c>
      <c r="E61" s="1">
        <f ca="1">IFERROR(__xludf.DUMMYFUNCTION("""COMPUTED_VALUE"""),47.1)</f>
        <v>47.1</v>
      </c>
      <c r="F61" s="1">
        <f ca="1">IFERROR(__xludf.DUMMYFUNCTION("""COMPUTED_VALUE"""),60)</f>
        <v>60</v>
      </c>
    </row>
    <row r="62" spans="1:6">
      <c r="A62" s="1" t="str">
        <f ca="1">IFERROR(__xludf.DUMMYFUNCTION("""COMPUTED_VALUE"""),"IR-O-U-0474")</f>
        <v>IR-O-U-0474</v>
      </c>
      <c r="B62" s="1" t="str">
        <f ca="1">IFERROR(__xludf.DUMMYFUNCTION("""COMPUTED_VALUE"""),"Sathyabama Institute of Science and Technology
More DetailsClose | 
[TABLE]")</f>
        <v>Sathyabama Institute of Science and Technology
More DetailsClose | 
[TABLE]</v>
      </c>
      <c r="C62" s="1" t="str">
        <f ca="1">IFERROR(__xludf.DUMMYFUNCTION("""COMPUTED_VALUE"""),"Chennai")</f>
        <v>Chennai</v>
      </c>
      <c r="D62" s="1" t="str">
        <f ca="1">IFERROR(__xludf.DUMMYFUNCTION("""COMPUTED_VALUE"""),"Tamil Nadu")</f>
        <v>Tamil Nadu</v>
      </c>
      <c r="E62" s="1">
        <f ca="1">IFERROR(__xludf.DUMMYFUNCTION("""COMPUTED_VALUE"""),47.03)</f>
        <v>47.03</v>
      </c>
      <c r="F62" s="1">
        <f ca="1">IFERROR(__xludf.DUMMYFUNCTION("""COMPUTED_VALUE"""),61)</f>
        <v>61</v>
      </c>
    </row>
    <row r="63" spans="1:6">
      <c r="A63" s="1" t="str">
        <f ca="1">IFERROR(__xludf.DUMMYFUNCTION("""COMPUTED_VALUE"""),"IR-O-U-0098")</f>
        <v>IR-O-U-0098</v>
      </c>
      <c r="B63" s="1" t="str">
        <f ca="1">IFERROR(__xludf.DUMMYFUNCTION("""COMPUTED_VALUE"""),"Delhi Technological University
More DetailsClose | 
[TABLE]")</f>
        <v>Delhi Technological University
More DetailsClose | 
[TABLE]</v>
      </c>
      <c r="C63" s="1" t="str">
        <f ca="1">IFERROR(__xludf.DUMMYFUNCTION("""COMPUTED_VALUE"""),"New Delhi")</f>
        <v>New Delhi</v>
      </c>
      <c r="D63" s="1" t="str">
        <f ca="1">IFERROR(__xludf.DUMMYFUNCTION("""COMPUTED_VALUE"""),"Delhi")</f>
        <v>Delhi</v>
      </c>
      <c r="E63" s="1">
        <f ca="1">IFERROR(__xludf.DUMMYFUNCTION("""COMPUTED_VALUE"""),46.89)</f>
        <v>46.89</v>
      </c>
      <c r="F63" s="1">
        <f ca="1">IFERROR(__xludf.DUMMYFUNCTION("""COMPUTED_VALUE"""),62)</f>
        <v>62</v>
      </c>
    </row>
    <row r="64" spans="1:6">
      <c r="A64" s="1" t="str">
        <f ca="1">IFERROR(__xludf.DUMMYFUNCTION("""COMPUTED_VALUE"""),"IR-O-U-0497")</f>
        <v>IR-O-U-0497</v>
      </c>
      <c r="B64" s="1" t="str">
        <f ca="1">IFERROR(__xludf.DUMMYFUNCTION("""COMPUTED_VALUE"""),"Amity University Noida
More DetailsClose | 
[TABLE]")</f>
        <v>Amity University Noida
More DetailsClose | 
[TABLE]</v>
      </c>
      <c r="C64" s="1" t="str">
        <f ca="1">IFERROR(__xludf.DUMMYFUNCTION("""COMPUTED_VALUE"""),"Gautam Budh Nagar")</f>
        <v>Gautam Budh Nagar</v>
      </c>
      <c r="D64" s="1" t="str">
        <f ca="1">IFERROR(__xludf.DUMMYFUNCTION("""COMPUTED_VALUE"""),"Uttar Pradesh")</f>
        <v>Uttar Pradesh</v>
      </c>
      <c r="E64" s="1">
        <f ca="1">IFERROR(__xludf.DUMMYFUNCTION("""COMPUTED_VALUE"""),46.88)</f>
        <v>46.88</v>
      </c>
      <c r="F64" s="1">
        <f ca="1">IFERROR(__xludf.DUMMYFUNCTION("""COMPUTED_VALUE"""),63)</f>
        <v>63</v>
      </c>
    </row>
    <row r="65" spans="1:6">
      <c r="A65" s="1" t="str">
        <f ca="1">IFERROR(__xludf.DUMMYFUNCTION("""COMPUTED_VALUE"""),"IR-O-U-0435")</f>
        <v>IR-O-U-0435</v>
      </c>
      <c r="B65" s="1" t="str">
        <f ca="1">IFERROR(__xludf.DUMMYFUNCTION("""COMPUTED_VALUE"""),"Alagappa University
More DetailsClose | 
[TABLE]")</f>
        <v>Alagappa University
More DetailsClose | 
[TABLE]</v>
      </c>
      <c r="C65" s="1" t="str">
        <f ca="1">IFERROR(__xludf.DUMMYFUNCTION("""COMPUTED_VALUE"""),"Karaikudi")</f>
        <v>Karaikudi</v>
      </c>
      <c r="D65" s="1" t="str">
        <f ca="1">IFERROR(__xludf.DUMMYFUNCTION("""COMPUTED_VALUE"""),"Tamil Nadu")</f>
        <v>Tamil Nadu</v>
      </c>
      <c r="E65" s="1">
        <f ca="1">IFERROR(__xludf.DUMMYFUNCTION("""COMPUTED_VALUE"""),46.85)</f>
        <v>46.85</v>
      </c>
      <c r="F65" s="1">
        <f ca="1">IFERROR(__xludf.DUMMYFUNCTION("""COMPUTED_VALUE"""),64)</f>
        <v>64</v>
      </c>
    </row>
    <row r="66" spans="1:6">
      <c r="A66" s="1" t="str">
        <f ca="1">IFERROR(__xludf.DUMMYFUNCTION("""COMPUTED_VALUE"""),"IR-O-U-0056")</f>
        <v>IR-O-U-0056</v>
      </c>
      <c r="B66" s="1" t="str">
        <f ca="1">IFERROR(__xludf.DUMMYFUNCTION("""COMPUTED_VALUE"""),"Tezpur University
More DetailsClose | 
[TABLE]")</f>
        <v>Tezpur University
More DetailsClose | 
[TABLE]</v>
      </c>
      <c r="C66" s="1" t="str">
        <f ca="1">IFERROR(__xludf.DUMMYFUNCTION("""COMPUTED_VALUE"""),"Tezpur")</f>
        <v>Tezpur</v>
      </c>
      <c r="D66" s="1" t="str">
        <f ca="1">IFERROR(__xludf.DUMMYFUNCTION("""COMPUTED_VALUE"""),"Assam")</f>
        <v>Assam</v>
      </c>
      <c r="E66" s="1">
        <f ca="1">IFERROR(__xludf.DUMMYFUNCTION("""COMPUTED_VALUE"""),46.83)</f>
        <v>46.83</v>
      </c>
      <c r="F66" s="1">
        <f ca="1">IFERROR(__xludf.DUMMYFUNCTION("""COMPUTED_VALUE"""),65)</f>
        <v>65</v>
      </c>
    </row>
    <row r="67" spans="1:6">
      <c r="A67" s="1" t="str">
        <f ca="1">IFERROR(__xludf.DUMMYFUNCTION("""COMPUTED_VALUE"""),"IR-O-I-1441")</f>
        <v>IR-O-I-1441</v>
      </c>
      <c r="B67" s="1" t="str">
        <f ca="1">IFERROR(__xludf.DUMMYFUNCTION("""COMPUTED_VALUE"""),"Saveetha Institute of Medical and Technical Sciences
More DetailsClose | 
[TABLE]")</f>
        <v>Saveetha Institute of Medical and Technical Sciences
More DetailsClose | 
[TABLE]</v>
      </c>
      <c r="C67" s="1" t="str">
        <f ca="1">IFERROR(__xludf.DUMMYFUNCTION("""COMPUTED_VALUE"""),"Chennai")</f>
        <v>Chennai</v>
      </c>
      <c r="D67" s="1" t="str">
        <f ca="1">IFERROR(__xludf.DUMMYFUNCTION("""COMPUTED_VALUE"""),"Tamil Nadu")</f>
        <v>Tamil Nadu</v>
      </c>
      <c r="E67" s="1">
        <f ca="1">IFERROR(__xludf.DUMMYFUNCTION("""COMPUTED_VALUE"""),46.81)</f>
        <v>46.81</v>
      </c>
      <c r="F67" s="1">
        <f ca="1">IFERROR(__xludf.DUMMYFUNCTION("""COMPUTED_VALUE"""),66)</f>
        <v>66</v>
      </c>
    </row>
    <row r="68" spans="1:6">
      <c r="A68" s="1" t="str">
        <f ca="1">IFERROR(__xludf.DUMMYFUNCTION("""COMPUTED_VALUE"""),"IR-O-U-0184")</f>
        <v>IR-O-U-0184</v>
      </c>
      <c r="B68" s="1" t="str">
        <f ca="1">IFERROR(__xludf.DUMMYFUNCTION("""COMPUTED_VALUE"""),"Indian Institute of Technology Mandi
More DetailsClose | 
[TABLE]")</f>
        <v>Indian Institute of Technology Mandi
More DetailsClose | 
[TABLE]</v>
      </c>
      <c r="C68" s="1" t="str">
        <f ca="1">IFERROR(__xludf.DUMMYFUNCTION("""COMPUTED_VALUE"""),"Mandi")</f>
        <v>Mandi</v>
      </c>
      <c r="D68" s="1" t="str">
        <f ca="1">IFERROR(__xludf.DUMMYFUNCTION("""COMPUTED_VALUE"""),"Himachal Pradesh")</f>
        <v>Himachal Pradesh</v>
      </c>
      <c r="E68" s="1">
        <f ca="1">IFERROR(__xludf.DUMMYFUNCTION("""COMPUTED_VALUE"""),46.56)</f>
        <v>46.56</v>
      </c>
      <c r="F68" s="1">
        <f ca="1">IFERROR(__xludf.DUMMYFUNCTION("""COMPUTED_VALUE"""),67)</f>
        <v>67</v>
      </c>
    </row>
    <row r="69" spans="1:6">
      <c r="A69" s="1" t="str">
        <f ca="1">IFERROR(__xludf.DUMMYFUNCTION("""COMPUTED_VALUE"""),"IR-O-U-0037")</f>
        <v>IR-O-U-0037</v>
      </c>
      <c r="B69" s="1" t="str">
        <f ca="1">IFERROR(__xludf.DUMMYFUNCTION("""COMPUTED_VALUE"""),"Sri Venkateswara University
More DetailsClose | 
[TABLE]")</f>
        <v>Sri Venkateswara University
More DetailsClose | 
[TABLE]</v>
      </c>
      <c r="C69" s="1" t="str">
        <f ca="1">IFERROR(__xludf.DUMMYFUNCTION("""COMPUTED_VALUE"""),"Tirupati")</f>
        <v>Tirupati</v>
      </c>
      <c r="D69" s="1" t="str">
        <f ca="1">IFERROR(__xludf.DUMMYFUNCTION("""COMPUTED_VALUE"""),"Andhra Pradesh")</f>
        <v>Andhra Pradesh</v>
      </c>
      <c r="E69" s="1">
        <f ca="1">IFERROR(__xludf.DUMMYFUNCTION("""COMPUTED_VALUE"""),46.14)</f>
        <v>46.14</v>
      </c>
      <c r="F69" s="1">
        <f ca="1">IFERROR(__xludf.DUMMYFUNCTION("""COMPUTED_VALUE"""),68)</f>
        <v>68</v>
      </c>
    </row>
    <row r="70" spans="1:6">
      <c r="A70" s="1" t="str">
        <f ca="1">IFERROR(__xludf.DUMMYFUNCTION("""COMPUTED_VALUE"""),"IR-O-U-0589")</f>
        <v>IR-O-U-0589</v>
      </c>
      <c r="B70" s="1" t="str">
        <f ca="1">IFERROR(__xludf.DUMMYFUNCTION("""COMPUTED_VALUE"""),"Visva Bharati
More DetailsClose | 
[TABLE]")</f>
        <v>Visva Bharati
More DetailsClose | 
[TABLE]</v>
      </c>
      <c r="C70" s="1" t="str">
        <f ca="1">IFERROR(__xludf.DUMMYFUNCTION("""COMPUTED_VALUE"""),"Santiniketan")</f>
        <v>Santiniketan</v>
      </c>
      <c r="D70" s="1" t="str">
        <f ca="1">IFERROR(__xludf.DUMMYFUNCTION("""COMPUTED_VALUE"""),"West Bengal")</f>
        <v>West Bengal</v>
      </c>
      <c r="E70" s="1">
        <f ca="1">IFERROR(__xludf.DUMMYFUNCTION("""COMPUTED_VALUE"""),45.95)</f>
        <v>45.95</v>
      </c>
      <c r="F70" s="1">
        <f ca="1">IFERROR(__xludf.DUMMYFUNCTION("""COMPUTED_VALUE"""),69)</f>
        <v>69</v>
      </c>
    </row>
    <row r="71" spans="1:6">
      <c r="A71" s="1" t="str">
        <f ca="1">IFERROR(__xludf.DUMMYFUNCTION("""COMPUTED_VALUE"""),"IR-O-U-0020")</f>
        <v>IR-O-U-0020</v>
      </c>
      <c r="B71" s="1" t="str">
        <f ca="1">IFERROR(__xludf.DUMMYFUNCTION("""COMPUTED_VALUE"""),"Koneru Lakshmaiah Education Foundation University
More DetailsClose | 
[TABLE]")</f>
        <v>Koneru Lakshmaiah Education Foundation University
More DetailsClose | 
[TABLE]</v>
      </c>
      <c r="C71" s="1" t="str">
        <f ca="1">IFERROR(__xludf.DUMMYFUNCTION("""COMPUTED_VALUE"""),"Vaddeswaram")</f>
        <v>Vaddeswaram</v>
      </c>
      <c r="D71" s="1" t="str">
        <f ca="1">IFERROR(__xludf.DUMMYFUNCTION("""COMPUTED_VALUE"""),"Andhra Pradesh")</f>
        <v>Andhra Pradesh</v>
      </c>
      <c r="E71" s="1">
        <f ca="1">IFERROR(__xludf.DUMMYFUNCTION("""COMPUTED_VALUE"""),45.89)</f>
        <v>45.89</v>
      </c>
      <c r="F71" s="1">
        <f ca="1">IFERROR(__xludf.DUMMYFUNCTION("""COMPUTED_VALUE"""),70)</f>
        <v>70</v>
      </c>
    </row>
    <row r="72" spans="1:6">
      <c r="A72" s="1" t="str">
        <f ca="1">IFERROR(__xludf.DUMMYFUNCTION("""COMPUTED_VALUE"""),"IR-O-U-0410")</f>
        <v>IR-O-U-0410</v>
      </c>
      <c r="B72" s="1" t="str">
        <f ca="1">IFERROR(__xludf.DUMMYFUNCTION("""COMPUTED_VALUE"""),"Malaviya National Institute of Technology
More DetailsClose | 
[TABLE]")</f>
        <v>Malaviya National Institute of Technology
More DetailsClose | 
[TABLE]</v>
      </c>
      <c r="C72" s="1" t="str">
        <f ca="1">IFERROR(__xludf.DUMMYFUNCTION("""COMPUTED_VALUE"""),"Jaipur")</f>
        <v>Jaipur</v>
      </c>
      <c r="D72" s="1" t="str">
        <f ca="1">IFERROR(__xludf.DUMMYFUNCTION("""COMPUTED_VALUE"""),"Rajasthan")</f>
        <v>Rajasthan</v>
      </c>
      <c r="E72" s="1">
        <f ca="1">IFERROR(__xludf.DUMMYFUNCTION("""COMPUTED_VALUE"""),45.65)</f>
        <v>45.65</v>
      </c>
      <c r="F72" s="1">
        <f ca="1">IFERROR(__xludf.DUMMYFUNCTION("""COMPUTED_VALUE"""),71)</f>
        <v>71</v>
      </c>
    </row>
    <row r="73" spans="1:6">
      <c r="A73" s="1" t="str">
        <f ca="1">IFERROR(__xludf.DUMMYFUNCTION("""COMPUTED_VALUE"""),"IR-O-U-0052")</f>
        <v>IR-O-U-0052</v>
      </c>
      <c r="B73" s="1" t="str">
        <f ca="1">IFERROR(__xludf.DUMMYFUNCTION("""COMPUTED_VALUE"""),"Gauhati University
More DetailsClose | 
[TABLE]")</f>
        <v>Gauhati University
More DetailsClose | 
[TABLE]</v>
      </c>
      <c r="C73" s="1" t="str">
        <f ca="1">IFERROR(__xludf.DUMMYFUNCTION("""COMPUTED_VALUE"""),"Guwahati")</f>
        <v>Guwahati</v>
      </c>
      <c r="D73" s="1" t="str">
        <f ca="1">IFERROR(__xludf.DUMMYFUNCTION("""COMPUTED_VALUE"""),"Assam")</f>
        <v>Assam</v>
      </c>
      <c r="E73" s="1">
        <f ca="1">IFERROR(__xludf.DUMMYFUNCTION("""COMPUTED_VALUE"""),45.48)</f>
        <v>45.48</v>
      </c>
      <c r="F73" s="1">
        <f ca="1">IFERROR(__xludf.DUMMYFUNCTION("""COMPUTED_VALUE"""),72)</f>
        <v>72</v>
      </c>
    </row>
    <row r="74" spans="1:6">
      <c r="A74" s="1" t="str">
        <f ca="1">IFERROR(__xludf.DUMMYFUNCTION("""COMPUTED_VALUE"""),"IR-O-U-0329")</f>
        <v>IR-O-U-0329</v>
      </c>
      <c r="B74" s="1" t="str">
        <f ca="1">IFERROR(__xludf.DUMMYFUNCTION("""COMPUTED_VALUE"""),"Symbiosis International
More DetailsClose | 
[TABLE]")</f>
        <v>Symbiosis International
More DetailsClose | 
[TABLE]</v>
      </c>
      <c r="C74" s="1" t="str">
        <f ca="1">IFERROR(__xludf.DUMMYFUNCTION("""COMPUTED_VALUE"""),"Pune")</f>
        <v>Pune</v>
      </c>
      <c r="D74" s="1" t="str">
        <f ca="1">IFERROR(__xludf.DUMMYFUNCTION("""COMPUTED_VALUE"""),"Maharashtra")</f>
        <v>Maharashtra</v>
      </c>
      <c r="E74" s="1">
        <f ca="1">IFERROR(__xludf.DUMMYFUNCTION("""COMPUTED_VALUE"""),45.43)</f>
        <v>45.43</v>
      </c>
      <c r="F74" s="1">
        <f ca="1">IFERROR(__xludf.DUMMYFUNCTION("""COMPUTED_VALUE"""),73)</f>
        <v>73</v>
      </c>
    </row>
    <row r="75" spans="1:6">
      <c r="A75" s="1" t="str">
        <f ca="1">IFERROR(__xludf.DUMMYFUNCTION("""COMPUTED_VALUE"""),"IR-O-U-0341")</f>
        <v>IR-O-U-0341</v>
      </c>
      <c r="B75" s="1" t="str">
        <f ca="1">IFERROR(__xludf.DUMMYFUNCTION("""COMPUTED_VALUE"""),"North Eastern Hill University
More DetailsClose | 
[TABLE]")</f>
        <v>North Eastern Hill University
More DetailsClose | 
[TABLE]</v>
      </c>
      <c r="C75" s="1" t="str">
        <f ca="1">IFERROR(__xludf.DUMMYFUNCTION("""COMPUTED_VALUE"""),"Shillong")</f>
        <v>Shillong</v>
      </c>
      <c r="D75" s="1" t="str">
        <f ca="1">IFERROR(__xludf.DUMMYFUNCTION("""COMPUTED_VALUE"""),"Meghalaya")</f>
        <v>Meghalaya</v>
      </c>
      <c r="E75" s="1">
        <f ca="1">IFERROR(__xludf.DUMMYFUNCTION("""COMPUTED_VALUE"""),45.31)</f>
        <v>45.31</v>
      </c>
      <c r="F75" s="1">
        <f ca="1">IFERROR(__xludf.DUMMYFUNCTION("""COMPUTED_VALUE"""),74)</f>
        <v>74</v>
      </c>
    </row>
    <row r="76" spans="1:6">
      <c r="A76" s="1" t="str">
        <f ca="1">IFERROR(__xludf.DUMMYFUNCTION("""COMPUTED_VALUE"""),"IR-O-I-1110")</f>
        <v>IR-O-I-1110</v>
      </c>
      <c r="B76" s="1" t="str">
        <f ca="1">IFERROR(__xludf.DUMMYFUNCTION("""COMPUTED_VALUE"""),"Dr. D. Y. Patil Vidyapeeth
More DetailsClose | 
[TABLE]")</f>
        <v>Dr. D. Y. Patil Vidyapeeth
More DetailsClose | 
[TABLE]</v>
      </c>
      <c r="C76" s="1" t="str">
        <f ca="1">IFERROR(__xludf.DUMMYFUNCTION("""COMPUTED_VALUE"""),"Pune")</f>
        <v>Pune</v>
      </c>
      <c r="D76" s="1" t="str">
        <f ca="1">IFERROR(__xludf.DUMMYFUNCTION("""COMPUTED_VALUE"""),"Maharashtra")</f>
        <v>Maharashtra</v>
      </c>
      <c r="E76" s="1">
        <f ca="1">IFERROR(__xludf.DUMMYFUNCTION("""COMPUTED_VALUE"""),45.08)</f>
        <v>45.08</v>
      </c>
      <c r="F76" s="1">
        <f ca="1">IFERROR(__xludf.DUMMYFUNCTION("""COMPUTED_VALUE"""),75)</f>
        <v>75</v>
      </c>
    </row>
    <row r="77" spans="1:6">
      <c r="A77" s="1" t="str">
        <f ca="1">IFERROR(__xludf.DUMMYFUNCTION("""COMPUTED_VALUE"""),"IR-O-U-0251")</f>
        <v>IR-O-U-0251</v>
      </c>
      <c r="B77" s="1" t="str">
        <f ca="1">IFERROR(__xludf.DUMMYFUNCTION("""COMPUTED_VALUE"""),"Calicut University
More DetailsClose | 
[TABLE]")</f>
        <v>Calicut University
More DetailsClose | 
[TABLE]</v>
      </c>
      <c r="C77" s="1" t="str">
        <f ca="1">IFERROR(__xludf.DUMMYFUNCTION("""COMPUTED_VALUE"""),"Malappuram")</f>
        <v>Malappuram</v>
      </c>
      <c r="D77" s="1" t="str">
        <f ca="1">IFERROR(__xludf.DUMMYFUNCTION("""COMPUTED_VALUE"""),"Kerala")</f>
        <v>Kerala</v>
      </c>
      <c r="E77" s="1">
        <f ca="1">IFERROR(__xludf.DUMMYFUNCTION("""COMPUTED_VALUE"""),44.71)</f>
        <v>44.71</v>
      </c>
      <c r="F77" s="1">
        <f ca="1">IFERROR(__xludf.DUMMYFUNCTION("""COMPUTED_VALUE"""),76)</f>
        <v>76</v>
      </c>
    </row>
    <row r="78" spans="1:6">
      <c r="A78" s="1" t="str">
        <f ca="1">IFERROR(__xludf.DUMMYFUNCTION("""COMPUTED_VALUE"""),"IR-O-U-0448")</f>
        <v>IR-O-U-0448</v>
      </c>
      <c r="B78" s="1" t="str">
        <f ca="1">IFERROR(__xludf.DUMMYFUNCTION("""COMPUTED_VALUE"""),"Bharathidasan University
More DetailsClose | 
[TABLE]")</f>
        <v>Bharathidasan University
More DetailsClose | 
[TABLE]</v>
      </c>
      <c r="C78" s="1" t="str">
        <f ca="1">IFERROR(__xludf.DUMMYFUNCTION("""COMPUTED_VALUE"""),"Tiruchirappalli")</f>
        <v>Tiruchirappalli</v>
      </c>
      <c r="D78" s="1" t="str">
        <f ca="1">IFERROR(__xludf.DUMMYFUNCTION("""COMPUTED_VALUE"""),"Tamil Nadu")</f>
        <v>Tamil Nadu</v>
      </c>
      <c r="E78" s="1">
        <f ca="1">IFERROR(__xludf.DUMMYFUNCTION("""COMPUTED_VALUE"""),44.7)</f>
        <v>44.7</v>
      </c>
      <c r="F78" s="1">
        <f ca="1">IFERROR(__xludf.DUMMYFUNCTION("""COMPUTED_VALUE"""),77)</f>
        <v>77</v>
      </c>
    </row>
    <row r="79" spans="1:6">
      <c r="A79" s="1" t="str">
        <f ca="1">IFERROR(__xludf.DUMMYFUNCTION("""COMPUTED_VALUE"""),"IR-O-U-0196")</f>
        <v>IR-O-U-0196</v>
      </c>
      <c r="B79" s="1" t="str">
        <f ca="1">IFERROR(__xludf.DUMMYFUNCTION("""COMPUTED_VALUE"""),"University of Kashmir
More DetailsClose | 
[TABLE]")</f>
        <v>University of Kashmir
More DetailsClose | 
[TABLE]</v>
      </c>
      <c r="C79" s="1" t="str">
        <f ca="1">IFERROR(__xludf.DUMMYFUNCTION("""COMPUTED_VALUE"""),"Srinagar")</f>
        <v>Srinagar</v>
      </c>
      <c r="D79" s="1" t="str">
        <f ca="1">IFERROR(__xludf.DUMMYFUNCTION("""COMPUTED_VALUE"""),"Jammu and Kashmir")</f>
        <v>Jammu and Kashmir</v>
      </c>
      <c r="E79" s="1">
        <f ca="1">IFERROR(__xludf.DUMMYFUNCTION("""COMPUTED_VALUE"""),44.67)</f>
        <v>44.67</v>
      </c>
      <c r="F79" s="1">
        <f ca="1">IFERROR(__xludf.DUMMYFUNCTION("""COMPUTED_VALUE"""),78)</f>
        <v>78</v>
      </c>
    </row>
    <row r="80" spans="1:6">
      <c r="A80" s="1" t="str">
        <f ca="1">IFERROR(__xludf.DUMMYFUNCTION("""COMPUTED_VALUE"""),"IR-O-U-0389")</f>
        <v>IR-O-U-0389</v>
      </c>
      <c r="B80" s="1" t="str">
        <f ca="1">IFERROR(__xludf.DUMMYFUNCTION("""COMPUTED_VALUE"""),"Banasthali Vidyapith
More DetailsClose | 
[TABLE]")</f>
        <v>Banasthali Vidyapith
More DetailsClose | 
[TABLE]</v>
      </c>
      <c r="C80" s="1" t="str">
        <f ca="1">IFERROR(__xludf.DUMMYFUNCTION("""COMPUTED_VALUE"""),"Banasthali")</f>
        <v>Banasthali</v>
      </c>
      <c r="D80" s="1" t="str">
        <f ca="1">IFERROR(__xludf.DUMMYFUNCTION("""COMPUTED_VALUE"""),"Rajasthan")</f>
        <v>Rajasthan</v>
      </c>
      <c r="E80" s="1">
        <f ca="1">IFERROR(__xludf.DUMMYFUNCTION("""COMPUTED_VALUE"""),44.61)</f>
        <v>44.61</v>
      </c>
      <c r="F80" s="1">
        <f ca="1">IFERROR(__xludf.DUMMYFUNCTION("""COMPUTED_VALUE"""),79)</f>
        <v>79</v>
      </c>
    </row>
    <row r="81" spans="1:6">
      <c r="A81" s="1" t="str">
        <f ca="1">IFERROR(__xludf.DUMMYFUNCTION("""COMPUTED_VALUE"""),"IR-O-U-0254")</f>
        <v>IR-O-U-0254</v>
      </c>
      <c r="B81" s="1" t="str">
        <f ca="1">IFERROR(__xludf.DUMMYFUNCTION("""COMPUTED_VALUE"""),"Indian Institute of Science Education &amp; Research Thiruvananthapuram
More DetailsClose | 
[TABLE]")</f>
        <v>Indian Institute of Science Education &amp; Research Thiruvananthapuram
More DetailsClose | 
[TABLE]</v>
      </c>
      <c r="C81" s="1" t="str">
        <f ca="1">IFERROR(__xludf.DUMMYFUNCTION("""COMPUTED_VALUE"""),"Thiruvananthapuram")</f>
        <v>Thiruvananthapuram</v>
      </c>
      <c r="D81" s="1" t="str">
        <f ca="1">IFERROR(__xludf.DUMMYFUNCTION("""COMPUTED_VALUE"""),"Kerala")</f>
        <v>Kerala</v>
      </c>
      <c r="E81" s="1">
        <f ca="1">IFERROR(__xludf.DUMMYFUNCTION("""COMPUTED_VALUE"""),44.53)</f>
        <v>44.53</v>
      </c>
      <c r="F81" s="1">
        <f ca="1">IFERROR(__xludf.DUMMYFUNCTION("""COMPUTED_VALUE"""),80)</f>
        <v>80</v>
      </c>
    </row>
    <row r="82" spans="1:6">
      <c r="A82" s="1" t="str">
        <f ca="1">IFERROR(__xludf.DUMMYFUNCTION("""COMPUTED_VALUE"""),"IR-O-U-0369")</f>
        <v>IR-O-U-0369</v>
      </c>
      <c r="B82" s="1" t="str">
        <f ca="1">IFERROR(__xludf.DUMMYFUNCTION("""COMPUTED_VALUE"""),"Pondicherry University
More DetailsClose | 
[TABLE]")</f>
        <v>Pondicherry University
More DetailsClose | 
[TABLE]</v>
      </c>
      <c r="C82" s="1" t="str">
        <f ca="1">IFERROR(__xludf.DUMMYFUNCTION("""COMPUTED_VALUE"""),"Puducherry")</f>
        <v>Puducherry</v>
      </c>
      <c r="D82" s="1" t="str">
        <f ca="1">IFERROR(__xludf.DUMMYFUNCTION("""COMPUTED_VALUE"""),"Pondicherry")</f>
        <v>Pondicherry</v>
      </c>
      <c r="E82" s="1">
        <f ca="1">IFERROR(__xludf.DUMMYFUNCTION("""COMPUTED_VALUE"""),44.48)</f>
        <v>44.48</v>
      </c>
      <c r="F82" s="1">
        <f ca="1">IFERROR(__xludf.DUMMYFUNCTION("""COMPUTED_VALUE"""),81)</f>
        <v>81</v>
      </c>
    </row>
    <row r="83" spans="1:6">
      <c r="A83" s="1" t="str">
        <f ca="1">IFERROR(__xludf.DUMMYFUNCTION("""COMPUTED_VALUE"""),"IR-O-U-0642")</f>
        <v>IR-O-U-0642</v>
      </c>
      <c r="B83" s="1" t="str">
        <f ca="1">IFERROR(__xludf.DUMMYFUNCTION("""COMPUTED_VALUE"""),"Shiv Nadar University
More DetailsClose | 
[TABLE]")</f>
        <v>Shiv Nadar University
More DetailsClose | 
[TABLE]</v>
      </c>
      <c r="C83" s="1" t="str">
        <f ca="1">IFERROR(__xludf.DUMMYFUNCTION("""COMPUTED_VALUE"""),"Dadri")</f>
        <v>Dadri</v>
      </c>
      <c r="D83" s="1" t="str">
        <f ca="1">IFERROR(__xludf.DUMMYFUNCTION("""COMPUTED_VALUE"""),"Uttar Pradesh")</f>
        <v>Uttar Pradesh</v>
      </c>
      <c r="E83" s="1">
        <f ca="1">IFERROR(__xludf.DUMMYFUNCTION("""COMPUTED_VALUE"""),44.47)</f>
        <v>44.47</v>
      </c>
      <c r="F83" s="1">
        <f ca="1">IFERROR(__xludf.DUMMYFUNCTION("""COMPUTED_VALUE"""),82)</f>
        <v>82</v>
      </c>
    </row>
    <row r="84" spans="1:6">
      <c r="A84" s="1" t="str">
        <f ca="1">IFERROR(__xludf.DUMMYFUNCTION("""COMPUTED_VALUE"""),"IR-O-C-16604")</f>
        <v>IR-O-C-16604</v>
      </c>
      <c r="B84" s="1" t="str">
        <f ca="1">IFERROR(__xludf.DUMMYFUNCTION("""COMPUTED_VALUE"""),"Sri Sivasubramaniya Nadar College of Engineering
More DetailsClose | 
[TABLE]")</f>
        <v>Sri Sivasubramaniya Nadar College of Engineering
More DetailsClose | 
[TABLE]</v>
      </c>
      <c r="C84" s="1" t="str">
        <f ca="1">IFERROR(__xludf.DUMMYFUNCTION("""COMPUTED_VALUE"""),"Kancheepuram")</f>
        <v>Kancheepuram</v>
      </c>
      <c r="D84" s="1" t="str">
        <f ca="1">IFERROR(__xludf.DUMMYFUNCTION("""COMPUTED_VALUE"""),"Tamil Nadu")</f>
        <v>Tamil Nadu</v>
      </c>
      <c r="E84" s="1">
        <f ca="1">IFERROR(__xludf.DUMMYFUNCTION("""COMPUTED_VALUE"""),44.42)</f>
        <v>44.42</v>
      </c>
      <c r="F84" s="1">
        <f ca="1">IFERROR(__xludf.DUMMYFUNCTION("""COMPUTED_VALUE"""),83)</f>
        <v>83</v>
      </c>
    </row>
    <row r="85" spans="1:6">
      <c r="A85" s="1" t="str">
        <f ca="1">IFERROR(__xludf.DUMMYFUNCTION("""COMPUTED_VALUE"""),"IR-O-U-0463")</f>
        <v>IR-O-U-0463</v>
      </c>
      <c r="B85" s="1" t="str">
        <f ca="1">IFERROR(__xludf.DUMMYFUNCTION("""COMPUTED_VALUE"""),"Madurai Kamaraj University
More DetailsClose | 
[TABLE]")</f>
        <v>Madurai Kamaraj University
More DetailsClose | 
[TABLE]</v>
      </c>
      <c r="C85" s="1" t="str">
        <f ca="1">IFERROR(__xludf.DUMMYFUNCTION("""COMPUTED_VALUE"""),"Madurai")</f>
        <v>Madurai</v>
      </c>
      <c r="D85" s="1" t="str">
        <f ca="1">IFERROR(__xludf.DUMMYFUNCTION("""COMPUTED_VALUE"""),"Tamil Nadu")</f>
        <v>Tamil Nadu</v>
      </c>
      <c r="E85" s="1">
        <f ca="1">IFERROR(__xludf.DUMMYFUNCTION("""COMPUTED_VALUE"""),44.27)</f>
        <v>44.27</v>
      </c>
      <c r="F85" s="1">
        <f ca="1">IFERROR(__xludf.DUMMYFUNCTION("""COMPUTED_VALUE"""),84)</f>
        <v>84</v>
      </c>
    </row>
    <row r="86" spans="1:6">
      <c r="A86" s="1" t="str">
        <f ca="1">IFERROR(__xludf.DUMMYFUNCTION("""COMPUTED_VALUE"""),"IR-O-U-0202")</f>
        <v>IR-O-U-0202</v>
      </c>
      <c r="B86" s="1" t="str">
        <f ca="1">IFERROR(__xludf.DUMMYFUNCTION("""COMPUTED_VALUE"""),"Birla Institute of Technology
More DetailsClose | 
[TABLE]")</f>
        <v>Birla Institute of Technology
More DetailsClose | 
[TABLE]</v>
      </c>
      <c r="C86" s="1" t="str">
        <f ca="1">IFERROR(__xludf.DUMMYFUNCTION("""COMPUTED_VALUE"""),"Ranchi")</f>
        <v>Ranchi</v>
      </c>
      <c r="D86" s="1" t="str">
        <f ca="1">IFERROR(__xludf.DUMMYFUNCTION("""COMPUTED_VALUE"""),"Jharkhand")</f>
        <v>Jharkhand</v>
      </c>
      <c r="E86" s="1">
        <f ca="1">IFERROR(__xludf.DUMMYFUNCTION("""COMPUTED_VALUE"""),44.17)</f>
        <v>44.17</v>
      </c>
      <c r="F86" s="1">
        <f ca="1">IFERROR(__xludf.DUMMYFUNCTION("""COMPUTED_VALUE"""),85)</f>
        <v>85</v>
      </c>
    </row>
    <row r="87" spans="1:6">
      <c r="A87" s="1" t="str">
        <f ca="1">IFERROR(__xludf.DUMMYFUNCTION("""COMPUTED_VALUE"""),"IR-O-C-37013")</f>
        <v>IR-O-C-37013</v>
      </c>
      <c r="B87" s="1" t="str">
        <f ca="1">IFERROR(__xludf.DUMMYFUNCTION("""COMPUTED_VALUE"""),"PSG College of Technology
More DetailsClose | 
[TABLE]")</f>
        <v>PSG College of Technology
More DetailsClose | 
[TABLE]</v>
      </c>
      <c r="C87" s="1" t="str">
        <f ca="1">IFERROR(__xludf.DUMMYFUNCTION("""COMPUTED_VALUE"""),"Coimbatore")</f>
        <v>Coimbatore</v>
      </c>
      <c r="D87" s="1" t="str">
        <f ca="1">IFERROR(__xludf.DUMMYFUNCTION("""COMPUTED_VALUE"""),"Tamil Nadu")</f>
        <v>Tamil Nadu</v>
      </c>
      <c r="E87" s="1">
        <f ca="1">IFERROR(__xludf.DUMMYFUNCTION("""COMPUTED_VALUE"""),44.17)</f>
        <v>44.17</v>
      </c>
      <c r="F87" s="1">
        <f ca="1">IFERROR(__xludf.DUMMYFUNCTION("""COMPUTED_VALUE"""),85)</f>
        <v>85</v>
      </c>
    </row>
    <row r="88" spans="1:6">
      <c r="A88" s="1" t="str">
        <f ca="1">IFERROR(__xludf.DUMMYFUNCTION("""COMPUTED_VALUE"""),"IR-O-U-0446")</f>
        <v>IR-O-U-0446</v>
      </c>
      <c r="B88" s="1" t="str">
        <f ca="1">IFERROR(__xludf.DUMMYFUNCTION("""COMPUTED_VALUE"""),"Bharath Institute of Higher Education &amp; Research
More DetailsClose | 
[TABLE]")</f>
        <v>Bharath Institute of Higher Education &amp; Research
More DetailsClose | 
[TABLE]</v>
      </c>
      <c r="C88" s="1" t="str">
        <f ca="1">IFERROR(__xludf.DUMMYFUNCTION("""COMPUTED_VALUE"""),"Chennai")</f>
        <v>Chennai</v>
      </c>
      <c r="D88" s="1" t="str">
        <f ca="1">IFERROR(__xludf.DUMMYFUNCTION("""COMPUTED_VALUE"""),"Tamil Nadu")</f>
        <v>Tamil Nadu</v>
      </c>
      <c r="E88" s="1">
        <f ca="1">IFERROR(__xludf.DUMMYFUNCTION("""COMPUTED_VALUE"""),44.03)</f>
        <v>44.03</v>
      </c>
      <c r="F88" s="1">
        <f ca="1">IFERROR(__xludf.DUMMYFUNCTION("""COMPUTED_VALUE"""),87)</f>
        <v>87</v>
      </c>
    </row>
    <row r="89" spans="1:6">
      <c r="A89" s="1" t="str">
        <f ca="1">IFERROR(__xludf.DUMMYFUNCTION("""COMPUTED_VALUE"""),"IR-O-U-0376")</f>
        <v>IR-O-U-0376</v>
      </c>
      <c r="B89" s="1" t="str">
        <f ca="1">IFERROR(__xludf.DUMMYFUNCTION("""COMPUTED_VALUE"""),"Guru Nanak Dev University
More DetailsClose | 
[TABLE]")</f>
        <v>Guru Nanak Dev University
More DetailsClose | 
[TABLE]</v>
      </c>
      <c r="C89" s="1" t="str">
        <f ca="1">IFERROR(__xludf.DUMMYFUNCTION("""COMPUTED_VALUE"""),"Amritsar")</f>
        <v>Amritsar</v>
      </c>
      <c r="D89" s="1" t="str">
        <f ca="1">IFERROR(__xludf.DUMMYFUNCTION("""COMPUTED_VALUE"""),"Punjab")</f>
        <v>Punjab</v>
      </c>
      <c r="E89" s="1">
        <f ca="1">IFERROR(__xludf.DUMMYFUNCTION("""COMPUTED_VALUE"""),43.81)</f>
        <v>43.81</v>
      </c>
      <c r="F89" s="1">
        <f ca="1">IFERROR(__xludf.DUMMYFUNCTION("""COMPUTED_VALUE"""),88)</f>
        <v>88</v>
      </c>
    </row>
    <row r="90" spans="1:6">
      <c r="A90" s="1" t="str">
        <f ca="1">IFERROR(__xludf.DUMMYFUNCTION("""COMPUTED_VALUE"""),"IR-O-U-0253")</f>
        <v>IR-O-U-0253</v>
      </c>
      <c r="B90" s="1" t="str">
        <f ca="1">IFERROR(__xludf.DUMMYFUNCTION("""COMPUTED_VALUE"""),"Cochin University of Science and Technology
More DetailsClose | 
[TABLE]")</f>
        <v>Cochin University of Science and Technology
More DetailsClose | 
[TABLE]</v>
      </c>
      <c r="C90" s="1" t="str">
        <f ca="1">IFERROR(__xludf.DUMMYFUNCTION("""COMPUTED_VALUE"""),"Cochin")</f>
        <v>Cochin</v>
      </c>
      <c r="D90" s="1" t="str">
        <f ca="1">IFERROR(__xludf.DUMMYFUNCTION("""COMPUTED_VALUE"""),"Kerala")</f>
        <v>Kerala</v>
      </c>
      <c r="E90" s="1">
        <f ca="1">IFERROR(__xludf.DUMMYFUNCTION("""COMPUTED_VALUE"""),43.71)</f>
        <v>43.71</v>
      </c>
      <c r="F90" s="1">
        <f ca="1">IFERROR(__xludf.DUMMYFUNCTION("""COMPUTED_VALUE"""),89)</f>
        <v>89</v>
      </c>
    </row>
    <row r="91" spans="1:6">
      <c r="A91" s="1" t="str">
        <f ca="1">IFERROR(__xludf.DUMMYFUNCTION("""COMPUTED_VALUE"""),"IR-O-U-0195")</f>
        <v>IR-O-U-0195</v>
      </c>
      <c r="B91" s="1" t="str">
        <f ca="1">IFERROR(__xludf.DUMMYFUNCTION("""COMPUTED_VALUE"""),"University of Jammu
More DetailsClose | 
[TABLE]")</f>
        <v>University of Jammu
More DetailsClose | 
[TABLE]</v>
      </c>
      <c r="C91" s="1" t="str">
        <f ca="1">IFERROR(__xludf.DUMMYFUNCTION("""COMPUTED_VALUE"""),"Jammu")</f>
        <v>Jammu</v>
      </c>
      <c r="D91" s="1" t="str">
        <f ca="1">IFERROR(__xludf.DUMMYFUNCTION("""COMPUTED_VALUE"""),"Jammu and Kashmir")</f>
        <v>Jammu and Kashmir</v>
      </c>
      <c r="E91" s="1">
        <f ca="1">IFERROR(__xludf.DUMMYFUNCTION("""COMPUTED_VALUE"""),43.61)</f>
        <v>43.61</v>
      </c>
      <c r="F91" s="1">
        <f ca="1">IFERROR(__xludf.DUMMYFUNCTION("""COMPUTED_VALUE"""),90)</f>
        <v>90</v>
      </c>
    </row>
    <row r="92" spans="1:6">
      <c r="A92" s="1" t="str">
        <f ca="1">IFERROR(__xludf.DUMMYFUNCTION("""COMPUTED_VALUE"""),"IR-O-N-17")</f>
        <v>IR-O-N-17</v>
      </c>
      <c r="B92" s="1" t="str">
        <f ca="1">IFERROR(__xludf.DUMMYFUNCTION("""COMPUTED_VALUE"""),"Sawai Man Singh Medical College
More DetailsClose | 
[TABLE]")</f>
        <v>Sawai Man Singh Medical College
More DetailsClose | 
[TABLE]</v>
      </c>
      <c r="C92" s="1" t="str">
        <f ca="1">IFERROR(__xludf.DUMMYFUNCTION("""COMPUTED_VALUE"""),"Jaipur")</f>
        <v>Jaipur</v>
      </c>
      <c r="D92" s="1" t="str">
        <f ca="1">IFERROR(__xludf.DUMMYFUNCTION("""COMPUTED_VALUE"""),"Rajasthan")</f>
        <v>Rajasthan</v>
      </c>
      <c r="E92" s="1">
        <f ca="1">IFERROR(__xludf.DUMMYFUNCTION("""COMPUTED_VALUE"""),43.5)</f>
        <v>43.5</v>
      </c>
      <c r="F92" s="1">
        <f ca="1">IFERROR(__xludf.DUMMYFUNCTION("""COMPUTED_VALUE"""),91)</f>
        <v>91</v>
      </c>
    </row>
    <row r="93" spans="1:6">
      <c r="A93" s="1" t="str">
        <f ca="1">IFERROR(__xludf.DUMMYFUNCTION("""COMPUTED_VALUE"""),"IR-O-N-10")</f>
        <v>IR-O-N-10</v>
      </c>
      <c r="B93" s="1" t="str">
        <f ca="1">IFERROR(__xludf.DUMMYFUNCTION("""COMPUTED_VALUE"""),"SVKM`s Narsee Monjee Institute of Management Studies 
More DetailsClose | 
[TABLE]")</f>
        <v>SVKM`s Narsee Monjee Institute of Management Studies 
More DetailsClose | 
[TABLE]</v>
      </c>
      <c r="C93" s="1" t="str">
        <f ca="1">IFERROR(__xludf.DUMMYFUNCTION("""COMPUTED_VALUE"""),"Mumbai")</f>
        <v>Mumbai</v>
      </c>
      <c r="D93" s="1" t="str">
        <f ca="1">IFERROR(__xludf.DUMMYFUNCTION("""COMPUTED_VALUE"""),"Maharashtra")</f>
        <v>Maharashtra</v>
      </c>
      <c r="E93" s="1">
        <f ca="1">IFERROR(__xludf.DUMMYFUNCTION("""COMPUTED_VALUE"""),43.07)</f>
        <v>43.07</v>
      </c>
      <c r="F93" s="1">
        <f ca="1">IFERROR(__xludf.DUMMYFUNCTION("""COMPUTED_VALUE"""),92)</f>
        <v>92</v>
      </c>
    </row>
    <row r="94" spans="1:6">
      <c r="A94" s="1" t="str">
        <f ca="1">IFERROR(__xludf.DUMMYFUNCTION("""COMPUTED_VALUE"""),"IR-O-U-0530")</f>
        <v>IR-O-U-0530</v>
      </c>
      <c r="B94" s="1" t="str">
        <f ca="1">IFERROR(__xludf.DUMMYFUNCTION("""COMPUTED_VALUE"""),"Motilal Nehru National Institute of Technology
More DetailsClose | 
[TABLE]")</f>
        <v>Motilal Nehru National Institute of Technology
More DetailsClose | 
[TABLE]</v>
      </c>
      <c r="C94" s="1" t="str">
        <f ca="1">IFERROR(__xludf.DUMMYFUNCTION("""COMPUTED_VALUE"""),"Allahabad")</f>
        <v>Allahabad</v>
      </c>
      <c r="D94" s="1" t="str">
        <f ca="1">IFERROR(__xludf.DUMMYFUNCTION("""COMPUTED_VALUE"""),"Uttar Pradesh")</f>
        <v>Uttar Pradesh</v>
      </c>
      <c r="E94" s="1">
        <f ca="1">IFERROR(__xludf.DUMMYFUNCTION("""COMPUTED_VALUE"""),42.87)</f>
        <v>42.87</v>
      </c>
      <c r="F94" s="1">
        <f ca="1">IFERROR(__xludf.DUMMYFUNCTION("""COMPUTED_VALUE"""),93)</f>
        <v>93</v>
      </c>
    </row>
    <row r="95" spans="1:6">
      <c r="A95" s="1" t="str">
        <f ca="1">IFERROR(__xludf.DUMMYFUNCTION("""COMPUTED_VALUE"""),"IR-O-U-0055")</f>
        <v>IR-O-U-0055</v>
      </c>
      <c r="B95" s="1" t="str">
        <f ca="1">IFERROR(__xludf.DUMMYFUNCTION("""COMPUTED_VALUE"""),"National Institute of Technology Silchar
More DetailsClose | 
[TABLE]")</f>
        <v>National Institute of Technology Silchar
More DetailsClose | 
[TABLE]</v>
      </c>
      <c r="C95" s="1" t="str">
        <f ca="1">IFERROR(__xludf.DUMMYFUNCTION("""COMPUTED_VALUE"""),"Silchar")</f>
        <v>Silchar</v>
      </c>
      <c r="D95" s="1" t="str">
        <f ca="1">IFERROR(__xludf.DUMMYFUNCTION("""COMPUTED_VALUE"""),"Assam")</f>
        <v>Assam</v>
      </c>
      <c r="E95" s="1">
        <f ca="1">IFERROR(__xludf.DUMMYFUNCTION("""COMPUTED_VALUE"""),42.76)</f>
        <v>42.76</v>
      </c>
      <c r="F95" s="1">
        <f ca="1">IFERROR(__xludf.DUMMYFUNCTION("""COMPUTED_VALUE"""),94)</f>
        <v>94</v>
      </c>
    </row>
    <row r="96" spans="1:6">
      <c r="A96" s="1" t="str">
        <f ca="1">IFERROR(__xludf.DUMMYFUNCTION("""COMPUTED_VALUE"""),"IR-O-U-0318")</f>
        <v>IR-O-U-0318</v>
      </c>
      <c r="B96" s="1" t="str">
        <f ca="1">IFERROR(__xludf.DUMMYFUNCTION("""COMPUTED_VALUE"""),"Mumbai University
More DetailsClose | 
[TABLE]")</f>
        <v>Mumbai University
More DetailsClose | 
[TABLE]</v>
      </c>
      <c r="C96" s="1" t="str">
        <f ca="1">IFERROR(__xludf.DUMMYFUNCTION("""COMPUTED_VALUE"""),"Mumbai")</f>
        <v>Mumbai</v>
      </c>
      <c r="D96" s="1" t="str">
        <f ca="1">IFERROR(__xludf.DUMMYFUNCTION("""COMPUTED_VALUE"""),"Maharashtra")</f>
        <v>Maharashtra</v>
      </c>
      <c r="E96" s="1">
        <f ca="1">IFERROR(__xludf.DUMMYFUNCTION("""COMPUTED_VALUE"""),42.45)</f>
        <v>42.45</v>
      </c>
      <c r="F96" s="1">
        <f ca="1">IFERROR(__xludf.DUMMYFUNCTION("""COMPUTED_VALUE"""),95)</f>
        <v>95</v>
      </c>
    </row>
    <row r="97" spans="1:6">
      <c r="A97" s="1" t="str">
        <f ca="1">IFERROR(__xludf.DUMMYFUNCTION("""COMPUTED_VALUE"""),"IR-O-U-0577")</f>
        <v>IR-O-U-0577</v>
      </c>
      <c r="B97" s="1" t="str">
        <f ca="1">IFERROR(__xludf.DUMMYFUNCTION("""COMPUTED_VALUE"""),"National Institute of Technology Durgapur
More DetailsClose | 
[TABLE]")</f>
        <v>National Institute of Technology Durgapur
More DetailsClose | 
[TABLE]</v>
      </c>
      <c r="C97" s="1" t="str">
        <f ca="1">IFERROR(__xludf.DUMMYFUNCTION("""COMPUTED_VALUE"""),"Durgapur")</f>
        <v>Durgapur</v>
      </c>
      <c r="D97" s="1" t="str">
        <f ca="1">IFERROR(__xludf.DUMMYFUNCTION("""COMPUTED_VALUE"""),"West Bengal")</f>
        <v>West Bengal</v>
      </c>
      <c r="E97" s="1">
        <f ca="1">IFERROR(__xludf.DUMMYFUNCTION("""COMPUTED_VALUE"""),42.26)</f>
        <v>42.26</v>
      </c>
      <c r="F97" s="1">
        <f ca="1">IFERROR(__xludf.DUMMYFUNCTION("""COMPUTED_VALUE"""),96)</f>
        <v>96</v>
      </c>
    </row>
    <row r="98" spans="1:6">
      <c r="A98" s="1" t="str">
        <f ca="1">IFERROR(__xludf.DUMMYFUNCTION("""COMPUTED_VALUE"""),"IR-O-U-0295")</f>
        <v>IR-O-U-0295</v>
      </c>
      <c r="B98" s="1" t="str">
        <f ca="1">IFERROR(__xludf.DUMMYFUNCTION("""COMPUTED_VALUE"""),"Datta Meghe Institute of Medical Sciences
More DetailsClose | 
[TABLE]")</f>
        <v>Datta Meghe Institute of Medical Sciences
More DetailsClose | 
[TABLE]</v>
      </c>
      <c r="C98" s="1" t="str">
        <f ca="1">IFERROR(__xludf.DUMMYFUNCTION("""COMPUTED_VALUE"""),"Wardha")</f>
        <v>Wardha</v>
      </c>
      <c r="D98" s="1" t="str">
        <f ca="1">IFERROR(__xludf.DUMMYFUNCTION("""COMPUTED_VALUE"""),"Maharashtra")</f>
        <v>Maharashtra</v>
      </c>
      <c r="E98" s="1">
        <f ca="1">IFERROR(__xludf.DUMMYFUNCTION("""COMPUTED_VALUE"""),42.24)</f>
        <v>42.24</v>
      </c>
      <c r="F98" s="1">
        <f ca="1">IFERROR(__xludf.DUMMYFUNCTION("""COMPUTED_VALUE"""),97)</f>
        <v>97</v>
      </c>
    </row>
    <row r="99" spans="1:6">
      <c r="A99" s="1" t="str">
        <f ca="1">IFERROR(__xludf.DUMMYFUNCTION("""COMPUTED_VALUE"""),"IR-O-I-1361")</f>
        <v>IR-O-I-1361</v>
      </c>
      <c r="B99" s="1" t="str">
        <f ca="1">IFERROR(__xludf.DUMMYFUNCTION("""COMPUTED_VALUE"""),"Bharati Vidyapeeth
More DetailsClose | 
[TABLE]")</f>
        <v>Bharati Vidyapeeth
More DetailsClose | 
[TABLE]</v>
      </c>
      <c r="C99" s="1" t="str">
        <f ca="1">IFERROR(__xludf.DUMMYFUNCTION("""COMPUTED_VALUE"""),"Pune")</f>
        <v>Pune</v>
      </c>
      <c r="D99" s="1" t="str">
        <f ca="1">IFERROR(__xludf.DUMMYFUNCTION("""COMPUTED_VALUE"""),"Maharashtra")</f>
        <v>Maharashtra</v>
      </c>
      <c r="E99" s="1">
        <f ca="1">IFERROR(__xludf.DUMMYFUNCTION("""COMPUTED_VALUE"""),42.23)</f>
        <v>42.23</v>
      </c>
      <c r="F99" s="1">
        <f ca="1">IFERROR(__xludf.DUMMYFUNCTION("""COMPUTED_VALUE"""),98)</f>
        <v>98</v>
      </c>
    </row>
    <row r="100" spans="1:6">
      <c r="A100" s="1" t="str">
        <f ca="1">IFERROR(__xludf.DUMMYFUNCTION("""COMPUTED_VALUE"""),"IR-O-U-0379")</f>
        <v>IR-O-U-0379</v>
      </c>
      <c r="B100" s="1" t="str">
        <f ca="1">IFERROR(__xludf.DUMMYFUNCTION("""COMPUTED_VALUE"""),"Lovely Professional University
More DetailsClose | 
[TABLE]")</f>
        <v>Lovely Professional University
More DetailsClose | 
[TABLE]</v>
      </c>
      <c r="C100" s="1" t="str">
        <f ca="1">IFERROR(__xludf.DUMMYFUNCTION("""COMPUTED_VALUE"""),"Phagwara")</f>
        <v>Phagwara</v>
      </c>
      <c r="D100" s="1" t="str">
        <f ca="1">IFERROR(__xludf.DUMMYFUNCTION("""COMPUTED_VALUE"""),"Punjab")</f>
        <v>Punjab</v>
      </c>
      <c r="E100" s="1">
        <f ca="1">IFERROR(__xludf.DUMMYFUNCTION("""COMPUTED_VALUE"""),41.81)</f>
        <v>41.81</v>
      </c>
      <c r="F100" s="1">
        <f ca="1">IFERROR(__xludf.DUMMYFUNCTION("""COMPUTED_VALUE"""),99)</f>
        <v>99</v>
      </c>
    </row>
    <row r="101" spans="1:6">
      <c r="A101" s="1" t="str">
        <f ca="1">IFERROR(__xludf.DUMMYFUNCTION("""COMPUTED_VALUE"""),"IR-O-U-0345")</f>
        <v>IR-O-U-0345</v>
      </c>
      <c r="B101" s="1" t="str">
        <f ca="1">IFERROR(__xludf.DUMMYFUNCTION("""COMPUTED_VALUE"""),"Mizoram University
More DetailsClose | 
[TABLE]")</f>
        <v>Mizoram University
More DetailsClose | 
[TABLE]</v>
      </c>
      <c r="C101" s="1" t="str">
        <f ca="1">IFERROR(__xludf.DUMMYFUNCTION("""COMPUTED_VALUE"""),"Aizawl")</f>
        <v>Aizawl</v>
      </c>
      <c r="D101" s="1" t="str">
        <f ca="1">IFERROR(__xludf.DUMMYFUNCTION("""COMPUTED_VALUE"""),"Mizoram")</f>
        <v>Mizoram</v>
      </c>
      <c r="E101" s="1">
        <f ca="1">IFERROR(__xludf.DUMMYFUNCTION("""COMPUTED_VALUE"""),41.8)</f>
        <v>41.8</v>
      </c>
      <c r="F101" s="1">
        <f ca="1">IFERROR(__xludf.DUMMYFUNCTION("""COMPUTED_VALUE"""),100)</f>
        <v>100</v>
      </c>
    </row>
    <row r="102" spans="1:6">
      <c r="A102" s="1" t="str">
        <f ca="1">IFERROR(__xludf.DUMMYFUNCTION("""COMPUTED_VALUE"""),"IR-O-U-0215")</f>
        <v>IR-O-U-0215</v>
      </c>
      <c r="B102" s="1" t="str">
        <f ca="1">IFERROR(__xludf.DUMMYFUNCTION("""COMPUTED_VALUE"""),"Bangalore University 
More DetailsClose | 
[TABLE]")</f>
        <v>Bangalore University 
More DetailsClose | 
[TABLE]</v>
      </c>
      <c r="C102" s="1" t="str">
        <f ca="1">IFERROR(__xludf.DUMMYFUNCTION("""COMPUTED_VALUE"""),"Bengaluru")</f>
        <v>Bengaluru</v>
      </c>
      <c r="D102" s="1" t="str">
        <f ca="1">IFERROR(__xludf.DUMMYFUNCTION("""COMPUTED_VALUE"""),"Karnataka")</f>
        <v>Karnataka</v>
      </c>
      <c r="E102" s="1">
        <f ca="1">IFERROR(__xludf.DUMMYFUNCTION("""COMPUTED_VALUE"""),41.8)</f>
        <v>41.8</v>
      </c>
      <c r="F102" s="1">
        <f ca="1">IFERROR(__xludf.DUMMYFUNCTION("""COMPUTED_VALUE"""),100)</f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31"/>
  <sheetViews>
    <sheetView workbookViewId="0"/>
  </sheetViews>
  <sheetFormatPr defaultColWidth="14.42578125" defaultRowHeight="15.75" customHeight="1"/>
  <sheetData>
    <row r="1" spans="1:6">
      <c r="A1" s="1" t="str">
        <f ca="1">IFERROR(__xludf.DUMMYFUNCTION("IMPORTHTML(""https://www.nirfindia.org/2020/DentalRanking.html"",""table"",1)"),"Institute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IFERROR(__xludf.DUMMYFUNCTION("""COMPUTED_VALUE"""),"IR-N-C-28507")</f>
        <v>IR-N-C-28507</v>
      </c>
      <c r="B2" s="1" t="str">
        <f ca="1">IFERROR(__xludf.DUMMYFUNCTION("""COMPUTED_VALUE"""),"Maulana Azad Institute of Dental Sciences
More DetailsClose | 
[TABLE]")</f>
        <v>Maulana Azad Institute of Dental Sciences
More DetailsClose | 
[TABLE]</v>
      </c>
      <c r="C2" s="1" t="str">
        <f ca="1">IFERROR(__xludf.DUMMYFUNCTION("""COMPUTED_VALUE"""),"Delhi")</f>
        <v>Delhi</v>
      </c>
      <c r="D2" s="1" t="str">
        <f ca="1">IFERROR(__xludf.DUMMYFUNCTION("""COMPUTED_VALUE"""),"Delhi")</f>
        <v>Delhi</v>
      </c>
      <c r="E2" s="1">
        <f ca="1">IFERROR(__xludf.DUMMYFUNCTION("""COMPUTED_VALUE"""),82.51)</f>
        <v>82.51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IFERROR(__xludf.DUMMYFUNCTION("""COMPUTED_VALUE"""),"IR-N-C-7254")</f>
        <v>IR-N-C-7254</v>
      </c>
      <c r="B3" s="1" t="str">
        <f ca="1">IFERROR(__xludf.DUMMYFUNCTION("""COMPUTED_VALUE"""),"Manipal College of Dental Sciences
More DetailsClose | 
[TABLE]")</f>
        <v>Manipal College of Dental Sciences
More DetailsClose | 
[TABLE]</v>
      </c>
      <c r="C3" s="1" t="str">
        <f ca="1">IFERROR(__xludf.DUMMYFUNCTION("""COMPUTED_VALUE"""),"Udupi")</f>
        <v>Udupi</v>
      </c>
      <c r="D3" s="1" t="str">
        <f ca="1">IFERROR(__xludf.DUMMYFUNCTION("""COMPUTED_VALUE"""),"Karnataka")</f>
        <v>Karnataka</v>
      </c>
      <c r="E3" s="1">
        <f ca="1">IFERROR(__xludf.DUMMYFUNCTION("""COMPUTED_VALUE"""),78.17)</f>
        <v>78.17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IFERROR(__xludf.DUMMYFUNCTION("""COMPUTED_VALUE"""),"IR-N-I-1110")</f>
        <v>IR-N-I-1110</v>
      </c>
      <c r="B4" s="1" t="str">
        <f ca="1">IFERROR(__xludf.DUMMYFUNCTION("""COMPUTED_VALUE"""),"Dr. D. Y. Patil Vidyapeeth
More DetailsClose | 
[TABLE]")</f>
        <v>Dr. D. Y. Patil Vidyapeeth
More DetailsClose | 
[TABLE]</v>
      </c>
      <c r="C4" s="1" t="str">
        <f ca="1">IFERROR(__xludf.DUMMYFUNCTION("""COMPUTED_VALUE"""),"Pune")</f>
        <v>Pune</v>
      </c>
      <c r="D4" s="1" t="str">
        <f ca="1">IFERROR(__xludf.DUMMYFUNCTION("""COMPUTED_VALUE"""),"Maharashtra")</f>
        <v>Maharashtra</v>
      </c>
      <c r="E4" s="1">
        <f ca="1">IFERROR(__xludf.DUMMYFUNCTION("""COMPUTED_VALUE"""),76.37)</f>
        <v>76.37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IFERROR(__xludf.DUMMYFUNCTION("""COMPUTED_VALUE"""),"IR-N-I-1441")</f>
        <v>IR-N-I-1441</v>
      </c>
      <c r="B5" s="1" t="str">
        <f ca="1">IFERROR(__xludf.DUMMYFUNCTION("""COMPUTED_VALUE"""),"Saveetha Institute of Medical and Technical Sciences
More DetailsClose | 
[TABLE]")</f>
        <v>Saveetha Institute of Medical and Technical Sciences
More DetailsClose | 
[TABLE]</v>
      </c>
      <c r="C5" s="1" t="str">
        <f ca="1">IFERROR(__xludf.DUMMYFUNCTION("""COMPUTED_VALUE"""),"Chennai")</f>
        <v>Chennai</v>
      </c>
      <c r="D5" s="1" t="str">
        <f ca="1">IFERROR(__xludf.DUMMYFUNCTION("""COMPUTED_VALUE"""),"Tamil Nadu")</f>
        <v>Tamil Nadu</v>
      </c>
      <c r="E5" s="1">
        <f ca="1">IFERROR(__xludf.DUMMYFUNCTION("""COMPUTED_VALUE"""),72.34)</f>
        <v>72.34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IFERROR(__xludf.DUMMYFUNCTION("""COMPUTED_VALUE"""),"IR-N-C-19320")</f>
        <v>IR-N-C-19320</v>
      </c>
      <c r="B6" s="1" t="str">
        <f ca="1">IFERROR(__xludf.DUMMYFUNCTION("""COMPUTED_VALUE"""),"A. B. S. M. Institute of Dental Sciences
More DetailsClose | 
[TABLE]")</f>
        <v>A. B. S. M. Institute of Dental Sciences
More DetailsClose | 
[TABLE]</v>
      </c>
      <c r="C6" s="1" t="str">
        <f ca="1">IFERROR(__xludf.DUMMYFUNCTION("""COMPUTED_VALUE"""),"Mangaluru")</f>
        <v>Mangaluru</v>
      </c>
      <c r="D6" s="1" t="str">
        <f ca="1">IFERROR(__xludf.DUMMYFUNCTION("""COMPUTED_VALUE"""),"Karnataka")</f>
        <v>Karnataka</v>
      </c>
      <c r="E6" s="1">
        <f ca="1">IFERROR(__xludf.DUMMYFUNCTION("""COMPUTED_VALUE"""),70.87)</f>
        <v>70.87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IFERROR(__xludf.DUMMYFUNCTION("""COMPUTED_VALUE"""),"IR-N-C-7240")</f>
        <v>IR-N-C-7240</v>
      </c>
      <c r="B7" s="1" t="str">
        <f ca="1">IFERROR(__xludf.DUMMYFUNCTION("""COMPUTED_VALUE"""),"Manipal College of Dental Sciences
More DetailsClose | 
[TABLE]")</f>
        <v>Manipal College of Dental Sciences
More DetailsClose | 
[TABLE]</v>
      </c>
      <c r="C7" s="1" t="str">
        <f ca="1">IFERROR(__xludf.DUMMYFUNCTION("""COMPUTED_VALUE"""),"Mangalore")</f>
        <v>Mangalore</v>
      </c>
      <c r="D7" s="1" t="str">
        <f ca="1">IFERROR(__xludf.DUMMYFUNCTION("""COMPUTED_VALUE"""),"Karnataka")</f>
        <v>Karnataka</v>
      </c>
      <c r="E7" s="1">
        <f ca="1">IFERROR(__xludf.DUMMYFUNCTION("""COMPUTED_VALUE"""),68.75)</f>
        <v>68.75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IFERROR(__xludf.DUMMYFUNCTION("""COMPUTED_VALUE"""),"IR-N-I-1486")</f>
        <v>IR-N-I-1486</v>
      </c>
      <c r="B8" s="1" t="str">
        <f ca="1">IFERROR(__xludf.DUMMYFUNCTION("""COMPUTED_VALUE"""),"Sri Ramachandra Institute of Higher Education And Research
More DetailsClose | 
[TABLE]")</f>
        <v>Sri Ramachandra Institute of Higher Education And Research
More DetailsClose | 
[TABLE]</v>
      </c>
      <c r="C8" s="1" t="str">
        <f ca="1">IFERROR(__xludf.DUMMYFUNCTION("""COMPUTED_VALUE"""),"Chennai")</f>
        <v>Chennai</v>
      </c>
      <c r="D8" s="1" t="str">
        <f ca="1">IFERROR(__xludf.DUMMYFUNCTION("""COMPUTED_VALUE"""),"Tamil Nadu")</f>
        <v>Tamil Nadu</v>
      </c>
      <c r="E8" s="1">
        <f ca="1">IFERROR(__xludf.DUMMYFUNCTION("""COMPUTED_VALUE"""),66.27)</f>
        <v>66.27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IFERROR(__xludf.DUMMYFUNCTION("""COMPUTED_VALUE"""),"IR-N-N-153")</f>
        <v>IR-N-N-153</v>
      </c>
      <c r="B9" s="1" t="str">
        <f ca="1">IFERROR(__xludf.DUMMYFUNCTION("""COMPUTED_VALUE"""),"Nair Hospital Dental College
More DetailsClose | 
[TABLE]")</f>
        <v>Nair Hospital Dental College
More DetailsClose | 
[TABLE]</v>
      </c>
      <c r="C9" s="1" t="str">
        <f ca="1">IFERROR(__xludf.DUMMYFUNCTION("""COMPUTED_VALUE"""),"Mumbai")</f>
        <v>Mumbai</v>
      </c>
      <c r="D9" s="1" t="str">
        <f ca="1">IFERROR(__xludf.DUMMYFUNCTION("""COMPUTED_VALUE"""),"Maharashtra")</f>
        <v>Maharashtra</v>
      </c>
      <c r="E9" s="1">
        <f ca="1">IFERROR(__xludf.DUMMYFUNCTION("""COMPUTED_VALUE"""),64.54)</f>
        <v>64.540000000000006</v>
      </c>
      <c r="F9" s="1">
        <f ca="1">IFERROR(__xludf.DUMMYFUNCTION("""COMPUTED_VALUE"""),8)</f>
        <v>8</v>
      </c>
    </row>
    <row r="10" spans="1:6">
      <c r="A10" s="1" t="str">
        <f ca="1">IFERROR(__xludf.DUMMYFUNCTION("""COMPUTED_VALUE"""),"IR-N-N-352")</f>
        <v>IR-N-N-352</v>
      </c>
      <c r="B10" s="1" t="str">
        <f ca="1">IFERROR(__xludf.DUMMYFUNCTION("""COMPUTED_VALUE"""),"SRM Dental College
More DetailsClose | 
[TABLE]")</f>
        <v>SRM Dental College
More DetailsClose | 
[TABLE]</v>
      </c>
      <c r="C10" s="1" t="str">
        <f ca="1">IFERROR(__xludf.DUMMYFUNCTION("""COMPUTED_VALUE"""),"Chennai")</f>
        <v>Chennai</v>
      </c>
      <c r="D10" s="1" t="str">
        <f ca="1">IFERROR(__xludf.DUMMYFUNCTION("""COMPUTED_VALUE"""),"Tamil Nadu")</f>
        <v>Tamil Nadu</v>
      </c>
      <c r="E10" s="1">
        <f ca="1">IFERROR(__xludf.DUMMYFUNCTION("""COMPUTED_VALUE"""),64.47)</f>
        <v>64.47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IFERROR(__xludf.DUMMYFUNCTION("""COMPUTED_VALUE"""),"IR-N-C-35008")</f>
        <v>IR-N-C-35008</v>
      </c>
      <c r="B11" s="1" t="str">
        <f ca="1">IFERROR(__xludf.DUMMYFUNCTION("""COMPUTED_VALUE"""),"JSS Dental College and Hospital
More DetailsClose | 
[TABLE]")</f>
        <v>JSS Dental College and Hospital
More DetailsClose | 
[TABLE]</v>
      </c>
      <c r="C11" s="1" t="str">
        <f ca="1">IFERROR(__xludf.DUMMYFUNCTION("""COMPUTED_VALUE"""),"Mysuru")</f>
        <v>Mysuru</v>
      </c>
      <c r="D11" s="1" t="str">
        <f ca="1">IFERROR(__xludf.DUMMYFUNCTION("""COMPUTED_VALUE"""),"Karnataka")</f>
        <v>Karnataka</v>
      </c>
      <c r="E11" s="1">
        <f ca="1">IFERROR(__xludf.DUMMYFUNCTION("""COMPUTED_VALUE"""),64.07)</f>
        <v>64.069999999999993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IFERROR(__xludf.DUMMYFUNCTION("""COMPUTED_VALUE"""),"IR-N-U-0724")</f>
        <v>IR-N-U-0724</v>
      </c>
      <c r="B12" s="1" t="str">
        <f ca="1">IFERROR(__xludf.DUMMYFUNCTION("""COMPUTED_VALUE"""),"M. S. Ramaiah University of Applied Sciences
More DetailsClose | 
[TABLE]")</f>
        <v>M. S. Ramaiah University of Applied Sciences
More DetailsClose | 
[TABLE]</v>
      </c>
      <c r="C12" s="1" t="str">
        <f ca="1">IFERROR(__xludf.DUMMYFUNCTION("""COMPUTED_VALUE"""),"Bangalore")</f>
        <v>Bangalore</v>
      </c>
      <c r="D12" s="1" t="str">
        <f ca="1">IFERROR(__xludf.DUMMYFUNCTION("""COMPUTED_VALUE"""),"Karnataka")</f>
        <v>Karnataka</v>
      </c>
      <c r="E12" s="1">
        <f ca="1">IFERROR(__xludf.DUMMYFUNCTION("""COMPUTED_VALUE"""),62.82)</f>
        <v>62.82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IFERROR(__xludf.DUMMYFUNCTION("""COMPUTED_VALUE"""),"IR-N-U-0363")</f>
        <v>IR-N-U-0363</v>
      </c>
      <c r="B13" s="1" t="str">
        <f ca="1">IFERROR(__xludf.DUMMYFUNCTION("""COMPUTED_VALUE"""),"Siksha `O` Anusandhan
More DetailsClose | 
[TABLE]")</f>
        <v>Siksha `O` Anusandhan
More DetailsClose | 
[TABLE]</v>
      </c>
      <c r="C13" s="1" t="str">
        <f ca="1">IFERROR(__xludf.DUMMYFUNCTION("""COMPUTED_VALUE"""),"Bhubaneswar")</f>
        <v>Bhubaneswar</v>
      </c>
      <c r="D13" s="1" t="str">
        <f ca="1">IFERROR(__xludf.DUMMYFUNCTION("""COMPUTED_VALUE"""),"Odisha")</f>
        <v>Odisha</v>
      </c>
      <c r="E13" s="1">
        <f ca="1">IFERROR(__xludf.DUMMYFUNCTION("""COMPUTED_VALUE"""),62.76)</f>
        <v>62.76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IFERROR(__xludf.DUMMYFUNCTION("""COMPUTED_VALUE"""),"IR-N-U-0436")</f>
        <v>IR-N-U-0436</v>
      </c>
      <c r="B14" s="1" t="str">
        <f ca="1">IFERROR(__xludf.DUMMYFUNCTION("""COMPUTED_VALUE"""),"Amrita Vishwa Vidyapeetham
More DetailsClose | 
[TABLE]")</f>
        <v>Amrita Vishwa Vidyapeetham
More DetailsClose | 
[TABLE]</v>
      </c>
      <c r="C14" s="1" t="str">
        <f ca="1">IFERROR(__xludf.DUMMYFUNCTION("""COMPUTED_VALUE"""),"Coimbatore")</f>
        <v>Coimbatore</v>
      </c>
      <c r="D14" s="1" t="str">
        <f ca="1">IFERROR(__xludf.DUMMYFUNCTION("""COMPUTED_VALUE"""),"Tamil Nadu")</f>
        <v>Tamil Nadu</v>
      </c>
      <c r="E14" s="1">
        <f ca="1">IFERROR(__xludf.DUMMYFUNCTION("""COMPUTED_VALUE"""),61.46)</f>
        <v>61.46</v>
      </c>
      <c r="F14" s="1">
        <f ca="1">IFERROR(__xludf.DUMMYFUNCTION("""COMPUTED_VALUE"""),13)</f>
        <v>13</v>
      </c>
    </row>
    <row r="15" spans="1:6">
      <c r="A15" s="1" t="str">
        <f ca="1">IFERROR(__xludf.DUMMYFUNCTION("""COMPUTED_VALUE"""),"IR-N-U-0295")</f>
        <v>IR-N-U-0295</v>
      </c>
      <c r="B15" s="1" t="str">
        <f ca="1">IFERROR(__xludf.DUMMYFUNCTION("""COMPUTED_VALUE"""),"Datta Meghe Institute of Medical Sciences
More DetailsClose | 
[TABLE]")</f>
        <v>Datta Meghe Institute of Medical Sciences
More DetailsClose | 
[TABLE]</v>
      </c>
      <c r="C15" s="1" t="str">
        <f ca="1">IFERROR(__xludf.DUMMYFUNCTION("""COMPUTED_VALUE"""),"Wardha")</f>
        <v>Wardha</v>
      </c>
      <c r="D15" s="1" t="str">
        <f ca="1">IFERROR(__xludf.DUMMYFUNCTION("""COMPUTED_VALUE"""),"Maharashtra")</f>
        <v>Maharashtra</v>
      </c>
      <c r="E15" s="1">
        <f ca="1">IFERROR(__xludf.DUMMYFUNCTION("""COMPUTED_VALUE"""),60.99)</f>
        <v>60.99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IFERROR(__xludf.DUMMYFUNCTION("""COMPUTED_VALUE"""),"IR-N-C-30756")</f>
        <v>IR-N-C-30756</v>
      </c>
      <c r="B16" s="1" t="str">
        <f ca="1">IFERROR(__xludf.DUMMYFUNCTION("""COMPUTED_VALUE"""),"Postgraduate Institute of Dental Sciences
More DetailsClose | 
[TABLE]")</f>
        <v>Postgraduate Institute of Dental Sciences
More DetailsClose | 
[TABLE]</v>
      </c>
      <c r="C16" s="1" t="str">
        <f ca="1">IFERROR(__xludf.DUMMYFUNCTION("""COMPUTED_VALUE"""),"Rohtak")</f>
        <v>Rohtak</v>
      </c>
      <c r="D16" s="1" t="str">
        <f ca="1">IFERROR(__xludf.DUMMYFUNCTION("""COMPUTED_VALUE"""),"Haryana")</f>
        <v>Haryana</v>
      </c>
      <c r="E16" s="1">
        <f ca="1">IFERROR(__xludf.DUMMYFUNCTION("""COMPUTED_VALUE"""),60.68)</f>
        <v>60.68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IFERROR(__xludf.DUMMYFUNCTION("""COMPUTED_VALUE"""),"IR-N-C-40193")</f>
        <v>IR-N-C-40193</v>
      </c>
      <c r="B17" s="1" t="str">
        <f ca="1">IFERROR(__xludf.DUMMYFUNCTION("""COMPUTED_VALUE"""),"Bapuji Dental College &amp; Hospital
More DetailsClose | 
[TABLE]")</f>
        <v>Bapuji Dental College &amp; Hospital
More DetailsClose | 
[TABLE]</v>
      </c>
      <c r="C17" s="1" t="str">
        <f ca="1">IFERROR(__xludf.DUMMYFUNCTION("""COMPUTED_VALUE"""),"Davangere")</f>
        <v>Davangere</v>
      </c>
      <c r="D17" s="1" t="str">
        <f ca="1">IFERROR(__xludf.DUMMYFUNCTION("""COMPUTED_VALUE"""),"Karnataka")</f>
        <v>Karnataka</v>
      </c>
      <c r="E17" s="1">
        <f ca="1">IFERROR(__xludf.DUMMYFUNCTION("""COMPUTED_VALUE"""),60.24)</f>
        <v>60.24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IFERROR(__xludf.DUMMYFUNCTION("""COMPUTED_VALUE"""),"IR-N-U-0356")</f>
        <v>IR-N-U-0356</v>
      </c>
      <c r="B18" s="1" t="str">
        <f ca="1">IFERROR(__xludf.DUMMYFUNCTION("""COMPUTED_VALUE"""),"Kalinga Institute of Industrial Technology
More DetailsClose | 
[TABLE]")</f>
        <v>Kalinga Institute of Industrial Technology
More DetailsClose | 
[TABLE]</v>
      </c>
      <c r="C18" s="1" t="str">
        <f ca="1">IFERROR(__xludf.DUMMYFUNCTION("""COMPUTED_VALUE"""),"Bhubaneswar")</f>
        <v>Bhubaneswar</v>
      </c>
      <c r="D18" s="1" t="str">
        <f ca="1">IFERROR(__xludf.DUMMYFUNCTION("""COMPUTED_VALUE"""),"Odisha")</f>
        <v>Odisha</v>
      </c>
      <c r="E18" s="1">
        <f ca="1">IFERROR(__xludf.DUMMYFUNCTION("""COMPUTED_VALUE"""),60.23)</f>
        <v>60.23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IFERROR(__xludf.DUMMYFUNCTION("""COMPUTED_VALUE"""),"IR-N-C-29150")</f>
        <v>IR-N-C-29150</v>
      </c>
      <c r="B19" s="1" t="str">
        <f ca="1">IFERROR(__xludf.DUMMYFUNCTION("""COMPUTED_VALUE"""),"Christian Dental College
More DetailsClose | 
[TABLE]")</f>
        <v>Christian Dental College
More DetailsClose | 
[TABLE]</v>
      </c>
      <c r="C19" s="1" t="str">
        <f ca="1">IFERROR(__xludf.DUMMYFUNCTION("""COMPUTED_VALUE"""),"Ludhiana")</f>
        <v>Ludhiana</v>
      </c>
      <c r="D19" s="1" t="str">
        <f ca="1">IFERROR(__xludf.DUMMYFUNCTION("""COMPUTED_VALUE"""),"Punjab")</f>
        <v>Punjab</v>
      </c>
      <c r="E19" s="1">
        <f ca="1">IFERROR(__xludf.DUMMYFUNCTION("""COMPUTED_VALUE"""),58.29)</f>
        <v>58.29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IFERROR(__xludf.DUMMYFUNCTION("""COMPUTED_VALUE"""),"IR-N-U-0108")</f>
        <v>IR-N-U-0108</v>
      </c>
      <c r="B20" s="1" t="str">
        <f ca="1">IFERROR(__xludf.DUMMYFUNCTION("""COMPUTED_VALUE"""),"Jamia Millia Islamia
More DetailsClose | 
[TABLE]")</f>
        <v>Jamia Millia Islamia
More DetailsClose | 
[TABLE]</v>
      </c>
      <c r="C20" s="1" t="str">
        <f ca="1">IFERROR(__xludf.DUMMYFUNCTION("""COMPUTED_VALUE"""),"New Delhi")</f>
        <v>New Delhi</v>
      </c>
      <c r="D20" s="1" t="str">
        <f ca="1">IFERROR(__xludf.DUMMYFUNCTION("""COMPUTED_VALUE"""),"Delhi")</f>
        <v>Delhi</v>
      </c>
      <c r="E20" s="1">
        <f ca="1">IFERROR(__xludf.DUMMYFUNCTION("""COMPUTED_VALUE"""),58.02)</f>
        <v>58.02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IFERROR(__xludf.DUMMYFUNCTION("""COMPUTED_VALUE"""),"IR-N-C-8528")</f>
        <v>IR-N-C-8528</v>
      </c>
      <c r="B21" s="1" t="str">
        <f ca="1">IFERROR(__xludf.DUMMYFUNCTION("""COMPUTED_VALUE"""),"Yenepoya Dental College
More DetailsClose | 
[TABLE]")</f>
        <v>Yenepoya Dental College
More DetailsClose | 
[TABLE]</v>
      </c>
      <c r="C21" s="1" t="str">
        <f ca="1">IFERROR(__xludf.DUMMYFUNCTION("""COMPUTED_VALUE"""),"Mangaluru")</f>
        <v>Mangaluru</v>
      </c>
      <c r="D21" s="1" t="str">
        <f ca="1">IFERROR(__xludf.DUMMYFUNCTION("""COMPUTED_VALUE"""),"Karnataka")</f>
        <v>Karnataka</v>
      </c>
      <c r="E21" s="1">
        <f ca="1">IFERROR(__xludf.DUMMYFUNCTION("""COMPUTED_VALUE"""),58.01)</f>
        <v>58.01</v>
      </c>
      <c r="F21" s="1">
        <f ca="1">IFERROR(__xludf.DUMMYFUNCTION("""COMPUTED_VALUE"""),20)</f>
        <v>20</v>
      </c>
    </row>
    <row r="22" spans="1:6">
      <c r="A22" s="1" t="str">
        <f ca="1">IFERROR(__xludf.DUMMYFUNCTION("""COMPUTED_VALUE"""),"IR-N-C-40192")</f>
        <v>IR-N-C-40192</v>
      </c>
      <c r="B22" s="1" t="str">
        <f ca="1">IFERROR(__xludf.DUMMYFUNCTION("""COMPUTED_VALUE"""),"College of Dental Sciences
More DetailsClose | 
[TABLE]")</f>
        <v>College of Dental Sciences
More DetailsClose | 
[TABLE]</v>
      </c>
      <c r="C22" s="1" t="str">
        <f ca="1">IFERROR(__xludf.DUMMYFUNCTION("""COMPUTED_VALUE"""),"Davangere")</f>
        <v>Davangere</v>
      </c>
      <c r="D22" s="1" t="str">
        <f ca="1">IFERROR(__xludf.DUMMYFUNCTION("""COMPUTED_VALUE"""),"Karnataka")</f>
        <v>Karnataka</v>
      </c>
      <c r="E22" s="1">
        <f ca="1">IFERROR(__xludf.DUMMYFUNCTION("""COMPUTED_VALUE"""),57.22)</f>
        <v>57.22</v>
      </c>
      <c r="F22" s="1">
        <f ca="1">IFERROR(__xludf.DUMMYFUNCTION("""COMPUTED_VALUE"""),21)</f>
        <v>21</v>
      </c>
    </row>
    <row r="23" spans="1:6">
      <c r="A23" s="1" t="str">
        <f ca="1">IFERROR(__xludf.DUMMYFUNCTION("""COMPUTED_VALUE"""),"IR-N-C-29701")</f>
        <v>IR-N-C-29701</v>
      </c>
      <c r="B23" s="1" t="str">
        <f ca="1">IFERROR(__xludf.DUMMYFUNCTION("""COMPUTED_VALUE"""),"Government Dental College
More DetailsClose | 
[TABLE]")</f>
        <v>Government Dental College
More DetailsClose | 
[TABLE]</v>
      </c>
      <c r="C23" s="1" t="str">
        <f ca="1">IFERROR(__xludf.DUMMYFUNCTION("""COMPUTED_VALUE"""),"Indore")</f>
        <v>Indore</v>
      </c>
      <c r="D23" s="1" t="str">
        <f ca="1">IFERROR(__xludf.DUMMYFUNCTION("""COMPUTED_VALUE"""),"Madhya Pradesh")</f>
        <v>Madhya Pradesh</v>
      </c>
      <c r="E23" s="1">
        <f ca="1">IFERROR(__xludf.DUMMYFUNCTION("""COMPUTED_VALUE"""),56.08)</f>
        <v>56.08</v>
      </c>
      <c r="F23" s="1">
        <f ca="1">IFERROR(__xludf.DUMMYFUNCTION("""COMPUTED_VALUE"""),22)</f>
        <v>22</v>
      </c>
    </row>
    <row r="24" spans="1:6">
      <c r="A24" s="1" t="str">
        <f ca="1">IFERROR(__xludf.DUMMYFUNCTION("""COMPUTED_VALUE"""),"IR-N-N-73")</f>
        <v>IR-N-N-73</v>
      </c>
      <c r="B24" s="1" t="str">
        <f ca="1">IFERROR(__xludf.DUMMYFUNCTION("""COMPUTED_VALUE"""),"Army College of Dental Sciences
More DetailsClose | 
[TABLE]")</f>
        <v>Army College of Dental Sciences
More DetailsClose | 
[TABLE]</v>
      </c>
      <c r="C24" s="1" t="str">
        <f ca="1">IFERROR(__xludf.DUMMYFUNCTION("""COMPUTED_VALUE"""),"Secunderabd")</f>
        <v>Secunderabd</v>
      </c>
      <c r="D24" s="1" t="str">
        <f ca="1">IFERROR(__xludf.DUMMYFUNCTION("""COMPUTED_VALUE"""),"Telangana")</f>
        <v>Telangana</v>
      </c>
      <c r="E24" s="1">
        <f ca="1">IFERROR(__xludf.DUMMYFUNCTION("""COMPUTED_VALUE"""),55.13)</f>
        <v>55.13</v>
      </c>
      <c r="F24" s="1">
        <f ca="1">IFERROR(__xludf.DUMMYFUNCTION("""COMPUTED_VALUE"""),23)</f>
        <v>23</v>
      </c>
    </row>
    <row r="25" spans="1:6">
      <c r="A25" s="1" t="str">
        <f ca="1">IFERROR(__xludf.DUMMYFUNCTION("""COMPUTED_VALUE"""),"IR-N-C-24504")</f>
        <v>IR-N-C-24504</v>
      </c>
      <c r="B25" s="1" t="str">
        <f ca="1">IFERROR(__xludf.DUMMYFUNCTION("""COMPUTED_VALUE"""),"KLE Vishwanath Katti Institute of Dental Sciences
More DetailsClose | 
[TABLE]")</f>
        <v>KLE Vishwanath Katti Institute of Dental Sciences
More DetailsClose | 
[TABLE]</v>
      </c>
      <c r="C25" s="1" t="str">
        <f ca="1">IFERROR(__xludf.DUMMYFUNCTION("""COMPUTED_VALUE"""),"Belgaum")</f>
        <v>Belgaum</v>
      </c>
      <c r="D25" s="1" t="str">
        <f ca="1">IFERROR(__xludf.DUMMYFUNCTION("""COMPUTED_VALUE"""),"Karnataka")</f>
        <v>Karnataka</v>
      </c>
      <c r="E25" s="1">
        <f ca="1">IFERROR(__xludf.DUMMYFUNCTION("""COMPUTED_VALUE"""),55.05)</f>
        <v>55.05</v>
      </c>
      <c r="F25" s="1">
        <f ca="1">IFERROR(__xludf.DUMMYFUNCTION("""COMPUTED_VALUE"""),24)</f>
        <v>24</v>
      </c>
    </row>
    <row r="26" spans="1:6">
      <c r="A26" s="1" t="str">
        <f ca="1">IFERROR(__xludf.DUMMYFUNCTION("""COMPUTED_VALUE"""),"IR-N-U-0168")</f>
        <v>IR-N-U-0168</v>
      </c>
      <c r="B26" s="1" t="str">
        <f ca="1">IFERROR(__xludf.DUMMYFUNCTION("""COMPUTED_VALUE"""),"Maharishi Markandeshwar
More DetailsClose | 
[TABLE]")</f>
        <v>Maharishi Markandeshwar
More DetailsClose | 
[TABLE]</v>
      </c>
      <c r="C26" s="1" t="str">
        <f ca="1">IFERROR(__xludf.DUMMYFUNCTION("""COMPUTED_VALUE"""),"Ambala")</f>
        <v>Ambala</v>
      </c>
      <c r="D26" s="1" t="str">
        <f ca="1">IFERROR(__xludf.DUMMYFUNCTION("""COMPUTED_VALUE"""),"Haryana")</f>
        <v>Haryana</v>
      </c>
      <c r="E26" s="1">
        <f ca="1">IFERROR(__xludf.DUMMYFUNCTION("""COMPUTED_VALUE"""),55.04)</f>
        <v>55.04</v>
      </c>
      <c r="F26" s="1">
        <f ca="1">IFERROR(__xludf.DUMMYFUNCTION("""COMPUTED_VALUE"""),25)</f>
        <v>25</v>
      </c>
    </row>
    <row r="27" spans="1:6">
      <c r="A27" s="1" t="str">
        <f ca="1">IFERROR(__xludf.DUMMYFUNCTION("""COMPUTED_VALUE"""),"IR-N-C-40531")</f>
        <v>IR-N-C-40531</v>
      </c>
      <c r="B27" s="1" t="str">
        <f ca="1">IFERROR(__xludf.DUMMYFUNCTION("""COMPUTED_VALUE"""),"Sri Dharmasthala Manjunatheswara College of Dharwad
More DetailsClose | 
[TABLE]")</f>
        <v>Sri Dharmasthala Manjunatheswara College of Dharwad
More DetailsClose | 
[TABLE]</v>
      </c>
      <c r="C27" s="1" t="str">
        <f ca="1">IFERROR(__xludf.DUMMYFUNCTION("""COMPUTED_VALUE"""),"Dharwad")</f>
        <v>Dharwad</v>
      </c>
      <c r="D27" s="1" t="str">
        <f ca="1">IFERROR(__xludf.DUMMYFUNCTION("""COMPUTED_VALUE"""),"Karnataka")</f>
        <v>Karnataka</v>
      </c>
      <c r="E27" s="1">
        <f ca="1">IFERROR(__xludf.DUMMYFUNCTION("""COMPUTED_VALUE"""),54.3)</f>
        <v>54.3</v>
      </c>
      <c r="F27" s="1">
        <f ca="1">IFERROR(__xludf.DUMMYFUNCTION("""COMPUTED_VALUE"""),26)</f>
        <v>26</v>
      </c>
    </row>
    <row r="28" spans="1:6">
      <c r="A28" s="1" t="str">
        <f ca="1">IFERROR(__xludf.DUMMYFUNCTION("""COMPUTED_VALUE"""),"IR-N-U-0461")</f>
        <v>IR-N-U-0461</v>
      </c>
      <c r="B28" s="1" t="str">
        <f ca="1">IFERROR(__xludf.DUMMYFUNCTION("""COMPUTED_VALUE"""),"M. G. R. Educational and Research Institute
More DetailsClose | 
[TABLE]")</f>
        <v>M. G. R. Educational and Research Institute
More DetailsClose | 
[TABLE]</v>
      </c>
      <c r="C28" s="1" t="str">
        <f ca="1">IFERROR(__xludf.DUMMYFUNCTION("""COMPUTED_VALUE"""),"Chennai")</f>
        <v>Chennai</v>
      </c>
      <c r="D28" s="1" t="str">
        <f ca="1">IFERROR(__xludf.DUMMYFUNCTION("""COMPUTED_VALUE"""),"Tamil Nadu")</f>
        <v>Tamil Nadu</v>
      </c>
      <c r="E28" s="1">
        <f ca="1">IFERROR(__xludf.DUMMYFUNCTION("""COMPUTED_VALUE"""),54.02)</f>
        <v>54.02</v>
      </c>
      <c r="F28" s="1">
        <f ca="1">IFERROR(__xludf.DUMMYFUNCTION("""COMPUTED_VALUE"""),27)</f>
        <v>27</v>
      </c>
    </row>
    <row r="29" spans="1:6">
      <c r="A29" s="1" t="str">
        <f ca="1">IFERROR(__xludf.DUMMYFUNCTION("""COMPUTED_VALUE"""),"IR-N-U-0078")</f>
        <v>IR-N-U-0078</v>
      </c>
      <c r="B29" s="1" t="str">
        <f ca="1">IFERROR(__xludf.DUMMYFUNCTION("""COMPUTED_VALUE"""),"Panjab University
More DetailsClose | 
[TABLE]")</f>
        <v>Panjab University
More DetailsClose | 
[TABLE]</v>
      </c>
      <c r="C29" s="1" t="str">
        <f ca="1">IFERROR(__xludf.DUMMYFUNCTION("""COMPUTED_VALUE"""),"Chandigarh")</f>
        <v>Chandigarh</v>
      </c>
      <c r="D29" s="1" t="str">
        <f ca="1">IFERROR(__xludf.DUMMYFUNCTION("""COMPUTED_VALUE"""),"Chandigarh")</f>
        <v>Chandigarh</v>
      </c>
      <c r="E29" s="1">
        <f ca="1">IFERROR(__xludf.DUMMYFUNCTION("""COMPUTED_VALUE"""),53.09)</f>
        <v>53.09</v>
      </c>
      <c r="F29" s="1">
        <f ca="1">IFERROR(__xludf.DUMMYFUNCTION("""COMPUTED_VALUE"""),28)</f>
        <v>28</v>
      </c>
    </row>
    <row r="30" spans="1:6">
      <c r="A30" s="1" t="str">
        <f ca="1">IFERROR(__xludf.DUMMYFUNCTION("""COMPUTED_VALUE"""),"IR-N-N-116")</f>
        <v>IR-N-N-116</v>
      </c>
      <c r="B30" s="1" t="str">
        <f ca="1">IFERROR(__xludf.DUMMYFUNCTION("""COMPUTED_VALUE"""),"Pacific Dental College
More DetailsClose | 
[TABLE]")</f>
        <v>Pacific Dental College
More DetailsClose | 
[TABLE]</v>
      </c>
      <c r="C30" s="1" t="str">
        <f ca="1">IFERROR(__xludf.DUMMYFUNCTION("""COMPUTED_VALUE"""),"Udaipur")</f>
        <v>Udaipur</v>
      </c>
      <c r="D30" s="1" t="str">
        <f ca="1">IFERROR(__xludf.DUMMYFUNCTION("""COMPUTED_VALUE"""),"Rajasthan")</f>
        <v>Rajasthan</v>
      </c>
      <c r="E30" s="1">
        <f ca="1">IFERROR(__xludf.DUMMYFUNCTION("""COMPUTED_VALUE"""),52.87)</f>
        <v>52.87</v>
      </c>
      <c r="F30" s="1">
        <f ca="1">IFERROR(__xludf.DUMMYFUNCTION("""COMPUTED_VALUE"""),29)</f>
        <v>29</v>
      </c>
    </row>
    <row r="31" spans="1:6">
      <c r="A31" s="1" t="str">
        <f ca="1">IFERROR(__xludf.DUMMYFUNCTION("""COMPUTED_VALUE"""),"IR-N-N-71")</f>
        <v>IR-N-N-71</v>
      </c>
      <c r="B31" s="1" t="str">
        <f ca="1">IFERROR(__xludf.DUMMYFUNCTION("""COMPUTED_VALUE"""),"Institute of Medical Sciences
More DetailsClose | 
[TABLE]")</f>
        <v>Institute of Medical Sciences
More DetailsClose | 
[TABLE]</v>
      </c>
      <c r="C31" s="1" t="str">
        <f ca="1">IFERROR(__xludf.DUMMYFUNCTION("""COMPUTED_VALUE"""),"Varanasi")</f>
        <v>Varanasi</v>
      </c>
      <c r="D31" s="1" t="str">
        <f ca="1">IFERROR(__xludf.DUMMYFUNCTION("""COMPUTED_VALUE"""),"Uttar Pradesh")</f>
        <v>Uttar Pradesh</v>
      </c>
      <c r="E31" s="1">
        <f ca="1">IFERROR(__xludf.DUMMYFUNCTION("""COMPUTED_VALUE"""),52.57)</f>
        <v>52.57</v>
      </c>
      <c r="F31" s="1">
        <f ca="1">IFERROR(__xludf.DUMMYFUNCTION("""COMPUTED_VALUE"""),30)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1"/>
  <sheetViews>
    <sheetView workbookViewId="0">
      <selection activeCell="B2" sqref="B2"/>
    </sheetView>
  </sheetViews>
  <sheetFormatPr defaultColWidth="14.42578125" defaultRowHeight="15.75" customHeight="1"/>
  <sheetData>
    <row r="1" spans="1:6">
      <c r="A1" s="1" t="str">
        <f ca="1">IFERROR(__xludf.DUMMYFUNCTION("IMPORTHTML(""https://www.nirfindia.org/2020/UniversityRanking.html"",""table"",1)"),"Institute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IFERROR(__xludf.DUMMYFUNCTION("""COMPUTED_VALUE"""),"IR-O-U-0220")</f>
        <v>IR-O-U-0220</v>
      </c>
      <c r="B2" s="1" t="str">
        <f ca="1">IFERROR(__xludf.DUMMYFUNCTION("""COMPUTED_VALUE"""),"Indian Institute of Science
More DetailsClose | 
[TABLE]")</f>
        <v>Indian Institute of Science
More DetailsClose | 
[TABLE]</v>
      </c>
      <c r="C2" s="1" t="str">
        <f ca="1">IFERROR(__xludf.DUMMYFUNCTION("""COMPUTED_VALUE"""),"Bengaluru")</f>
        <v>Bengaluru</v>
      </c>
      <c r="D2" s="1" t="str">
        <f ca="1">IFERROR(__xludf.DUMMYFUNCTION("""COMPUTED_VALUE"""),"Karnataka")</f>
        <v>Karnataka</v>
      </c>
      <c r="E2" s="1">
        <f ca="1">IFERROR(__xludf.DUMMYFUNCTION("""COMPUTED_VALUE"""),84.18)</f>
        <v>84.18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IFERROR(__xludf.DUMMYFUNCTION("""COMPUTED_VALUE"""),"IR-O-U-0109")</f>
        <v>IR-O-U-0109</v>
      </c>
      <c r="B3" s="1" t="str">
        <f ca="1">IFERROR(__xludf.DUMMYFUNCTION("""COMPUTED_VALUE"""),"Jawaharlal Nehru University
More DetailsClose | 
[TABLE]")</f>
        <v>Jawaharlal Nehru University
More DetailsClose | 
[TABLE]</v>
      </c>
      <c r="C3" s="1" t="str">
        <f ca="1">IFERROR(__xludf.DUMMYFUNCTION("""COMPUTED_VALUE"""),"New Delhi")</f>
        <v>New Delhi</v>
      </c>
      <c r="D3" s="1" t="str">
        <f ca="1">IFERROR(__xludf.DUMMYFUNCTION("""COMPUTED_VALUE"""),"Delhi")</f>
        <v>Delhi</v>
      </c>
      <c r="E3" s="1">
        <f ca="1">IFERROR(__xludf.DUMMYFUNCTION("""COMPUTED_VALUE"""),70.16)</f>
        <v>70.16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IFERROR(__xludf.DUMMYFUNCTION("""COMPUTED_VALUE"""),"IR-O-U-0500")</f>
        <v>IR-O-U-0500</v>
      </c>
      <c r="B4" s="1" t="str">
        <f ca="1">IFERROR(__xludf.DUMMYFUNCTION("""COMPUTED_VALUE"""),"Banaras Hindu University
More DetailsClose | 
[TABLE]")</f>
        <v>Banaras Hindu University
More DetailsClose | 
[TABLE]</v>
      </c>
      <c r="C4" s="1" t="str">
        <f ca="1">IFERROR(__xludf.DUMMYFUNCTION("""COMPUTED_VALUE"""),"Varanasi")</f>
        <v>Varanasi</v>
      </c>
      <c r="D4" s="1" t="str">
        <f ca="1">IFERROR(__xludf.DUMMYFUNCTION("""COMPUTED_VALUE"""),"Uttar Pradesh")</f>
        <v>Uttar Pradesh</v>
      </c>
      <c r="E4" s="1">
        <f ca="1">IFERROR(__xludf.DUMMYFUNCTION("""COMPUTED_VALUE"""),63.15)</f>
        <v>63.15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IFERROR(__xludf.DUMMYFUNCTION("""COMPUTED_VALUE"""),"IR-O-U-0436")</f>
        <v>IR-O-U-0436</v>
      </c>
      <c r="B5" s="1" t="str">
        <f ca="1">IFERROR(__xludf.DUMMYFUNCTION("""COMPUTED_VALUE"""),"Amrita Vishwa Vidyapeetham
More DetailsClose | 
[TABLE]")</f>
        <v>Amrita Vishwa Vidyapeetham
More DetailsClose | 
[TABLE]</v>
      </c>
      <c r="C5" s="1" t="str">
        <f ca="1">IFERROR(__xludf.DUMMYFUNCTION("""COMPUTED_VALUE"""),"Coimbatore")</f>
        <v>Coimbatore</v>
      </c>
      <c r="D5" s="1" t="str">
        <f ca="1">IFERROR(__xludf.DUMMYFUNCTION("""COMPUTED_VALUE"""),"Tamil Nadu")</f>
        <v>Tamil Nadu</v>
      </c>
      <c r="E5" s="1">
        <f ca="1">IFERROR(__xludf.DUMMYFUNCTION("""COMPUTED_VALUE"""),62.27)</f>
        <v>62.27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IFERROR(__xludf.DUMMYFUNCTION("""COMPUTED_VALUE"""),"IR-O-U-0575")</f>
        <v>IR-O-U-0575</v>
      </c>
      <c r="B6" s="1" t="str">
        <f ca="1">IFERROR(__xludf.DUMMYFUNCTION("""COMPUTED_VALUE"""),"Jadavpur University
More DetailsClose | 
[TABLE]")</f>
        <v>Jadavpur University
More DetailsClose | 
[TABLE]</v>
      </c>
      <c r="C6" s="1" t="str">
        <f ca="1">IFERROR(__xludf.DUMMYFUNCTION("""COMPUTED_VALUE"""),"Kolkata")</f>
        <v>Kolkata</v>
      </c>
      <c r="D6" s="1" t="str">
        <f ca="1">IFERROR(__xludf.DUMMYFUNCTION("""COMPUTED_VALUE"""),"West Bengal")</f>
        <v>West Bengal</v>
      </c>
      <c r="E6" s="1">
        <f ca="1">IFERROR(__xludf.DUMMYFUNCTION("""COMPUTED_VALUE"""),61.99)</f>
        <v>61.99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IFERROR(__xludf.DUMMYFUNCTION("""COMPUTED_VALUE"""),"IR-O-U-0042")</f>
        <v>IR-O-U-0042</v>
      </c>
      <c r="B7" s="1" t="str">
        <f ca="1">IFERROR(__xludf.DUMMYFUNCTION("""COMPUTED_VALUE"""),"University of Hyderabad
More DetailsClose | 
[TABLE]")</f>
        <v>University of Hyderabad
More DetailsClose | 
[TABLE]</v>
      </c>
      <c r="C7" s="1" t="str">
        <f ca="1">IFERROR(__xludf.DUMMYFUNCTION("""COMPUTED_VALUE"""),"Hyderabad")</f>
        <v>Hyderabad</v>
      </c>
      <c r="D7" s="1" t="str">
        <f ca="1">IFERROR(__xludf.DUMMYFUNCTION("""COMPUTED_VALUE"""),"Telangana")</f>
        <v>Telangana</v>
      </c>
      <c r="E7" s="1">
        <f ca="1">IFERROR(__xludf.DUMMYFUNCTION("""COMPUTED_VALUE"""),61.7)</f>
        <v>61.7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IFERROR(__xludf.DUMMYFUNCTION("""COMPUTED_VALUE"""),"IR-O-U-0570")</f>
        <v>IR-O-U-0570</v>
      </c>
      <c r="B8" s="1" t="str">
        <f ca="1">IFERROR(__xludf.DUMMYFUNCTION("""COMPUTED_VALUE"""),"Calcutta University
More DetailsClose | 
[TABLE]")</f>
        <v>Calcutta University
More DetailsClose | 
[TABLE]</v>
      </c>
      <c r="C8" s="1" t="str">
        <f ca="1">IFERROR(__xludf.DUMMYFUNCTION("""COMPUTED_VALUE"""),"Kolkata")</f>
        <v>Kolkata</v>
      </c>
      <c r="D8" s="1" t="str">
        <f ca="1">IFERROR(__xludf.DUMMYFUNCTION("""COMPUTED_VALUE"""),"West Bengal")</f>
        <v>West Bengal</v>
      </c>
      <c r="E8" s="1">
        <f ca="1">IFERROR(__xludf.DUMMYFUNCTION("""COMPUTED_VALUE"""),61.53)</f>
        <v>61.53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IFERROR(__xludf.DUMMYFUNCTION("""COMPUTED_VALUE"""),"IR-O-U-0234")</f>
        <v>IR-O-U-0234</v>
      </c>
      <c r="B9" s="1" t="str">
        <f ca="1">IFERROR(__xludf.DUMMYFUNCTION("""COMPUTED_VALUE"""),"Manipal Academy of Higher Education
More DetailsClose | 
[TABLE]")</f>
        <v>Manipal Academy of Higher Education
More DetailsClose | 
[TABLE]</v>
      </c>
      <c r="C9" s="1" t="str">
        <f ca="1">IFERROR(__xludf.DUMMYFUNCTION("""COMPUTED_VALUE"""),"Manipal")</f>
        <v>Manipal</v>
      </c>
      <c r="D9" s="1" t="str">
        <f ca="1">IFERROR(__xludf.DUMMYFUNCTION("""COMPUTED_VALUE"""),"Karnataka")</f>
        <v>Karnataka</v>
      </c>
      <c r="E9" s="1">
        <f ca="1">IFERROR(__xludf.DUMMYFUNCTION("""COMPUTED_VALUE"""),61.51)</f>
        <v>61.51</v>
      </c>
      <c r="F9" s="1">
        <f ca="1">IFERROR(__xludf.DUMMYFUNCTION("""COMPUTED_VALUE"""),8)</f>
        <v>8</v>
      </c>
    </row>
    <row r="10" spans="1:6">
      <c r="A10" s="1" t="str">
        <f ca="1">IFERROR(__xludf.DUMMYFUNCTION("""COMPUTED_VALUE"""),"IR-O-U-0323")</f>
        <v>IR-O-U-0323</v>
      </c>
      <c r="B10" s="1" t="str">
        <f ca="1">IFERROR(__xludf.DUMMYFUNCTION("""COMPUTED_VALUE"""),"Savitribai Phule Pune University
More DetailsClose | 
[TABLE]")</f>
        <v>Savitribai Phule Pune University
More DetailsClose | 
[TABLE]</v>
      </c>
      <c r="C10" s="1" t="str">
        <f ca="1">IFERROR(__xludf.DUMMYFUNCTION("""COMPUTED_VALUE"""),"Pune")</f>
        <v>Pune</v>
      </c>
      <c r="D10" s="1" t="str">
        <f ca="1">IFERROR(__xludf.DUMMYFUNCTION("""COMPUTED_VALUE"""),"Maharashtra")</f>
        <v>Maharashtra</v>
      </c>
      <c r="E10" s="1">
        <f ca="1">IFERROR(__xludf.DUMMYFUNCTION("""COMPUTED_VALUE"""),61.13)</f>
        <v>61.13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IFERROR(__xludf.DUMMYFUNCTION("""COMPUTED_VALUE"""),"IR-O-U-0108")</f>
        <v>IR-O-U-0108</v>
      </c>
      <c r="B11" s="1" t="str">
        <f ca="1">IFERROR(__xludf.DUMMYFUNCTION("""COMPUTED_VALUE"""),"Jamia Millia Islamia
More DetailsClose | 
[TABLE]")</f>
        <v>Jamia Millia Islamia
More DetailsClose | 
[TABLE]</v>
      </c>
      <c r="C11" s="1" t="str">
        <f ca="1">IFERROR(__xludf.DUMMYFUNCTION("""COMPUTED_VALUE"""),"New Delhi")</f>
        <v>New Delhi</v>
      </c>
      <c r="D11" s="1" t="str">
        <f ca="1">IFERROR(__xludf.DUMMYFUNCTION("""COMPUTED_VALUE"""),"Delhi")</f>
        <v>Delhi</v>
      </c>
      <c r="E11" s="1">
        <f ca="1">IFERROR(__xludf.DUMMYFUNCTION("""COMPUTED_VALUE"""),61.07)</f>
        <v>61.07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IFERROR(__xludf.DUMMYFUNCTION("""COMPUTED_VALUE"""),"IR-O-U-0120")</f>
        <v>IR-O-U-0120</v>
      </c>
      <c r="B12" s="1" t="str">
        <f ca="1">IFERROR(__xludf.DUMMYFUNCTION("""COMPUTED_VALUE"""),"University of Delhi
More DetailsClose | 
[TABLE]")</f>
        <v>University of Delhi
More DetailsClose | 
[TABLE]</v>
      </c>
      <c r="C12" s="1" t="str">
        <f ca="1">IFERROR(__xludf.DUMMYFUNCTION("""COMPUTED_VALUE"""),"Delhi")</f>
        <v>Delhi</v>
      </c>
      <c r="D12" s="1" t="str">
        <f ca="1">IFERROR(__xludf.DUMMYFUNCTION("""COMPUTED_VALUE"""),"Delhi")</f>
        <v>Delhi</v>
      </c>
      <c r="E12" s="1">
        <f ca="1">IFERROR(__xludf.DUMMYFUNCTION("""COMPUTED_VALUE"""),60.1)</f>
        <v>60.1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IFERROR(__xludf.DUMMYFUNCTION("""COMPUTED_VALUE"""),"IR-O-U-0439")</f>
        <v>IR-O-U-0439</v>
      </c>
      <c r="B13" s="1" t="str">
        <f ca="1">IFERROR(__xludf.DUMMYFUNCTION("""COMPUTED_VALUE"""),"Anna University
More DetailsClose | 
[TABLE]")</f>
        <v>Anna University
More DetailsClose | 
[TABLE]</v>
      </c>
      <c r="C13" s="1" t="str">
        <f ca="1">IFERROR(__xludf.DUMMYFUNCTION("""COMPUTED_VALUE"""),"Chennai")</f>
        <v>Chennai</v>
      </c>
      <c r="D13" s="1" t="str">
        <f ca="1">IFERROR(__xludf.DUMMYFUNCTION("""COMPUTED_VALUE"""),"Tamil Nadu")</f>
        <v>Tamil Nadu</v>
      </c>
      <c r="E13" s="1">
        <f ca="1">IFERROR(__xludf.DUMMYFUNCTION("""COMPUTED_VALUE"""),58.71)</f>
        <v>58.71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IFERROR(__xludf.DUMMYFUNCTION("""COMPUTED_VALUE"""),"IR-O-U-0447")</f>
        <v>IR-O-U-0447</v>
      </c>
      <c r="B14" s="1" t="str">
        <f ca="1">IFERROR(__xludf.DUMMYFUNCTION("""COMPUTED_VALUE"""),"Bharathiar University
More DetailsClose | 
[TABLE]")</f>
        <v>Bharathiar University
More DetailsClose | 
[TABLE]</v>
      </c>
      <c r="C14" s="1" t="str">
        <f ca="1">IFERROR(__xludf.DUMMYFUNCTION("""COMPUTED_VALUE"""),"Coimbatore")</f>
        <v>Coimbatore</v>
      </c>
      <c r="D14" s="1" t="str">
        <f ca="1">IFERROR(__xludf.DUMMYFUNCTION("""COMPUTED_VALUE"""),"Tamil Nadu")</f>
        <v>Tamil Nadu</v>
      </c>
      <c r="E14" s="1">
        <f ca="1">IFERROR(__xludf.DUMMYFUNCTION("""COMPUTED_VALUE"""),58.3)</f>
        <v>58.3</v>
      </c>
      <c r="F14" s="1">
        <f ca="1">IFERROR(__xludf.DUMMYFUNCTION("""COMPUTED_VALUE"""),13)</f>
        <v>13</v>
      </c>
    </row>
    <row r="15" spans="1:6">
      <c r="A15" s="1" t="str">
        <f ca="1">IFERROR(__xludf.DUMMYFUNCTION("""COMPUTED_VALUE"""),"IR-O-U-0304")</f>
        <v>IR-O-U-0304</v>
      </c>
      <c r="B15" s="1" t="str">
        <f ca="1">IFERROR(__xludf.DUMMYFUNCTION("""COMPUTED_VALUE"""),"Homi Bhabha National Institute
More DetailsClose | 
[TABLE]")</f>
        <v>Homi Bhabha National Institute
More DetailsClose | 
[TABLE]</v>
      </c>
      <c r="C15" s="1" t="str">
        <f ca="1">IFERROR(__xludf.DUMMYFUNCTION("""COMPUTED_VALUE"""),"Mumbai")</f>
        <v>Mumbai</v>
      </c>
      <c r="D15" s="1" t="str">
        <f ca="1">IFERROR(__xludf.DUMMYFUNCTION("""COMPUTED_VALUE"""),"Maharashtra")</f>
        <v>Maharashtra</v>
      </c>
      <c r="E15" s="1">
        <f ca="1">IFERROR(__xludf.DUMMYFUNCTION("""COMPUTED_VALUE"""),56.04)</f>
        <v>56.04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IFERROR(__xludf.DUMMYFUNCTION("""COMPUTED_VALUE"""),"IR-O-U-0391")</f>
        <v>IR-O-U-0391</v>
      </c>
      <c r="B16" s="1" t="str">
        <f ca="1">IFERROR(__xludf.DUMMYFUNCTION("""COMPUTED_VALUE"""),"Birla Institute of Technology &amp; Science
More DetailsClose | 
[TABLE]")</f>
        <v>Birla Institute of Technology &amp; Science
More DetailsClose | 
[TABLE]</v>
      </c>
      <c r="C16" s="1" t="str">
        <f ca="1">IFERROR(__xludf.DUMMYFUNCTION("""COMPUTED_VALUE"""),"Pilani")</f>
        <v>Pilani</v>
      </c>
      <c r="D16" s="1" t="str">
        <f ca="1">IFERROR(__xludf.DUMMYFUNCTION("""COMPUTED_VALUE"""),"Rajasthan")</f>
        <v>Rajasthan</v>
      </c>
      <c r="E16" s="1">
        <f ca="1">IFERROR(__xludf.DUMMYFUNCTION("""COMPUTED_VALUE"""),55.79)</f>
        <v>55.79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IFERROR(__xludf.DUMMYFUNCTION("""COMPUTED_VALUE"""),"IR-O-U-0490")</f>
        <v>IR-O-U-0490</v>
      </c>
      <c r="B17" s="1" t="str">
        <f ca="1">IFERROR(__xludf.DUMMYFUNCTION("""COMPUTED_VALUE"""),"Vellore Institute of Technology
More DetailsClose | 
[TABLE]")</f>
        <v>Vellore Institute of Technology
More DetailsClose | 
[TABLE]</v>
      </c>
      <c r="C17" s="1" t="str">
        <f ca="1">IFERROR(__xludf.DUMMYFUNCTION("""COMPUTED_VALUE"""),"Vellore")</f>
        <v>Vellore</v>
      </c>
      <c r="D17" s="1" t="str">
        <f ca="1">IFERROR(__xludf.DUMMYFUNCTION("""COMPUTED_VALUE"""),"Tamil Nadu")</f>
        <v>Tamil Nadu</v>
      </c>
      <c r="E17" s="1">
        <f ca="1">IFERROR(__xludf.DUMMYFUNCTION("""COMPUTED_VALUE"""),55.22)</f>
        <v>55.22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IFERROR(__xludf.DUMMYFUNCTION("""COMPUTED_VALUE"""),"IR-O-U-0496")</f>
        <v>IR-O-U-0496</v>
      </c>
      <c r="B18" s="1" t="str">
        <f ca="1">IFERROR(__xludf.DUMMYFUNCTION("""COMPUTED_VALUE"""),"Aligarh Muslim University
More DetailsClose | 
[TABLE]")</f>
        <v>Aligarh Muslim University
More DetailsClose | 
[TABLE]</v>
      </c>
      <c r="C18" s="1" t="str">
        <f ca="1">IFERROR(__xludf.DUMMYFUNCTION("""COMPUTED_VALUE"""),"Aligarh")</f>
        <v>Aligarh</v>
      </c>
      <c r="D18" s="1" t="str">
        <f ca="1">IFERROR(__xludf.DUMMYFUNCTION("""COMPUTED_VALUE"""),"Uttar Pradesh")</f>
        <v>Uttar Pradesh</v>
      </c>
      <c r="E18" s="1">
        <f ca="1">IFERROR(__xludf.DUMMYFUNCTION("""COMPUTED_VALUE"""),54.3)</f>
        <v>54.3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IFERROR(__xludf.DUMMYFUNCTION("""COMPUTED_VALUE"""),"IR-O-U-0308")</f>
        <v>IR-O-U-0308</v>
      </c>
      <c r="B19" s="1" t="str">
        <f ca="1">IFERROR(__xludf.DUMMYFUNCTION("""COMPUTED_VALUE"""),"Institute of Chemical Technology
More DetailsClose | 
[TABLE]")</f>
        <v>Institute of Chemical Technology
More DetailsClose | 
[TABLE]</v>
      </c>
      <c r="C19" s="1" t="str">
        <f ca="1">IFERROR(__xludf.DUMMYFUNCTION("""COMPUTED_VALUE"""),"Mumbai")</f>
        <v>Mumbai</v>
      </c>
      <c r="D19" s="1" t="str">
        <f ca="1">IFERROR(__xludf.DUMMYFUNCTION("""COMPUTED_VALUE"""),"Maharashtra")</f>
        <v>Maharashtra</v>
      </c>
      <c r="E19" s="1">
        <f ca="1">IFERROR(__xludf.DUMMYFUNCTION("""COMPUTED_VALUE"""),54.1)</f>
        <v>54.1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IFERROR(__xludf.DUMMYFUNCTION("""COMPUTED_VALUE"""),"IR-O-U-0006")</f>
        <v>IR-O-U-0006</v>
      </c>
      <c r="B20" s="1" t="str">
        <f ca="1">IFERROR(__xludf.DUMMYFUNCTION("""COMPUTED_VALUE"""),"Andhra University
More DetailsClose | 
[TABLE]")</f>
        <v>Andhra University
More DetailsClose | 
[TABLE]</v>
      </c>
      <c r="C20" s="1" t="str">
        <f ca="1">IFERROR(__xludf.DUMMYFUNCTION("""COMPUTED_VALUE"""),"Visakhapatnam")</f>
        <v>Visakhapatnam</v>
      </c>
      <c r="D20" s="1" t="str">
        <f ca="1">IFERROR(__xludf.DUMMYFUNCTION("""COMPUTED_VALUE"""),"Andhra Pradesh")</f>
        <v>Andhra Pradesh</v>
      </c>
      <c r="E20" s="1">
        <f ca="1">IFERROR(__xludf.DUMMYFUNCTION("""COMPUTED_VALUE"""),53.82)</f>
        <v>53.82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IFERROR(__xludf.DUMMYFUNCTION("""COMPUTED_VALUE"""),"IR-O-U-0363")</f>
        <v>IR-O-U-0363</v>
      </c>
      <c r="B21" s="1" t="str">
        <f ca="1">IFERROR(__xludf.DUMMYFUNCTION("""COMPUTED_VALUE"""),"Siksha `O` Anusandhan
More DetailsClose | 
[TABLE]")</f>
        <v>Siksha `O` Anusandhan
More DetailsClose | 
[TABLE]</v>
      </c>
      <c r="C21" s="1" t="str">
        <f ca="1">IFERROR(__xludf.DUMMYFUNCTION("""COMPUTED_VALUE"""),"Bhubaneswar")</f>
        <v>Bhubaneswar</v>
      </c>
      <c r="D21" s="1" t="str">
        <f ca="1">IFERROR(__xludf.DUMMYFUNCTION("""COMPUTED_VALUE"""),"Odisha")</f>
        <v>Odisha</v>
      </c>
      <c r="E21" s="1">
        <f ca="1">IFERROR(__xludf.DUMMYFUNCTION("""COMPUTED_VALUE"""),53.1)</f>
        <v>53.1</v>
      </c>
      <c r="F21" s="1">
        <f ca="1">IFERROR(__xludf.DUMMYFUNCTION("""COMPUTED_VALUE"""),20)</f>
        <v>20</v>
      </c>
    </row>
    <row r="22" spans="1:6">
      <c r="A22" s="1" t="str">
        <f ca="1">IFERROR(__xludf.DUMMYFUNCTION("""COMPUTED_VALUE"""),"IR-O-U-0107")</f>
        <v>IR-O-U-0107</v>
      </c>
      <c r="B22" s="1" t="str">
        <f ca="1">IFERROR(__xludf.DUMMYFUNCTION("""COMPUTED_VALUE"""),"Jamia Hamdard
More DetailsClose | 
[TABLE]")</f>
        <v>Jamia Hamdard
More DetailsClose | 
[TABLE]</v>
      </c>
      <c r="C22" s="1" t="str">
        <f ca="1">IFERROR(__xludf.DUMMYFUNCTION("""COMPUTED_VALUE"""),"New Delhi")</f>
        <v>New Delhi</v>
      </c>
      <c r="D22" s="1" t="str">
        <f ca="1">IFERROR(__xludf.DUMMYFUNCTION("""COMPUTED_VALUE"""),"Delhi")</f>
        <v>Delhi</v>
      </c>
      <c r="E22" s="1">
        <f ca="1">IFERROR(__xludf.DUMMYFUNCTION("""COMPUTED_VALUE"""),52.6)</f>
        <v>52.6</v>
      </c>
      <c r="F22" s="1">
        <f ca="1">IFERROR(__xludf.DUMMYFUNCTION("""COMPUTED_VALUE"""),21)</f>
        <v>21</v>
      </c>
    </row>
    <row r="23" spans="1:6">
      <c r="A23" s="1" t="str">
        <f ca="1">IFERROR(__xludf.DUMMYFUNCTION("""COMPUTED_VALUE"""),"IR-O-I-1357")</f>
        <v>IR-O-I-1357</v>
      </c>
      <c r="B23" s="1" t="str">
        <f ca="1">IFERROR(__xludf.DUMMYFUNCTION("""COMPUTED_VALUE"""),"University of Madras
More DetailsClose | 
[TABLE]")</f>
        <v>University of Madras
More DetailsClose | 
[TABLE]</v>
      </c>
      <c r="C23" s="1" t="str">
        <f ca="1">IFERROR(__xludf.DUMMYFUNCTION("""COMPUTED_VALUE"""),"Chennai")</f>
        <v>Chennai</v>
      </c>
      <c r="D23" s="1" t="str">
        <f ca="1">IFERROR(__xludf.DUMMYFUNCTION("""COMPUTED_VALUE"""),"Tamil Nadu")</f>
        <v>Tamil Nadu</v>
      </c>
      <c r="E23" s="1">
        <f ca="1">IFERROR(__xludf.DUMMYFUNCTION("""COMPUTED_VALUE"""),52.55)</f>
        <v>52.55</v>
      </c>
      <c r="F23" s="1">
        <f ca="1">IFERROR(__xludf.DUMMYFUNCTION("""COMPUTED_VALUE"""),22)</f>
        <v>22</v>
      </c>
    </row>
    <row r="24" spans="1:6">
      <c r="A24" s="1" t="str">
        <f ca="1">IFERROR(__xludf.DUMMYFUNCTION("""COMPUTED_VALUE"""),"IR-O-U-0260")</f>
        <v>IR-O-U-0260</v>
      </c>
      <c r="B24" s="1" t="str">
        <f ca="1">IFERROR(__xludf.DUMMYFUNCTION("""COMPUTED_VALUE"""),"Kerala University
More DetailsClose | 
[TABLE]")</f>
        <v>Kerala University
More DetailsClose | 
[TABLE]</v>
      </c>
      <c r="C24" s="1" t="str">
        <f ca="1">IFERROR(__xludf.DUMMYFUNCTION("""COMPUTED_VALUE"""),"Thiruvananthapuram")</f>
        <v>Thiruvananthapuram</v>
      </c>
      <c r="D24" s="1" t="str">
        <f ca="1">IFERROR(__xludf.DUMMYFUNCTION("""COMPUTED_VALUE"""),"Kerala")</f>
        <v>Kerala</v>
      </c>
      <c r="E24" s="1">
        <f ca="1">IFERROR(__xludf.DUMMYFUNCTION("""COMPUTED_VALUE"""),52.35)</f>
        <v>52.35</v>
      </c>
      <c r="F24" s="1">
        <f ca="1">IFERROR(__xludf.DUMMYFUNCTION("""COMPUTED_VALUE"""),23)</f>
        <v>23</v>
      </c>
    </row>
    <row r="25" spans="1:6">
      <c r="A25" s="1" t="str">
        <f ca="1">IFERROR(__xludf.DUMMYFUNCTION("""COMPUTED_VALUE"""),"IR-O-U-0356")</f>
        <v>IR-O-U-0356</v>
      </c>
      <c r="B25" s="1" t="str">
        <f ca="1">IFERROR(__xludf.DUMMYFUNCTION("""COMPUTED_VALUE"""),"Kalinga Institute of Industrial Technology
More DetailsClose | 
[TABLE]")</f>
        <v>Kalinga Institute of Industrial Technology
More DetailsClose | 
[TABLE]</v>
      </c>
      <c r="C25" s="1" t="str">
        <f ca="1">IFERROR(__xludf.DUMMYFUNCTION("""COMPUTED_VALUE"""),"Bhubaneswar")</f>
        <v>Bhubaneswar</v>
      </c>
      <c r="D25" s="1" t="str">
        <f ca="1">IFERROR(__xludf.DUMMYFUNCTION("""COMPUTED_VALUE"""),"Odisha")</f>
        <v>Odisha</v>
      </c>
      <c r="E25" s="1">
        <f ca="1">IFERROR(__xludf.DUMMYFUNCTION("""COMPUTED_VALUE"""),52.33)</f>
        <v>52.33</v>
      </c>
      <c r="F25" s="1">
        <f ca="1">IFERROR(__xludf.DUMMYFUNCTION("""COMPUTED_VALUE"""),24)</f>
        <v>24</v>
      </c>
    </row>
    <row r="26" spans="1:6">
      <c r="A26" s="1" t="str">
        <f ca="1">IFERROR(__xludf.DUMMYFUNCTION("""COMPUTED_VALUE"""),"IR-O-U-0476")</f>
        <v>IR-O-U-0476</v>
      </c>
      <c r="B26" s="1" t="str">
        <f ca="1">IFERROR(__xludf.DUMMYFUNCTION("""COMPUTED_VALUE"""),"Shanmugha Arts Science Technology &amp; Research Academy
More DetailsClose | 
[TABLE]")</f>
        <v>Shanmugha Arts Science Technology &amp; Research Academy
More DetailsClose | 
[TABLE]</v>
      </c>
      <c r="C26" s="1" t="str">
        <f ca="1">IFERROR(__xludf.DUMMYFUNCTION("""COMPUTED_VALUE"""),"Thanjavur")</f>
        <v>Thanjavur</v>
      </c>
      <c r="D26" s="1" t="str">
        <f ca="1">IFERROR(__xludf.DUMMYFUNCTION("""COMPUTED_VALUE"""),"Tamil Nadu")</f>
        <v>Tamil Nadu</v>
      </c>
      <c r="E26" s="1">
        <f ca="1">IFERROR(__xludf.DUMMYFUNCTION("""COMPUTED_VALUE"""),52.22)</f>
        <v>52.22</v>
      </c>
      <c r="F26" s="1">
        <f ca="1">IFERROR(__xludf.DUMMYFUNCTION("""COMPUTED_VALUE"""),25)</f>
        <v>25</v>
      </c>
    </row>
    <row r="27" spans="1:6">
      <c r="A27" s="1" t="str">
        <f ca="1">IFERROR(__xludf.DUMMYFUNCTION("""COMPUTED_VALUE"""),"IR-O-U-0078")</f>
        <v>IR-O-U-0078</v>
      </c>
      <c r="B27" s="1" t="str">
        <f ca="1">IFERROR(__xludf.DUMMYFUNCTION("""COMPUTED_VALUE"""),"Panjab University
More DetailsClose | 
[TABLE]")</f>
        <v>Panjab University
More DetailsClose | 
[TABLE]</v>
      </c>
      <c r="C27" s="1" t="str">
        <f ca="1">IFERROR(__xludf.DUMMYFUNCTION("""COMPUTED_VALUE"""),"Chandigarh")</f>
        <v>Chandigarh</v>
      </c>
      <c r="D27" s="1" t="str">
        <f ca="1">IFERROR(__xludf.DUMMYFUNCTION("""COMPUTED_VALUE"""),"Chandigarh")</f>
        <v>Chandigarh</v>
      </c>
      <c r="E27" s="1">
        <f ca="1">IFERROR(__xludf.DUMMYFUNCTION("""COMPUTED_VALUE"""),51.85)</f>
        <v>51.85</v>
      </c>
      <c r="F27" s="1">
        <f ca="1">IFERROR(__xludf.DUMMYFUNCTION("""COMPUTED_VALUE"""),26)</f>
        <v>26</v>
      </c>
    </row>
    <row r="28" spans="1:6">
      <c r="A28" s="1" t="str">
        <f ca="1">IFERROR(__xludf.DUMMYFUNCTION("""COMPUTED_VALUE"""),"IR-O-U-0235")</f>
        <v>IR-O-U-0235</v>
      </c>
      <c r="B28" s="1" t="str">
        <f ca="1">IFERROR(__xludf.DUMMYFUNCTION("""COMPUTED_VALUE"""),"Mysore University
More DetailsClose | 
[TABLE]")</f>
        <v>Mysore University
More DetailsClose | 
[TABLE]</v>
      </c>
      <c r="C28" s="1" t="str">
        <f ca="1">IFERROR(__xludf.DUMMYFUNCTION("""COMPUTED_VALUE"""),"Mysuru")</f>
        <v>Mysuru</v>
      </c>
      <c r="D28" s="1" t="str">
        <f ca="1">IFERROR(__xludf.DUMMYFUNCTION("""COMPUTED_VALUE"""),"Karnataka")</f>
        <v>Karnataka</v>
      </c>
      <c r="E28" s="1">
        <f ca="1">IFERROR(__xludf.DUMMYFUNCTION("""COMPUTED_VALUE"""),51.84)</f>
        <v>51.84</v>
      </c>
      <c r="F28" s="1">
        <f ca="1">IFERROR(__xludf.DUMMYFUNCTION("""COMPUTED_VALUE"""),27)</f>
        <v>27</v>
      </c>
    </row>
    <row r="29" spans="1:6">
      <c r="A29" s="1" t="str">
        <f ca="1">IFERROR(__xludf.DUMMYFUNCTION("""COMPUTED_VALUE"""),"IR-O-I-1486")</f>
        <v>IR-O-I-1486</v>
      </c>
      <c r="B29" s="1" t="str">
        <f ca="1">IFERROR(__xludf.DUMMYFUNCTION("""COMPUTED_VALUE"""),"Sri Ramachandra Institute of Higher Education And Research
More DetailsClose | 
[TABLE]")</f>
        <v>Sri Ramachandra Institute of Higher Education And Research
More DetailsClose | 
[TABLE]</v>
      </c>
      <c r="C29" s="1" t="str">
        <f ca="1">IFERROR(__xludf.DUMMYFUNCTION("""COMPUTED_VALUE"""),"Chennai")</f>
        <v>Chennai</v>
      </c>
      <c r="D29" s="1" t="str">
        <f ca="1">IFERROR(__xludf.DUMMYFUNCTION("""COMPUTED_VALUE"""),"Tamil Nadu")</f>
        <v>Tamil Nadu</v>
      </c>
      <c r="E29" s="1">
        <f ca="1">IFERROR(__xludf.DUMMYFUNCTION("""COMPUTED_VALUE"""),51.32)</f>
        <v>51.32</v>
      </c>
      <c r="F29" s="1">
        <f ca="1">IFERROR(__xludf.DUMMYFUNCTION("""COMPUTED_VALUE"""),28)</f>
        <v>28</v>
      </c>
    </row>
    <row r="30" spans="1:6">
      <c r="A30" s="1" t="str">
        <f ca="1">IFERROR(__xludf.DUMMYFUNCTION("""COMPUTED_VALUE"""),"IR-O-U-0027")</f>
        <v>IR-O-U-0027</v>
      </c>
      <c r="B30" s="1" t="str">
        <f ca="1">IFERROR(__xludf.DUMMYFUNCTION("""COMPUTED_VALUE"""),"Osmania University
More DetailsClose | 
[TABLE]")</f>
        <v>Osmania University
More DetailsClose | 
[TABLE]</v>
      </c>
      <c r="C30" s="1" t="str">
        <f ca="1">IFERROR(__xludf.DUMMYFUNCTION("""COMPUTED_VALUE"""),"Hyderabad")</f>
        <v>Hyderabad</v>
      </c>
      <c r="D30" s="1" t="str">
        <f ca="1">IFERROR(__xludf.DUMMYFUNCTION("""COMPUTED_VALUE"""),"Telangana")</f>
        <v>Telangana</v>
      </c>
      <c r="E30" s="1">
        <f ca="1">IFERROR(__xludf.DUMMYFUNCTION("""COMPUTED_VALUE"""),51.15)</f>
        <v>51.15</v>
      </c>
      <c r="F30" s="1">
        <f ca="1">IFERROR(__xludf.DUMMYFUNCTION("""COMPUTED_VALUE"""),29)</f>
        <v>29</v>
      </c>
    </row>
    <row r="31" spans="1:6">
      <c r="A31" s="1" t="str">
        <f ca="1">IFERROR(__xludf.DUMMYFUNCTION("""COMPUTED_VALUE"""),"IR-O-U-0262")</f>
        <v>IR-O-U-0262</v>
      </c>
      <c r="B31" s="1" t="str">
        <f ca="1">IFERROR(__xludf.DUMMYFUNCTION("""COMPUTED_VALUE"""),"Mahatma Gandhi University
More DetailsClose | 
[TABLE]")</f>
        <v>Mahatma Gandhi University
More DetailsClose | 
[TABLE]</v>
      </c>
      <c r="C31" s="1" t="str">
        <f ca="1">IFERROR(__xludf.DUMMYFUNCTION("""COMPUTED_VALUE"""),"Kottayam")</f>
        <v>Kottayam</v>
      </c>
      <c r="D31" s="1" t="str">
        <f ca="1">IFERROR(__xludf.DUMMYFUNCTION("""COMPUTED_VALUE"""),"Kerala")</f>
        <v>Kerala</v>
      </c>
      <c r="E31" s="1">
        <f ca="1">IFERROR(__xludf.DUMMYFUNCTION("""COMPUTED_VALUE"""),50.93)</f>
        <v>50.93</v>
      </c>
      <c r="F31" s="1">
        <f ca="1">IFERROR(__xludf.DUMMYFUNCTION("""COMPUTED_VALUE"""),30)</f>
        <v>30</v>
      </c>
    </row>
    <row r="32" spans="1:6">
      <c r="A32" s="1" t="str">
        <f ca="1">IFERROR(__xludf.DUMMYFUNCTION("""COMPUTED_VALUE"""),"IR-O-I-1480")</f>
        <v>IR-O-I-1480</v>
      </c>
      <c r="B32" s="1" t="str">
        <f ca="1">IFERROR(__xludf.DUMMYFUNCTION("""COMPUTED_VALUE"""),"Thapar Institute of Engineering &amp; Technology
More DetailsClose | 
[TABLE]")</f>
        <v>Thapar Institute of Engineering &amp; Technology
More DetailsClose | 
[TABLE]</v>
      </c>
      <c r="C32" s="1" t="str">
        <f ca="1">IFERROR(__xludf.DUMMYFUNCTION("""COMPUTED_VALUE"""),"Patiala")</f>
        <v>Patiala</v>
      </c>
      <c r="D32" s="1" t="str">
        <f ca="1">IFERROR(__xludf.DUMMYFUNCTION("""COMPUTED_VALUE"""),"Punjab")</f>
        <v>Punjab</v>
      </c>
      <c r="E32" s="1">
        <f ca="1">IFERROR(__xludf.DUMMYFUNCTION("""COMPUTED_VALUE"""),50.65)</f>
        <v>50.65</v>
      </c>
      <c r="F32" s="1">
        <f ca="1">IFERROR(__xludf.DUMMYFUNCTION("""COMPUTED_VALUE"""),31)</f>
        <v>31</v>
      </c>
    </row>
    <row r="33" spans="1:6">
      <c r="A33" s="1" t="str">
        <f ca="1">IFERROR(__xludf.DUMMYFUNCTION("""COMPUTED_VALUE"""),"IR-O-U-0523")</f>
        <v>IR-O-U-0523</v>
      </c>
      <c r="B33" s="1" t="str">
        <f ca="1">IFERROR(__xludf.DUMMYFUNCTION("""COMPUTED_VALUE"""),"King George`s Medical University
More DetailsClose | 
[TABLE]")</f>
        <v>King George`s Medical University
More DetailsClose | 
[TABLE]</v>
      </c>
      <c r="C33" s="1" t="str">
        <f ca="1">IFERROR(__xludf.DUMMYFUNCTION("""COMPUTED_VALUE"""),"Lucknow")</f>
        <v>Lucknow</v>
      </c>
      <c r="D33" s="1" t="str">
        <f ca="1">IFERROR(__xludf.DUMMYFUNCTION("""COMPUTED_VALUE"""),"Uttar Pradesh")</f>
        <v>Uttar Pradesh</v>
      </c>
      <c r="E33" s="1">
        <f ca="1">IFERROR(__xludf.DUMMYFUNCTION("""COMPUTED_VALUE"""),50.45)</f>
        <v>50.45</v>
      </c>
      <c r="F33" s="1">
        <f ca="1">IFERROR(__xludf.DUMMYFUNCTION("""COMPUTED_VALUE"""),32)</f>
        <v>32</v>
      </c>
    </row>
    <row r="34" spans="1:6">
      <c r="A34" s="1" t="str">
        <f ca="1">IFERROR(__xludf.DUMMYFUNCTION("""COMPUTED_VALUE"""),"IR-O-U-0222")</f>
        <v>IR-O-U-0222</v>
      </c>
      <c r="B34" s="1" t="str">
        <f ca="1">IFERROR(__xludf.DUMMYFUNCTION("""COMPUTED_VALUE"""),"JSS Academy of Higher Education and Research
More DetailsClose | 
[TABLE]")</f>
        <v>JSS Academy of Higher Education and Research
More DetailsClose | 
[TABLE]</v>
      </c>
      <c r="C34" s="1" t="str">
        <f ca="1">IFERROR(__xludf.DUMMYFUNCTION("""COMPUTED_VALUE"""),"Mysuru")</f>
        <v>Mysuru</v>
      </c>
      <c r="D34" s="1" t="str">
        <f ca="1">IFERROR(__xludf.DUMMYFUNCTION("""COMPUTED_VALUE"""),"Karnataka")</f>
        <v>Karnataka</v>
      </c>
      <c r="E34" s="1">
        <f ca="1">IFERROR(__xludf.DUMMYFUNCTION("""COMPUTED_VALUE"""),50.2)</f>
        <v>50.2</v>
      </c>
      <c r="F34" s="1">
        <f ca="1">IFERROR(__xludf.DUMMYFUNCTION("""COMPUTED_VALUE"""),33)</f>
        <v>33</v>
      </c>
    </row>
    <row r="35" spans="1:6">
      <c r="A35" s="1" t="str">
        <f ca="1">IFERROR(__xludf.DUMMYFUNCTION("""COMPUTED_VALUE"""),"IR-O-U-0331")</f>
        <v>IR-O-U-0331</v>
      </c>
      <c r="B35" s="1" t="str">
        <f ca="1">IFERROR(__xludf.DUMMYFUNCTION("""COMPUTED_VALUE"""),"Tata Institute of Social Sciences
More DetailsClose | 
[TABLE]")</f>
        <v>Tata Institute of Social Sciences
More DetailsClose | 
[TABLE]</v>
      </c>
      <c r="C35" s="1" t="str">
        <f ca="1">IFERROR(__xludf.DUMMYFUNCTION("""COMPUTED_VALUE"""),"Mumbai")</f>
        <v>Mumbai</v>
      </c>
      <c r="D35" s="1" t="str">
        <f ca="1">IFERROR(__xludf.DUMMYFUNCTION("""COMPUTED_VALUE"""),"Maharashtra")</f>
        <v>Maharashtra</v>
      </c>
      <c r="E35" s="1">
        <f ca="1">IFERROR(__xludf.DUMMYFUNCTION("""COMPUTED_VALUE"""),50.1)</f>
        <v>50.1</v>
      </c>
      <c r="F35" s="1">
        <f ca="1">IFERROR(__xludf.DUMMYFUNCTION("""COMPUTED_VALUE"""),34)</f>
        <v>34</v>
      </c>
    </row>
    <row r="36" spans="1:6">
      <c r="A36" s="1" t="str">
        <f ca="1">IFERROR(__xludf.DUMMYFUNCTION("""COMPUTED_VALUE"""),"IR-O-U-0473")</f>
        <v>IR-O-U-0473</v>
      </c>
      <c r="B36" s="1" t="str">
        <f ca="1">IFERROR(__xludf.DUMMYFUNCTION("""COMPUTED_VALUE"""),"S. R. M. Institute of Science and Technology
More DetailsClose | 
[TABLE]")</f>
        <v>S. R. M. Institute of Science and Technology
More DetailsClose | 
[TABLE]</v>
      </c>
      <c r="C36" s="1" t="str">
        <f ca="1">IFERROR(__xludf.DUMMYFUNCTION("""COMPUTED_VALUE"""),"Chennai")</f>
        <v>Chennai</v>
      </c>
      <c r="D36" s="1" t="str">
        <f ca="1">IFERROR(__xludf.DUMMYFUNCTION("""COMPUTED_VALUE"""),"Tamil Nadu")</f>
        <v>Tamil Nadu</v>
      </c>
      <c r="E36" s="1">
        <f ca="1">IFERROR(__xludf.DUMMYFUNCTION("""COMPUTED_VALUE"""),50.07)</f>
        <v>50.07</v>
      </c>
      <c r="F36" s="1">
        <f ca="1">IFERROR(__xludf.DUMMYFUNCTION("""COMPUTED_VALUE"""),35)</f>
        <v>35</v>
      </c>
    </row>
    <row r="37" spans="1:6">
      <c r="A37" s="1" t="str">
        <f ca="1">IFERROR(__xludf.DUMMYFUNCTION("""COMPUTED_VALUE"""),"IR-O-U-0435")</f>
        <v>IR-O-U-0435</v>
      </c>
      <c r="B37" s="1" t="str">
        <f ca="1">IFERROR(__xludf.DUMMYFUNCTION("""COMPUTED_VALUE"""),"Alagappa University
More DetailsClose | 
[TABLE]")</f>
        <v>Alagappa University
More DetailsClose | 
[TABLE]</v>
      </c>
      <c r="C37" s="1" t="str">
        <f ca="1">IFERROR(__xludf.DUMMYFUNCTION("""COMPUTED_VALUE"""),"Karaikudi")</f>
        <v>Karaikudi</v>
      </c>
      <c r="D37" s="1" t="str">
        <f ca="1">IFERROR(__xludf.DUMMYFUNCTION("""COMPUTED_VALUE"""),"Tamil Nadu")</f>
        <v>Tamil Nadu</v>
      </c>
      <c r="E37" s="1">
        <f ca="1">IFERROR(__xludf.DUMMYFUNCTION("""COMPUTED_VALUE"""),49.22)</f>
        <v>49.22</v>
      </c>
      <c r="F37" s="1">
        <f ca="1">IFERROR(__xludf.DUMMYFUNCTION("""COMPUTED_VALUE"""),36)</f>
        <v>36</v>
      </c>
    </row>
    <row r="38" spans="1:6">
      <c r="A38" s="1" t="str">
        <f ca="1">IFERROR(__xludf.DUMMYFUNCTION("""COMPUTED_VALUE"""),"IR-O-U-0497")</f>
        <v>IR-O-U-0497</v>
      </c>
      <c r="B38" s="1" t="str">
        <f ca="1">IFERROR(__xludf.DUMMYFUNCTION("""COMPUTED_VALUE"""),"Amity University Noida
More DetailsClose | 
[TABLE]")</f>
        <v>Amity University Noida
More DetailsClose | 
[TABLE]</v>
      </c>
      <c r="C38" s="1" t="str">
        <f ca="1">IFERROR(__xludf.DUMMYFUNCTION("""COMPUTED_VALUE"""),"Gautam Budh Nagar")</f>
        <v>Gautam Budh Nagar</v>
      </c>
      <c r="D38" s="1" t="str">
        <f ca="1">IFERROR(__xludf.DUMMYFUNCTION("""COMPUTED_VALUE"""),"Uttar Pradesh")</f>
        <v>Uttar Pradesh</v>
      </c>
      <c r="E38" s="1">
        <f ca="1">IFERROR(__xludf.DUMMYFUNCTION("""COMPUTED_VALUE"""),49.02)</f>
        <v>49.02</v>
      </c>
      <c r="F38" s="1">
        <f ca="1">IFERROR(__xludf.DUMMYFUNCTION("""COMPUTED_VALUE"""),37)</f>
        <v>37</v>
      </c>
    </row>
    <row r="39" spans="1:6">
      <c r="A39" s="1" t="str">
        <f ca="1">IFERROR(__xludf.DUMMYFUNCTION("""COMPUTED_VALUE"""),"IR-O-U-0037")</f>
        <v>IR-O-U-0037</v>
      </c>
      <c r="B39" s="1" t="str">
        <f ca="1">IFERROR(__xludf.DUMMYFUNCTION("""COMPUTED_VALUE"""),"Sri Venkateswara University
More DetailsClose | 
[TABLE]")</f>
        <v>Sri Venkateswara University
More DetailsClose | 
[TABLE]</v>
      </c>
      <c r="C39" s="1" t="str">
        <f ca="1">IFERROR(__xludf.DUMMYFUNCTION("""COMPUTED_VALUE"""),"Tirupati")</f>
        <v>Tirupati</v>
      </c>
      <c r="D39" s="1" t="str">
        <f ca="1">IFERROR(__xludf.DUMMYFUNCTION("""COMPUTED_VALUE"""),"Andhra Pradesh")</f>
        <v>Andhra Pradesh</v>
      </c>
      <c r="E39" s="1">
        <f ca="1">IFERROR(__xludf.DUMMYFUNCTION("""COMPUTED_VALUE"""),48.84)</f>
        <v>48.84</v>
      </c>
      <c r="F39" s="1">
        <f ca="1">IFERROR(__xludf.DUMMYFUNCTION("""COMPUTED_VALUE"""),38)</f>
        <v>38</v>
      </c>
    </row>
    <row r="40" spans="1:6">
      <c r="A40" s="1" t="str">
        <f ca="1">IFERROR(__xludf.DUMMYFUNCTION("""COMPUTED_VALUE"""),"IR-O-U-0474")</f>
        <v>IR-O-U-0474</v>
      </c>
      <c r="B40" s="1" t="str">
        <f ca="1">IFERROR(__xludf.DUMMYFUNCTION("""COMPUTED_VALUE"""),"Sathyabama Institute of Science and Technology
More DetailsClose | 
[TABLE]")</f>
        <v>Sathyabama Institute of Science and Technology
More DetailsClose | 
[TABLE]</v>
      </c>
      <c r="C40" s="1" t="str">
        <f ca="1">IFERROR(__xludf.DUMMYFUNCTION("""COMPUTED_VALUE"""),"Chennai")</f>
        <v>Chennai</v>
      </c>
      <c r="D40" s="1" t="str">
        <f ca="1">IFERROR(__xludf.DUMMYFUNCTION("""COMPUTED_VALUE"""),"Tamil Nadu")</f>
        <v>Tamil Nadu</v>
      </c>
      <c r="E40" s="1">
        <f ca="1">IFERROR(__xludf.DUMMYFUNCTION("""COMPUTED_VALUE"""),48.77)</f>
        <v>48.77</v>
      </c>
      <c r="F40" s="1">
        <f ca="1">IFERROR(__xludf.DUMMYFUNCTION("""COMPUTED_VALUE"""),39)</f>
        <v>39</v>
      </c>
    </row>
    <row r="41" spans="1:6">
      <c r="A41" s="1" t="str">
        <f ca="1">IFERROR(__xludf.DUMMYFUNCTION("""COMPUTED_VALUE"""),"IR-O-U-0056")</f>
        <v>IR-O-U-0056</v>
      </c>
      <c r="B41" s="1" t="str">
        <f ca="1">IFERROR(__xludf.DUMMYFUNCTION("""COMPUTED_VALUE"""),"Tezpur University
More DetailsClose | 
[TABLE]")</f>
        <v>Tezpur University
More DetailsClose | 
[TABLE]</v>
      </c>
      <c r="C41" s="1" t="str">
        <f ca="1">IFERROR(__xludf.DUMMYFUNCTION("""COMPUTED_VALUE"""),"Tezpur")</f>
        <v>Tezpur</v>
      </c>
      <c r="D41" s="1" t="str">
        <f ca="1">IFERROR(__xludf.DUMMYFUNCTION("""COMPUTED_VALUE"""),"Assam")</f>
        <v>Assam</v>
      </c>
      <c r="E41" s="1">
        <f ca="1">IFERROR(__xludf.DUMMYFUNCTION("""COMPUTED_VALUE"""),48.77)</f>
        <v>48.77</v>
      </c>
      <c r="F41" s="1">
        <f ca="1">IFERROR(__xludf.DUMMYFUNCTION("""COMPUTED_VALUE"""),39)</f>
        <v>39</v>
      </c>
    </row>
    <row r="42" spans="1:6">
      <c r="A42" s="1" t="str">
        <f ca="1">IFERROR(__xludf.DUMMYFUNCTION("""COMPUTED_VALUE"""),"IR-O-U-0020")</f>
        <v>IR-O-U-0020</v>
      </c>
      <c r="B42" s="1" t="str">
        <f ca="1">IFERROR(__xludf.DUMMYFUNCTION("""COMPUTED_VALUE"""),"Koneru Lakshmaiah Education Foundation University
More DetailsClose | 
[TABLE]")</f>
        <v>Koneru Lakshmaiah Education Foundation University
More DetailsClose | 
[TABLE]</v>
      </c>
      <c r="C42" s="1" t="str">
        <f ca="1">IFERROR(__xludf.DUMMYFUNCTION("""COMPUTED_VALUE"""),"Vaddeswaram")</f>
        <v>Vaddeswaram</v>
      </c>
      <c r="D42" s="1" t="str">
        <f ca="1">IFERROR(__xludf.DUMMYFUNCTION("""COMPUTED_VALUE"""),"Andhra Pradesh")</f>
        <v>Andhra Pradesh</v>
      </c>
      <c r="E42" s="1">
        <f ca="1">IFERROR(__xludf.DUMMYFUNCTION("""COMPUTED_VALUE"""),48.73)</f>
        <v>48.73</v>
      </c>
      <c r="F42" s="1">
        <f ca="1">IFERROR(__xludf.DUMMYFUNCTION("""COMPUTED_VALUE"""),41)</f>
        <v>41</v>
      </c>
    </row>
    <row r="43" spans="1:6">
      <c r="A43" s="1" t="str">
        <f ca="1">IFERROR(__xludf.DUMMYFUNCTION("""COMPUTED_VALUE"""),"IR-O-I-1441")</f>
        <v>IR-O-I-1441</v>
      </c>
      <c r="B43" s="1" t="str">
        <f ca="1">IFERROR(__xludf.DUMMYFUNCTION("""COMPUTED_VALUE"""),"Saveetha Institute of Medical and Technical Sciences
More DetailsClose | 
[TABLE]")</f>
        <v>Saveetha Institute of Medical and Technical Sciences
More DetailsClose | 
[TABLE]</v>
      </c>
      <c r="C43" s="1" t="str">
        <f ca="1">IFERROR(__xludf.DUMMYFUNCTION("""COMPUTED_VALUE"""),"Chennai")</f>
        <v>Chennai</v>
      </c>
      <c r="D43" s="1" t="str">
        <f ca="1">IFERROR(__xludf.DUMMYFUNCTION("""COMPUTED_VALUE"""),"Tamil Nadu")</f>
        <v>Tamil Nadu</v>
      </c>
      <c r="E43" s="1">
        <f ca="1">IFERROR(__xludf.DUMMYFUNCTION("""COMPUTED_VALUE"""),48.56)</f>
        <v>48.56</v>
      </c>
      <c r="F43" s="1">
        <f ca="1">IFERROR(__xludf.DUMMYFUNCTION("""COMPUTED_VALUE"""),42)</f>
        <v>42</v>
      </c>
    </row>
    <row r="44" spans="1:6">
      <c r="A44" s="1" t="str">
        <f ca="1">IFERROR(__xludf.DUMMYFUNCTION("""COMPUTED_VALUE"""),"IR-O-U-0329")</f>
        <v>IR-O-U-0329</v>
      </c>
      <c r="B44" s="1" t="str">
        <f ca="1">IFERROR(__xludf.DUMMYFUNCTION("""COMPUTED_VALUE"""),"Symbiosis International
More DetailsClose | 
[TABLE]")</f>
        <v>Symbiosis International
More DetailsClose | 
[TABLE]</v>
      </c>
      <c r="C44" s="1" t="str">
        <f ca="1">IFERROR(__xludf.DUMMYFUNCTION("""COMPUTED_VALUE"""),"Pune")</f>
        <v>Pune</v>
      </c>
      <c r="D44" s="1" t="str">
        <f ca="1">IFERROR(__xludf.DUMMYFUNCTION("""COMPUTED_VALUE"""),"Maharashtra")</f>
        <v>Maharashtra</v>
      </c>
      <c r="E44" s="1">
        <f ca="1">IFERROR(__xludf.DUMMYFUNCTION("""COMPUTED_VALUE"""),48.35)</f>
        <v>48.35</v>
      </c>
      <c r="F44" s="1">
        <f ca="1">IFERROR(__xludf.DUMMYFUNCTION("""COMPUTED_VALUE"""),43)</f>
        <v>43</v>
      </c>
    </row>
    <row r="45" spans="1:6">
      <c r="A45" s="1" t="str">
        <f ca="1">IFERROR(__xludf.DUMMYFUNCTION("""COMPUTED_VALUE"""),"IR-O-U-0136")</f>
        <v>IR-O-U-0136</v>
      </c>
      <c r="B45" s="1" t="str">
        <f ca="1">IFERROR(__xludf.DUMMYFUNCTION("""COMPUTED_VALUE"""),"Gujarat University
More DetailsClose | 
[TABLE]")</f>
        <v>Gujarat University
More DetailsClose | 
[TABLE]</v>
      </c>
      <c r="C45" s="1" t="str">
        <f ca="1">IFERROR(__xludf.DUMMYFUNCTION("""COMPUTED_VALUE"""),"Ahmedabad")</f>
        <v>Ahmedabad</v>
      </c>
      <c r="D45" s="1" t="str">
        <f ca="1">IFERROR(__xludf.DUMMYFUNCTION("""COMPUTED_VALUE"""),"Gujarat")</f>
        <v>Gujarat</v>
      </c>
      <c r="E45" s="1">
        <f ca="1">IFERROR(__xludf.DUMMYFUNCTION("""COMPUTED_VALUE"""),48.21)</f>
        <v>48.21</v>
      </c>
      <c r="F45" s="1">
        <f ca="1">IFERROR(__xludf.DUMMYFUNCTION("""COMPUTED_VALUE"""),44)</f>
        <v>44</v>
      </c>
    </row>
    <row r="46" spans="1:6">
      <c r="A46" s="1" t="str">
        <f ca="1">IFERROR(__xludf.DUMMYFUNCTION("""COMPUTED_VALUE"""),"IR-O-U-0098")</f>
        <v>IR-O-U-0098</v>
      </c>
      <c r="B46" s="1" t="str">
        <f ca="1">IFERROR(__xludf.DUMMYFUNCTION("""COMPUTED_VALUE"""),"Delhi Technological University
More DetailsClose | 
[TABLE]")</f>
        <v>Delhi Technological University
More DetailsClose | 
[TABLE]</v>
      </c>
      <c r="C46" s="1" t="str">
        <f ca="1">IFERROR(__xludf.DUMMYFUNCTION("""COMPUTED_VALUE"""),"New Delhi")</f>
        <v>New Delhi</v>
      </c>
      <c r="D46" s="1" t="str">
        <f ca="1">IFERROR(__xludf.DUMMYFUNCTION("""COMPUTED_VALUE"""),"Delhi")</f>
        <v>Delhi</v>
      </c>
      <c r="E46" s="1">
        <f ca="1">IFERROR(__xludf.DUMMYFUNCTION("""COMPUTED_VALUE"""),48.06)</f>
        <v>48.06</v>
      </c>
      <c r="F46" s="1">
        <f ca="1">IFERROR(__xludf.DUMMYFUNCTION("""COMPUTED_VALUE"""),45)</f>
        <v>45</v>
      </c>
    </row>
    <row r="47" spans="1:6">
      <c r="A47" s="1" t="str">
        <f ca="1">IFERROR(__xludf.DUMMYFUNCTION("""COMPUTED_VALUE"""),"IR-O-I-1110")</f>
        <v>IR-O-I-1110</v>
      </c>
      <c r="B47" s="1" t="str">
        <f ca="1">IFERROR(__xludf.DUMMYFUNCTION("""COMPUTED_VALUE"""),"Dr. D. Y. Patil Vidyapeeth
More DetailsClose | 
[TABLE]")</f>
        <v>Dr. D. Y. Patil Vidyapeeth
More DetailsClose | 
[TABLE]</v>
      </c>
      <c r="C47" s="1" t="str">
        <f ca="1">IFERROR(__xludf.DUMMYFUNCTION("""COMPUTED_VALUE"""),"Pune")</f>
        <v>Pune</v>
      </c>
      <c r="D47" s="1" t="str">
        <f ca="1">IFERROR(__xludf.DUMMYFUNCTION("""COMPUTED_VALUE"""),"Maharashtra")</f>
        <v>Maharashtra</v>
      </c>
      <c r="E47" s="1">
        <f ca="1">IFERROR(__xludf.DUMMYFUNCTION("""COMPUTED_VALUE"""),47.92)</f>
        <v>47.92</v>
      </c>
      <c r="F47" s="1">
        <f ca="1">IFERROR(__xludf.DUMMYFUNCTION("""COMPUTED_VALUE"""),46)</f>
        <v>46</v>
      </c>
    </row>
    <row r="48" spans="1:6">
      <c r="A48" s="1" t="str">
        <f ca="1">IFERROR(__xludf.DUMMYFUNCTION("""COMPUTED_VALUE"""),"IR-O-U-0052")</f>
        <v>IR-O-U-0052</v>
      </c>
      <c r="B48" s="1" t="str">
        <f ca="1">IFERROR(__xludf.DUMMYFUNCTION("""COMPUTED_VALUE"""),"Gauhati University
More DetailsClose | 
[TABLE]")</f>
        <v>Gauhati University
More DetailsClose | 
[TABLE]</v>
      </c>
      <c r="C48" s="1" t="str">
        <f ca="1">IFERROR(__xludf.DUMMYFUNCTION("""COMPUTED_VALUE"""),"Guwahati")</f>
        <v>Guwahati</v>
      </c>
      <c r="D48" s="1" t="str">
        <f ca="1">IFERROR(__xludf.DUMMYFUNCTION("""COMPUTED_VALUE"""),"Assam")</f>
        <v>Assam</v>
      </c>
      <c r="E48" s="1">
        <f ca="1">IFERROR(__xludf.DUMMYFUNCTION("""COMPUTED_VALUE"""),47.1)</f>
        <v>47.1</v>
      </c>
      <c r="F48" s="1">
        <f ca="1">IFERROR(__xludf.DUMMYFUNCTION("""COMPUTED_VALUE"""),47)</f>
        <v>47</v>
      </c>
    </row>
    <row r="49" spans="1:6">
      <c r="A49" s="1" t="str">
        <f ca="1">IFERROR(__xludf.DUMMYFUNCTION("""COMPUTED_VALUE"""),"IR-O-U-0196")</f>
        <v>IR-O-U-0196</v>
      </c>
      <c r="B49" s="1" t="str">
        <f ca="1">IFERROR(__xludf.DUMMYFUNCTION("""COMPUTED_VALUE"""),"University of Kashmir
More DetailsClose | 
[TABLE]")</f>
        <v>University of Kashmir
More DetailsClose | 
[TABLE]</v>
      </c>
      <c r="C49" s="1" t="str">
        <f ca="1">IFERROR(__xludf.DUMMYFUNCTION("""COMPUTED_VALUE"""),"Srinagar")</f>
        <v>Srinagar</v>
      </c>
      <c r="D49" s="1" t="str">
        <f ca="1">IFERROR(__xludf.DUMMYFUNCTION("""COMPUTED_VALUE"""),"Jammu and Kashmir")</f>
        <v>Jammu and Kashmir</v>
      </c>
      <c r="E49" s="1">
        <f ca="1">IFERROR(__xludf.DUMMYFUNCTION("""COMPUTED_VALUE"""),46.99)</f>
        <v>46.99</v>
      </c>
      <c r="F49" s="1">
        <f ca="1">IFERROR(__xludf.DUMMYFUNCTION("""COMPUTED_VALUE"""),48)</f>
        <v>48</v>
      </c>
    </row>
    <row r="50" spans="1:6">
      <c r="A50" s="1" t="str">
        <f ca="1">IFERROR(__xludf.DUMMYFUNCTION("""COMPUTED_VALUE"""),"IR-O-U-0341")</f>
        <v>IR-O-U-0341</v>
      </c>
      <c r="B50" s="1" t="str">
        <f ca="1">IFERROR(__xludf.DUMMYFUNCTION("""COMPUTED_VALUE"""),"North Eastern Hill University
More DetailsClose | 
[TABLE]")</f>
        <v>North Eastern Hill University
More DetailsClose | 
[TABLE]</v>
      </c>
      <c r="C50" s="1" t="str">
        <f ca="1">IFERROR(__xludf.DUMMYFUNCTION("""COMPUTED_VALUE"""),"Shillong")</f>
        <v>Shillong</v>
      </c>
      <c r="D50" s="1" t="str">
        <f ca="1">IFERROR(__xludf.DUMMYFUNCTION("""COMPUTED_VALUE"""),"Meghalaya")</f>
        <v>Meghalaya</v>
      </c>
      <c r="E50" s="1">
        <f ca="1">IFERROR(__xludf.DUMMYFUNCTION("""COMPUTED_VALUE"""),46.88)</f>
        <v>46.88</v>
      </c>
      <c r="F50" s="1">
        <f ca="1">IFERROR(__xludf.DUMMYFUNCTION("""COMPUTED_VALUE"""),49)</f>
        <v>49</v>
      </c>
    </row>
    <row r="51" spans="1:6">
      <c r="A51" s="1" t="str">
        <f ca="1">IFERROR(__xludf.DUMMYFUNCTION("""COMPUTED_VALUE"""),"IR-O-U-0589")</f>
        <v>IR-O-U-0589</v>
      </c>
      <c r="B51" s="1" t="str">
        <f ca="1">IFERROR(__xludf.DUMMYFUNCTION("""COMPUTED_VALUE"""),"Visva Bharati
More DetailsClose | 
[TABLE]")</f>
        <v>Visva Bharati
More DetailsClose | 
[TABLE]</v>
      </c>
      <c r="C51" s="1" t="str">
        <f ca="1">IFERROR(__xludf.DUMMYFUNCTION("""COMPUTED_VALUE"""),"Santiniketan")</f>
        <v>Santiniketan</v>
      </c>
      <c r="D51" s="1" t="str">
        <f ca="1">IFERROR(__xludf.DUMMYFUNCTION("""COMPUTED_VALUE"""),"West Bengal")</f>
        <v>West Bengal</v>
      </c>
      <c r="E51" s="1">
        <f ca="1">IFERROR(__xludf.DUMMYFUNCTION("""COMPUTED_VALUE"""),46.84)</f>
        <v>46.84</v>
      </c>
      <c r="F51" s="1">
        <f ca="1">IFERROR(__xludf.DUMMYFUNCTION("""COMPUTED_VALUE"""),50)</f>
        <v>50</v>
      </c>
    </row>
    <row r="52" spans="1:6">
      <c r="A52" s="1" t="str">
        <f ca="1">IFERROR(__xludf.DUMMYFUNCTION("""COMPUTED_VALUE"""),"IR-O-U-0376")</f>
        <v>IR-O-U-0376</v>
      </c>
      <c r="B52" s="1" t="str">
        <f ca="1">IFERROR(__xludf.DUMMYFUNCTION("""COMPUTED_VALUE"""),"Guru Nanak Dev University
More DetailsClose | 
[TABLE]")</f>
        <v>Guru Nanak Dev University
More DetailsClose | 
[TABLE]</v>
      </c>
      <c r="C52" s="1" t="str">
        <f ca="1">IFERROR(__xludf.DUMMYFUNCTION("""COMPUTED_VALUE"""),"Amritsar")</f>
        <v>Amritsar</v>
      </c>
      <c r="D52" s="1" t="str">
        <f ca="1">IFERROR(__xludf.DUMMYFUNCTION("""COMPUTED_VALUE"""),"Punjab")</f>
        <v>Punjab</v>
      </c>
      <c r="E52" s="1">
        <f ca="1">IFERROR(__xludf.DUMMYFUNCTION("""COMPUTED_VALUE"""),46.58)</f>
        <v>46.58</v>
      </c>
      <c r="F52" s="1">
        <f ca="1">IFERROR(__xludf.DUMMYFUNCTION("""COMPUTED_VALUE"""),51)</f>
        <v>51</v>
      </c>
    </row>
    <row r="53" spans="1:6">
      <c r="A53" s="1" t="str">
        <f ca="1">IFERROR(__xludf.DUMMYFUNCTION("""COMPUTED_VALUE"""),"IR-O-U-0195")</f>
        <v>IR-O-U-0195</v>
      </c>
      <c r="B53" s="1" t="str">
        <f ca="1">IFERROR(__xludf.DUMMYFUNCTION("""COMPUTED_VALUE"""),"University of Jammu
More DetailsClose | 
[TABLE]")</f>
        <v>University of Jammu
More DetailsClose | 
[TABLE]</v>
      </c>
      <c r="C53" s="1" t="str">
        <f ca="1">IFERROR(__xludf.DUMMYFUNCTION("""COMPUTED_VALUE"""),"Jammu")</f>
        <v>Jammu</v>
      </c>
      <c r="D53" s="1" t="str">
        <f ca="1">IFERROR(__xludf.DUMMYFUNCTION("""COMPUTED_VALUE"""),"Jammu and Kashmir")</f>
        <v>Jammu and Kashmir</v>
      </c>
      <c r="E53" s="1">
        <f ca="1">IFERROR(__xludf.DUMMYFUNCTION("""COMPUTED_VALUE"""),46.55)</f>
        <v>46.55</v>
      </c>
      <c r="F53" s="1">
        <f ca="1">IFERROR(__xludf.DUMMYFUNCTION("""COMPUTED_VALUE"""),52)</f>
        <v>52</v>
      </c>
    </row>
    <row r="54" spans="1:6">
      <c r="A54" s="1" t="str">
        <f ca="1">IFERROR(__xludf.DUMMYFUNCTION("""COMPUTED_VALUE"""),"IR-O-U-0448")</f>
        <v>IR-O-U-0448</v>
      </c>
      <c r="B54" s="1" t="str">
        <f ca="1">IFERROR(__xludf.DUMMYFUNCTION("""COMPUTED_VALUE"""),"Bharathidasan University
More DetailsClose | 
[TABLE]")</f>
        <v>Bharathidasan University
More DetailsClose | 
[TABLE]</v>
      </c>
      <c r="C54" s="1" t="str">
        <f ca="1">IFERROR(__xludf.DUMMYFUNCTION("""COMPUTED_VALUE"""),"Tiruchirappalli")</f>
        <v>Tiruchirappalli</v>
      </c>
      <c r="D54" s="1" t="str">
        <f ca="1">IFERROR(__xludf.DUMMYFUNCTION("""COMPUTED_VALUE"""),"Tamil Nadu")</f>
        <v>Tamil Nadu</v>
      </c>
      <c r="E54" s="1">
        <f ca="1">IFERROR(__xludf.DUMMYFUNCTION("""COMPUTED_VALUE"""),46.41)</f>
        <v>46.41</v>
      </c>
      <c r="F54" s="1">
        <f ca="1">IFERROR(__xludf.DUMMYFUNCTION("""COMPUTED_VALUE"""),53)</f>
        <v>53</v>
      </c>
    </row>
    <row r="55" spans="1:6">
      <c r="A55" s="1" t="str">
        <f ca="1">IFERROR(__xludf.DUMMYFUNCTION("""COMPUTED_VALUE"""),"IR-O-U-0251")</f>
        <v>IR-O-U-0251</v>
      </c>
      <c r="B55" s="1" t="str">
        <f ca="1">IFERROR(__xludf.DUMMYFUNCTION("""COMPUTED_VALUE"""),"Calicut University
More DetailsClose | 
[TABLE]")</f>
        <v>Calicut University
More DetailsClose | 
[TABLE]</v>
      </c>
      <c r="C55" s="1" t="str">
        <f ca="1">IFERROR(__xludf.DUMMYFUNCTION("""COMPUTED_VALUE"""),"Malappuram")</f>
        <v>Malappuram</v>
      </c>
      <c r="D55" s="1" t="str">
        <f ca="1">IFERROR(__xludf.DUMMYFUNCTION("""COMPUTED_VALUE"""),"Kerala")</f>
        <v>Kerala</v>
      </c>
      <c r="E55" s="1">
        <f ca="1">IFERROR(__xludf.DUMMYFUNCTION("""COMPUTED_VALUE"""),46.37)</f>
        <v>46.37</v>
      </c>
      <c r="F55" s="1">
        <f ca="1">IFERROR(__xludf.DUMMYFUNCTION("""COMPUTED_VALUE"""),54)</f>
        <v>54</v>
      </c>
    </row>
    <row r="56" spans="1:6">
      <c r="A56" s="1" t="str">
        <f ca="1">IFERROR(__xludf.DUMMYFUNCTION("""COMPUTED_VALUE"""),"IR-O-U-0389")</f>
        <v>IR-O-U-0389</v>
      </c>
      <c r="B56" s="1" t="str">
        <f ca="1">IFERROR(__xludf.DUMMYFUNCTION("""COMPUTED_VALUE"""),"Banasthali Vidyapith
More DetailsClose | 
[TABLE]")</f>
        <v>Banasthali Vidyapith
More DetailsClose | 
[TABLE]</v>
      </c>
      <c r="C56" s="1" t="str">
        <f ca="1">IFERROR(__xludf.DUMMYFUNCTION("""COMPUTED_VALUE"""),"Banasthali")</f>
        <v>Banasthali</v>
      </c>
      <c r="D56" s="1" t="str">
        <f ca="1">IFERROR(__xludf.DUMMYFUNCTION("""COMPUTED_VALUE"""),"Rajasthan")</f>
        <v>Rajasthan</v>
      </c>
      <c r="E56" s="1">
        <f ca="1">IFERROR(__xludf.DUMMYFUNCTION("""COMPUTED_VALUE"""),46.32)</f>
        <v>46.32</v>
      </c>
      <c r="F56" s="1">
        <f ca="1">IFERROR(__xludf.DUMMYFUNCTION("""COMPUTED_VALUE"""),55)</f>
        <v>55</v>
      </c>
    </row>
    <row r="57" spans="1:6">
      <c r="A57" s="1" t="str">
        <f ca="1">IFERROR(__xludf.DUMMYFUNCTION("""COMPUTED_VALUE"""),"IR-O-U-0642")</f>
        <v>IR-O-U-0642</v>
      </c>
      <c r="B57" s="1" t="str">
        <f ca="1">IFERROR(__xludf.DUMMYFUNCTION("""COMPUTED_VALUE"""),"Shiv Nadar University
More DetailsClose | 
[TABLE]")</f>
        <v>Shiv Nadar University
More DetailsClose | 
[TABLE]</v>
      </c>
      <c r="C57" s="1" t="str">
        <f ca="1">IFERROR(__xludf.DUMMYFUNCTION("""COMPUTED_VALUE"""),"Dadri")</f>
        <v>Dadri</v>
      </c>
      <c r="D57" s="1" t="str">
        <f ca="1">IFERROR(__xludf.DUMMYFUNCTION("""COMPUTED_VALUE"""),"Uttar Pradesh")</f>
        <v>Uttar Pradesh</v>
      </c>
      <c r="E57" s="1">
        <f ca="1">IFERROR(__xludf.DUMMYFUNCTION("""COMPUTED_VALUE"""),46.11)</f>
        <v>46.11</v>
      </c>
      <c r="F57" s="1">
        <f ca="1">IFERROR(__xludf.DUMMYFUNCTION("""COMPUTED_VALUE"""),56)</f>
        <v>56</v>
      </c>
    </row>
    <row r="58" spans="1:6">
      <c r="A58" s="1" t="str">
        <f ca="1">IFERROR(__xludf.DUMMYFUNCTION("""COMPUTED_VALUE"""),"IR-O-N-10")</f>
        <v>IR-O-N-10</v>
      </c>
      <c r="B58" s="1" t="str">
        <f ca="1">IFERROR(__xludf.DUMMYFUNCTION("""COMPUTED_VALUE"""),"SVKM`s Narsee Monjee Institute of Management Studies 
More DetailsClose | 
[TABLE]")</f>
        <v>SVKM`s Narsee Monjee Institute of Management Studies 
More DetailsClose | 
[TABLE]</v>
      </c>
      <c r="C58" s="1" t="str">
        <f ca="1">IFERROR(__xludf.DUMMYFUNCTION("""COMPUTED_VALUE"""),"Mumbai")</f>
        <v>Mumbai</v>
      </c>
      <c r="D58" s="1" t="str">
        <f ca="1">IFERROR(__xludf.DUMMYFUNCTION("""COMPUTED_VALUE"""),"Maharashtra")</f>
        <v>Maharashtra</v>
      </c>
      <c r="E58" s="1">
        <f ca="1">IFERROR(__xludf.DUMMYFUNCTION("""COMPUTED_VALUE"""),46.01)</f>
        <v>46.01</v>
      </c>
      <c r="F58" s="1">
        <f ca="1">IFERROR(__xludf.DUMMYFUNCTION("""COMPUTED_VALUE"""),57)</f>
        <v>57</v>
      </c>
    </row>
    <row r="59" spans="1:6">
      <c r="A59" s="1" t="str">
        <f ca="1">IFERROR(__xludf.DUMMYFUNCTION("""COMPUTED_VALUE"""),"IR-O-U-0369")</f>
        <v>IR-O-U-0369</v>
      </c>
      <c r="B59" s="1" t="str">
        <f ca="1">IFERROR(__xludf.DUMMYFUNCTION("""COMPUTED_VALUE"""),"Pondicherry University
More DetailsClose | 
[TABLE]")</f>
        <v>Pondicherry University
More DetailsClose | 
[TABLE]</v>
      </c>
      <c r="C59" s="1" t="str">
        <f ca="1">IFERROR(__xludf.DUMMYFUNCTION("""COMPUTED_VALUE"""),"Puducherry")</f>
        <v>Puducherry</v>
      </c>
      <c r="D59" s="1" t="str">
        <f ca="1">IFERROR(__xludf.DUMMYFUNCTION("""COMPUTED_VALUE"""),"Pondicherry")</f>
        <v>Pondicherry</v>
      </c>
      <c r="E59" s="1">
        <f ca="1">IFERROR(__xludf.DUMMYFUNCTION("""COMPUTED_VALUE"""),45.82)</f>
        <v>45.82</v>
      </c>
      <c r="F59" s="1">
        <f ca="1">IFERROR(__xludf.DUMMYFUNCTION("""COMPUTED_VALUE"""),58)</f>
        <v>58</v>
      </c>
    </row>
    <row r="60" spans="1:6">
      <c r="A60" s="1" t="str">
        <f ca="1">IFERROR(__xludf.DUMMYFUNCTION("""COMPUTED_VALUE"""),"IR-O-U-0446")</f>
        <v>IR-O-U-0446</v>
      </c>
      <c r="B60" s="1" t="str">
        <f ca="1">IFERROR(__xludf.DUMMYFUNCTION("""COMPUTED_VALUE"""),"Bharath Institute of Higher Education &amp; Research
More DetailsClose | 
[TABLE]")</f>
        <v>Bharath Institute of Higher Education &amp; Research
More DetailsClose | 
[TABLE]</v>
      </c>
      <c r="C60" s="1" t="str">
        <f ca="1">IFERROR(__xludf.DUMMYFUNCTION("""COMPUTED_VALUE"""),"Chennai")</f>
        <v>Chennai</v>
      </c>
      <c r="D60" s="1" t="str">
        <f ca="1">IFERROR(__xludf.DUMMYFUNCTION("""COMPUTED_VALUE"""),"Tamil Nadu")</f>
        <v>Tamil Nadu</v>
      </c>
      <c r="E60" s="1">
        <f ca="1">IFERROR(__xludf.DUMMYFUNCTION("""COMPUTED_VALUE"""),45.67)</f>
        <v>45.67</v>
      </c>
      <c r="F60" s="1">
        <f ca="1">IFERROR(__xludf.DUMMYFUNCTION("""COMPUTED_VALUE"""),59)</f>
        <v>59</v>
      </c>
    </row>
    <row r="61" spans="1:6">
      <c r="A61" s="1" t="str">
        <f ca="1">IFERROR(__xludf.DUMMYFUNCTION("""COMPUTED_VALUE"""),"IR-O-U-0463")</f>
        <v>IR-O-U-0463</v>
      </c>
      <c r="B61" s="1" t="str">
        <f ca="1">IFERROR(__xludf.DUMMYFUNCTION("""COMPUTED_VALUE"""),"Madurai Kamaraj University
More DetailsClose | 
[TABLE]")</f>
        <v>Madurai Kamaraj University
More DetailsClose | 
[TABLE]</v>
      </c>
      <c r="C61" s="1" t="str">
        <f ca="1">IFERROR(__xludf.DUMMYFUNCTION("""COMPUTED_VALUE"""),"Madurai")</f>
        <v>Madurai</v>
      </c>
      <c r="D61" s="1" t="str">
        <f ca="1">IFERROR(__xludf.DUMMYFUNCTION("""COMPUTED_VALUE"""),"Tamil Nadu")</f>
        <v>Tamil Nadu</v>
      </c>
      <c r="E61" s="1">
        <f ca="1">IFERROR(__xludf.DUMMYFUNCTION("""COMPUTED_VALUE"""),45.58)</f>
        <v>45.58</v>
      </c>
      <c r="F61" s="1">
        <f ca="1">IFERROR(__xludf.DUMMYFUNCTION("""COMPUTED_VALUE"""),60)</f>
        <v>60</v>
      </c>
    </row>
    <row r="62" spans="1:6">
      <c r="A62" s="1" t="str">
        <f ca="1">IFERROR(__xludf.DUMMYFUNCTION("""COMPUTED_VALUE"""),"IR-O-U-0295")</f>
        <v>IR-O-U-0295</v>
      </c>
      <c r="B62" s="1" t="str">
        <f ca="1">IFERROR(__xludf.DUMMYFUNCTION("""COMPUTED_VALUE"""),"Datta Meghe Institute of Medical Sciences
More DetailsClose | 
[TABLE]")</f>
        <v>Datta Meghe Institute of Medical Sciences
More DetailsClose | 
[TABLE]</v>
      </c>
      <c r="C62" s="1" t="str">
        <f ca="1">IFERROR(__xludf.DUMMYFUNCTION("""COMPUTED_VALUE"""),"Wardha")</f>
        <v>Wardha</v>
      </c>
      <c r="D62" s="1" t="str">
        <f ca="1">IFERROR(__xludf.DUMMYFUNCTION("""COMPUTED_VALUE"""),"Maharashtra")</f>
        <v>Maharashtra</v>
      </c>
      <c r="E62" s="1">
        <f ca="1">IFERROR(__xludf.DUMMYFUNCTION("""COMPUTED_VALUE"""),45.24)</f>
        <v>45.24</v>
      </c>
      <c r="F62" s="1">
        <f ca="1">IFERROR(__xludf.DUMMYFUNCTION("""COMPUTED_VALUE"""),61)</f>
        <v>61</v>
      </c>
    </row>
    <row r="63" spans="1:6">
      <c r="A63" s="1" t="str">
        <f ca="1">IFERROR(__xludf.DUMMYFUNCTION("""COMPUTED_VALUE"""),"IR-O-U-0253")</f>
        <v>IR-O-U-0253</v>
      </c>
      <c r="B63" s="1" t="str">
        <f ca="1">IFERROR(__xludf.DUMMYFUNCTION("""COMPUTED_VALUE"""),"Cochin University of Science and Technology
More DetailsClose | 
[TABLE]")</f>
        <v>Cochin University of Science and Technology
More DetailsClose | 
[TABLE]</v>
      </c>
      <c r="C63" s="1" t="str">
        <f ca="1">IFERROR(__xludf.DUMMYFUNCTION("""COMPUTED_VALUE"""),"Cochin")</f>
        <v>Cochin</v>
      </c>
      <c r="D63" s="1" t="str">
        <f ca="1">IFERROR(__xludf.DUMMYFUNCTION("""COMPUTED_VALUE"""),"Kerala")</f>
        <v>Kerala</v>
      </c>
      <c r="E63" s="1">
        <f ca="1">IFERROR(__xludf.DUMMYFUNCTION("""COMPUTED_VALUE"""),45.02)</f>
        <v>45.02</v>
      </c>
      <c r="F63" s="1">
        <f ca="1">IFERROR(__xludf.DUMMYFUNCTION("""COMPUTED_VALUE"""),62)</f>
        <v>62</v>
      </c>
    </row>
    <row r="64" spans="1:6">
      <c r="A64" s="1" t="str">
        <f ca="1">IFERROR(__xludf.DUMMYFUNCTION("""COMPUTED_VALUE"""),"IR-O-I-1361")</f>
        <v>IR-O-I-1361</v>
      </c>
      <c r="B64" s="1" t="str">
        <f ca="1">IFERROR(__xludf.DUMMYFUNCTION("""COMPUTED_VALUE"""),"Bharati Vidyapeeth
More DetailsClose | 
[TABLE]")</f>
        <v>Bharati Vidyapeeth
More DetailsClose | 
[TABLE]</v>
      </c>
      <c r="C64" s="1" t="str">
        <f ca="1">IFERROR(__xludf.DUMMYFUNCTION("""COMPUTED_VALUE"""),"Pune")</f>
        <v>Pune</v>
      </c>
      <c r="D64" s="1" t="str">
        <f ca="1">IFERROR(__xludf.DUMMYFUNCTION("""COMPUTED_VALUE"""),"Maharashtra")</f>
        <v>Maharashtra</v>
      </c>
      <c r="E64" s="1">
        <f ca="1">IFERROR(__xludf.DUMMYFUNCTION("""COMPUTED_VALUE"""),44.84)</f>
        <v>44.84</v>
      </c>
      <c r="F64" s="1">
        <f ca="1">IFERROR(__xludf.DUMMYFUNCTION("""COMPUTED_VALUE"""),63)</f>
        <v>63</v>
      </c>
    </row>
    <row r="65" spans="1:6">
      <c r="A65" s="1" t="str">
        <f ca="1">IFERROR(__xludf.DUMMYFUNCTION("""COMPUTED_VALUE"""),"IR-O-U-0383")</f>
        <v>IR-O-U-0383</v>
      </c>
      <c r="B65" s="1" t="str">
        <f ca="1">IFERROR(__xludf.DUMMYFUNCTION("""COMPUTED_VALUE"""),"Punjabi University
More DetailsClose | 
[TABLE]")</f>
        <v>Punjabi University
More DetailsClose | 
[TABLE]</v>
      </c>
      <c r="C65" s="1" t="str">
        <f ca="1">IFERROR(__xludf.DUMMYFUNCTION("""COMPUTED_VALUE"""),"Patiala")</f>
        <v>Patiala</v>
      </c>
      <c r="D65" s="1" t="str">
        <f ca="1">IFERROR(__xludf.DUMMYFUNCTION("""COMPUTED_VALUE"""),"Punjab")</f>
        <v>Punjab</v>
      </c>
      <c r="E65" s="1">
        <f ca="1">IFERROR(__xludf.DUMMYFUNCTION("""COMPUTED_VALUE"""),44.07)</f>
        <v>44.07</v>
      </c>
      <c r="F65" s="1">
        <f ca="1">IFERROR(__xludf.DUMMYFUNCTION("""COMPUTED_VALUE"""),64)</f>
        <v>64</v>
      </c>
    </row>
    <row r="66" spans="1:6">
      <c r="A66" s="1" t="str">
        <f ca="1">IFERROR(__xludf.DUMMYFUNCTION("""COMPUTED_VALUE"""),"IR-O-U-0318")</f>
        <v>IR-O-U-0318</v>
      </c>
      <c r="B66" s="1" t="str">
        <f ca="1">IFERROR(__xludf.DUMMYFUNCTION("""COMPUTED_VALUE"""),"Mumbai University
More DetailsClose | 
[TABLE]")</f>
        <v>Mumbai University
More DetailsClose | 
[TABLE]</v>
      </c>
      <c r="C66" s="1" t="str">
        <f ca="1">IFERROR(__xludf.DUMMYFUNCTION("""COMPUTED_VALUE"""),"Mumbai")</f>
        <v>Mumbai</v>
      </c>
      <c r="D66" s="1" t="str">
        <f ca="1">IFERROR(__xludf.DUMMYFUNCTION("""COMPUTED_VALUE"""),"Maharashtra")</f>
        <v>Maharashtra</v>
      </c>
      <c r="E66" s="1">
        <f ca="1">IFERROR(__xludf.DUMMYFUNCTION("""COMPUTED_VALUE"""),44)</f>
        <v>44</v>
      </c>
      <c r="F66" s="1">
        <f ca="1">IFERROR(__xludf.DUMMYFUNCTION("""COMPUTED_VALUE"""),65)</f>
        <v>65</v>
      </c>
    </row>
    <row r="67" spans="1:6">
      <c r="A67" s="1" t="str">
        <f ca="1">IFERROR(__xludf.DUMMYFUNCTION("""COMPUTED_VALUE"""),"IR-O-U-0202")</f>
        <v>IR-O-U-0202</v>
      </c>
      <c r="B67" s="1" t="str">
        <f ca="1">IFERROR(__xludf.DUMMYFUNCTION("""COMPUTED_VALUE"""),"Birla Institute of Technology
More DetailsClose | 
[TABLE]")</f>
        <v>Birla Institute of Technology
More DetailsClose | 
[TABLE]</v>
      </c>
      <c r="C67" s="1" t="str">
        <f ca="1">IFERROR(__xludf.DUMMYFUNCTION("""COMPUTED_VALUE"""),"Ranchi")</f>
        <v>Ranchi</v>
      </c>
      <c r="D67" s="1" t="str">
        <f ca="1">IFERROR(__xludf.DUMMYFUNCTION("""COMPUTED_VALUE"""),"Jharkhand")</f>
        <v>Jharkhand</v>
      </c>
      <c r="E67" s="1">
        <f ca="1">IFERROR(__xludf.DUMMYFUNCTION("""COMPUTED_VALUE"""),43.5)</f>
        <v>43.5</v>
      </c>
      <c r="F67" s="1">
        <f ca="1">IFERROR(__xludf.DUMMYFUNCTION("""COMPUTED_VALUE"""),66)</f>
        <v>66</v>
      </c>
    </row>
    <row r="68" spans="1:6">
      <c r="A68" s="1" t="str">
        <f ca="1">IFERROR(__xludf.DUMMYFUNCTION("""COMPUTED_VALUE"""),"IR-O-U-0345")</f>
        <v>IR-O-U-0345</v>
      </c>
      <c r="B68" s="1" t="str">
        <f ca="1">IFERROR(__xludf.DUMMYFUNCTION("""COMPUTED_VALUE"""),"Mizoram University
More DetailsClose | 
[TABLE]")</f>
        <v>Mizoram University
More DetailsClose | 
[TABLE]</v>
      </c>
      <c r="C68" s="1" t="str">
        <f ca="1">IFERROR(__xludf.DUMMYFUNCTION("""COMPUTED_VALUE"""),"Aizawl")</f>
        <v>Aizawl</v>
      </c>
      <c r="D68" s="1" t="str">
        <f ca="1">IFERROR(__xludf.DUMMYFUNCTION("""COMPUTED_VALUE"""),"Mizoram")</f>
        <v>Mizoram</v>
      </c>
      <c r="E68" s="1">
        <f ca="1">IFERROR(__xludf.DUMMYFUNCTION("""COMPUTED_VALUE"""),43.49)</f>
        <v>43.49</v>
      </c>
      <c r="F68" s="1">
        <f ca="1">IFERROR(__xludf.DUMMYFUNCTION("""COMPUTED_VALUE"""),67)</f>
        <v>67</v>
      </c>
    </row>
    <row r="69" spans="1:6">
      <c r="A69" s="1" t="str">
        <f ca="1">IFERROR(__xludf.DUMMYFUNCTION("""COMPUTED_VALUE"""),"IR-O-U-0215")</f>
        <v>IR-O-U-0215</v>
      </c>
      <c r="B69" s="1" t="str">
        <f ca="1">IFERROR(__xludf.DUMMYFUNCTION("""COMPUTED_VALUE"""),"Bangalore University
More DetailsClose | 
[TABLE]")</f>
        <v>Bangalore University
More DetailsClose | 
[TABLE]</v>
      </c>
      <c r="C69" s="1" t="str">
        <f ca="1">IFERROR(__xludf.DUMMYFUNCTION("""COMPUTED_VALUE"""),"Bangalore")</f>
        <v>Bangalore</v>
      </c>
      <c r="D69" s="1" t="str">
        <f ca="1">IFERROR(__xludf.DUMMYFUNCTION("""COMPUTED_VALUE"""),"Karnataka")</f>
        <v>Karnataka</v>
      </c>
      <c r="E69" s="1">
        <f ca="1">IFERROR(__xludf.DUMMYFUNCTION("""COMPUTED_VALUE"""),43.33)</f>
        <v>43.33</v>
      </c>
      <c r="F69" s="1">
        <f ca="1">IFERROR(__xludf.DUMMYFUNCTION("""COMPUTED_VALUE"""),68)</f>
        <v>68</v>
      </c>
    </row>
    <row r="70" spans="1:6">
      <c r="A70" s="1" t="str">
        <f ca="1">IFERROR(__xludf.DUMMYFUNCTION("""COMPUTED_VALUE"""),"IR-O-U-0298")</f>
        <v>IR-O-U-0298</v>
      </c>
      <c r="B70" s="1" t="str">
        <f ca="1">IFERROR(__xludf.DUMMYFUNCTION("""COMPUTED_VALUE"""),"Dr. Babasaheb Ambedkar Marathwada University
More DetailsClose | 
[TABLE]")</f>
        <v>Dr. Babasaheb Ambedkar Marathwada University
More DetailsClose | 
[TABLE]</v>
      </c>
      <c r="C70" s="1" t="str">
        <f ca="1">IFERROR(__xludf.DUMMYFUNCTION("""COMPUTED_VALUE"""),"Aurangabad")</f>
        <v>Aurangabad</v>
      </c>
      <c r="D70" s="1" t="str">
        <f ca="1">IFERROR(__xludf.DUMMYFUNCTION("""COMPUTED_VALUE"""),"Maharashtra")</f>
        <v>Maharashtra</v>
      </c>
      <c r="E70" s="1">
        <f ca="1">IFERROR(__xludf.DUMMYFUNCTION("""COMPUTED_VALUE"""),43.12)</f>
        <v>43.12</v>
      </c>
      <c r="F70" s="1">
        <f ca="1">IFERROR(__xludf.DUMMYFUNCTION("""COMPUTED_VALUE"""),69)</f>
        <v>69</v>
      </c>
    </row>
    <row r="71" spans="1:6">
      <c r="A71" s="1" t="str">
        <f ca="1">IFERROR(__xludf.DUMMYFUNCTION("""COMPUTED_VALUE"""),"IR-O-U-0225")</f>
        <v>IR-O-U-0225</v>
      </c>
      <c r="B71" s="1" t="str">
        <f ca="1">IFERROR(__xludf.DUMMYFUNCTION("""COMPUTED_VALUE"""),"KLE Academy of Higher Education and Research
More DetailsClose | 
[TABLE]")</f>
        <v>KLE Academy of Higher Education and Research
More DetailsClose | 
[TABLE]</v>
      </c>
      <c r="C71" s="1" t="str">
        <f ca="1">IFERROR(__xludf.DUMMYFUNCTION("""COMPUTED_VALUE"""),"Belagavi")</f>
        <v>Belagavi</v>
      </c>
      <c r="D71" s="1" t="str">
        <f ca="1">IFERROR(__xludf.DUMMYFUNCTION("""COMPUTED_VALUE"""),"Karnataka")</f>
        <v>Karnataka</v>
      </c>
      <c r="E71" s="1">
        <f ca="1">IFERROR(__xludf.DUMMYFUNCTION("""COMPUTED_VALUE"""),43.1)</f>
        <v>43.1</v>
      </c>
      <c r="F71" s="1">
        <f ca="1">IFERROR(__xludf.DUMMYFUNCTION("""COMPUTED_VALUE"""),70)</f>
        <v>70</v>
      </c>
    </row>
    <row r="72" spans="1:6">
      <c r="A72" s="1" t="str">
        <f ca="1">IFERROR(__xludf.DUMMYFUNCTION("""COMPUTED_VALUE"""),"IR-O-U-0011")</f>
        <v>IR-O-U-0011</v>
      </c>
      <c r="B72" s="1" t="str">
        <f ca="1">IFERROR(__xludf.DUMMYFUNCTION("""COMPUTED_VALUE"""),"Gandhi Institute of Technology and Management 
More DetailsClose | 
[TABLE]")</f>
        <v>Gandhi Institute of Technology and Management 
More DetailsClose | 
[TABLE]</v>
      </c>
      <c r="C72" s="1" t="str">
        <f ca="1">IFERROR(__xludf.DUMMYFUNCTION("""COMPUTED_VALUE"""),"Visakhapatnam")</f>
        <v>Visakhapatnam</v>
      </c>
      <c r="D72" s="1" t="str">
        <f ca="1">IFERROR(__xludf.DUMMYFUNCTION("""COMPUTED_VALUE"""),"Andhra Pradesh")</f>
        <v>Andhra Pradesh</v>
      </c>
      <c r="E72" s="1">
        <f ca="1">IFERROR(__xludf.DUMMYFUNCTION("""COMPUTED_VALUE"""),42.79)</f>
        <v>42.79</v>
      </c>
      <c r="F72" s="1">
        <f ca="1">IFERROR(__xludf.DUMMYFUNCTION("""COMPUTED_VALUE"""),71)</f>
        <v>71</v>
      </c>
    </row>
    <row r="73" spans="1:6">
      <c r="A73" s="1" t="str">
        <f ca="1">IFERROR(__xludf.DUMMYFUNCTION("""COMPUTED_VALUE"""),"IR-O-U-0458")</f>
        <v>IR-O-U-0458</v>
      </c>
      <c r="B73" s="1" t="str">
        <f ca="1">IFERROR(__xludf.DUMMYFUNCTION("""COMPUTED_VALUE"""),"Kalasalingam Academy of Research and Higher Education
More DetailsClose | 
[TABLE]")</f>
        <v>Kalasalingam Academy of Research and Higher Education
More DetailsClose | 
[TABLE]</v>
      </c>
      <c r="C73" s="1" t="str">
        <f ca="1">IFERROR(__xludf.DUMMYFUNCTION("""COMPUTED_VALUE"""),"Srivilliputtur")</f>
        <v>Srivilliputtur</v>
      </c>
      <c r="D73" s="1" t="str">
        <f ca="1">IFERROR(__xludf.DUMMYFUNCTION("""COMPUTED_VALUE"""),"Tamil Nadu")</f>
        <v>Tamil Nadu</v>
      </c>
      <c r="E73" s="1">
        <f ca="1">IFERROR(__xludf.DUMMYFUNCTION("""COMPUTED_VALUE"""),42.57)</f>
        <v>42.57</v>
      </c>
      <c r="F73" s="1">
        <f ca="1">IFERROR(__xludf.DUMMYFUNCTION("""COMPUTED_VALUE"""),72)</f>
        <v>72</v>
      </c>
    </row>
    <row r="74" spans="1:6">
      <c r="A74" s="1" t="str">
        <f ca="1">IFERROR(__xludf.DUMMYFUNCTION("""COMPUTED_VALUE"""),"IR-O-U-0232")</f>
        <v>IR-O-U-0232</v>
      </c>
      <c r="B74" s="1" t="str">
        <f ca="1">IFERROR(__xludf.DUMMYFUNCTION("""COMPUTED_VALUE"""),"Kuvempu University
More DetailsClose | 
[TABLE]")</f>
        <v>Kuvempu University
More DetailsClose | 
[TABLE]</v>
      </c>
      <c r="C74" s="1" t="str">
        <f ca="1">IFERROR(__xludf.DUMMYFUNCTION("""COMPUTED_VALUE"""),"Shimoga")</f>
        <v>Shimoga</v>
      </c>
      <c r="D74" s="1" t="str">
        <f ca="1">IFERROR(__xludf.DUMMYFUNCTION("""COMPUTED_VALUE"""),"Karnataka")</f>
        <v>Karnataka</v>
      </c>
      <c r="E74" s="1">
        <f ca="1">IFERROR(__xludf.DUMMYFUNCTION("""COMPUTED_VALUE"""),42.45)</f>
        <v>42.45</v>
      </c>
      <c r="F74" s="1">
        <f ca="1">IFERROR(__xludf.DUMMYFUNCTION("""COMPUTED_VALUE"""),73)</f>
        <v>73</v>
      </c>
    </row>
    <row r="75" spans="1:6">
      <c r="A75" s="1" t="str">
        <f ca="1">IFERROR(__xludf.DUMMYFUNCTION("""COMPUTED_VALUE"""),"IR-O-U-0239")</f>
        <v>IR-O-U-0239</v>
      </c>
      <c r="B75" s="1" t="str">
        <f ca="1">IFERROR(__xludf.DUMMYFUNCTION("""COMPUTED_VALUE"""),"NITTE
More DetailsClose | 
[TABLE]")</f>
        <v>NITTE
More DetailsClose | 
[TABLE]</v>
      </c>
      <c r="C75" s="1" t="str">
        <f ca="1">IFERROR(__xludf.DUMMYFUNCTION("""COMPUTED_VALUE"""),"Mangaluru")</f>
        <v>Mangaluru</v>
      </c>
      <c r="D75" s="1" t="str">
        <f ca="1">IFERROR(__xludf.DUMMYFUNCTION("""COMPUTED_VALUE"""),"Karnataka")</f>
        <v>Karnataka</v>
      </c>
      <c r="E75" s="1">
        <f ca="1">IFERROR(__xludf.DUMMYFUNCTION("""COMPUTED_VALUE"""),42.19)</f>
        <v>42.19</v>
      </c>
      <c r="F75" s="1">
        <f ca="1">IFERROR(__xludf.DUMMYFUNCTION("""COMPUTED_VALUE"""),74)</f>
        <v>74</v>
      </c>
    </row>
    <row r="76" spans="1:6">
      <c r="A76" s="1" t="str">
        <f ca="1">IFERROR(__xludf.DUMMYFUNCTION("""COMPUTED_VALUE"""),"IR-O-U-0035")</f>
        <v>IR-O-U-0035</v>
      </c>
      <c r="B76" s="1" t="str">
        <f ca="1">IFERROR(__xludf.DUMMYFUNCTION("""COMPUTED_VALUE"""),"Sri Sathya Sai Institute of Higher Learning
More DetailsClose | 
[TABLE]")</f>
        <v>Sri Sathya Sai Institute of Higher Learning
More DetailsClose | 
[TABLE]</v>
      </c>
      <c r="C76" s="1" t="str">
        <f ca="1">IFERROR(__xludf.DUMMYFUNCTION("""COMPUTED_VALUE"""),"Anantapur")</f>
        <v>Anantapur</v>
      </c>
      <c r="D76" s="1" t="str">
        <f ca="1">IFERROR(__xludf.DUMMYFUNCTION("""COMPUTED_VALUE"""),"Andhra Pradesh")</f>
        <v>Andhra Pradesh</v>
      </c>
      <c r="E76" s="1">
        <f ca="1">IFERROR(__xludf.DUMMYFUNCTION("""COMPUTED_VALUE"""),42.08)</f>
        <v>42.08</v>
      </c>
      <c r="F76" s="1">
        <f ca="1">IFERROR(__xludf.DUMMYFUNCTION("""COMPUTED_VALUE"""),75)</f>
        <v>75</v>
      </c>
    </row>
    <row r="77" spans="1:6">
      <c r="A77" s="1" t="str">
        <f ca="1">IFERROR(__xludf.DUMMYFUNCTION("""COMPUTED_VALUE"""),"IR-O-I-1280")</f>
        <v>IR-O-I-1280</v>
      </c>
      <c r="B77" s="1" t="str">
        <f ca="1">IFERROR(__xludf.DUMMYFUNCTION("""COMPUTED_VALUE"""),"Maharshi Dayanand University
More DetailsClose | 
[TABLE]")</f>
        <v>Maharshi Dayanand University
More DetailsClose | 
[TABLE]</v>
      </c>
      <c r="C77" s="1" t="str">
        <f ca="1">IFERROR(__xludf.DUMMYFUNCTION("""COMPUTED_VALUE"""),"Rohtak")</f>
        <v>Rohtak</v>
      </c>
      <c r="D77" s="1" t="str">
        <f ca="1">IFERROR(__xludf.DUMMYFUNCTION("""COMPUTED_VALUE"""),"Haryana")</f>
        <v>Haryana</v>
      </c>
      <c r="E77" s="1">
        <f ca="1">IFERROR(__xludf.DUMMYFUNCTION("""COMPUTED_VALUE"""),41.95)</f>
        <v>41.95</v>
      </c>
      <c r="F77" s="1">
        <f ca="1">IFERROR(__xludf.DUMMYFUNCTION("""COMPUTED_VALUE"""),76)</f>
        <v>76</v>
      </c>
    </row>
    <row r="78" spans="1:6">
      <c r="A78" s="1" t="str">
        <f ca="1">IFERROR(__xludf.DUMMYFUNCTION("""COMPUTED_VALUE"""),"IR-O-U-0321")</f>
        <v>IR-O-U-0321</v>
      </c>
      <c r="B78" s="1" t="str">
        <f ca="1">IFERROR(__xludf.DUMMYFUNCTION("""COMPUTED_VALUE"""),"Padmashree Dr. D. Y. Patil Vidyapeeth
More DetailsClose | 
[TABLE]")</f>
        <v>Padmashree Dr. D. Y. Patil Vidyapeeth
More DetailsClose | 
[TABLE]</v>
      </c>
      <c r="C78" s="1" t="str">
        <f ca="1">IFERROR(__xludf.DUMMYFUNCTION("""COMPUTED_VALUE"""),"Mumbai")</f>
        <v>Mumbai</v>
      </c>
      <c r="D78" s="1" t="str">
        <f ca="1">IFERROR(__xludf.DUMMYFUNCTION("""COMPUTED_VALUE"""),"Maharashtra")</f>
        <v>Maharashtra</v>
      </c>
      <c r="E78" s="1">
        <f ca="1">IFERROR(__xludf.DUMMYFUNCTION("""COMPUTED_VALUE"""),41.74)</f>
        <v>41.74</v>
      </c>
      <c r="F78" s="1">
        <f ca="1">IFERROR(__xludf.DUMMYFUNCTION("""COMPUTED_VALUE"""),77)</f>
        <v>77</v>
      </c>
    </row>
    <row r="79" spans="1:6">
      <c r="A79" s="1" t="str">
        <f ca="1">IFERROR(__xludf.DUMMYFUNCTION("""COMPUTED_VALUE"""),"IR-O-U-0379")</f>
        <v>IR-O-U-0379</v>
      </c>
      <c r="B79" s="1" t="str">
        <f ca="1">IFERROR(__xludf.DUMMYFUNCTION("""COMPUTED_VALUE"""),"Lovely Professional University
More DetailsClose | 
[TABLE]")</f>
        <v>Lovely Professional University
More DetailsClose | 
[TABLE]</v>
      </c>
      <c r="C79" s="1" t="str">
        <f ca="1">IFERROR(__xludf.DUMMYFUNCTION("""COMPUTED_VALUE"""),"Phagwara")</f>
        <v>Phagwara</v>
      </c>
      <c r="D79" s="1" t="str">
        <f ca="1">IFERROR(__xludf.DUMMYFUNCTION("""COMPUTED_VALUE"""),"Punjab")</f>
        <v>Punjab</v>
      </c>
      <c r="E79" s="1">
        <f ca="1">IFERROR(__xludf.DUMMYFUNCTION("""COMPUTED_VALUE"""),41.69)</f>
        <v>41.69</v>
      </c>
      <c r="F79" s="1">
        <f ca="1">IFERROR(__xludf.DUMMYFUNCTION("""COMPUTED_VALUE"""),78)</f>
        <v>78</v>
      </c>
    </row>
    <row r="80" spans="1:6">
      <c r="A80" s="1" t="str">
        <f ca="1">IFERROR(__xludf.DUMMYFUNCTION("""COMPUTED_VALUE"""),"IR-O-U-0014")</f>
        <v>IR-O-U-0014</v>
      </c>
      <c r="B80" s="1" t="str">
        <f ca="1">IFERROR(__xludf.DUMMYFUNCTION("""COMPUTED_VALUE"""),"International Institute of Information Technology Hyderabad
More DetailsClose | 
[TABLE]")</f>
        <v>International Institute of Information Technology Hyderabad
More DetailsClose | 
[TABLE]</v>
      </c>
      <c r="C80" s="1" t="str">
        <f ca="1">IFERROR(__xludf.DUMMYFUNCTION("""COMPUTED_VALUE"""),"Hyderabad")</f>
        <v>Hyderabad</v>
      </c>
      <c r="D80" s="1" t="str">
        <f ca="1">IFERROR(__xludf.DUMMYFUNCTION("""COMPUTED_VALUE"""),"Telangana")</f>
        <v>Telangana</v>
      </c>
      <c r="E80" s="1">
        <f ca="1">IFERROR(__xludf.DUMMYFUNCTION("""COMPUTED_VALUE"""),41.69)</f>
        <v>41.69</v>
      </c>
      <c r="F80" s="1">
        <f ca="1">IFERROR(__xludf.DUMMYFUNCTION("""COMPUTED_VALUE"""),78)</f>
        <v>78</v>
      </c>
    </row>
    <row r="81" spans="1:6">
      <c r="A81" s="1" t="str">
        <f ca="1">IFERROR(__xludf.DUMMYFUNCTION("""COMPUTED_VALUE"""),"IR-O-U-0249")</f>
        <v>IR-O-U-0249</v>
      </c>
      <c r="B81" s="1" t="str">
        <f ca="1">IFERROR(__xludf.DUMMYFUNCTION("""COMPUTED_VALUE"""),"Visvesvaraya Technological University
More DetailsClose | 
[TABLE]")</f>
        <v>Visvesvaraya Technological University
More DetailsClose | 
[TABLE]</v>
      </c>
      <c r="C81" s="1" t="str">
        <f ca="1">IFERROR(__xludf.DUMMYFUNCTION("""COMPUTED_VALUE"""),"Belgaum")</f>
        <v>Belgaum</v>
      </c>
      <c r="D81" s="1" t="str">
        <f ca="1">IFERROR(__xludf.DUMMYFUNCTION("""COMPUTED_VALUE"""),"Karnataka")</f>
        <v>Karnataka</v>
      </c>
      <c r="E81" s="1">
        <f ca="1">IFERROR(__xludf.DUMMYFUNCTION("""COMPUTED_VALUE"""),41.63)</f>
        <v>41.63</v>
      </c>
      <c r="F81" s="1">
        <f ca="1">IFERROR(__xludf.DUMMYFUNCTION("""COMPUTED_VALUE"""),80)</f>
        <v>80</v>
      </c>
    </row>
    <row r="82" spans="1:6">
      <c r="A82" s="1" t="str">
        <f ca="1">IFERROR(__xludf.DUMMYFUNCTION("""COMPUTED_VALUE"""),"IR-O-U-0121")</f>
        <v>IR-O-U-0121</v>
      </c>
      <c r="B82" s="1" t="str">
        <f ca="1">IFERROR(__xludf.DUMMYFUNCTION("""COMPUTED_VALUE"""),"Goa University
More DetailsClose | 
[TABLE]")</f>
        <v>Goa University
More DetailsClose | 
[TABLE]</v>
      </c>
      <c r="C82" s="1" t="str">
        <f ca="1">IFERROR(__xludf.DUMMYFUNCTION("""COMPUTED_VALUE"""),"Goa")</f>
        <v>Goa</v>
      </c>
      <c r="D82" s="1" t="str">
        <f ca="1">IFERROR(__xludf.DUMMYFUNCTION("""COMPUTED_VALUE"""),"Goa")</f>
        <v>Goa</v>
      </c>
      <c r="E82" s="1">
        <f ca="1">IFERROR(__xludf.DUMMYFUNCTION("""COMPUTED_VALUE"""),41.37)</f>
        <v>41.37</v>
      </c>
      <c r="F82" s="1">
        <f ca="1">IFERROR(__xludf.DUMMYFUNCTION("""COMPUTED_VALUE"""),81)</f>
        <v>81</v>
      </c>
    </row>
    <row r="83" spans="1:6">
      <c r="A83" s="1" t="str">
        <f ca="1">IFERROR(__xludf.DUMMYFUNCTION("""COMPUTED_VALUE"""),"IR-O-U-0507")</f>
        <v>IR-O-U-0507</v>
      </c>
      <c r="B83" s="1" t="str">
        <f ca="1">IFERROR(__xludf.DUMMYFUNCTION("""COMPUTED_VALUE"""),"Dayalbagh Educational Institute
More DetailsClose | 
[TABLE]")</f>
        <v>Dayalbagh Educational Institute
More DetailsClose | 
[TABLE]</v>
      </c>
      <c r="C83" s="1" t="str">
        <f ca="1">IFERROR(__xludf.DUMMYFUNCTION("""COMPUTED_VALUE"""),"Agra")</f>
        <v>Agra</v>
      </c>
      <c r="D83" s="1" t="str">
        <f ca="1">IFERROR(__xludf.DUMMYFUNCTION("""COMPUTED_VALUE"""),"Uttar Pradesh")</f>
        <v>Uttar Pradesh</v>
      </c>
      <c r="E83" s="1">
        <f ca="1">IFERROR(__xludf.DUMMYFUNCTION("""COMPUTED_VALUE"""),41.21)</f>
        <v>41.21</v>
      </c>
      <c r="F83" s="1">
        <f ca="1">IFERROR(__xludf.DUMMYFUNCTION("""COMPUTED_VALUE"""),82)</f>
        <v>82</v>
      </c>
    </row>
    <row r="84" spans="1:6">
      <c r="A84" s="1" t="str">
        <f ca="1">IFERROR(__xludf.DUMMYFUNCTION("""COMPUTED_VALUE"""),"IR-O-U-0470")</f>
        <v>IR-O-U-0470</v>
      </c>
      <c r="B84" s="1" t="str">
        <f ca="1">IFERROR(__xludf.DUMMYFUNCTION("""COMPUTED_VALUE"""),"Periyar University
More DetailsClose | 
[TABLE]")</f>
        <v>Periyar University
More DetailsClose | 
[TABLE]</v>
      </c>
      <c r="C84" s="1" t="str">
        <f ca="1">IFERROR(__xludf.DUMMYFUNCTION("""COMPUTED_VALUE"""),"Salem")</f>
        <v>Salem</v>
      </c>
      <c r="D84" s="1" t="str">
        <f ca="1">IFERROR(__xludf.DUMMYFUNCTION("""COMPUTED_VALUE"""),"Tamil Nadu")</f>
        <v>Tamil Nadu</v>
      </c>
      <c r="E84" s="1">
        <f ca="1">IFERROR(__xludf.DUMMYFUNCTION("""COMPUTED_VALUE"""),41.09)</f>
        <v>41.09</v>
      </c>
      <c r="F84" s="1">
        <f ca="1">IFERROR(__xludf.DUMMYFUNCTION("""COMPUTED_VALUE"""),83)</f>
        <v>83</v>
      </c>
    </row>
    <row r="85" spans="1:6">
      <c r="A85" s="1" t="str">
        <f ca="1">IFERROR(__xludf.DUMMYFUNCTION("""COMPUTED_VALUE"""),"IR-O-U-0051")</f>
        <v>IR-O-U-0051</v>
      </c>
      <c r="B85" s="1" t="str">
        <f ca="1">IFERROR(__xludf.DUMMYFUNCTION("""COMPUTED_VALUE"""),"Dibrugarh University
More DetailsClose | 
[TABLE]")</f>
        <v>Dibrugarh University
More DetailsClose | 
[TABLE]</v>
      </c>
      <c r="C85" s="1" t="str">
        <f ca="1">IFERROR(__xludf.DUMMYFUNCTION("""COMPUTED_VALUE"""),"Dibrugarh")</f>
        <v>Dibrugarh</v>
      </c>
      <c r="D85" s="1" t="str">
        <f ca="1">IFERROR(__xludf.DUMMYFUNCTION("""COMPUTED_VALUE"""),"Assam")</f>
        <v>Assam</v>
      </c>
      <c r="E85" s="1">
        <f ca="1">IFERROR(__xludf.DUMMYFUNCTION("""COMPUTED_VALUE"""),41.05)</f>
        <v>41.05</v>
      </c>
      <c r="F85" s="1">
        <f ca="1">IFERROR(__xludf.DUMMYFUNCTION("""COMPUTED_VALUE"""),84)</f>
        <v>84</v>
      </c>
    </row>
    <row r="86" spans="1:6">
      <c r="A86" s="1" t="str">
        <f ca="1">IFERROR(__xludf.DUMMYFUNCTION("""COMPUTED_VALUE"""),"IR-O-U-0223")</f>
        <v>IR-O-U-0223</v>
      </c>
      <c r="B86" s="1" t="str">
        <f ca="1">IFERROR(__xludf.DUMMYFUNCTION("""COMPUTED_VALUE"""),"Jain University
More DetailsClose | 
[TABLE]")</f>
        <v>Jain University
More DetailsClose | 
[TABLE]</v>
      </c>
      <c r="C86" s="1" t="str">
        <f ca="1">IFERROR(__xludf.DUMMYFUNCTION("""COMPUTED_VALUE"""),"Bengluru")</f>
        <v>Bengluru</v>
      </c>
      <c r="D86" s="1" t="str">
        <f ca="1">IFERROR(__xludf.DUMMYFUNCTION("""COMPUTED_VALUE"""),"Karnataka")</f>
        <v>Karnataka</v>
      </c>
      <c r="E86" s="1">
        <f ca="1">IFERROR(__xludf.DUMMYFUNCTION("""COMPUTED_VALUE"""),41.03)</f>
        <v>41.03</v>
      </c>
      <c r="F86" s="1">
        <f ca="1">IFERROR(__xludf.DUMMYFUNCTION("""COMPUTED_VALUE"""),85)</f>
        <v>85</v>
      </c>
    </row>
    <row r="87" spans="1:6">
      <c r="A87" s="1" t="str">
        <f ca="1">IFERROR(__xludf.DUMMYFUNCTION("""COMPUTED_VALUE"""),"IR-O-U-0250")</f>
        <v>IR-O-U-0250</v>
      </c>
      <c r="B87" s="1" t="str">
        <f ca="1">IFERROR(__xludf.DUMMYFUNCTION("""COMPUTED_VALUE"""),"Yenepoya University
More DetailsClose | 
[TABLE]")</f>
        <v>Yenepoya University
More DetailsClose | 
[TABLE]</v>
      </c>
      <c r="C87" s="1" t="str">
        <f ca="1">IFERROR(__xludf.DUMMYFUNCTION("""COMPUTED_VALUE"""),"Mangaluru")</f>
        <v>Mangaluru</v>
      </c>
      <c r="D87" s="1" t="str">
        <f ca="1">IFERROR(__xludf.DUMMYFUNCTION("""COMPUTED_VALUE"""),"Karnataka")</f>
        <v>Karnataka</v>
      </c>
      <c r="E87" s="1">
        <f ca="1">IFERROR(__xludf.DUMMYFUNCTION("""COMPUTED_VALUE"""),40.99)</f>
        <v>40.99</v>
      </c>
      <c r="F87" s="1">
        <f ca="1">IFERROR(__xludf.DUMMYFUNCTION("""COMPUTED_VALUE"""),86)</f>
        <v>86</v>
      </c>
    </row>
    <row r="88" spans="1:6">
      <c r="A88" s="1" t="str">
        <f ca="1">IFERROR(__xludf.DUMMYFUNCTION("""COMPUTED_VALUE"""),"IR-O-U-0372")</f>
        <v>IR-O-U-0372</v>
      </c>
      <c r="B88" s="1" t="str">
        <f ca="1">IFERROR(__xludf.DUMMYFUNCTION("""COMPUTED_VALUE"""),"Central University of Punjab
More DetailsClose | 
[TABLE]")</f>
        <v>Central University of Punjab
More DetailsClose | 
[TABLE]</v>
      </c>
      <c r="C88" s="1" t="str">
        <f ca="1">IFERROR(__xludf.DUMMYFUNCTION("""COMPUTED_VALUE"""),"Bathinda")</f>
        <v>Bathinda</v>
      </c>
      <c r="D88" s="1" t="str">
        <f ca="1">IFERROR(__xludf.DUMMYFUNCTION("""COMPUTED_VALUE"""),"Punjab")</f>
        <v>Punjab</v>
      </c>
      <c r="E88" s="1">
        <f ca="1">IFERROR(__xludf.DUMMYFUNCTION("""COMPUTED_VALUE"""),40.93)</f>
        <v>40.93</v>
      </c>
      <c r="F88" s="1">
        <f ca="1">IFERROR(__xludf.DUMMYFUNCTION("""COMPUTED_VALUE"""),87)</f>
        <v>87</v>
      </c>
    </row>
    <row r="89" spans="1:6">
      <c r="A89" s="1" t="str">
        <f ca="1">IFERROR(__xludf.DUMMYFUNCTION("""COMPUTED_VALUE"""),"IR-O-U-0370")</f>
        <v>IR-O-U-0370</v>
      </c>
      <c r="B89" s="1" t="str">
        <f ca="1">IFERROR(__xludf.DUMMYFUNCTION("""COMPUTED_VALUE"""),"Sri Balaji Vidyapeeth Mahatma Gandhi Medical College Campus
More DetailsClose | 
[TABLE]")</f>
        <v>Sri Balaji Vidyapeeth Mahatma Gandhi Medical College Campus
More DetailsClose | 
[TABLE]</v>
      </c>
      <c r="C89" s="1" t="str">
        <f ca="1">IFERROR(__xludf.DUMMYFUNCTION("""COMPUTED_VALUE"""),"Puducherry")</f>
        <v>Puducherry</v>
      </c>
      <c r="D89" s="1" t="str">
        <f ca="1">IFERROR(__xludf.DUMMYFUNCTION("""COMPUTED_VALUE"""),"Pondicherry")</f>
        <v>Pondicherry</v>
      </c>
      <c r="E89" s="1">
        <f ca="1">IFERROR(__xludf.DUMMYFUNCTION("""COMPUTED_VALUE"""),40.92)</f>
        <v>40.92</v>
      </c>
      <c r="F89" s="1">
        <f ca="1">IFERROR(__xludf.DUMMYFUNCTION("""COMPUTED_VALUE"""),88)</f>
        <v>88</v>
      </c>
    </row>
    <row r="90" spans="1:6">
      <c r="A90" s="1" t="str">
        <f ca="1">IFERROR(__xludf.DUMMYFUNCTION("""COMPUTED_VALUE"""),"IR-O-U-0576")</f>
        <v>IR-O-U-0576</v>
      </c>
      <c r="B90" s="1" t="str">
        <f ca="1">IFERROR(__xludf.DUMMYFUNCTION("""COMPUTED_VALUE"""),"Kalyani University
More DetailsClose | 
[TABLE]")</f>
        <v>Kalyani University
More DetailsClose | 
[TABLE]</v>
      </c>
      <c r="C90" s="1" t="str">
        <f ca="1">IFERROR(__xludf.DUMMYFUNCTION("""COMPUTED_VALUE"""),"Kalyani")</f>
        <v>Kalyani</v>
      </c>
      <c r="D90" s="1" t="str">
        <f ca="1">IFERROR(__xludf.DUMMYFUNCTION("""COMPUTED_VALUE"""),"West Bengal")</f>
        <v>West Bengal</v>
      </c>
      <c r="E90" s="1">
        <f ca="1">IFERROR(__xludf.DUMMYFUNCTION("""COMPUTED_VALUE"""),40.91)</f>
        <v>40.909999999999997</v>
      </c>
      <c r="F90" s="1">
        <f ca="1">IFERROR(__xludf.DUMMYFUNCTION("""COMPUTED_VALUE"""),89)</f>
        <v>89</v>
      </c>
    </row>
    <row r="91" spans="1:6">
      <c r="A91" s="1" t="str">
        <f ca="1">IFERROR(__xludf.DUMMYFUNCTION("""COMPUTED_VALUE"""),"IR-O-C-23033")</f>
        <v>IR-O-C-23033</v>
      </c>
      <c r="B91" s="1" t="str">
        <f ca="1">IFERROR(__xludf.DUMMYFUNCTION("""COMPUTED_VALUE"""),"Krishna Institute of Medical Sciences
More DetailsClose | 
[TABLE]")</f>
        <v>Krishna Institute of Medical Sciences
More DetailsClose | 
[TABLE]</v>
      </c>
      <c r="C91" s="1" t="str">
        <f ca="1">IFERROR(__xludf.DUMMYFUNCTION("""COMPUTED_VALUE"""),"Karad")</f>
        <v>Karad</v>
      </c>
      <c r="D91" s="1" t="str">
        <f ca="1">IFERROR(__xludf.DUMMYFUNCTION("""COMPUTED_VALUE"""),"Maharashtra")</f>
        <v>Maharashtra</v>
      </c>
      <c r="E91" s="1">
        <f ca="1">IFERROR(__xludf.DUMMYFUNCTION("""COMPUTED_VALUE"""),40.87)</f>
        <v>40.869999999999997</v>
      </c>
      <c r="F91" s="1">
        <f ca="1">IFERROR(__xludf.DUMMYFUNCTION("""COMPUTED_VALUE"""),90)</f>
        <v>90</v>
      </c>
    </row>
    <row r="92" spans="1:6">
      <c r="A92" s="1" t="str">
        <f ca="1">IFERROR(__xludf.DUMMYFUNCTION("""COMPUTED_VALUE"""),"IR-O-U-0453")</f>
        <v>IR-O-U-0453</v>
      </c>
      <c r="B92" s="1" t="str">
        <f ca="1">IFERROR(__xludf.DUMMYFUNCTION("""COMPUTED_VALUE"""),"The Gandhigram Rural Institute 
More DetailsClose | 
[TABLE]")</f>
        <v>The Gandhigram Rural Institute 
More DetailsClose | 
[TABLE]</v>
      </c>
      <c r="C92" s="1" t="str">
        <f ca="1">IFERROR(__xludf.DUMMYFUNCTION("""COMPUTED_VALUE"""),"Gandhigram")</f>
        <v>Gandhigram</v>
      </c>
      <c r="D92" s="1" t="str">
        <f ca="1">IFERROR(__xludf.DUMMYFUNCTION("""COMPUTED_VALUE"""),"Tamil Nadu")</f>
        <v>Tamil Nadu</v>
      </c>
      <c r="E92" s="1">
        <f ca="1">IFERROR(__xludf.DUMMYFUNCTION("""COMPUTED_VALUE"""),40.65)</f>
        <v>40.65</v>
      </c>
      <c r="F92" s="1">
        <f ca="1">IFERROR(__xludf.DUMMYFUNCTION("""COMPUTED_VALUE"""),91)</f>
        <v>91</v>
      </c>
    </row>
    <row r="93" spans="1:6">
      <c r="A93" s="1" t="str">
        <f ca="1">IFERROR(__xludf.DUMMYFUNCTION("""COMPUTED_VALUE"""),"IR-O-U-0569")</f>
        <v>IR-O-U-0569</v>
      </c>
      <c r="B93" s="1" t="str">
        <f ca="1">IFERROR(__xludf.DUMMYFUNCTION("""COMPUTED_VALUE"""),"The University of Burdwan
More DetailsClose | 
[TABLE]")</f>
        <v>The University of Burdwan
More DetailsClose | 
[TABLE]</v>
      </c>
      <c r="C93" s="1" t="str">
        <f ca="1">IFERROR(__xludf.DUMMYFUNCTION("""COMPUTED_VALUE"""),"Bardhaman")</f>
        <v>Bardhaman</v>
      </c>
      <c r="D93" s="1" t="str">
        <f ca="1">IFERROR(__xludf.DUMMYFUNCTION("""COMPUTED_VALUE"""),"West Bengal")</f>
        <v>West Bengal</v>
      </c>
      <c r="E93" s="1">
        <f ca="1">IFERROR(__xludf.DUMMYFUNCTION("""COMPUTED_VALUE"""),40.55)</f>
        <v>40.549999999999997</v>
      </c>
      <c r="F93" s="1">
        <f ca="1">IFERROR(__xludf.DUMMYFUNCTION("""COMPUTED_VALUE"""),92)</f>
        <v>92</v>
      </c>
    </row>
    <row r="94" spans="1:6">
      <c r="A94" s="1" t="str">
        <f ca="1">IFERROR(__xludf.DUMMYFUNCTION("""COMPUTED_VALUE"""),"IR-O-U-0168")</f>
        <v>IR-O-U-0168</v>
      </c>
      <c r="B94" s="1" t="str">
        <f ca="1">IFERROR(__xludf.DUMMYFUNCTION("""COMPUTED_VALUE"""),"Maharishi Markandeshwar
More DetailsClose | 
[TABLE]")</f>
        <v>Maharishi Markandeshwar
More DetailsClose | 
[TABLE]</v>
      </c>
      <c r="C94" s="1" t="str">
        <f ca="1">IFERROR(__xludf.DUMMYFUNCTION("""COMPUTED_VALUE"""),"Ambala")</f>
        <v>Ambala</v>
      </c>
      <c r="D94" s="1" t="str">
        <f ca="1">IFERROR(__xludf.DUMMYFUNCTION("""COMPUTED_VALUE"""),"Haryana")</f>
        <v>Haryana</v>
      </c>
      <c r="E94" s="1">
        <f ca="1">IFERROR(__xludf.DUMMYFUNCTION("""COMPUTED_VALUE"""),40.49)</f>
        <v>40.49</v>
      </c>
      <c r="F94" s="1">
        <f ca="1">IFERROR(__xludf.DUMMYFUNCTION("""COMPUTED_VALUE"""),93)</f>
        <v>93</v>
      </c>
    </row>
    <row r="95" spans="1:6">
      <c r="A95" s="1" t="str">
        <f ca="1">IFERROR(__xludf.DUMMYFUNCTION("""COMPUTED_VALUE"""),"IR-O-U-0162")</f>
        <v>IR-O-U-0162</v>
      </c>
      <c r="B95" s="1" t="str">
        <f ca="1">IFERROR(__xludf.DUMMYFUNCTION("""COMPUTED_VALUE"""),"Guru Jambheshwar University of Science and Technology
More DetailsClose | 
[TABLE]")</f>
        <v>Guru Jambheshwar University of Science and Technology
More DetailsClose | 
[TABLE]</v>
      </c>
      <c r="C95" s="1" t="str">
        <f ca="1">IFERROR(__xludf.DUMMYFUNCTION("""COMPUTED_VALUE"""),"Hisar")</f>
        <v>Hisar</v>
      </c>
      <c r="D95" s="1" t="str">
        <f ca="1">IFERROR(__xludf.DUMMYFUNCTION("""COMPUTED_VALUE"""),"Haryana")</f>
        <v>Haryana</v>
      </c>
      <c r="E95" s="1">
        <f ca="1">IFERROR(__xludf.DUMMYFUNCTION("""COMPUTED_VALUE"""),40.43)</f>
        <v>40.43</v>
      </c>
      <c r="F95" s="1">
        <f ca="1">IFERROR(__xludf.DUMMYFUNCTION("""COMPUTED_VALUE"""),94)</f>
        <v>94</v>
      </c>
    </row>
    <row r="96" spans="1:6">
      <c r="A96" s="1" t="str">
        <f ca="1">IFERROR(__xludf.DUMMYFUNCTION("""COMPUTED_VALUE"""),"IR-O-U-0099")</f>
        <v>IR-O-U-0099</v>
      </c>
      <c r="B96" s="1" t="str">
        <f ca="1">IFERROR(__xludf.DUMMYFUNCTION("""COMPUTED_VALUE"""),"Guru Gobind Singh Indraprastha University
More DetailsClose | 
[TABLE]")</f>
        <v>Guru Gobind Singh Indraprastha University
More DetailsClose | 
[TABLE]</v>
      </c>
      <c r="C96" s="1" t="str">
        <f ca="1">IFERROR(__xludf.DUMMYFUNCTION("""COMPUTED_VALUE"""),"New Delhi")</f>
        <v>New Delhi</v>
      </c>
      <c r="D96" s="1" t="str">
        <f ca="1">IFERROR(__xludf.DUMMYFUNCTION("""COMPUTED_VALUE"""),"Delhi")</f>
        <v>Delhi</v>
      </c>
      <c r="E96" s="1">
        <f ca="1">IFERROR(__xludf.DUMMYFUNCTION("""COMPUTED_VALUE"""),40.24)</f>
        <v>40.24</v>
      </c>
      <c r="F96" s="1">
        <f ca="1">IFERROR(__xludf.DUMMYFUNCTION("""COMPUTED_VALUE"""),95)</f>
        <v>95</v>
      </c>
    </row>
    <row r="97" spans="1:6">
      <c r="A97" s="1" t="str">
        <f ca="1">IFERROR(__xludf.DUMMYFUNCTION("""COMPUTED_VALUE"""),"IR-O-U-0366")</f>
        <v>IR-O-U-0366</v>
      </c>
      <c r="B97" s="1" t="str">
        <f ca="1">IFERROR(__xludf.DUMMYFUNCTION("""COMPUTED_VALUE"""),"Utkal University
More DetailsClose | 
[TABLE]")</f>
        <v>Utkal University
More DetailsClose | 
[TABLE]</v>
      </c>
      <c r="C97" s="1" t="str">
        <f ca="1">IFERROR(__xludf.DUMMYFUNCTION("""COMPUTED_VALUE"""),"Bhubaneswar")</f>
        <v>Bhubaneswar</v>
      </c>
      <c r="D97" s="1" t="str">
        <f ca="1">IFERROR(__xludf.DUMMYFUNCTION("""COMPUTED_VALUE"""),"Odisha")</f>
        <v>Odisha</v>
      </c>
      <c r="E97" s="1">
        <f ca="1">IFERROR(__xludf.DUMMYFUNCTION("""COMPUTED_VALUE"""),40.05)</f>
        <v>40.049999999999997</v>
      </c>
      <c r="F97" s="1">
        <f ca="1">IFERROR(__xludf.DUMMYFUNCTION("""COMPUTED_VALUE"""),96)</f>
        <v>96</v>
      </c>
    </row>
    <row r="98" spans="1:6">
      <c r="A98" s="1" t="str">
        <f ca="1">IFERROR(__xludf.DUMMYFUNCTION("""COMPUTED_VALUE"""),"IR-O-U-0555")</f>
        <v>IR-O-U-0555</v>
      </c>
      <c r="B98" s="1" t="str">
        <f ca="1">IFERROR(__xludf.DUMMYFUNCTION("""COMPUTED_VALUE"""),"Graphic Era University
More DetailsClose | 
[TABLE]")</f>
        <v>Graphic Era University
More DetailsClose | 
[TABLE]</v>
      </c>
      <c r="C98" s="1" t="str">
        <f ca="1">IFERROR(__xludf.DUMMYFUNCTION("""COMPUTED_VALUE"""),"Dehradun")</f>
        <v>Dehradun</v>
      </c>
      <c r="D98" s="1" t="str">
        <f ca="1">IFERROR(__xludf.DUMMYFUNCTION("""COMPUTED_VALUE"""),"Uttarakhand")</f>
        <v>Uttarakhand</v>
      </c>
      <c r="E98" s="1">
        <f ca="1">IFERROR(__xludf.DUMMYFUNCTION("""COMPUTED_VALUE"""),40.04)</f>
        <v>40.04</v>
      </c>
      <c r="F98" s="1">
        <f ca="1">IFERROR(__xludf.DUMMYFUNCTION("""COMPUTED_VALUE"""),97)</f>
        <v>97</v>
      </c>
    </row>
    <row r="99" spans="1:6">
      <c r="A99" s="1" t="str">
        <f ca="1">IFERROR(__xludf.DUMMYFUNCTION("""COMPUTED_VALUE"""),"IR-O-U-0451")</f>
        <v>IR-O-U-0451</v>
      </c>
      <c r="B99" s="1" t="str">
        <f ca="1">IFERROR(__xludf.DUMMYFUNCTION("""COMPUTED_VALUE"""),"Chettinad Academy of Research and Education 
More DetailsClose | 
[TABLE]")</f>
        <v>Chettinad Academy of Research and Education 
More DetailsClose | 
[TABLE]</v>
      </c>
      <c r="C99" s="1" t="str">
        <f ca="1">IFERROR(__xludf.DUMMYFUNCTION("""COMPUTED_VALUE"""),"Kanchipuram District")</f>
        <v>Kanchipuram District</v>
      </c>
      <c r="D99" s="1" t="str">
        <f ca="1">IFERROR(__xludf.DUMMYFUNCTION("""COMPUTED_VALUE"""),"Tamil Nadu")</f>
        <v>Tamil Nadu</v>
      </c>
      <c r="E99" s="1">
        <f ca="1">IFERROR(__xludf.DUMMYFUNCTION("""COMPUTED_VALUE"""),39.97)</f>
        <v>39.97</v>
      </c>
      <c r="F99" s="1">
        <f ca="1">IFERROR(__xludf.DUMMYFUNCTION("""COMPUTED_VALUE"""),98)</f>
        <v>98</v>
      </c>
    </row>
    <row r="100" spans="1:6">
      <c r="A100" s="1" t="str">
        <f ca="1">IFERROR(__xludf.DUMMYFUNCTION("""COMPUTED_VALUE"""),"IR-O-U-0164")</f>
        <v>IR-O-U-0164</v>
      </c>
      <c r="B100" s="1" t="str">
        <f ca="1">IFERROR(__xludf.DUMMYFUNCTION("""COMPUTED_VALUE"""),"Kurukshetra University
More DetailsClose | 
[TABLE]")</f>
        <v>Kurukshetra University
More DetailsClose | 
[TABLE]</v>
      </c>
      <c r="C100" s="1" t="str">
        <f ca="1">IFERROR(__xludf.DUMMYFUNCTION("""COMPUTED_VALUE"""),"Kurukshetra")</f>
        <v>Kurukshetra</v>
      </c>
      <c r="D100" s="1" t="str">
        <f ca="1">IFERROR(__xludf.DUMMYFUNCTION("""COMPUTED_VALUE"""),"Haryana")</f>
        <v>Haryana</v>
      </c>
      <c r="E100" s="1">
        <f ca="1">IFERROR(__xludf.DUMMYFUNCTION("""COMPUTED_VALUE"""),39.79)</f>
        <v>39.79</v>
      </c>
      <c r="F100" s="1">
        <f ca="1">IFERROR(__xludf.DUMMYFUNCTION("""COMPUTED_VALUE"""),99)</f>
        <v>99</v>
      </c>
    </row>
    <row r="101" spans="1:6">
      <c r="A101" s="1" t="str">
        <f ca="1">IFERROR(__xludf.DUMMYFUNCTION("""COMPUTED_VALUE"""),"IR-O-U-0043")</f>
        <v>IR-O-U-0043</v>
      </c>
      <c r="B101" s="1" t="str">
        <f ca="1">IFERROR(__xludf.DUMMYFUNCTION("""COMPUTED_VALUE"""),"Vignan's Foundation for Science, Technology &amp; Research
More DetailsClose | 
[TABLE]")</f>
        <v>Vignan's Foundation for Science, Technology &amp; Research
More DetailsClose | 
[TABLE]</v>
      </c>
      <c r="C101" s="1" t="str">
        <f ca="1">IFERROR(__xludf.DUMMYFUNCTION("""COMPUTED_VALUE"""),"Guntur")</f>
        <v>Guntur</v>
      </c>
      <c r="D101" s="1" t="str">
        <f ca="1">IFERROR(__xludf.DUMMYFUNCTION("""COMPUTED_VALUE"""),"Andhra Pradesh")</f>
        <v>Andhra Pradesh</v>
      </c>
      <c r="E101" s="1">
        <f ca="1">IFERROR(__xludf.DUMMYFUNCTION("""COMPUTED_VALUE"""),39.71)</f>
        <v>39.71</v>
      </c>
      <c r="F101" s="1">
        <f ca="1">IFERROR(__xludf.DUMMYFUNCTION("""COMPUTED_VALUE"""),100)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01"/>
  <sheetViews>
    <sheetView workbookViewId="0">
      <selection activeCell="B4" sqref="B4"/>
    </sheetView>
  </sheetViews>
  <sheetFormatPr defaultColWidth="14.42578125" defaultRowHeight="15.75" customHeight="1"/>
  <sheetData>
    <row r="1" spans="1:6">
      <c r="A1" s="1" t="str">
        <f ca="1">IFERROR(__xludf.DUMMYFUNCTION("IMPORTHTML(""https://www.nirfindia.org/2020/EngineeringRanking.html"",""table"",1)"),"Institute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IFERROR(__xludf.DUMMYFUNCTION("""COMPUTED_VALUE"""),"IR-E-U-0456")</f>
        <v>IR-E-U-0456</v>
      </c>
      <c r="B2" s="1" t="str">
        <f ca="1">IFERROR(__xludf.DUMMYFUNCTION("""COMPUTED_VALUE"""),"Indian Institute of Technology Madras
More DetailsClose | 
[TABLE]")</f>
        <v>Indian Institute of Technology Madras
More DetailsClose | 
[TABLE]</v>
      </c>
      <c r="C2" s="1" t="str">
        <f ca="1">IFERROR(__xludf.DUMMYFUNCTION("""COMPUTED_VALUE"""),"Chennai")</f>
        <v>Chennai</v>
      </c>
      <c r="D2" s="1" t="str">
        <f ca="1">IFERROR(__xludf.DUMMYFUNCTION("""COMPUTED_VALUE"""),"Tamil Nadu")</f>
        <v>Tamil Nadu</v>
      </c>
      <c r="E2" s="1">
        <f ca="1">IFERROR(__xludf.DUMMYFUNCTION("""COMPUTED_VALUE"""),89.93)</f>
        <v>89.93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IFERROR(__xludf.DUMMYFUNCTION("""COMPUTED_VALUE"""),"IR-E-I-1074")</f>
        <v>IR-E-I-1074</v>
      </c>
      <c r="B3" s="1" t="str">
        <f ca="1">IFERROR(__xludf.DUMMYFUNCTION("""COMPUTED_VALUE"""),"Indian Institute of Technology Delhi
More DetailsClose | 
[TABLE]")</f>
        <v>Indian Institute of Technology Delhi
More DetailsClose | 
[TABLE]</v>
      </c>
      <c r="C3" s="1" t="str">
        <f ca="1">IFERROR(__xludf.DUMMYFUNCTION("""COMPUTED_VALUE"""),"New Delhi")</f>
        <v>New Delhi</v>
      </c>
      <c r="D3" s="1" t="str">
        <f ca="1">IFERROR(__xludf.DUMMYFUNCTION("""COMPUTED_VALUE"""),"Delhi")</f>
        <v>Delhi</v>
      </c>
      <c r="E3" s="1">
        <f ca="1">IFERROR(__xludf.DUMMYFUNCTION("""COMPUTED_VALUE"""),88.08)</f>
        <v>88.08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IFERROR(__xludf.DUMMYFUNCTION("""COMPUTED_VALUE"""),"IR-E-U-0306")</f>
        <v>IR-E-U-0306</v>
      </c>
      <c r="B4" s="1" t="str">
        <f ca="1">IFERROR(__xludf.DUMMYFUNCTION("""COMPUTED_VALUE"""),"Indian Institute of Technology Bombay
More DetailsClose | 
[TABLE]")</f>
        <v>Indian Institute of Technology Bombay
More DetailsClose | 
[TABLE]</v>
      </c>
      <c r="C4" s="1" t="str">
        <f ca="1">IFERROR(__xludf.DUMMYFUNCTION("""COMPUTED_VALUE"""),"Mumbai")</f>
        <v>Mumbai</v>
      </c>
      <c r="D4" s="1" t="str">
        <f ca="1">IFERROR(__xludf.DUMMYFUNCTION("""COMPUTED_VALUE"""),"Maharashtra")</f>
        <v>Maharashtra</v>
      </c>
      <c r="E4" s="1">
        <f ca="1">IFERROR(__xludf.DUMMYFUNCTION("""COMPUTED_VALUE"""),85.08)</f>
        <v>85.08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IFERROR(__xludf.DUMMYFUNCTION("""COMPUTED_VALUE"""),"IR-E-I-1075")</f>
        <v>IR-E-I-1075</v>
      </c>
      <c r="B5" s="1" t="str">
        <f ca="1">IFERROR(__xludf.DUMMYFUNCTION("""COMPUTED_VALUE"""),"Indian Institute of Technology Kanpur
More DetailsClose | 
[TABLE]")</f>
        <v>Indian Institute of Technology Kanpur
More DetailsClose | 
[TABLE]</v>
      </c>
      <c r="C5" s="1" t="str">
        <f ca="1">IFERROR(__xludf.DUMMYFUNCTION("""COMPUTED_VALUE"""),"Kanpur")</f>
        <v>Kanpur</v>
      </c>
      <c r="D5" s="1" t="str">
        <f ca="1">IFERROR(__xludf.DUMMYFUNCTION("""COMPUTED_VALUE"""),"Uttar Pradesh")</f>
        <v>Uttar Pradesh</v>
      </c>
      <c r="E5" s="1">
        <f ca="1">IFERROR(__xludf.DUMMYFUNCTION("""COMPUTED_VALUE"""),82.18)</f>
        <v>82.18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IFERROR(__xludf.DUMMYFUNCTION("""COMPUTED_VALUE"""),"IR-E-U-0573")</f>
        <v>IR-E-U-0573</v>
      </c>
      <c r="B6" s="1" t="str">
        <f ca="1">IFERROR(__xludf.DUMMYFUNCTION("""COMPUTED_VALUE"""),"Indian Institute of Technology Kharagpur
More DetailsClose | 
[TABLE]")</f>
        <v>Indian Institute of Technology Kharagpur
More DetailsClose | 
[TABLE]</v>
      </c>
      <c r="C6" s="1" t="str">
        <f ca="1">IFERROR(__xludf.DUMMYFUNCTION("""COMPUTED_VALUE"""),"Kharagpur")</f>
        <v>Kharagpur</v>
      </c>
      <c r="D6" s="1" t="str">
        <f ca="1">IFERROR(__xludf.DUMMYFUNCTION("""COMPUTED_VALUE"""),"West Bengal")</f>
        <v>West Bengal</v>
      </c>
      <c r="E6" s="1">
        <f ca="1">IFERROR(__xludf.DUMMYFUNCTION("""COMPUTED_VALUE"""),80.56)</f>
        <v>80.56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IFERROR(__xludf.DUMMYFUNCTION("""COMPUTED_VALUE"""),"IR-E-U-0560")</f>
        <v>IR-E-U-0560</v>
      </c>
      <c r="B7" s="1" t="str">
        <f ca="1">IFERROR(__xludf.DUMMYFUNCTION("""COMPUTED_VALUE"""),"Indian Institute of Technology Roorkee
More DetailsClose | 
[TABLE]")</f>
        <v>Indian Institute of Technology Roorkee
More DetailsClose | 
[TABLE]</v>
      </c>
      <c r="C7" s="1" t="str">
        <f ca="1">IFERROR(__xludf.DUMMYFUNCTION("""COMPUTED_VALUE"""),"Roorkee")</f>
        <v>Roorkee</v>
      </c>
      <c r="D7" s="1" t="str">
        <f ca="1">IFERROR(__xludf.DUMMYFUNCTION("""COMPUTED_VALUE"""),"Uttarakhand")</f>
        <v>Uttarakhand</v>
      </c>
      <c r="E7" s="1">
        <f ca="1">IFERROR(__xludf.DUMMYFUNCTION("""COMPUTED_VALUE"""),76.29)</f>
        <v>76.290000000000006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IFERROR(__xludf.DUMMYFUNCTION("""COMPUTED_VALUE"""),"IR-E-U-0053")</f>
        <v>IR-E-U-0053</v>
      </c>
      <c r="B8" s="1" t="str">
        <f ca="1">IFERROR(__xludf.DUMMYFUNCTION("""COMPUTED_VALUE"""),"Indian Institute of Technology Guwahati
More DetailsClose | 
[TABLE]")</f>
        <v>Indian Institute of Technology Guwahati
More DetailsClose | 
[TABLE]</v>
      </c>
      <c r="C8" s="1" t="str">
        <f ca="1">IFERROR(__xludf.DUMMYFUNCTION("""COMPUTED_VALUE"""),"Guwahati")</f>
        <v>Guwahati</v>
      </c>
      <c r="D8" s="1" t="str">
        <f ca="1">IFERROR(__xludf.DUMMYFUNCTION("""COMPUTED_VALUE"""),"Assam")</f>
        <v>Assam</v>
      </c>
      <c r="E8" s="1">
        <f ca="1">IFERROR(__xludf.DUMMYFUNCTION("""COMPUTED_VALUE"""),74.9)</f>
        <v>74.900000000000006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IFERROR(__xludf.DUMMYFUNCTION("""COMPUTED_VALUE"""),"IR-E-U-0013")</f>
        <v>IR-E-U-0013</v>
      </c>
      <c r="B9" s="1" t="str">
        <f ca="1">IFERROR(__xludf.DUMMYFUNCTION("""COMPUTED_VALUE"""),"Indian Institute of Technology Hyderabad
More DetailsClose | 
[TABLE]")</f>
        <v>Indian Institute of Technology Hyderabad
More DetailsClose | 
[TABLE]</v>
      </c>
      <c r="C9" s="1" t="str">
        <f ca="1">IFERROR(__xludf.DUMMYFUNCTION("""COMPUTED_VALUE"""),"Hyderabad")</f>
        <v>Hyderabad</v>
      </c>
      <c r="D9" s="1" t="str">
        <f ca="1">IFERROR(__xludf.DUMMYFUNCTION("""COMPUTED_VALUE"""),"Telangana")</f>
        <v>Telangana</v>
      </c>
      <c r="E9" s="1">
        <f ca="1">IFERROR(__xludf.DUMMYFUNCTION("""COMPUTED_VALUE"""),66.44)</f>
        <v>66.44</v>
      </c>
      <c r="F9" s="1">
        <f ca="1">IFERROR(__xludf.DUMMYFUNCTION("""COMPUTED_VALUE"""),8)</f>
        <v>8</v>
      </c>
    </row>
    <row r="10" spans="1:6">
      <c r="A10" s="1" t="str">
        <f ca="1">IFERROR(__xludf.DUMMYFUNCTION("""COMPUTED_VALUE"""),"IR-E-U-0467")</f>
        <v>IR-E-U-0467</v>
      </c>
      <c r="B10" s="1" t="str">
        <f ca="1">IFERROR(__xludf.DUMMYFUNCTION("""COMPUTED_VALUE"""),"National Institute of Technology Tiruchirappalli
More DetailsClose | 
[TABLE]")</f>
        <v>National Institute of Technology Tiruchirappalli
More DetailsClose | 
[TABLE]</v>
      </c>
      <c r="C10" s="1" t="str">
        <f ca="1">IFERROR(__xludf.DUMMYFUNCTION("""COMPUTED_VALUE"""),"Tiruchirappalli")</f>
        <v>Tiruchirappalli</v>
      </c>
      <c r="D10" s="1" t="str">
        <f ca="1">IFERROR(__xludf.DUMMYFUNCTION("""COMPUTED_VALUE"""),"Tamil Nadu")</f>
        <v>Tamil Nadu</v>
      </c>
      <c r="E10" s="1">
        <f ca="1">IFERROR(__xludf.DUMMYFUNCTION("""COMPUTED_VALUE"""),64.1)</f>
        <v>64.099999999999994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IFERROR(__xludf.DUMMYFUNCTION("""COMPUTED_VALUE"""),"IR-E-U-0273")</f>
        <v>IR-E-U-0273</v>
      </c>
      <c r="B11" s="1" t="str">
        <f ca="1">IFERROR(__xludf.DUMMYFUNCTION("""COMPUTED_VALUE"""),"Indian Institute of Technology Indore
More DetailsClose | 
[TABLE]")</f>
        <v>Indian Institute of Technology Indore
More DetailsClose | 
[TABLE]</v>
      </c>
      <c r="C11" s="1" t="str">
        <f ca="1">IFERROR(__xludf.DUMMYFUNCTION("""COMPUTED_VALUE"""),"Indore")</f>
        <v>Indore</v>
      </c>
      <c r="D11" s="1" t="str">
        <f ca="1">IFERROR(__xludf.DUMMYFUNCTION("""COMPUTED_VALUE"""),"Madhya Pradesh")</f>
        <v>Madhya Pradesh</v>
      </c>
      <c r="E11" s="1">
        <f ca="1">IFERROR(__xludf.DUMMYFUNCTION("""COMPUTED_VALUE"""),62.88)</f>
        <v>62.88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IFERROR(__xludf.DUMMYFUNCTION("""COMPUTED_VALUE"""),"IR-E-U-0701")</f>
        <v>IR-E-U-0701</v>
      </c>
      <c r="B12" s="1" t="str">
        <f ca="1">IFERROR(__xludf.DUMMYFUNCTION("""COMPUTED_VALUE"""),"Indian Institute of Technology (BHU) Varanasi
More DetailsClose | 
[TABLE]")</f>
        <v>Indian Institute of Technology (BHU) Varanasi
More DetailsClose | 
[TABLE]</v>
      </c>
      <c r="C12" s="1" t="str">
        <f ca="1">IFERROR(__xludf.DUMMYFUNCTION("""COMPUTED_VALUE"""),"Varanasi")</f>
        <v>Varanasi</v>
      </c>
      <c r="D12" s="1" t="str">
        <f ca="1">IFERROR(__xludf.DUMMYFUNCTION("""COMPUTED_VALUE"""),"Uttar Pradesh")</f>
        <v>Uttar Pradesh</v>
      </c>
      <c r="E12" s="1">
        <f ca="1">IFERROR(__xludf.DUMMYFUNCTION("""COMPUTED_VALUE"""),62.54)</f>
        <v>62.54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IFERROR(__xludf.DUMMYFUNCTION("""COMPUTED_VALUE"""),"IR-E-U-0205")</f>
        <v>IR-E-U-0205</v>
      </c>
      <c r="B13" s="1" t="str">
        <f ca="1">IFERROR(__xludf.DUMMYFUNCTION("""COMPUTED_VALUE"""),"Indian Institute of Technology (Indian School of Mines)
More DetailsClose | 
[TABLE]")</f>
        <v>Indian Institute of Technology (Indian School of Mines)
More DetailsClose | 
[TABLE]</v>
      </c>
      <c r="C13" s="1" t="str">
        <f ca="1">IFERROR(__xludf.DUMMYFUNCTION("""COMPUTED_VALUE"""),"Dhanbad")</f>
        <v>Dhanbad</v>
      </c>
      <c r="D13" s="1" t="str">
        <f ca="1">IFERROR(__xludf.DUMMYFUNCTION("""COMPUTED_VALUE"""),"Jharkhand")</f>
        <v>Jharkhand</v>
      </c>
      <c r="E13" s="1">
        <f ca="1">IFERROR(__xludf.DUMMYFUNCTION("""COMPUTED_VALUE"""),62.06)</f>
        <v>62.06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IFERROR(__xludf.DUMMYFUNCTION("""COMPUTED_VALUE"""),"IR-E-U-0237")</f>
        <v>IR-E-U-0237</v>
      </c>
      <c r="B14" s="1" t="str">
        <f ca="1">IFERROR(__xludf.DUMMYFUNCTION("""COMPUTED_VALUE"""),"National Institute of Technology Karnataka
More DetailsClose | 
[TABLE]")</f>
        <v>National Institute of Technology Karnataka
More DetailsClose | 
[TABLE]</v>
      </c>
      <c r="C14" s="1" t="str">
        <f ca="1">IFERROR(__xludf.DUMMYFUNCTION("""COMPUTED_VALUE"""),"Surathkal")</f>
        <v>Surathkal</v>
      </c>
      <c r="D14" s="1" t="str">
        <f ca="1">IFERROR(__xludf.DUMMYFUNCTION("""COMPUTED_VALUE"""),"Karnataka")</f>
        <v>Karnataka</v>
      </c>
      <c r="E14" s="1">
        <f ca="1">IFERROR(__xludf.DUMMYFUNCTION("""COMPUTED_VALUE"""),61.3)</f>
        <v>61.3</v>
      </c>
      <c r="F14" s="1">
        <f ca="1">IFERROR(__xludf.DUMMYFUNCTION("""COMPUTED_VALUE"""),13)</f>
        <v>13</v>
      </c>
    </row>
    <row r="15" spans="1:6">
      <c r="A15" s="1" t="str">
        <f ca="1">IFERROR(__xludf.DUMMYFUNCTION("""COMPUTED_VALUE"""),"IR-E-U-0439")</f>
        <v>IR-E-U-0439</v>
      </c>
      <c r="B15" s="1" t="str">
        <f ca="1">IFERROR(__xludf.DUMMYFUNCTION("""COMPUTED_VALUE"""),"Anna University
More DetailsClose | 
[TABLE]")</f>
        <v>Anna University
More DetailsClose | 
[TABLE]</v>
      </c>
      <c r="C15" s="1" t="str">
        <f ca="1">IFERROR(__xludf.DUMMYFUNCTION("""COMPUTED_VALUE"""),"Chennai")</f>
        <v>Chennai</v>
      </c>
      <c r="D15" s="1" t="str">
        <f ca="1">IFERROR(__xludf.DUMMYFUNCTION("""COMPUTED_VALUE"""),"Tamil Nadu")</f>
        <v>Tamil Nadu</v>
      </c>
      <c r="E15" s="1">
        <f ca="1">IFERROR(__xludf.DUMMYFUNCTION("""COMPUTED_VALUE"""),59.89)</f>
        <v>59.89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IFERROR(__xludf.DUMMYFUNCTION("""COMPUTED_VALUE"""),"IR-E-U-0490")</f>
        <v>IR-E-U-0490</v>
      </c>
      <c r="B16" s="1" t="str">
        <f ca="1">IFERROR(__xludf.DUMMYFUNCTION("""COMPUTED_VALUE"""),"Vellore Institute of Technology
More DetailsClose | 
[TABLE]")</f>
        <v>Vellore Institute of Technology
More DetailsClose | 
[TABLE]</v>
      </c>
      <c r="C16" s="1" t="str">
        <f ca="1">IFERROR(__xludf.DUMMYFUNCTION("""COMPUTED_VALUE"""),"Vellore")</f>
        <v>Vellore</v>
      </c>
      <c r="D16" s="1" t="str">
        <f ca="1">IFERROR(__xludf.DUMMYFUNCTION("""COMPUTED_VALUE"""),"Tamil Nadu")</f>
        <v>Tamil Nadu</v>
      </c>
      <c r="E16" s="1">
        <f ca="1">IFERROR(__xludf.DUMMYFUNCTION("""COMPUTED_VALUE"""),59.32)</f>
        <v>59.32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IFERROR(__xludf.DUMMYFUNCTION("""COMPUTED_VALUE"""),"IR-E-U-0357")</f>
        <v>IR-E-U-0357</v>
      </c>
      <c r="B17" s="1" t="str">
        <f ca="1">IFERROR(__xludf.DUMMYFUNCTION("""COMPUTED_VALUE"""),"National Institute of Technology Rourkela
More DetailsClose | 
[TABLE]")</f>
        <v>National Institute of Technology Rourkela
More DetailsClose | 
[TABLE]</v>
      </c>
      <c r="C17" s="1" t="str">
        <f ca="1">IFERROR(__xludf.DUMMYFUNCTION("""COMPUTED_VALUE"""),"Rourkela")</f>
        <v>Rourkela</v>
      </c>
      <c r="D17" s="1" t="str">
        <f ca="1">IFERROR(__xludf.DUMMYFUNCTION("""COMPUTED_VALUE"""),"Odisha")</f>
        <v>Odisha</v>
      </c>
      <c r="E17" s="1">
        <f ca="1">IFERROR(__xludf.DUMMYFUNCTION("""COMPUTED_VALUE"""),59.29)</f>
        <v>59.29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IFERROR(__xludf.DUMMYFUNCTION("""COMPUTED_VALUE"""),"IR-E-U-0575")</f>
        <v>IR-E-U-0575</v>
      </c>
      <c r="B18" s="1" t="str">
        <f ca="1">IFERROR(__xludf.DUMMYFUNCTION("""COMPUTED_VALUE"""),"Jadavpur University
More DetailsClose | 
[TABLE]")</f>
        <v>Jadavpur University
More DetailsClose | 
[TABLE]</v>
      </c>
      <c r="C18" s="1" t="str">
        <f ca="1">IFERROR(__xludf.DUMMYFUNCTION("""COMPUTED_VALUE"""),"Kolkata")</f>
        <v>Kolkata</v>
      </c>
      <c r="D18" s="1" t="str">
        <f ca="1">IFERROR(__xludf.DUMMYFUNCTION("""COMPUTED_VALUE"""),"West Bengal")</f>
        <v>West Bengal</v>
      </c>
      <c r="E18" s="1">
        <f ca="1">IFERROR(__xludf.DUMMYFUNCTION("""COMPUTED_VALUE"""),59.23)</f>
        <v>59.23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IFERROR(__xludf.DUMMYFUNCTION("""COMPUTED_VALUE"""),"IR-E-U-0308")</f>
        <v>IR-E-U-0308</v>
      </c>
      <c r="B19" s="1" t="str">
        <f ca="1">IFERROR(__xludf.DUMMYFUNCTION("""COMPUTED_VALUE"""),"Institute of Chemical Technology
More DetailsClose | 
[TABLE]")</f>
        <v>Institute of Chemical Technology
More DetailsClose | 
[TABLE]</v>
      </c>
      <c r="C19" s="1" t="str">
        <f ca="1">IFERROR(__xludf.DUMMYFUNCTION("""COMPUTED_VALUE"""),"Mumbai")</f>
        <v>Mumbai</v>
      </c>
      <c r="D19" s="1" t="str">
        <f ca="1">IFERROR(__xludf.DUMMYFUNCTION("""COMPUTED_VALUE"""),"Maharashtra")</f>
        <v>Maharashtra</v>
      </c>
      <c r="E19" s="1">
        <f ca="1">IFERROR(__xludf.DUMMYFUNCTION("""COMPUTED_VALUE"""),58.7)</f>
        <v>58.7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IFERROR(__xludf.DUMMYFUNCTION("""COMPUTED_VALUE"""),"IR-E-U-0025")</f>
        <v>IR-E-U-0025</v>
      </c>
      <c r="B20" s="1" t="str">
        <f ca="1">IFERROR(__xludf.DUMMYFUNCTION("""COMPUTED_VALUE"""),"National Institute of Technology Warangal
More DetailsClose | 
[TABLE]")</f>
        <v>National Institute of Technology Warangal
More DetailsClose | 
[TABLE]</v>
      </c>
      <c r="C20" s="1" t="str">
        <f ca="1">IFERROR(__xludf.DUMMYFUNCTION("""COMPUTED_VALUE"""),"Warangal")</f>
        <v>Warangal</v>
      </c>
      <c r="D20" s="1" t="str">
        <f ca="1">IFERROR(__xludf.DUMMYFUNCTION("""COMPUTED_VALUE"""),"Telangana")</f>
        <v>Telangana</v>
      </c>
      <c r="E20" s="1">
        <f ca="1">IFERROR(__xludf.DUMMYFUNCTION("""COMPUTED_VALUE"""),57.76)</f>
        <v>57.76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IFERROR(__xludf.DUMMYFUNCTION("""COMPUTED_VALUE"""),"IR-E-U-0436")</f>
        <v>IR-E-U-0436</v>
      </c>
      <c r="B21" s="1" t="str">
        <f ca="1">IFERROR(__xludf.DUMMYFUNCTION("""COMPUTED_VALUE"""),"Amrita Vishwa Vidyapeetham
More DetailsClose | 
[TABLE]")</f>
        <v>Amrita Vishwa Vidyapeetham
More DetailsClose | 
[TABLE]</v>
      </c>
      <c r="C21" s="1" t="str">
        <f ca="1">IFERROR(__xludf.DUMMYFUNCTION("""COMPUTED_VALUE"""),"Coimbatore")</f>
        <v>Coimbatore</v>
      </c>
      <c r="D21" s="1" t="str">
        <f ca="1">IFERROR(__xludf.DUMMYFUNCTION("""COMPUTED_VALUE"""),"Tamil Nadu")</f>
        <v>Tamil Nadu</v>
      </c>
      <c r="E21" s="1">
        <f ca="1">IFERROR(__xludf.DUMMYFUNCTION("""COMPUTED_VALUE"""),57.37)</f>
        <v>57.37</v>
      </c>
      <c r="F21" s="1">
        <f ca="1">IFERROR(__xludf.DUMMYFUNCTION("""COMPUTED_VALUE"""),20)</f>
        <v>20</v>
      </c>
    </row>
    <row r="22" spans="1:6">
      <c r="A22" s="1" t="str">
        <f ca="1">IFERROR(__xludf.DUMMYFUNCTION("""COMPUTED_VALUE"""),"IR-E-U-0584")</f>
        <v>IR-E-U-0584</v>
      </c>
      <c r="B22" s="1" t="str">
        <f ca="1">IFERROR(__xludf.DUMMYFUNCTION("""COMPUTED_VALUE"""),"Indian Institute of Engineering Science and Technology
More DetailsClose | 
[TABLE]")</f>
        <v>Indian Institute of Engineering Science and Technology
More DetailsClose | 
[TABLE]</v>
      </c>
      <c r="C22" s="1" t="str">
        <f ca="1">IFERROR(__xludf.DUMMYFUNCTION("""COMPUTED_VALUE"""),"Shibpur")</f>
        <v>Shibpur</v>
      </c>
      <c r="D22" s="1" t="str">
        <f ca="1">IFERROR(__xludf.DUMMYFUNCTION("""COMPUTED_VALUE"""),"West Bengal")</f>
        <v>West Bengal</v>
      </c>
      <c r="E22" s="1">
        <f ca="1">IFERROR(__xludf.DUMMYFUNCTION("""COMPUTED_VALUE"""),57.14)</f>
        <v>57.14</v>
      </c>
      <c r="F22" s="1">
        <f ca="1">IFERROR(__xludf.DUMMYFUNCTION("""COMPUTED_VALUE"""),21)</f>
        <v>21</v>
      </c>
    </row>
    <row r="23" spans="1:6">
      <c r="A23" s="1" t="str">
        <f ca="1">IFERROR(__xludf.DUMMYFUNCTION("""COMPUTED_VALUE"""),"IR-E-U-0355")</f>
        <v>IR-E-U-0355</v>
      </c>
      <c r="B23" s="1" t="str">
        <f ca="1">IFERROR(__xludf.DUMMYFUNCTION("""COMPUTED_VALUE"""),"Indian Institute of Technology Bhubaneswar
More DetailsClose | 
[TABLE]")</f>
        <v>Indian Institute of Technology Bhubaneswar
More DetailsClose | 
[TABLE]</v>
      </c>
      <c r="C23" s="1" t="str">
        <f ca="1">IFERROR(__xludf.DUMMYFUNCTION("""COMPUTED_VALUE"""),"Bhubaneswar")</f>
        <v>Bhubaneswar</v>
      </c>
      <c r="D23" s="1" t="str">
        <f ca="1">IFERROR(__xludf.DUMMYFUNCTION("""COMPUTED_VALUE"""),"Odisha")</f>
        <v>Odisha</v>
      </c>
      <c r="E23" s="1">
        <f ca="1">IFERROR(__xludf.DUMMYFUNCTION("""COMPUTED_VALUE"""),56.8)</f>
        <v>56.8</v>
      </c>
      <c r="F23" s="1">
        <f ca="1">IFERROR(__xludf.DUMMYFUNCTION("""COMPUTED_VALUE"""),22)</f>
        <v>22</v>
      </c>
    </row>
    <row r="24" spans="1:6">
      <c r="A24" s="1" t="str">
        <f ca="1">IFERROR(__xludf.DUMMYFUNCTION("""COMPUTED_VALUE"""),"IR-E-U-0263")</f>
        <v>IR-E-U-0263</v>
      </c>
      <c r="B24" s="1" t="str">
        <f ca="1">IFERROR(__xludf.DUMMYFUNCTION("""COMPUTED_VALUE"""),"National Institute of Technology Calicut
More DetailsClose | 
[TABLE]")</f>
        <v>National Institute of Technology Calicut
More DetailsClose | 
[TABLE]</v>
      </c>
      <c r="C24" s="1" t="str">
        <f ca="1">IFERROR(__xludf.DUMMYFUNCTION("""COMPUTED_VALUE"""),"Kozhikode")</f>
        <v>Kozhikode</v>
      </c>
      <c r="D24" s="1" t="str">
        <f ca="1">IFERROR(__xludf.DUMMYFUNCTION("""COMPUTED_VALUE"""),"Kerala")</f>
        <v>Kerala</v>
      </c>
      <c r="E24" s="1">
        <f ca="1">IFERROR(__xludf.DUMMYFUNCTION("""COMPUTED_VALUE"""),56.56)</f>
        <v>56.56</v>
      </c>
      <c r="F24" s="1">
        <f ca="1">IFERROR(__xludf.DUMMYFUNCTION("""COMPUTED_VALUE"""),23)</f>
        <v>23</v>
      </c>
    </row>
    <row r="25" spans="1:6">
      <c r="A25" s="1" t="str">
        <f ca="1">IFERROR(__xludf.DUMMYFUNCTION("""COMPUTED_VALUE"""),"IR-E-U-0139")</f>
        <v>IR-E-U-0139</v>
      </c>
      <c r="B25" s="1" t="str">
        <f ca="1">IFERROR(__xludf.DUMMYFUNCTION("""COMPUTED_VALUE"""),"Indian Institute of Technology Gandhinagar
More DetailsClose | 
[TABLE]")</f>
        <v>Indian Institute of Technology Gandhinagar
More DetailsClose | 
[TABLE]</v>
      </c>
      <c r="C25" s="1" t="str">
        <f ca="1">IFERROR(__xludf.DUMMYFUNCTION("""COMPUTED_VALUE"""),"Gandhinagar")</f>
        <v>Gandhinagar</v>
      </c>
      <c r="D25" s="1" t="str">
        <f ca="1">IFERROR(__xludf.DUMMYFUNCTION("""COMPUTED_VALUE"""),"Gujarat")</f>
        <v>Gujarat</v>
      </c>
      <c r="E25" s="1">
        <f ca="1">IFERROR(__xludf.DUMMYFUNCTION("""COMPUTED_VALUE"""),56.15)</f>
        <v>56.15</v>
      </c>
      <c r="F25" s="1">
        <f ca="1">IFERROR(__xludf.DUMMYFUNCTION("""COMPUTED_VALUE"""),24)</f>
        <v>24</v>
      </c>
    </row>
    <row r="26" spans="1:6">
      <c r="A26" s="1" t="str">
        <f ca="1">IFERROR(__xludf.DUMMYFUNCTION("""COMPUTED_VALUE"""),"IR-E-U-0378")</f>
        <v>IR-E-U-0378</v>
      </c>
      <c r="B26" s="1" t="str">
        <f ca="1">IFERROR(__xludf.DUMMYFUNCTION("""COMPUTED_VALUE"""),"Indian Institute of Technology Ropar
More DetailsClose | 
[TABLE]")</f>
        <v>Indian Institute of Technology Ropar
More DetailsClose | 
[TABLE]</v>
      </c>
      <c r="C26" s="1" t="str">
        <f ca="1">IFERROR(__xludf.DUMMYFUNCTION("""COMPUTED_VALUE"""),"Rupnagar")</f>
        <v>Rupnagar</v>
      </c>
      <c r="D26" s="1" t="str">
        <f ca="1">IFERROR(__xludf.DUMMYFUNCTION("""COMPUTED_VALUE"""),"Punjab")</f>
        <v>Punjab</v>
      </c>
      <c r="E26" s="1">
        <f ca="1">IFERROR(__xludf.DUMMYFUNCTION("""COMPUTED_VALUE"""),55.95)</f>
        <v>55.95</v>
      </c>
      <c r="F26" s="1">
        <f ca="1">IFERROR(__xludf.DUMMYFUNCTION("""COMPUTED_VALUE"""),25)</f>
        <v>25</v>
      </c>
    </row>
    <row r="27" spans="1:6">
      <c r="A27" s="1" t="str">
        <f ca="1">IFERROR(__xludf.DUMMYFUNCTION("""COMPUTED_VALUE"""),"IR-E-U-0064")</f>
        <v>IR-E-U-0064</v>
      </c>
      <c r="B27" s="1" t="str">
        <f ca="1">IFERROR(__xludf.DUMMYFUNCTION("""COMPUTED_VALUE"""),"Indian Institute of Technology Patna
More DetailsClose | 
[TABLE]")</f>
        <v>Indian Institute of Technology Patna
More DetailsClose | 
[TABLE]</v>
      </c>
      <c r="C27" s="1" t="str">
        <f ca="1">IFERROR(__xludf.DUMMYFUNCTION("""COMPUTED_VALUE"""),"Patna")</f>
        <v>Patna</v>
      </c>
      <c r="D27" s="1" t="str">
        <f ca="1">IFERROR(__xludf.DUMMYFUNCTION("""COMPUTED_VALUE"""),"Bihar")</f>
        <v>Bihar</v>
      </c>
      <c r="E27" s="1">
        <f ca="1">IFERROR(__xludf.DUMMYFUNCTION("""COMPUTED_VALUE"""),55.74)</f>
        <v>55.74</v>
      </c>
      <c r="F27" s="1">
        <f ca="1">IFERROR(__xludf.DUMMYFUNCTION("""COMPUTED_VALUE"""),26)</f>
        <v>26</v>
      </c>
    </row>
    <row r="28" spans="1:6">
      <c r="A28" s="1" t="str">
        <f ca="1">IFERROR(__xludf.DUMMYFUNCTION("""COMPUTED_VALUE"""),"IR-E-U-0334")</f>
        <v>IR-E-U-0334</v>
      </c>
      <c r="B28" s="1" t="str">
        <f ca="1">IFERROR(__xludf.DUMMYFUNCTION("""COMPUTED_VALUE"""),"Visvesvaraya National Institute of Technology
More DetailsClose | 
[TABLE]")</f>
        <v>Visvesvaraya National Institute of Technology
More DetailsClose | 
[TABLE]</v>
      </c>
      <c r="C28" s="1" t="str">
        <f ca="1">IFERROR(__xludf.DUMMYFUNCTION("""COMPUTED_VALUE"""),"Nagpur")</f>
        <v>Nagpur</v>
      </c>
      <c r="D28" s="1" t="str">
        <f ca="1">IFERROR(__xludf.DUMMYFUNCTION("""COMPUTED_VALUE"""),"Maharashtra")</f>
        <v>Maharashtra</v>
      </c>
      <c r="E28" s="1">
        <f ca="1">IFERROR(__xludf.DUMMYFUNCTION("""COMPUTED_VALUE"""),54.76)</f>
        <v>54.76</v>
      </c>
      <c r="F28" s="1">
        <f ca="1">IFERROR(__xludf.DUMMYFUNCTION("""COMPUTED_VALUE"""),27)</f>
        <v>27</v>
      </c>
    </row>
    <row r="29" spans="1:6">
      <c r="A29" s="1" t="str">
        <f ca="1">IFERROR(__xludf.DUMMYFUNCTION("""COMPUTED_VALUE"""),"IR-E-U-0108")</f>
        <v>IR-E-U-0108</v>
      </c>
      <c r="B29" s="1" t="str">
        <f ca="1">IFERROR(__xludf.DUMMYFUNCTION("""COMPUTED_VALUE"""),"Jamia Millia Islamia
More DetailsClose | 
[TABLE]")</f>
        <v>Jamia Millia Islamia
More DetailsClose | 
[TABLE]</v>
      </c>
      <c r="C29" s="1" t="str">
        <f ca="1">IFERROR(__xludf.DUMMYFUNCTION("""COMPUTED_VALUE"""),"New Delhi")</f>
        <v>New Delhi</v>
      </c>
      <c r="D29" s="1" t="str">
        <f ca="1">IFERROR(__xludf.DUMMYFUNCTION("""COMPUTED_VALUE"""),"Delhi")</f>
        <v>Delhi</v>
      </c>
      <c r="E29" s="1">
        <f ca="1">IFERROR(__xludf.DUMMYFUNCTION("""COMPUTED_VALUE"""),54.58)</f>
        <v>54.58</v>
      </c>
      <c r="F29" s="1">
        <f ca="1">IFERROR(__xludf.DUMMYFUNCTION("""COMPUTED_VALUE"""),28)</f>
        <v>28</v>
      </c>
    </row>
    <row r="30" spans="1:6">
      <c r="A30" s="1" t="str">
        <f ca="1">IFERROR(__xludf.DUMMYFUNCTION("""COMPUTED_VALUE"""),"IR-E-I-1480")</f>
        <v>IR-E-I-1480</v>
      </c>
      <c r="B30" s="1" t="str">
        <f ca="1">IFERROR(__xludf.DUMMYFUNCTION("""COMPUTED_VALUE"""),"Thapar Institute of Engineering &amp; Technology
More DetailsClose | 
[TABLE]")</f>
        <v>Thapar Institute of Engineering &amp; Technology
More DetailsClose | 
[TABLE]</v>
      </c>
      <c r="C30" s="1" t="str">
        <f ca="1">IFERROR(__xludf.DUMMYFUNCTION("""COMPUTED_VALUE"""),"Patiala")</f>
        <v>Patiala</v>
      </c>
      <c r="D30" s="1" t="str">
        <f ca="1">IFERROR(__xludf.DUMMYFUNCTION("""COMPUTED_VALUE"""),"Punjab")</f>
        <v>Punjab</v>
      </c>
      <c r="E30" s="1">
        <f ca="1">IFERROR(__xludf.DUMMYFUNCTION("""COMPUTED_VALUE"""),54.45)</f>
        <v>54.45</v>
      </c>
      <c r="F30" s="1">
        <f ca="1">IFERROR(__xludf.DUMMYFUNCTION("""COMPUTED_VALUE"""),29)</f>
        <v>29</v>
      </c>
    </row>
    <row r="31" spans="1:6">
      <c r="A31" s="1" t="str">
        <f ca="1">IFERROR(__xludf.DUMMYFUNCTION("""COMPUTED_VALUE"""),"IR-E-U-0391")</f>
        <v>IR-E-U-0391</v>
      </c>
      <c r="B31" s="1" t="str">
        <f ca="1">IFERROR(__xludf.DUMMYFUNCTION("""COMPUTED_VALUE"""),"Birla Institute of Technology &amp; Science
More DetailsClose | 
[TABLE]")</f>
        <v>Birla Institute of Technology &amp; Science
More DetailsClose | 
[TABLE]</v>
      </c>
      <c r="C31" s="1" t="str">
        <f ca="1">IFERROR(__xludf.DUMMYFUNCTION("""COMPUTED_VALUE"""),"Pilani")</f>
        <v>Pilani</v>
      </c>
      <c r="D31" s="1" t="str">
        <f ca="1">IFERROR(__xludf.DUMMYFUNCTION("""COMPUTED_VALUE"""),"Rajasthan")</f>
        <v>Rajasthan</v>
      </c>
      <c r="E31" s="1">
        <f ca="1">IFERROR(__xludf.DUMMYFUNCTION("""COMPUTED_VALUE"""),54.39)</f>
        <v>54.39</v>
      </c>
      <c r="F31" s="1">
        <f ca="1">IFERROR(__xludf.DUMMYFUNCTION("""COMPUTED_VALUE"""),30)</f>
        <v>30</v>
      </c>
    </row>
    <row r="32" spans="1:6">
      <c r="A32" s="1" t="str">
        <f ca="1">IFERROR(__xludf.DUMMYFUNCTION("""COMPUTED_VALUE"""),"IR-E-U-0184")</f>
        <v>IR-E-U-0184</v>
      </c>
      <c r="B32" s="1" t="str">
        <f ca="1">IFERROR(__xludf.DUMMYFUNCTION("""COMPUTED_VALUE"""),"Indian Institute of Technology Mandi
More DetailsClose | 
[TABLE]")</f>
        <v>Indian Institute of Technology Mandi
More DetailsClose | 
[TABLE]</v>
      </c>
      <c r="C32" s="1" t="str">
        <f ca="1">IFERROR(__xludf.DUMMYFUNCTION("""COMPUTED_VALUE"""),"Mandi")</f>
        <v>Mandi</v>
      </c>
      <c r="D32" s="1" t="str">
        <f ca="1">IFERROR(__xludf.DUMMYFUNCTION("""COMPUTED_VALUE"""),"Himachal Pradesh")</f>
        <v>Himachal Pradesh</v>
      </c>
      <c r="E32" s="1">
        <f ca="1">IFERROR(__xludf.DUMMYFUNCTION("""COMPUTED_VALUE"""),54.17)</f>
        <v>54.17</v>
      </c>
      <c r="F32" s="1">
        <f ca="1">IFERROR(__xludf.DUMMYFUNCTION("""COMPUTED_VALUE"""),31)</f>
        <v>31</v>
      </c>
    </row>
    <row r="33" spans="1:6">
      <c r="A33" s="1" t="str">
        <f ca="1">IFERROR(__xludf.DUMMYFUNCTION("""COMPUTED_VALUE"""),"IR-E-U-0497")</f>
        <v>IR-E-U-0497</v>
      </c>
      <c r="B33" s="1" t="str">
        <f ca="1">IFERROR(__xludf.DUMMYFUNCTION("""COMPUTED_VALUE"""),"Amity University Noida
More DetailsClose | 
[TABLE]")</f>
        <v>Amity University Noida
More DetailsClose | 
[TABLE]</v>
      </c>
      <c r="C33" s="1" t="str">
        <f ca="1">IFERROR(__xludf.DUMMYFUNCTION("""COMPUTED_VALUE"""),"Gautam Budh Nagar")</f>
        <v>Gautam Budh Nagar</v>
      </c>
      <c r="D33" s="1" t="str">
        <f ca="1">IFERROR(__xludf.DUMMYFUNCTION("""COMPUTED_VALUE"""),"Uttar Pradesh")</f>
        <v>Uttar Pradesh</v>
      </c>
      <c r="E33" s="1">
        <f ca="1">IFERROR(__xludf.DUMMYFUNCTION("""COMPUTED_VALUE"""),53.09)</f>
        <v>53.09</v>
      </c>
      <c r="F33" s="1">
        <f ca="1">IFERROR(__xludf.DUMMYFUNCTION("""COMPUTED_VALUE"""),32)</f>
        <v>32</v>
      </c>
    </row>
    <row r="34" spans="1:6">
      <c r="A34" s="1" t="str">
        <f ca="1">IFERROR(__xludf.DUMMYFUNCTION("""COMPUTED_VALUE"""),"IR-E-U-0255")</f>
        <v>IR-E-U-0255</v>
      </c>
      <c r="B34" s="1" t="str">
        <f ca="1">IFERROR(__xludf.DUMMYFUNCTION("""COMPUTED_VALUE"""),"Indian Institute of Space Science and Technology
More DetailsClose | 
[TABLE]")</f>
        <v>Indian Institute of Space Science and Technology
More DetailsClose | 
[TABLE]</v>
      </c>
      <c r="C34" s="1" t="str">
        <f ca="1">IFERROR(__xludf.DUMMYFUNCTION("""COMPUTED_VALUE"""),"Thiruvananthapuram")</f>
        <v>Thiruvananthapuram</v>
      </c>
      <c r="D34" s="1" t="str">
        <f ca="1">IFERROR(__xludf.DUMMYFUNCTION("""COMPUTED_VALUE"""),"Kerala")</f>
        <v>Kerala</v>
      </c>
      <c r="E34" s="1">
        <f ca="1">IFERROR(__xludf.DUMMYFUNCTION("""COMPUTED_VALUE"""),53.01)</f>
        <v>53.01</v>
      </c>
      <c r="F34" s="1">
        <f ca="1">IFERROR(__xludf.DUMMYFUNCTION("""COMPUTED_VALUE"""),33)</f>
        <v>33</v>
      </c>
    </row>
    <row r="35" spans="1:6">
      <c r="A35" s="1" t="str">
        <f ca="1">IFERROR(__xludf.DUMMYFUNCTION("""COMPUTED_VALUE"""),"IR-E-U-0363")</f>
        <v>IR-E-U-0363</v>
      </c>
      <c r="B35" s="1" t="str">
        <f ca="1">IFERROR(__xludf.DUMMYFUNCTION("""COMPUTED_VALUE"""),"Siksha `O` Anusandhan
More DetailsClose | 
[TABLE]")</f>
        <v>Siksha `O` Anusandhan
More DetailsClose | 
[TABLE]</v>
      </c>
      <c r="C35" s="1" t="str">
        <f ca="1">IFERROR(__xludf.DUMMYFUNCTION("""COMPUTED_VALUE"""),"Bhubaneswar")</f>
        <v>Bhubaneswar</v>
      </c>
      <c r="D35" s="1" t="str">
        <f ca="1">IFERROR(__xludf.DUMMYFUNCTION("""COMPUTED_VALUE"""),"Odisha")</f>
        <v>Odisha</v>
      </c>
      <c r="E35" s="1">
        <f ca="1">IFERROR(__xludf.DUMMYFUNCTION("""COMPUTED_VALUE"""),52.38)</f>
        <v>52.38</v>
      </c>
      <c r="F35" s="1">
        <f ca="1">IFERROR(__xludf.DUMMYFUNCTION("""COMPUTED_VALUE"""),34)</f>
        <v>34</v>
      </c>
    </row>
    <row r="36" spans="1:6">
      <c r="A36" s="1" t="str">
        <f ca="1">IFERROR(__xludf.DUMMYFUNCTION("""COMPUTED_VALUE"""),"IR-E-U-0410")</f>
        <v>IR-E-U-0410</v>
      </c>
      <c r="B36" s="1" t="str">
        <f ca="1">IFERROR(__xludf.DUMMYFUNCTION("""COMPUTED_VALUE"""),"Malaviya National Institute of Technology
More DetailsClose | 
[TABLE]")</f>
        <v>Malaviya National Institute of Technology
More DetailsClose | 
[TABLE]</v>
      </c>
      <c r="C36" s="1" t="str">
        <f ca="1">IFERROR(__xludf.DUMMYFUNCTION("""COMPUTED_VALUE"""),"Jaipur")</f>
        <v>Jaipur</v>
      </c>
      <c r="D36" s="1" t="str">
        <f ca="1">IFERROR(__xludf.DUMMYFUNCTION("""COMPUTED_VALUE"""),"Rajasthan")</f>
        <v>Rajasthan</v>
      </c>
      <c r="E36" s="1">
        <f ca="1">IFERROR(__xludf.DUMMYFUNCTION("""COMPUTED_VALUE"""),52.25)</f>
        <v>52.25</v>
      </c>
      <c r="F36" s="1">
        <f ca="1">IFERROR(__xludf.DUMMYFUNCTION("""COMPUTED_VALUE"""),35)</f>
        <v>35</v>
      </c>
    </row>
    <row r="37" spans="1:6">
      <c r="A37" s="1" t="str">
        <f ca="1">IFERROR(__xludf.DUMMYFUNCTION("""COMPUTED_VALUE"""),"IR-E-U-0098")</f>
        <v>IR-E-U-0098</v>
      </c>
      <c r="B37" s="1" t="str">
        <f ca="1">IFERROR(__xludf.DUMMYFUNCTION("""COMPUTED_VALUE"""),"Delhi Technological University
More DetailsClose | 
[TABLE]")</f>
        <v>Delhi Technological University
More DetailsClose | 
[TABLE]</v>
      </c>
      <c r="C37" s="1" t="str">
        <f ca="1">IFERROR(__xludf.DUMMYFUNCTION("""COMPUTED_VALUE"""),"New Delhi")</f>
        <v>New Delhi</v>
      </c>
      <c r="D37" s="1" t="str">
        <f ca="1">IFERROR(__xludf.DUMMYFUNCTION("""COMPUTED_VALUE"""),"Delhi")</f>
        <v>Delhi</v>
      </c>
      <c r="E37" s="1">
        <f ca="1">IFERROR(__xludf.DUMMYFUNCTION("""COMPUTED_VALUE"""),51.99)</f>
        <v>51.99</v>
      </c>
      <c r="F37" s="1">
        <f ca="1">IFERROR(__xludf.DUMMYFUNCTION("""COMPUTED_VALUE"""),36)</f>
        <v>36</v>
      </c>
    </row>
    <row r="38" spans="1:6">
      <c r="A38" s="1" t="str">
        <f ca="1">IFERROR(__xludf.DUMMYFUNCTION("""COMPUTED_VALUE"""),"IR-E-U-0476")</f>
        <v>IR-E-U-0476</v>
      </c>
      <c r="B38" s="1" t="str">
        <f ca="1">IFERROR(__xludf.DUMMYFUNCTION("""COMPUTED_VALUE"""),"Shanmugha Arts Science Technology &amp; Research Academy
More DetailsClose | 
[TABLE]")</f>
        <v>Shanmugha Arts Science Technology &amp; Research Academy
More DetailsClose | 
[TABLE]</v>
      </c>
      <c r="C38" s="1" t="str">
        <f ca="1">IFERROR(__xludf.DUMMYFUNCTION("""COMPUTED_VALUE"""),"Thanjavur")</f>
        <v>Thanjavur</v>
      </c>
      <c r="D38" s="1" t="str">
        <f ca="1">IFERROR(__xludf.DUMMYFUNCTION("""COMPUTED_VALUE"""),"Tamil Nadu")</f>
        <v>Tamil Nadu</v>
      </c>
      <c r="E38" s="1">
        <f ca="1">IFERROR(__xludf.DUMMYFUNCTION("""COMPUTED_VALUE"""),51.79)</f>
        <v>51.79</v>
      </c>
      <c r="F38" s="1">
        <f ca="1">IFERROR(__xludf.DUMMYFUNCTION("""COMPUTED_VALUE"""),37)</f>
        <v>37</v>
      </c>
    </row>
    <row r="39" spans="1:6">
      <c r="A39" s="1" t="str">
        <f ca="1">IFERROR(__xludf.DUMMYFUNCTION("""COMPUTED_VALUE"""),"IR-E-U-0202")</f>
        <v>IR-E-U-0202</v>
      </c>
      <c r="B39" s="1" t="str">
        <f ca="1">IFERROR(__xludf.DUMMYFUNCTION("""COMPUTED_VALUE"""),"Birla Institute of Technology
More DetailsClose | 
[TABLE]")</f>
        <v>Birla Institute of Technology
More DetailsClose | 
[TABLE]</v>
      </c>
      <c r="C39" s="1" t="str">
        <f ca="1">IFERROR(__xludf.DUMMYFUNCTION("""COMPUTED_VALUE"""),"Ranchi")</f>
        <v>Ranchi</v>
      </c>
      <c r="D39" s="1" t="str">
        <f ca="1">IFERROR(__xludf.DUMMYFUNCTION("""COMPUTED_VALUE"""),"Jharkhand")</f>
        <v>Jharkhand</v>
      </c>
      <c r="E39" s="1">
        <f ca="1">IFERROR(__xludf.DUMMYFUNCTION("""COMPUTED_VALUE"""),51.42)</f>
        <v>51.42</v>
      </c>
      <c r="F39" s="1">
        <f ca="1">IFERROR(__xludf.DUMMYFUNCTION("""COMPUTED_VALUE"""),38)</f>
        <v>38</v>
      </c>
    </row>
    <row r="40" spans="1:6">
      <c r="A40" s="1" t="str">
        <f ca="1">IFERROR(__xludf.DUMMYFUNCTION("""COMPUTED_VALUE"""),"IR-E-U-0496")</f>
        <v>IR-E-U-0496</v>
      </c>
      <c r="B40" s="1" t="str">
        <f ca="1">IFERROR(__xludf.DUMMYFUNCTION("""COMPUTED_VALUE"""),"Aligarh Muslim University
More DetailsClose | 
[TABLE]")</f>
        <v>Aligarh Muslim University
More DetailsClose | 
[TABLE]</v>
      </c>
      <c r="C40" s="1" t="str">
        <f ca="1">IFERROR(__xludf.DUMMYFUNCTION("""COMPUTED_VALUE"""),"Aligarh")</f>
        <v>Aligarh</v>
      </c>
      <c r="D40" s="1" t="str">
        <f ca="1">IFERROR(__xludf.DUMMYFUNCTION("""COMPUTED_VALUE"""),"Uttar Pradesh")</f>
        <v>Uttar Pradesh</v>
      </c>
      <c r="E40" s="1">
        <f ca="1">IFERROR(__xludf.DUMMYFUNCTION("""COMPUTED_VALUE"""),51.39)</f>
        <v>51.39</v>
      </c>
      <c r="F40" s="1">
        <f ca="1">IFERROR(__xludf.DUMMYFUNCTION("""COMPUTED_VALUE"""),39)</f>
        <v>39</v>
      </c>
    </row>
    <row r="41" spans="1:6">
      <c r="A41" s="1" t="str">
        <f ca="1">IFERROR(__xludf.DUMMYFUNCTION("""COMPUTED_VALUE"""),"IR-E-U-0172")</f>
        <v>IR-E-U-0172</v>
      </c>
      <c r="B41" s="1" t="str">
        <f ca="1">IFERROR(__xludf.DUMMYFUNCTION("""COMPUTED_VALUE"""),"National Institute of Technology Kurukshetra
More DetailsClose | 
[TABLE]")</f>
        <v>National Institute of Technology Kurukshetra
More DetailsClose | 
[TABLE]</v>
      </c>
      <c r="C41" s="1" t="str">
        <f ca="1">IFERROR(__xludf.DUMMYFUNCTION("""COMPUTED_VALUE"""),"Kurukshetra")</f>
        <v>Kurukshetra</v>
      </c>
      <c r="D41" s="1" t="str">
        <f ca="1">IFERROR(__xludf.DUMMYFUNCTION("""COMPUTED_VALUE"""),"Haryana")</f>
        <v>Haryana</v>
      </c>
      <c r="E41" s="1">
        <f ca="1">IFERROR(__xludf.DUMMYFUNCTION("""COMPUTED_VALUE"""),51.19)</f>
        <v>51.19</v>
      </c>
      <c r="F41" s="1">
        <f ca="1">IFERROR(__xludf.DUMMYFUNCTION("""COMPUTED_VALUE"""),40)</f>
        <v>40</v>
      </c>
    </row>
    <row r="42" spans="1:6">
      <c r="A42" s="1" t="str">
        <f ca="1">IFERROR(__xludf.DUMMYFUNCTION("""COMPUTED_VALUE"""),"IR-E-U-0473")</f>
        <v>IR-E-U-0473</v>
      </c>
      <c r="B42" s="1" t="str">
        <f ca="1">IFERROR(__xludf.DUMMYFUNCTION("""COMPUTED_VALUE"""),"S. R. M. Institute of Science and Technology
More DetailsClose | 
[TABLE]")</f>
        <v>S. R. M. Institute of Science and Technology
More DetailsClose | 
[TABLE]</v>
      </c>
      <c r="C42" s="1" t="str">
        <f ca="1">IFERROR(__xludf.DUMMYFUNCTION("""COMPUTED_VALUE"""),"Chennai")</f>
        <v>Chennai</v>
      </c>
      <c r="D42" s="1" t="str">
        <f ca="1">IFERROR(__xludf.DUMMYFUNCTION("""COMPUTED_VALUE"""),"Tamil Nadu")</f>
        <v>Tamil Nadu</v>
      </c>
      <c r="E42" s="1">
        <f ca="1">IFERROR(__xludf.DUMMYFUNCTION("""COMPUTED_VALUE"""),50.95)</f>
        <v>50.95</v>
      </c>
      <c r="F42" s="1">
        <f ca="1">IFERROR(__xludf.DUMMYFUNCTION("""COMPUTED_VALUE"""),41)</f>
        <v>41</v>
      </c>
    </row>
    <row r="43" spans="1:6">
      <c r="A43" s="1" t="str">
        <f ca="1">IFERROR(__xludf.DUMMYFUNCTION("""COMPUTED_VALUE"""),"IR-E-U-0356")</f>
        <v>IR-E-U-0356</v>
      </c>
      <c r="B43" s="1" t="str">
        <f ca="1">IFERROR(__xludf.DUMMYFUNCTION("""COMPUTED_VALUE"""),"Kalinga Institute of Industrial Technology
More DetailsClose | 
[TABLE]")</f>
        <v>Kalinga Institute of Industrial Technology
More DetailsClose | 
[TABLE]</v>
      </c>
      <c r="C43" s="1" t="str">
        <f ca="1">IFERROR(__xludf.DUMMYFUNCTION("""COMPUTED_VALUE"""),"Bhubaneswar")</f>
        <v>Bhubaneswar</v>
      </c>
      <c r="D43" s="1" t="str">
        <f ca="1">IFERROR(__xludf.DUMMYFUNCTION("""COMPUTED_VALUE"""),"Odisha")</f>
        <v>Odisha</v>
      </c>
      <c r="E43" s="1">
        <f ca="1">IFERROR(__xludf.DUMMYFUNCTION("""COMPUTED_VALUE"""),50.07)</f>
        <v>50.07</v>
      </c>
      <c r="F43" s="1">
        <f ca="1">IFERROR(__xludf.DUMMYFUNCTION("""COMPUTED_VALUE"""),42)</f>
        <v>42</v>
      </c>
    </row>
    <row r="44" spans="1:6">
      <c r="A44" s="1" t="str">
        <f ca="1">IFERROR(__xludf.DUMMYFUNCTION("""COMPUTED_VALUE"""),"IR-E-U-0014")</f>
        <v>IR-E-U-0014</v>
      </c>
      <c r="B44" s="1" t="str">
        <f ca="1">IFERROR(__xludf.DUMMYFUNCTION("""COMPUTED_VALUE"""),"International Institute of Information Technology Hyderabad
More DetailsClose | 
[TABLE]")</f>
        <v>International Institute of Information Technology Hyderabad
More DetailsClose | 
[TABLE]</v>
      </c>
      <c r="C44" s="1" t="str">
        <f ca="1">IFERROR(__xludf.DUMMYFUNCTION("""COMPUTED_VALUE"""),"Hyderabad")</f>
        <v>Hyderabad</v>
      </c>
      <c r="D44" s="1" t="str">
        <f ca="1">IFERROR(__xludf.DUMMYFUNCTION("""COMPUTED_VALUE"""),"Telangana")</f>
        <v>Telangana</v>
      </c>
      <c r="E44" s="1">
        <f ca="1">IFERROR(__xludf.DUMMYFUNCTION("""COMPUTED_VALUE"""),49.45)</f>
        <v>49.45</v>
      </c>
      <c r="F44" s="1">
        <f ca="1">IFERROR(__xludf.DUMMYFUNCTION("""COMPUTED_VALUE"""),43)</f>
        <v>43</v>
      </c>
    </row>
    <row r="45" spans="1:6">
      <c r="A45" s="1" t="str">
        <f ca="1">IFERROR(__xludf.DUMMYFUNCTION("""COMPUTED_VALUE"""),"IR-E-C-16604")</f>
        <v>IR-E-C-16604</v>
      </c>
      <c r="B45" s="1" t="str">
        <f ca="1">IFERROR(__xludf.DUMMYFUNCTION("""COMPUTED_VALUE"""),"Sri Sivasubramaniya Nadar College of Engineering
More DetailsClose | 
[TABLE]")</f>
        <v>Sri Sivasubramaniya Nadar College of Engineering
More DetailsClose | 
[TABLE]</v>
      </c>
      <c r="C45" s="1" t="str">
        <f ca="1">IFERROR(__xludf.DUMMYFUNCTION("""COMPUTED_VALUE"""),"Kancheepuram")</f>
        <v>Kancheepuram</v>
      </c>
      <c r="D45" s="1" t="str">
        <f ca="1">IFERROR(__xludf.DUMMYFUNCTION("""COMPUTED_VALUE"""),"Tamil Nadu")</f>
        <v>Tamil Nadu</v>
      </c>
      <c r="E45" s="1">
        <f ca="1">IFERROR(__xludf.DUMMYFUNCTION("""COMPUTED_VALUE"""),49.26)</f>
        <v>49.26</v>
      </c>
      <c r="F45" s="1">
        <f ca="1">IFERROR(__xludf.DUMMYFUNCTION("""COMPUTED_VALUE"""),44)</f>
        <v>44</v>
      </c>
    </row>
    <row r="46" spans="1:6">
      <c r="A46" s="1" t="str">
        <f ca="1">IFERROR(__xludf.DUMMYFUNCTION("""COMPUTED_VALUE"""),"IR-E-C-7252")</f>
        <v>IR-E-C-7252</v>
      </c>
      <c r="B46" s="1" t="str">
        <f ca="1">IFERROR(__xludf.DUMMYFUNCTION("""COMPUTED_VALUE"""),"Manipal Institute of Technology
More DetailsClose | 
[TABLE]")</f>
        <v>Manipal Institute of Technology
More DetailsClose | 
[TABLE]</v>
      </c>
      <c r="C46" s="1" t="str">
        <f ca="1">IFERROR(__xludf.DUMMYFUNCTION("""COMPUTED_VALUE"""),"Manipal")</f>
        <v>Manipal</v>
      </c>
      <c r="D46" s="1" t="str">
        <f ca="1">IFERROR(__xludf.DUMMYFUNCTION("""COMPUTED_VALUE"""),"Karnataka")</f>
        <v>Karnataka</v>
      </c>
      <c r="E46" s="1">
        <f ca="1">IFERROR(__xludf.DUMMYFUNCTION("""COMPUTED_VALUE"""),49.06)</f>
        <v>49.06</v>
      </c>
      <c r="F46" s="1">
        <f ca="1">IFERROR(__xludf.DUMMYFUNCTION("""COMPUTED_VALUE"""),45)</f>
        <v>45</v>
      </c>
    </row>
    <row r="47" spans="1:6">
      <c r="A47" s="1" t="str">
        <f ca="1">IFERROR(__xludf.DUMMYFUNCTION("""COMPUTED_VALUE"""),"IR-E-U-0055")</f>
        <v>IR-E-U-0055</v>
      </c>
      <c r="B47" s="1" t="str">
        <f ca="1">IFERROR(__xludf.DUMMYFUNCTION("""COMPUTED_VALUE"""),"National Institute of Technology Silchar
More DetailsClose | 
[TABLE]")</f>
        <v>National Institute of Technology Silchar
More DetailsClose | 
[TABLE]</v>
      </c>
      <c r="C47" s="1" t="str">
        <f ca="1">IFERROR(__xludf.DUMMYFUNCTION("""COMPUTED_VALUE"""),"Silchar")</f>
        <v>Silchar</v>
      </c>
      <c r="D47" s="1" t="str">
        <f ca="1">IFERROR(__xludf.DUMMYFUNCTION("""COMPUTED_VALUE"""),"Assam")</f>
        <v>Assam</v>
      </c>
      <c r="E47" s="1">
        <f ca="1">IFERROR(__xludf.DUMMYFUNCTION("""COMPUTED_VALUE"""),48.66)</f>
        <v>48.66</v>
      </c>
      <c r="F47" s="1">
        <f ca="1">IFERROR(__xludf.DUMMYFUNCTION("""COMPUTED_VALUE"""),46)</f>
        <v>46</v>
      </c>
    </row>
    <row r="48" spans="1:6">
      <c r="A48" s="1" t="str">
        <f ca="1">IFERROR(__xludf.DUMMYFUNCTION("""COMPUTED_VALUE"""),"IR-E-U-0577")</f>
        <v>IR-E-U-0577</v>
      </c>
      <c r="B48" s="1" t="str">
        <f ca="1">IFERROR(__xludf.DUMMYFUNCTION("""COMPUTED_VALUE"""),"National Institute of Technology Durgapur
More DetailsClose | 
[TABLE]")</f>
        <v>National Institute of Technology Durgapur
More DetailsClose | 
[TABLE]</v>
      </c>
      <c r="C48" s="1" t="str">
        <f ca="1">IFERROR(__xludf.DUMMYFUNCTION("""COMPUTED_VALUE"""),"Durgapur")</f>
        <v>Durgapur</v>
      </c>
      <c r="D48" s="1" t="str">
        <f ca="1">IFERROR(__xludf.DUMMYFUNCTION("""COMPUTED_VALUE"""),"West Bengal")</f>
        <v>West Bengal</v>
      </c>
      <c r="E48" s="1">
        <f ca="1">IFERROR(__xludf.DUMMYFUNCTION("""COMPUTED_VALUE"""),48.39)</f>
        <v>48.39</v>
      </c>
      <c r="F48" s="1">
        <f ca="1">IFERROR(__xludf.DUMMYFUNCTION("""COMPUTED_VALUE"""),47)</f>
        <v>47</v>
      </c>
    </row>
    <row r="49" spans="1:6">
      <c r="A49" s="1" t="str">
        <f ca="1">IFERROR(__xludf.DUMMYFUNCTION("""COMPUTED_VALUE"""),"IR-E-U-0530")</f>
        <v>IR-E-U-0530</v>
      </c>
      <c r="B49" s="1" t="str">
        <f ca="1">IFERROR(__xludf.DUMMYFUNCTION("""COMPUTED_VALUE"""),"Motilal Nehru National Institute of Technology
More DetailsClose | 
[TABLE]")</f>
        <v>Motilal Nehru National Institute of Technology
More DetailsClose | 
[TABLE]</v>
      </c>
      <c r="C49" s="1" t="str">
        <f ca="1">IFERROR(__xludf.DUMMYFUNCTION("""COMPUTED_VALUE"""),"Allahabad")</f>
        <v>Allahabad</v>
      </c>
      <c r="D49" s="1" t="str">
        <f ca="1">IFERROR(__xludf.DUMMYFUNCTION("""COMPUTED_VALUE"""),"Uttar Pradesh")</f>
        <v>Uttar Pradesh</v>
      </c>
      <c r="E49" s="1">
        <f ca="1">IFERROR(__xludf.DUMMYFUNCTION("""COMPUTED_VALUE"""),48.24)</f>
        <v>48.24</v>
      </c>
      <c r="F49" s="1">
        <f ca="1">IFERROR(__xludf.DUMMYFUNCTION("""COMPUTED_VALUE"""),48)</f>
        <v>48</v>
      </c>
    </row>
    <row r="50" spans="1:6">
      <c r="A50" s="1" t="str">
        <f ca="1">IFERROR(__xludf.DUMMYFUNCTION("""COMPUTED_VALUE"""),"IR-E-C-37013")</f>
        <v>IR-E-C-37013</v>
      </c>
      <c r="B50" s="1" t="str">
        <f ca="1">IFERROR(__xludf.DUMMYFUNCTION("""COMPUTED_VALUE"""),"PSG College of Technology
More DetailsClose | 
[TABLE]")</f>
        <v>PSG College of Technology
More DetailsClose | 
[TABLE]</v>
      </c>
      <c r="C50" s="1" t="str">
        <f ca="1">IFERROR(__xludf.DUMMYFUNCTION("""COMPUTED_VALUE"""),"Coimbatore")</f>
        <v>Coimbatore</v>
      </c>
      <c r="D50" s="1" t="str">
        <f ca="1">IFERROR(__xludf.DUMMYFUNCTION("""COMPUTED_VALUE"""),"Tamil Nadu")</f>
        <v>Tamil Nadu</v>
      </c>
      <c r="E50" s="1">
        <f ca="1">IFERROR(__xludf.DUMMYFUNCTION("""COMPUTED_VALUE"""),47.21)</f>
        <v>47.21</v>
      </c>
      <c r="F50" s="1">
        <f ca="1">IFERROR(__xludf.DUMMYFUNCTION("""COMPUTED_VALUE"""),49)</f>
        <v>49</v>
      </c>
    </row>
    <row r="51" spans="1:6">
      <c r="A51" s="1" t="str">
        <f ca="1">IFERROR(__xludf.DUMMYFUNCTION("""COMPUTED_VALUE"""),"IR-E-C-41593")</f>
        <v>IR-E-C-41593</v>
      </c>
      <c r="B51" s="1" t="str">
        <f ca="1">IFERROR(__xludf.DUMMYFUNCTION("""COMPUTED_VALUE"""),"College of Engineering Pune
More DetailsClose | 
[TABLE]")</f>
        <v>College of Engineering Pune
More DetailsClose | 
[TABLE]</v>
      </c>
      <c r="C51" s="1" t="str">
        <f ca="1">IFERROR(__xludf.DUMMYFUNCTION("""COMPUTED_VALUE"""),"Pune")</f>
        <v>Pune</v>
      </c>
      <c r="D51" s="1" t="str">
        <f ca="1">IFERROR(__xludf.DUMMYFUNCTION("""COMPUTED_VALUE"""),"Maharashtra")</f>
        <v>Maharashtra</v>
      </c>
      <c r="E51" s="1">
        <f ca="1">IFERROR(__xludf.DUMMYFUNCTION("""COMPUTED_VALUE"""),46.79)</f>
        <v>46.79</v>
      </c>
      <c r="F51" s="1">
        <f ca="1">IFERROR(__xludf.DUMMYFUNCTION("""COMPUTED_VALUE"""),50)</f>
        <v>50</v>
      </c>
    </row>
    <row r="52" spans="1:6">
      <c r="A52" s="1" t="str">
        <f ca="1">IFERROR(__xludf.DUMMYFUNCTION("""COMPUTED_VALUE"""),"IR-E-U-0474")</f>
        <v>IR-E-U-0474</v>
      </c>
      <c r="B52" s="1" t="str">
        <f ca="1">IFERROR(__xludf.DUMMYFUNCTION("""COMPUTED_VALUE"""),"Sathyabama Institute of Science and Technology
More DetailsClose | 
[TABLE]")</f>
        <v>Sathyabama Institute of Science and Technology
More DetailsClose | 
[TABLE]</v>
      </c>
      <c r="C52" s="1" t="str">
        <f ca="1">IFERROR(__xludf.DUMMYFUNCTION("""COMPUTED_VALUE"""),"Chennai")</f>
        <v>Chennai</v>
      </c>
      <c r="D52" s="1" t="str">
        <f ca="1">IFERROR(__xludf.DUMMYFUNCTION("""COMPUTED_VALUE"""),"Tamil Nadu")</f>
        <v>Tamil Nadu</v>
      </c>
      <c r="E52" s="1">
        <f ca="1">IFERROR(__xludf.DUMMYFUNCTION("""COMPUTED_VALUE"""),46.77)</f>
        <v>46.77</v>
      </c>
      <c r="F52" s="1">
        <f ca="1">IFERROR(__xludf.DUMMYFUNCTION("""COMPUTED_VALUE"""),51)</f>
        <v>51</v>
      </c>
    </row>
    <row r="53" spans="1:6">
      <c r="A53" s="1" t="str">
        <f ca="1">IFERROR(__xludf.DUMMYFUNCTION("""COMPUTED_VALUE"""),"IR-E-U-0374")</f>
        <v>IR-E-U-0374</v>
      </c>
      <c r="B53" s="1" t="str">
        <f ca="1">IFERROR(__xludf.DUMMYFUNCTION("""COMPUTED_VALUE"""),"Dr. B. R. Ambedkar National Institute of Technology
More DetailsClose | 
[TABLE]")</f>
        <v>Dr. B. R. Ambedkar National Institute of Technology
More DetailsClose | 
[TABLE]</v>
      </c>
      <c r="C53" s="1" t="str">
        <f ca="1">IFERROR(__xludf.DUMMYFUNCTION("""COMPUTED_VALUE"""),"Jalandhar")</f>
        <v>Jalandhar</v>
      </c>
      <c r="D53" s="1" t="str">
        <f ca="1">IFERROR(__xludf.DUMMYFUNCTION("""COMPUTED_VALUE"""),"Punjab")</f>
        <v>Punjab</v>
      </c>
      <c r="E53" s="1">
        <f ca="1">IFERROR(__xludf.DUMMYFUNCTION("""COMPUTED_VALUE"""),46.45)</f>
        <v>46.45</v>
      </c>
      <c r="F53" s="1">
        <f ca="1">IFERROR(__xludf.DUMMYFUNCTION("""COMPUTED_VALUE"""),52)</f>
        <v>52</v>
      </c>
    </row>
    <row r="54" spans="1:6">
      <c r="A54" s="1" t="str">
        <f ca="1">IFERROR(__xludf.DUMMYFUNCTION("""COMPUTED_VALUE"""),"IR-E-U-0395")</f>
        <v>IR-E-U-0395</v>
      </c>
      <c r="B54" s="1" t="str">
        <f ca="1">IFERROR(__xludf.DUMMYFUNCTION("""COMPUTED_VALUE"""),"Indian Institute of Technology Jodhpur
More DetailsClose | 
[TABLE]")</f>
        <v>Indian Institute of Technology Jodhpur
More DetailsClose | 
[TABLE]</v>
      </c>
      <c r="C54" s="1" t="str">
        <f ca="1">IFERROR(__xludf.DUMMYFUNCTION("""COMPUTED_VALUE"""),"Jodhpur")</f>
        <v>Jodhpur</v>
      </c>
      <c r="D54" s="1" t="str">
        <f ca="1">IFERROR(__xludf.DUMMYFUNCTION("""COMPUTED_VALUE"""),"Rajasthan")</f>
        <v>Rajasthan</v>
      </c>
      <c r="E54" s="1">
        <f ca="1">IFERROR(__xludf.DUMMYFUNCTION("""COMPUTED_VALUE"""),46.13)</f>
        <v>46.13</v>
      </c>
      <c r="F54" s="1">
        <f ca="1">IFERROR(__xludf.DUMMYFUNCTION("""COMPUTED_VALUE"""),53)</f>
        <v>53</v>
      </c>
    </row>
    <row r="55" spans="1:6">
      <c r="A55" s="1" t="str">
        <f ca="1">IFERROR(__xludf.DUMMYFUNCTION("""COMPUTED_VALUE"""),"IR-E-U-0149")</f>
        <v>IR-E-U-0149</v>
      </c>
      <c r="B55" s="1" t="str">
        <f ca="1">IFERROR(__xludf.DUMMYFUNCTION("""COMPUTED_VALUE"""),"Sardar Vallabhbhai National Institute of Technology
More DetailsClose | 
[TABLE]")</f>
        <v>Sardar Vallabhbhai National Institute of Technology
More DetailsClose | 
[TABLE]</v>
      </c>
      <c r="C55" s="1" t="str">
        <f ca="1">IFERROR(__xludf.DUMMYFUNCTION("""COMPUTED_VALUE"""),"Surat")</f>
        <v>Surat</v>
      </c>
      <c r="D55" s="1" t="str">
        <f ca="1">IFERROR(__xludf.DUMMYFUNCTION("""COMPUTED_VALUE"""),"Gujarat")</f>
        <v>Gujarat</v>
      </c>
      <c r="E55" s="1">
        <f ca="1">IFERROR(__xludf.DUMMYFUNCTION("""COMPUTED_VALUE"""),45.59)</f>
        <v>45.59</v>
      </c>
      <c r="F55" s="1">
        <f ca="1">IFERROR(__xludf.DUMMYFUNCTION("""COMPUTED_VALUE"""),54)</f>
        <v>54</v>
      </c>
    </row>
    <row r="56" spans="1:6">
      <c r="A56" s="1" t="str">
        <f ca="1">IFERROR(__xludf.DUMMYFUNCTION("""COMPUTED_VALUE"""),"IR-E-U-0249")</f>
        <v>IR-E-U-0249</v>
      </c>
      <c r="B56" s="1" t="str">
        <f ca="1">IFERROR(__xludf.DUMMYFUNCTION("""COMPUTED_VALUE"""),"Visvesvaraya Technological University
More DetailsClose | 
[TABLE]")</f>
        <v>Visvesvaraya Technological University
More DetailsClose | 
[TABLE]</v>
      </c>
      <c r="C56" s="1" t="str">
        <f ca="1">IFERROR(__xludf.DUMMYFUNCTION("""COMPUTED_VALUE"""),"Belgaum")</f>
        <v>Belgaum</v>
      </c>
      <c r="D56" s="1" t="str">
        <f ca="1">IFERROR(__xludf.DUMMYFUNCTION("""COMPUTED_VALUE"""),"Karnataka")</f>
        <v>Karnataka</v>
      </c>
      <c r="E56" s="1">
        <f ca="1">IFERROR(__xludf.DUMMYFUNCTION("""COMPUTED_VALUE"""),45.37)</f>
        <v>45.37</v>
      </c>
      <c r="F56" s="1">
        <f ca="1">IFERROR(__xludf.DUMMYFUNCTION("""COMPUTED_VALUE"""),55)</f>
        <v>55</v>
      </c>
    </row>
    <row r="57" spans="1:6">
      <c r="A57" s="1" t="str">
        <f ca="1">IFERROR(__xludf.DUMMYFUNCTION("""COMPUTED_VALUE"""),"IR-E-U-0105")</f>
        <v>IR-E-U-0105</v>
      </c>
      <c r="B57" s="1" t="str">
        <f ca="1">IFERROR(__xludf.DUMMYFUNCTION("""COMPUTED_VALUE"""),"Indraprastha Institute of Information Technology Delhi
More DetailsClose | 
[TABLE]")</f>
        <v>Indraprastha Institute of Information Technology Delhi
More DetailsClose | 
[TABLE]</v>
      </c>
      <c r="C57" s="1" t="str">
        <f ca="1">IFERROR(__xludf.DUMMYFUNCTION("""COMPUTED_VALUE"""),"New Delhi")</f>
        <v>New Delhi</v>
      </c>
      <c r="D57" s="1" t="str">
        <f ca="1">IFERROR(__xludf.DUMMYFUNCTION("""COMPUTED_VALUE"""),"Delhi")</f>
        <v>Delhi</v>
      </c>
      <c r="E57" s="1">
        <f ca="1">IFERROR(__xludf.DUMMYFUNCTION("""COMPUTED_VALUE"""),45.03)</f>
        <v>45.03</v>
      </c>
      <c r="F57" s="1">
        <f ca="1">IFERROR(__xludf.DUMMYFUNCTION("""COMPUTED_VALUE"""),56)</f>
        <v>56</v>
      </c>
    </row>
    <row r="58" spans="1:6">
      <c r="A58" s="1" t="str">
        <f ca="1">IFERROR(__xludf.DUMMYFUNCTION("""COMPUTED_VALUE"""),"IR-E-U-0017")</f>
        <v>IR-E-U-0017</v>
      </c>
      <c r="B58" s="1" t="str">
        <f ca="1">IFERROR(__xludf.DUMMYFUNCTION("""COMPUTED_VALUE"""),"Jawaharlal Nehru Technological University
More DetailsClose | 
[TABLE]")</f>
        <v>Jawaharlal Nehru Technological University
More DetailsClose | 
[TABLE]</v>
      </c>
      <c r="C58" s="1" t="str">
        <f ca="1">IFERROR(__xludf.DUMMYFUNCTION("""COMPUTED_VALUE"""),"Hyderabad")</f>
        <v>Hyderabad</v>
      </c>
      <c r="D58" s="1" t="str">
        <f ca="1">IFERROR(__xludf.DUMMYFUNCTION("""COMPUTED_VALUE"""),"Telangana")</f>
        <v>Telangana</v>
      </c>
      <c r="E58" s="1">
        <f ca="1">IFERROR(__xludf.DUMMYFUNCTION("""COMPUTED_VALUE"""),44.97)</f>
        <v>44.97</v>
      </c>
      <c r="F58" s="1">
        <f ca="1">IFERROR(__xludf.DUMMYFUNCTION("""COMPUTED_VALUE"""),57)</f>
        <v>57</v>
      </c>
    </row>
    <row r="59" spans="1:6">
      <c r="A59" s="1" t="str">
        <f ca="1">IFERROR(__xludf.DUMMYFUNCTION("""COMPUTED_VALUE"""),"IR-E-U-0020")</f>
        <v>IR-E-U-0020</v>
      </c>
      <c r="B59" s="1" t="str">
        <f ca="1">IFERROR(__xludf.DUMMYFUNCTION("""COMPUTED_VALUE"""),"Koneru Lakshmaiah Education Foundation University
More DetailsClose | 
[TABLE]")</f>
        <v>Koneru Lakshmaiah Education Foundation University
More DetailsClose | 
[TABLE]</v>
      </c>
      <c r="C59" s="1" t="str">
        <f ca="1">IFERROR(__xludf.DUMMYFUNCTION("""COMPUTED_VALUE"""),"Vaddeswaram")</f>
        <v>Vaddeswaram</v>
      </c>
      <c r="D59" s="1" t="str">
        <f ca="1">IFERROR(__xludf.DUMMYFUNCTION("""COMPUTED_VALUE"""),"Andhra Pradesh")</f>
        <v>Andhra Pradesh</v>
      </c>
      <c r="E59" s="1">
        <f ca="1">IFERROR(__xludf.DUMMYFUNCTION("""COMPUTED_VALUE"""),44.7)</f>
        <v>44.7</v>
      </c>
      <c r="F59" s="1">
        <f ca="1">IFERROR(__xludf.DUMMYFUNCTION("""COMPUTED_VALUE"""),58)</f>
        <v>58</v>
      </c>
    </row>
    <row r="60" spans="1:6">
      <c r="A60" s="1" t="str">
        <f ca="1">IFERROR(__xludf.DUMMYFUNCTION("""COMPUTED_VALUE"""),"IR-E-C-1331")</f>
        <v>IR-E-C-1331</v>
      </c>
      <c r="B60" s="1" t="str">
        <f ca="1">IFERROR(__xludf.DUMMYFUNCTION("""COMPUTED_VALUE"""),"M. S. Ramaiah Institute of Technology
More DetailsClose | 
[TABLE]")</f>
        <v>M. S. Ramaiah Institute of Technology
More DetailsClose | 
[TABLE]</v>
      </c>
      <c r="C60" s="1" t="str">
        <f ca="1">IFERROR(__xludf.DUMMYFUNCTION("""COMPUTED_VALUE"""),"Bengaluru")</f>
        <v>Bengaluru</v>
      </c>
      <c r="D60" s="1" t="str">
        <f ca="1">IFERROR(__xludf.DUMMYFUNCTION("""COMPUTED_VALUE"""),"Karnataka")</f>
        <v>Karnataka</v>
      </c>
      <c r="E60" s="1">
        <f ca="1">IFERROR(__xludf.DUMMYFUNCTION("""COMPUTED_VALUE"""),43.74)</f>
        <v>43.74</v>
      </c>
      <c r="F60" s="1">
        <f ca="1">IFERROR(__xludf.DUMMYFUNCTION("""COMPUTED_VALUE"""),59)</f>
        <v>59</v>
      </c>
    </row>
    <row r="61" spans="1:6">
      <c r="A61" s="1" t="str">
        <f ca="1">IFERROR(__xludf.DUMMYFUNCTION("""COMPUTED_VALUE"""),"IR-E-U-0458")</f>
        <v>IR-E-U-0458</v>
      </c>
      <c r="B61" s="1" t="str">
        <f ca="1">IFERROR(__xludf.DUMMYFUNCTION("""COMPUTED_VALUE"""),"Kalasalingam Academy of Research and Higher Education
More DetailsClose | 
[TABLE]")</f>
        <v>Kalasalingam Academy of Research and Higher Education
More DetailsClose | 
[TABLE]</v>
      </c>
      <c r="C61" s="1" t="str">
        <f ca="1">IFERROR(__xludf.DUMMYFUNCTION("""COMPUTED_VALUE"""),"Srivilliputtur")</f>
        <v>Srivilliputtur</v>
      </c>
      <c r="D61" s="1" t="str">
        <f ca="1">IFERROR(__xludf.DUMMYFUNCTION("""COMPUTED_VALUE"""),"Tamil Nadu")</f>
        <v>Tamil Nadu</v>
      </c>
      <c r="E61" s="1">
        <f ca="1">IFERROR(__xludf.DUMMYFUNCTION("""COMPUTED_VALUE"""),43.71)</f>
        <v>43.71</v>
      </c>
      <c r="F61" s="1">
        <f ca="1">IFERROR(__xludf.DUMMYFUNCTION("""COMPUTED_VALUE"""),60)</f>
        <v>60</v>
      </c>
    </row>
    <row r="62" spans="1:6">
      <c r="A62" s="1" t="str">
        <f ca="1">IFERROR(__xludf.DUMMYFUNCTION("""COMPUTED_VALUE"""),"IR-E-U-0619")</f>
        <v>IR-E-U-0619</v>
      </c>
      <c r="B62" s="1" t="str">
        <f ca="1">IFERROR(__xludf.DUMMYFUNCTION("""COMPUTED_VALUE"""),"National Institute of Technology Meghalaya
More DetailsClose | 
[TABLE]")</f>
        <v>National Institute of Technology Meghalaya
More DetailsClose | 
[TABLE]</v>
      </c>
      <c r="C62" s="1" t="str">
        <f ca="1">IFERROR(__xludf.DUMMYFUNCTION("""COMPUTED_VALUE"""),"Shillong")</f>
        <v>Shillong</v>
      </c>
      <c r="D62" s="1" t="str">
        <f ca="1">IFERROR(__xludf.DUMMYFUNCTION("""COMPUTED_VALUE"""),"Meghalaya")</f>
        <v>Meghalaya</v>
      </c>
      <c r="E62" s="1">
        <f ca="1">IFERROR(__xludf.DUMMYFUNCTION("""COMPUTED_VALUE"""),43.69)</f>
        <v>43.69</v>
      </c>
      <c r="F62" s="1">
        <f ca="1">IFERROR(__xludf.DUMMYFUNCTION("""COMPUTED_VALUE"""),61)</f>
        <v>61</v>
      </c>
    </row>
    <row r="63" spans="1:6">
      <c r="A63" s="1" t="str">
        <f ca="1">IFERROR(__xludf.DUMMYFUNCTION("""COMPUTED_VALUE"""),"IR-E-U-0221")</f>
        <v>IR-E-U-0221</v>
      </c>
      <c r="B63" s="1" t="str">
        <f ca="1">IFERROR(__xludf.DUMMYFUNCTION("""COMPUTED_VALUE"""),"International Institute of Information Technology Bangalore
More DetailsClose | 
[TABLE]")</f>
        <v>International Institute of Information Technology Bangalore
More DetailsClose | 
[TABLE]</v>
      </c>
      <c r="C63" s="1" t="str">
        <f ca="1">IFERROR(__xludf.DUMMYFUNCTION("""COMPUTED_VALUE"""),"Bengaluru")</f>
        <v>Bengaluru</v>
      </c>
      <c r="D63" s="1" t="str">
        <f ca="1">IFERROR(__xludf.DUMMYFUNCTION("""COMPUTED_VALUE"""),"Karnataka")</f>
        <v>Karnataka</v>
      </c>
      <c r="E63" s="1">
        <f ca="1">IFERROR(__xludf.DUMMYFUNCTION("""COMPUTED_VALUE"""),43.55)</f>
        <v>43.55</v>
      </c>
      <c r="F63" s="1">
        <f ca="1">IFERROR(__xludf.DUMMYFUNCTION("""COMPUTED_VALUE"""),62)</f>
        <v>62</v>
      </c>
    </row>
    <row r="64" spans="1:6">
      <c r="A64" s="1" t="str">
        <f ca="1">IFERROR(__xludf.DUMMYFUNCTION("""COMPUTED_VALUE"""),"IR-E-U-0297")</f>
        <v>IR-E-U-0297</v>
      </c>
      <c r="B64" s="1" t="str">
        <f ca="1">IFERROR(__xludf.DUMMYFUNCTION("""COMPUTED_VALUE"""),"Defence Institute of Advanced Technology
More DetailsClose | 
[TABLE]")</f>
        <v>Defence Institute of Advanced Technology
More DetailsClose | 
[TABLE]</v>
      </c>
      <c r="C64" s="1" t="str">
        <f ca="1">IFERROR(__xludf.DUMMYFUNCTION("""COMPUTED_VALUE"""),"Pune")</f>
        <v>Pune</v>
      </c>
      <c r="D64" s="1" t="str">
        <f ca="1">IFERROR(__xludf.DUMMYFUNCTION("""COMPUTED_VALUE"""),"Maharashtra")</f>
        <v>Maharashtra</v>
      </c>
      <c r="E64" s="1">
        <f ca="1">IFERROR(__xludf.DUMMYFUNCTION("""COMPUTED_VALUE"""),43.13)</f>
        <v>43.13</v>
      </c>
      <c r="F64" s="1">
        <f ca="1">IFERROR(__xludf.DUMMYFUNCTION("""COMPUTED_VALUE"""),63)</f>
        <v>63</v>
      </c>
    </row>
    <row r="65" spans="1:6">
      <c r="A65" s="1" t="str">
        <f ca="1">IFERROR(__xludf.DUMMYFUNCTION("""COMPUTED_VALUE"""),"IR-E-C-26794")</f>
        <v>IR-E-C-26794</v>
      </c>
      <c r="B65" s="1" t="str">
        <f ca="1">IFERROR(__xludf.DUMMYFUNCTION("""COMPUTED_VALUE"""),"Thiagarajar College of Engineering
More DetailsClose | 
[TABLE]")</f>
        <v>Thiagarajar College of Engineering
More DetailsClose | 
[TABLE]</v>
      </c>
      <c r="C65" s="1" t="str">
        <f ca="1">IFERROR(__xludf.DUMMYFUNCTION("""COMPUTED_VALUE"""),"Madurai")</f>
        <v>Madurai</v>
      </c>
      <c r="D65" s="1" t="str">
        <f ca="1">IFERROR(__xludf.DUMMYFUNCTION("""COMPUTED_VALUE"""),"Tamil Nadu")</f>
        <v>Tamil Nadu</v>
      </c>
      <c r="E65" s="1">
        <f ca="1">IFERROR(__xludf.DUMMYFUNCTION("""COMPUTED_VALUE"""),43.11)</f>
        <v>43.11</v>
      </c>
      <c r="F65" s="1">
        <f ca="1">IFERROR(__xludf.DUMMYFUNCTION("""COMPUTED_VALUE"""),64)</f>
        <v>64</v>
      </c>
    </row>
    <row r="66" spans="1:6">
      <c r="A66" s="1" t="str">
        <f ca="1">IFERROR(__xludf.DUMMYFUNCTION("""COMPUTED_VALUE"""),"IR-E-U-0284")</f>
        <v>IR-E-U-0284</v>
      </c>
      <c r="B66" s="1" t="str">
        <f ca="1">IFERROR(__xludf.DUMMYFUNCTION("""COMPUTED_VALUE"""),"Maulana Azad National Institute of Technology
More DetailsClose | 
[TABLE]")</f>
        <v>Maulana Azad National Institute of Technology
More DetailsClose | 
[TABLE]</v>
      </c>
      <c r="C66" s="1" t="str">
        <f ca="1">IFERROR(__xludf.DUMMYFUNCTION("""COMPUTED_VALUE"""),"Bhopal")</f>
        <v>Bhopal</v>
      </c>
      <c r="D66" s="1" t="str">
        <f ca="1">IFERROR(__xludf.DUMMYFUNCTION("""COMPUTED_VALUE"""),"Madhya Pradesh")</f>
        <v>Madhya Pradesh</v>
      </c>
      <c r="E66" s="1">
        <f ca="1">IFERROR(__xludf.DUMMYFUNCTION("""COMPUTED_VALUE"""),42.17)</f>
        <v>42.17</v>
      </c>
      <c r="F66" s="1">
        <f ca="1">IFERROR(__xludf.DUMMYFUNCTION("""COMPUTED_VALUE"""),65)</f>
        <v>65</v>
      </c>
    </row>
    <row r="67" spans="1:6">
      <c r="A67" s="1" t="str">
        <f ca="1">IFERROR(__xludf.DUMMYFUNCTION("""COMPUTED_VALUE"""),"IR-E-U-0795")</f>
        <v>IR-E-U-0795</v>
      </c>
      <c r="B67" s="1" t="str">
        <f ca="1">IFERROR(__xludf.DUMMYFUNCTION("""COMPUTED_VALUE"""),"Indian Institute of Information Technology Guwahati
More DetailsClose | 
[TABLE]")</f>
        <v>Indian Institute of Information Technology Guwahati
More DetailsClose | 
[TABLE]</v>
      </c>
      <c r="C67" s="1" t="str">
        <f ca="1">IFERROR(__xludf.DUMMYFUNCTION("""COMPUTED_VALUE"""),"Guwahati")</f>
        <v>Guwahati</v>
      </c>
      <c r="D67" s="1" t="str">
        <f ca="1">IFERROR(__xludf.DUMMYFUNCTION("""COMPUTED_VALUE"""),"Assam")</f>
        <v>Assam</v>
      </c>
      <c r="E67" s="1">
        <f ca="1">IFERROR(__xludf.DUMMYFUNCTION("""COMPUTED_VALUE"""),41.92)</f>
        <v>41.92</v>
      </c>
      <c r="F67" s="1">
        <f ca="1">IFERROR(__xludf.DUMMYFUNCTION("""COMPUTED_VALUE"""),66)</f>
        <v>66</v>
      </c>
    </row>
    <row r="68" spans="1:6">
      <c r="A68" s="1" t="str">
        <f ca="1">IFERROR(__xludf.DUMMYFUNCTION("""COMPUTED_VALUE"""),"IR-E-U-0092")</f>
        <v>IR-E-U-0092</v>
      </c>
      <c r="B68" s="1" t="str">
        <f ca="1">IFERROR(__xludf.DUMMYFUNCTION("""COMPUTED_VALUE"""),"National Institute of Technology Raipur
More DetailsClose | 
[TABLE]")</f>
        <v>National Institute of Technology Raipur
More DetailsClose | 
[TABLE]</v>
      </c>
      <c r="C68" s="1" t="str">
        <f ca="1">IFERROR(__xludf.DUMMYFUNCTION("""COMPUTED_VALUE"""),"Raipur")</f>
        <v>Raipur</v>
      </c>
      <c r="D68" s="1" t="str">
        <f ca="1">IFERROR(__xludf.DUMMYFUNCTION("""COMPUTED_VALUE"""),"Chhattisgarh")</f>
        <v>Chhattisgarh</v>
      </c>
      <c r="E68" s="1">
        <f ca="1">IFERROR(__xludf.DUMMYFUNCTION("""COMPUTED_VALUE"""),41.58)</f>
        <v>41.58</v>
      </c>
      <c r="F68" s="1">
        <f ca="1">IFERROR(__xludf.DUMMYFUNCTION("""COMPUTED_VALUE"""),67)</f>
        <v>67</v>
      </c>
    </row>
    <row r="69" spans="1:6">
      <c r="A69" s="1" t="str">
        <f ca="1">IFERROR(__xludf.DUMMYFUNCTION("""COMPUTED_VALUE"""),"IR-E-U-0080")</f>
        <v>IR-E-U-0080</v>
      </c>
      <c r="B69" s="1" t="str">
        <f ca="1">IFERROR(__xludf.DUMMYFUNCTION("""COMPUTED_VALUE"""),"Punjab Engineering College (Deemed To Be University)
More DetailsClose | 
[TABLE]")</f>
        <v>Punjab Engineering College (Deemed To Be University)
More DetailsClose | 
[TABLE]</v>
      </c>
      <c r="C69" s="1" t="str">
        <f ca="1">IFERROR(__xludf.DUMMYFUNCTION("""COMPUTED_VALUE"""),"Chandigarh")</f>
        <v>Chandigarh</v>
      </c>
      <c r="D69" s="1" t="str">
        <f ca="1">IFERROR(__xludf.DUMMYFUNCTION("""COMPUTED_VALUE"""),"Chandigarh")</f>
        <v>Chandigarh</v>
      </c>
      <c r="E69" s="1">
        <f ca="1">IFERROR(__xludf.DUMMYFUNCTION("""COMPUTED_VALUE"""),41.43)</f>
        <v>41.43</v>
      </c>
      <c r="F69" s="1">
        <f ca="1">IFERROR(__xludf.DUMMYFUNCTION("""COMPUTED_VALUE"""),68)</f>
        <v>68</v>
      </c>
    </row>
    <row r="70" spans="1:6">
      <c r="A70" s="1" t="str">
        <f ca="1">IFERROR(__xludf.DUMMYFUNCTION("""COMPUTED_VALUE"""),"IR-E-C-24004")</f>
        <v>IR-E-C-24004</v>
      </c>
      <c r="B70" s="1" t="str">
        <f ca="1">IFERROR(__xludf.DUMMYFUNCTION("""COMPUTED_VALUE"""),"College of Engineering(A)
More DetailsClose | 
[TABLE]")</f>
        <v>College of Engineering(A)
More DetailsClose | 
[TABLE]</v>
      </c>
      <c r="C70" s="1" t="str">
        <f ca="1">IFERROR(__xludf.DUMMYFUNCTION("""COMPUTED_VALUE"""),"Visakhapatnam")</f>
        <v>Visakhapatnam</v>
      </c>
      <c r="D70" s="1" t="str">
        <f ca="1">IFERROR(__xludf.DUMMYFUNCTION("""COMPUTED_VALUE"""),"Andhra Pradesh")</f>
        <v>Andhra Pradesh</v>
      </c>
      <c r="E70" s="1">
        <f ca="1">IFERROR(__xludf.DUMMYFUNCTION("""COMPUTED_VALUE"""),41.36)</f>
        <v>41.36</v>
      </c>
      <c r="F70" s="1">
        <f ca="1">IFERROR(__xludf.DUMMYFUNCTION("""COMPUTED_VALUE"""),69)</f>
        <v>69</v>
      </c>
    </row>
    <row r="71" spans="1:6">
      <c r="A71" s="1" t="str">
        <f ca="1">IFERROR(__xludf.DUMMYFUNCTION("""COMPUTED_VALUE"""),"IR-E-C-1269")</f>
        <v>IR-E-C-1269</v>
      </c>
      <c r="B71" s="1" t="str">
        <f ca="1">IFERROR(__xludf.DUMMYFUNCTION("""COMPUTED_VALUE"""),"R. V. College of Engineering
More DetailsClose | 
[TABLE]")</f>
        <v>R. V. College of Engineering
More DetailsClose | 
[TABLE]</v>
      </c>
      <c r="C71" s="1" t="str">
        <f ca="1">IFERROR(__xludf.DUMMYFUNCTION("""COMPUTED_VALUE"""),"Bengaluru")</f>
        <v>Bengaluru</v>
      </c>
      <c r="D71" s="1" t="str">
        <f ca="1">IFERROR(__xludf.DUMMYFUNCTION("""COMPUTED_VALUE"""),"Karnataka")</f>
        <v>Karnataka</v>
      </c>
      <c r="E71" s="1">
        <f ca="1">IFERROR(__xludf.DUMMYFUNCTION("""COMPUTED_VALUE"""),41.02)</f>
        <v>41.02</v>
      </c>
      <c r="F71" s="1">
        <f ca="1">IFERROR(__xludf.DUMMYFUNCTION("""COMPUTED_VALUE"""),70)</f>
        <v>70</v>
      </c>
    </row>
    <row r="72" spans="1:6">
      <c r="A72" s="1" t="str">
        <f ca="1">IFERROR(__xludf.DUMMYFUNCTION("""COMPUTED_VALUE"""),"IR-E-C-33641")</f>
        <v>IR-E-C-33641</v>
      </c>
      <c r="B72" s="1" t="str">
        <f ca="1">IFERROR(__xludf.DUMMYFUNCTION("""COMPUTED_VALUE"""),"Veermata Jijabai Technological Institute
More DetailsClose | 
[TABLE]")</f>
        <v>Veermata Jijabai Technological Institute
More DetailsClose | 
[TABLE]</v>
      </c>
      <c r="C72" s="1" t="str">
        <f ca="1">IFERROR(__xludf.DUMMYFUNCTION("""COMPUTED_VALUE"""),"Mumbai")</f>
        <v>Mumbai</v>
      </c>
      <c r="D72" s="1" t="str">
        <f ca="1">IFERROR(__xludf.DUMMYFUNCTION("""COMPUTED_VALUE"""),"Maharashtra")</f>
        <v>Maharashtra</v>
      </c>
      <c r="E72" s="1">
        <f ca="1">IFERROR(__xludf.DUMMYFUNCTION("""COMPUTED_VALUE"""),40.58)</f>
        <v>40.58</v>
      </c>
      <c r="F72" s="1">
        <f ca="1">IFERROR(__xludf.DUMMYFUNCTION("""COMPUTED_VALUE"""),71)</f>
        <v>71</v>
      </c>
    </row>
    <row r="73" spans="1:6">
      <c r="A73" s="1" t="str">
        <f ca="1">IFERROR(__xludf.DUMMYFUNCTION("""COMPUTED_VALUE"""),"IR-E-U-0078")</f>
        <v>IR-E-U-0078</v>
      </c>
      <c r="B73" s="1" t="str">
        <f ca="1">IFERROR(__xludf.DUMMYFUNCTION("""COMPUTED_VALUE"""),"Panjab University
More DetailsClose | 
[TABLE]")</f>
        <v>Panjab University
More DetailsClose | 
[TABLE]</v>
      </c>
      <c r="C73" s="1" t="str">
        <f ca="1">IFERROR(__xludf.DUMMYFUNCTION("""COMPUTED_VALUE"""),"Chandigarh")</f>
        <v>Chandigarh</v>
      </c>
      <c r="D73" s="1" t="str">
        <f ca="1">IFERROR(__xludf.DUMMYFUNCTION("""COMPUTED_VALUE"""),"Chandigarh")</f>
        <v>Chandigarh</v>
      </c>
      <c r="E73" s="1">
        <f ca="1">IFERROR(__xludf.DUMMYFUNCTION("""COMPUTED_VALUE"""),40.44)</f>
        <v>40.44</v>
      </c>
      <c r="F73" s="1">
        <f ca="1">IFERROR(__xludf.DUMMYFUNCTION("""COMPUTED_VALUE"""),72)</f>
        <v>72</v>
      </c>
    </row>
    <row r="74" spans="1:6">
      <c r="A74" s="1" t="str">
        <f ca="1">IFERROR(__xludf.DUMMYFUNCTION("""COMPUTED_VALUE"""),"IR-E-C-1262")</f>
        <v>IR-E-C-1262</v>
      </c>
      <c r="B74" s="1" t="str">
        <f ca="1">IFERROR(__xludf.DUMMYFUNCTION("""COMPUTED_VALUE"""),"B.M.S. College of Engineering
More DetailsClose | 
[TABLE]")</f>
        <v>B.M.S. College of Engineering
More DetailsClose | 
[TABLE]</v>
      </c>
      <c r="C74" s="1" t="str">
        <f ca="1">IFERROR(__xludf.DUMMYFUNCTION("""COMPUTED_VALUE"""),"Bengaluru")</f>
        <v>Bengaluru</v>
      </c>
      <c r="D74" s="1" t="str">
        <f ca="1">IFERROR(__xludf.DUMMYFUNCTION("""COMPUTED_VALUE"""),"Karnataka")</f>
        <v>Karnataka</v>
      </c>
      <c r="E74" s="1">
        <f ca="1">IFERROR(__xludf.DUMMYFUNCTION("""COMPUTED_VALUE"""),40.35)</f>
        <v>40.35</v>
      </c>
      <c r="F74" s="1">
        <f ca="1">IFERROR(__xludf.DUMMYFUNCTION("""COMPUTED_VALUE"""),73)</f>
        <v>73</v>
      </c>
    </row>
    <row r="75" spans="1:6">
      <c r="A75" s="1" t="str">
        <f ca="1">IFERROR(__xludf.DUMMYFUNCTION("""COMPUTED_VALUE"""),"IR-E-C-45375")</f>
        <v>IR-E-C-45375</v>
      </c>
      <c r="B75" s="1" t="str">
        <f ca="1">IFERROR(__xludf.DUMMYFUNCTION("""COMPUTED_VALUE"""),"Indian Institute of Food Processing Technology (IIFPT)
More DetailsClose | 
[TABLE]")</f>
        <v>Indian Institute of Food Processing Technology (IIFPT)
More DetailsClose | 
[TABLE]</v>
      </c>
      <c r="C75" s="1" t="str">
        <f ca="1">IFERROR(__xludf.DUMMYFUNCTION("""COMPUTED_VALUE"""),"Thanjavur")</f>
        <v>Thanjavur</v>
      </c>
      <c r="D75" s="1" t="str">
        <f ca="1">IFERROR(__xludf.DUMMYFUNCTION("""COMPUTED_VALUE"""),"Tamil Nadu")</f>
        <v>Tamil Nadu</v>
      </c>
      <c r="E75" s="1">
        <f ca="1">IFERROR(__xludf.DUMMYFUNCTION("""COMPUTED_VALUE"""),40.24)</f>
        <v>40.24</v>
      </c>
      <c r="F75" s="1">
        <f ca="1">IFERROR(__xludf.DUMMYFUNCTION("""COMPUTED_VALUE"""),74)</f>
        <v>74</v>
      </c>
    </row>
    <row r="76" spans="1:6">
      <c r="A76" s="1" t="str">
        <f ca="1">IFERROR(__xludf.DUMMYFUNCTION("""COMPUTED_VALUE"""),"IR-E-U-0493")</f>
        <v>IR-E-U-0493</v>
      </c>
      <c r="B76" s="1" t="str">
        <f ca="1">IFERROR(__xludf.DUMMYFUNCTION("""COMPUTED_VALUE"""),"National Institute of Technology Agartala
More DetailsClose | 
[TABLE]")</f>
        <v>National Institute of Technology Agartala
More DetailsClose | 
[TABLE]</v>
      </c>
      <c r="C76" s="1" t="str">
        <f ca="1">IFERROR(__xludf.DUMMYFUNCTION("""COMPUTED_VALUE"""),"Agratala")</f>
        <v>Agratala</v>
      </c>
      <c r="D76" s="1" t="str">
        <f ca="1">IFERROR(__xludf.DUMMYFUNCTION("""COMPUTED_VALUE"""),"Tripura")</f>
        <v>Tripura</v>
      </c>
      <c r="E76" s="1">
        <f ca="1">IFERROR(__xludf.DUMMYFUNCTION("""COMPUTED_VALUE"""),39.98)</f>
        <v>39.979999999999997</v>
      </c>
      <c r="F76" s="1">
        <f ca="1">IFERROR(__xludf.DUMMYFUNCTION("""COMPUTED_VALUE"""),75)</f>
        <v>75</v>
      </c>
    </row>
    <row r="77" spans="1:6">
      <c r="A77" s="1" t="str">
        <f ca="1">IFERROR(__xludf.DUMMYFUNCTION("""COMPUTED_VALUE"""),"IR-E-C-6379")</f>
        <v>IR-E-C-6379</v>
      </c>
      <c r="B77" s="1" t="str">
        <f ca="1">IFERROR(__xludf.DUMMYFUNCTION("""COMPUTED_VALUE"""),"Netaji Subhas University of Technology (NSUT)
More DetailsClose | 
[TABLE]")</f>
        <v>Netaji Subhas University of Technology (NSUT)
More DetailsClose | 
[TABLE]</v>
      </c>
      <c r="C77" s="1" t="str">
        <f ca="1">IFERROR(__xludf.DUMMYFUNCTION("""COMPUTED_VALUE"""),"South West")</f>
        <v>South West</v>
      </c>
      <c r="D77" s="1" t="str">
        <f ca="1">IFERROR(__xludf.DUMMYFUNCTION("""COMPUTED_VALUE"""),"Delhi")</f>
        <v>Delhi</v>
      </c>
      <c r="E77" s="1">
        <f ca="1">IFERROR(__xludf.DUMMYFUNCTION("""COMPUTED_VALUE"""),39.97)</f>
        <v>39.97</v>
      </c>
      <c r="F77" s="1">
        <f ca="1">IFERROR(__xludf.DUMMYFUNCTION("""COMPUTED_VALUE"""),76)</f>
        <v>76</v>
      </c>
    </row>
    <row r="78" spans="1:6">
      <c r="A78" s="1" t="str">
        <f ca="1">IFERROR(__xludf.DUMMYFUNCTION("""COMPUTED_VALUE"""),"IR-E-U-0620")</f>
        <v>IR-E-U-0620</v>
      </c>
      <c r="B78" s="1" t="str">
        <f ca="1">IFERROR(__xludf.DUMMYFUNCTION("""COMPUTED_VALUE"""),"National Institute of Technology Goa
More DetailsClose | 
[TABLE]")</f>
        <v>National Institute of Technology Goa
More DetailsClose | 
[TABLE]</v>
      </c>
      <c r="C78" s="1" t="str">
        <f ca="1">IFERROR(__xludf.DUMMYFUNCTION("""COMPUTED_VALUE"""),"Ponda")</f>
        <v>Ponda</v>
      </c>
      <c r="D78" s="1" t="str">
        <f ca="1">IFERROR(__xludf.DUMMYFUNCTION("""COMPUTED_VALUE"""),"Goa")</f>
        <v>Goa</v>
      </c>
      <c r="E78" s="1">
        <f ca="1">IFERROR(__xludf.DUMMYFUNCTION("""COMPUTED_VALUE"""),39.93)</f>
        <v>39.93</v>
      </c>
      <c r="F78" s="1">
        <f ca="1">IFERROR(__xludf.DUMMYFUNCTION("""COMPUTED_VALUE"""),77)</f>
        <v>77</v>
      </c>
    </row>
    <row r="79" spans="1:6">
      <c r="A79" s="1" t="str">
        <f ca="1">IFERROR(__xludf.DUMMYFUNCTION("""COMPUTED_VALUE"""),"IR-E-U-0201")</f>
        <v>IR-E-U-0201</v>
      </c>
      <c r="B79" s="1" t="str">
        <f ca="1">IFERROR(__xludf.DUMMYFUNCTION("""COMPUTED_VALUE"""),"Shri Mata Vaishno Devi University
More DetailsClose | 
[TABLE]")</f>
        <v>Shri Mata Vaishno Devi University
More DetailsClose | 
[TABLE]</v>
      </c>
      <c r="C79" s="1" t="str">
        <f ca="1">IFERROR(__xludf.DUMMYFUNCTION("""COMPUTED_VALUE"""),"Katra")</f>
        <v>Katra</v>
      </c>
      <c r="D79" s="1" t="str">
        <f ca="1">IFERROR(__xludf.DUMMYFUNCTION("""COMPUTED_VALUE"""),"Jammu and Kashmir")</f>
        <v>Jammu and Kashmir</v>
      </c>
      <c r="E79" s="1">
        <f ca="1">IFERROR(__xludf.DUMMYFUNCTION("""COMPUTED_VALUE"""),39.68)</f>
        <v>39.68</v>
      </c>
      <c r="F79" s="1">
        <f ca="1">IFERROR(__xludf.DUMMYFUNCTION("""COMPUTED_VALUE"""),78)</f>
        <v>78</v>
      </c>
    </row>
    <row r="80" spans="1:6">
      <c r="A80" s="1" t="str">
        <f ca="1">IFERROR(__xludf.DUMMYFUNCTION("""COMPUTED_VALUE"""),"IR-E-U-0207")</f>
        <v>IR-E-U-0207</v>
      </c>
      <c r="B80" s="1" t="str">
        <f ca="1">IFERROR(__xludf.DUMMYFUNCTION("""COMPUTED_VALUE"""),"National Institute of Technology Jamshedpur
More DetailsClose | 
[TABLE]")</f>
        <v>National Institute of Technology Jamshedpur
More DetailsClose | 
[TABLE]</v>
      </c>
      <c r="C80" s="1" t="str">
        <f ca="1">IFERROR(__xludf.DUMMYFUNCTION("""COMPUTED_VALUE"""),"Jamshedpur")</f>
        <v>Jamshedpur</v>
      </c>
      <c r="D80" s="1" t="str">
        <f ca="1">IFERROR(__xludf.DUMMYFUNCTION("""COMPUTED_VALUE"""),"Jharkhand")</f>
        <v>Jharkhand</v>
      </c>
      <c r="E80" s="1">
        <f ca="1">IFERROR(__xludf.DUMMYFUNCTION("""COMPUTED_VALUE"""),39.44)</f>
        <v>39.44</v>
      </c>
      <c r="F80" s="1">
        <f ca="1">IFERROR(__xludf.DUMMYFUNCTION("""COMPUTED_VALUE"""),79)</f>
        <v>79</v>
      </c>
    </row>
    <row r="81" spans="1:6">
      <c r="A81" s="1" t="str">
        <f ca="1">IFERROR(__xludf.DUMMYFUNCTION("""COMPUTED_VALUE"""),"IR-E-U-0460")</f>
        <v>IR-E-U-0460</v>
      </c>
      <c r="B81" s="1" t="str">
        <f ca="1">IFERROR(__xludf.DUMMYFUNCTION("""COMPUTED_VALUE"""),"Karunya Institute of Technology and Sciences
More DetailsClose | 
[TABLE]")</f>
        <v>Karunya Institute of Technology and Sciences
More DetailsClose | 
[TABLE]</v>
      </c>
      <c r="C81" s="1" t="str">
        <f ca="1">IFERROR(__xludf.DUMMYFUNCTION("""COMPUTED_VALUE"""),"Coimbatore")</f>
        <v>Coimbatore</v>
      </c>
      <c r="D81" s="1" t="str">
        <f ca="1">IFERROR(__xludf.DUMMYFUNCTION("""COMPUTED_VALUE"""),"Tamil Nadu")</f>
        <v>Tamil Nadu</v>
      </c>
      <c r="E81" s="1">
        <f ca="1">IFERROR(__xludf.DUMMYFUNCTION("""COMPUTED_VALUE"""),39.4)</f>
        <v>39.4</v>
      </c>
      <c r="F81" s="1">
        <f ca="1">IFERROR(__xludf.DUMMYFUNCTION("""COMPUTED_VALUE"""),80)</f>
        <v>80</v>
      </c>
    </row>
    <row r="82" spans="1:6">
      <c r="A82" s="1" t="str">
        <f ca="1">IFERROR(__xludf.DUMMYFUNCTION("""COMPUTED_VALUE"""),"IR-E-U-0286")</f>
        <v>IR-E-U-0286</v>
      </c>
      <c r="B82" s="1" t="str">
        <f ca="1">IFERROR(__xludf.DUMMYFUNCTION("""COMPUTED_VALUE"""),"Indian Institute of Information Technology Design &amp; Manufacturing Jabalpur
More DetailsClose | 
[TABLE]")</f>
        <v>Indian Institute of Information Technology Design &amp; Manufacturing Jabalpur
More DetailsClose | 
[TABLE]</v>
      </c>
      <c r="C82" s="1" t="str">
        <f ca="1">IFERROR(__xludf.DUMMYFUNCTION("""COMPUTED_VALUE"""),"Jabalpur")</f>
        <v>Jabalpur</v>
      </c>
      <c r="D82" s="1" t="str">
        <f ca="1">IFERROR(__xludf.DUMMYFUNCTION("""COMPUTED_VALUE"""),"Madhya Pradesh")</f>
        <v>Madhya Pradesh</v>
      </c>
      <c r="E82" s="1">
        <f ca="1">IFERROR(__xludf.DUMMYFUNCTION("""COMPUTED_VALUE"""),39.29)</f>
        <v>39.29</v>
      </c>
      <c r="F82" s="1">
        <f ca="1">IFERROR(__xludf.DUMMYFUNCTION("""COMPUTED_VALUE"""),81)</f>
        <v>81</v>
      </c>
    </row>
    <row r="83" spans="1:6">
      <c r="A83" s="1" t="str">
        <f ca="1">IFERROR(__xludf.DUMMYFUNCTION("""COMPUTED_VALUE"""),"IR-E-C-36926")</f>
        <v>IR-E-C-36926</v>
      </c>
      <c r="B83" s="1" t="str">
        <f ca="1">IFERROR(__xludf.DUMMYFUNCTION("""COMPUTED_VALUE"""),"Kumaraguru College of Technology
More DetailsClose | 
[TABLE]")</f>
        <v>Kumaraguru College of Technology
More DetailsClose | 
[TABLE]</v>
      </c>
      <c r="C83" s="1" t="str">
        <f ca="1">IFERROR(__xludf.DUMMYFUNCTION("""COMPUTED_VALUE"""),"Coimbatore")</f>
        <v>Coimbatore</v>
      </c>
      <c r="D83" s="1" t="str">
        <f ca="1">IFERROR(__xludf.DUMMYFUNCTION("""COMPUTED_VALUE"""),"Tamil Nadu")</f>
        <v>Tamil Nadu</v>
      </c>
      <c r="E83" s="1">
        <f ca="1">IFERROR(__xludf.DUMMYFUNCTION("""COMPUTED_VALUE"""),39.24)</f>
        <v>39.24</v>
      </c>
      <c r="F83" s="1">
        <f ca="1">IFERROR(__xludf.DUMMYFUNCTION("""COMPUTED_VALUE"""),82)</f>
        <v>82</v>
      </c>
    </row>
    <row r="84" spans="1:6">
      <c r="A84" s="1" t="str">
        <f ca="1">IFERROR(__xludf.DUMMYFUNCTION("""COMPUTED_VALUE"""),"IR-E-C-36995")</f>
        <v>IR-E-C-36995</v>
      </c>
      <c r="B84" s="1" t="str">
        <f ca="1">IFERROR(__xludf.DUMMYFUNCTION("""COMPUTED_VALUE"""),"Sri Krishna College of Engineering and Technology
More DetailsClose | 
[TABLE]")</f>
        <v>Sri Krishna College of Engineering and Technology
More DetailsClose | 
[TABLE]</v>
      </c>
      <c r="C84" s="1" t="str">
        <f ca="1">IFERROR(__xludf.DUMMYFUNCTION("""COMPUTED_VALUE"""),"Coimbatore")</f>
        <v>Coimbatore</v>
      </c>
      <c r="D84" s="1" t="str">
        <f ca="1">IFERROR(__xludf.DUMMYFUNCTION("""COMPUTED_VALUE"""),"Tamil Nadu")</f>
        <v>Tamil Nadu</v>
      </c>
      <c r="E84" s="1">
        <f ca="1">IFERROR(__xludf.DUMMYFUNCTION("""COMPUTED_VALUE"""),38.83)</f>
        <v>38.83</v>
      </c>
      <c r="F84" s="1">
        <f ca="1">IFERROR(__xludf.DUMMYFUNCTION("""COMPUTED_VALUE"""),83)</f>
        <v>83</v>
      </c>
    </row>
    <row r="85" spans="1:6">
      <c r="A85" s="1" t="str">
        <f ca="1">IFERROR(__xludf.DUMMYFUNCTION("""COMPUTED_VALUE"""),"IR-E-U-0747")</f>
        <v>IR-E-U-0747</v>
      </c>
      <c r="B85" s="1" t="str">
        <f ca="1">IFERROR(__xludf.DUMMYFUNCTION("""COMPUTED_VALUE"""),"Chandigarh University
More DetailsClose | 
[TABLE]")</f>
        <v>Chandigarh University
More DetailsClose | 
[TABLE]</v>
      </c>
      <c r="C85" s="1" t="str">
        <f ca="1">IFERROR(__xludf.DUMMYFUNCTION("""COMPUTED_VALUE"""),"Mohali")</f>
        <v>Mohali</v>
      </c>
      <c r="D85" s="1" t="str">
        <f ca="1">IFERROR(__xludf.DUMMYFUNCTION("""COMPUTED_VALUE"""),"Punjab")</f>
        <v>Punjab</v>
      </c>
      <c r="E85" s="1">
        <f ca="1">IFERROR(__xludf.DUMMYFUNCTION("""COMPUTED_VALUE"""),38.82)</f>
        <v>38.82</v>
      </c>
      <c r="F85" s="1">
        <f ca="1">IFERROR(__xludf.DUMMYFUNCTION("""COMPUTED_VALUE"""),84)</f>
        <v>84</v>
      </c>
    </row>
    <row r="86" spans="1:6">
      <c r="A86" s="1" t="str">
        <f ca="1">IFERROR(__xludf.DUMMYFUNCTION("""COMPUTED_VALUE"""),"IR-E-C-43708")</f>
        <v>IR-E-C-43708</v>
      </c>
      <c r="B86" s="1" t="str">
        <f ca="1">IFERROR(__xludf.DUMMYFUNCTION("""COMPUTED_VALUE"""),"College of Engineering Trivandrum
More DetailsClose | 
[TABLE]")</f>
        <v>College of Engineering Trivandrum
More DetailsClose | 
[TABLE]</v>
      </c>
      <c r="C86" s="1" t="str">
        <f ca="1">IFERROR(__xludf.DUMMYFUNCTION("""COMPUTED_VALUE"""),"Thiruvananthapuram")</f>
        <v>Thiruvananthapuram</v>
      </c>
      <c r="D86" s="1" t="str">
        <f ca="1">IFERROR(__xludf.DUMMYFUNCTION("""COMPUTED_VALUE"""),"Kerala")</f>
        <v>Kerala</v>
      </c>
      <c r="E86" s="1">
        <f ca="1">IFERROR(__xludf.DUMMYFUNCTION("""COMPUTED_VALUE"""),38.68)</f>
        <v>38.68</v>
      </c>
      <c r="F86" s="1">
        <f ca="1">IFERROR(__xludf.DUMMYFUNCTION("""COMPUTED_VALUE"""),85)</f>
        <v>85</v>
      </c>
    </row>
    <row r="87" spans="1:6">
      <c r="A87" s="1" t="str">
        <f ca="1">IFERROR(__xludf.DUMMYFUNCTION("""COMPUTED_VALUE"""),"IR-E-U-0099")</f>
        <v>IR-E-U-0099</v>
      </c>
      <c r="B87" s="1" t="str">
        <f ca="1">IFERROR(__xludf.DUMMYFUNCTION("""COMPUTED_VALUE"""),"Guru Gobind Singh Indraprastha University
More DetailsClose | 
[TABLE]")</f>
        <v>Guru Gobind Singh Indraprastha University
More DetailsClose | 
[TABLE]</v>
      </c>
      <c r="C87" s="1" t="str">
        <f ca="1">IFERROR(__xludf.DUMMYFUNCTION("""COMPUTED_VALUE"""),"New Delhi")</f>
        <v>New Delhi</v>
      </c>
      <c r="D87" s="1" t="str">
        <f ca="1">IFERROR(__xludf.DUMMYFUNCTION("""COMPUTED_VALUE"""),"Delhi")</f>
        <v>Delhi</v>
      </c>
      <c r="E87" s="1">
        <f ca="1">IFERROR(__xludf.DUMMYFUNCTION("""COMPUTED_VALUE"""),38.61)</f>
        <v>38.61</v>
      </c>
      <c r="F87" s="1">
        <f ca="1">IFERROR(__xludf.DUMMYFUNCTION("""COMPUTED_VALUE"""),86)</f>
        <v>86</v>
      </c>
    </row>
    <row r="88" spans="1:6">
      <c r="A88" s="1" t="str">
        <f ca="1">IFERROR(__xludf.DUMMYFUNCTION("""COMPUTED_VALUE"""),"IR-E-U-0379")</f>
        <v>IR-E-U-0379</v>
      </c>
      <c r="B88" s="1" t="str">
        <f ca="1">IFERROR(__xludf.DUMMYFUNCTION("""COMPUTED_VALUE"""),"Lovely Professional University
More DetailsClose | 
[TABLE]")</f>
        <v>Lovely Professional University
More DetailsClose | 
[TABLE]</v>
      </c>
      <c r="C88" s="1" t="str">
        <f ca="1">IFERROR(__xludf.DUMMYFUNCTION("""COMPUTED_VALUE"""),"Phagwara")</f>
        <v>Phagwara</v>
      </c>
      <c r="D88" s="1" t="str">
        <f ca="1">IFERROR(__xludf.DUMMYFUNCTION("""COMPUTED_VALUE"""),"Punjab")</f>
        <v>Punjab</v>
      </c>
      <c r="E88" s="1">
        <f ca="1">IFERROR(__xludf.DUMMYFUNCTION("""COMPUTED_VALUE"""),38.44)</f>
        <v>38.44</v>
      </c>
      <c r="F88" s="1">
        <f ca="1">IFERROR(__xludf.DUMMYFUNCTION("""COMPUTED_VALUE"""),87)</f>
        <v>87</v>
      </c>
    </row>
    <row r="89" spans="1:6">
      <c r="A89" s="1" t="str">
        <f ca="1">IFERROR(__xludf.DUMMYFUNCTION("""COMPUTED_VALUE"""),"IR-E-C-27616")</f>
        <v>IR-E-C-27616</v>
      </c>
      <c r="B89" s="1" t="str">
        <f ca="1">IFERROR(__xludf.DUMMYFUNCTION("""COMPUTED_VALUE"""),"University College of Engineering
More DetailsClose | 
[TABLE]")</f>
        <v>University College of Engineering
More DetailsClose | 
[TABLE]</v>
      </c>
      <c r="C89" s="1" t="str">
        <f ca="1">IFERROR(__xludf.DUMMYFUNCTION("""COMPUTED_VALUE"""),"Hyderabad")</f>
        <v>Hyderabad</v>
      </c>
      <c r="D89" s="1" t="str">
        <f ca="1">IFERROR(__xludf.DUMMYFUNCTION("""COMPUTED_VALUE"""),"Telangana")</f>
        <v>Telangana</v>
      </c>
      <c r="E89" s="1">
        <f ca="1">IFERROR(__xludf.DUMMYFUNCTION("""COMPUTED_VALUE"""),38.43)</f>
        <v>38.43</v>
      </c>
      <c r="F89" s="1">
        <f ca="1">IFERROR(__xludf.DUMMYFUNCTION("""COMPUTED_VALUE"""),88)</f>
        <v>88</v>
      </c>
    </row>
    <row r="90" spans="1:6">
      <c r="A90" s="1" t="str">
        <f ca="1">IFERROR(__xludf.DUMMYFUNCTION("""COMPUTED_VALUE"""),"IR-E-U-0555")</f>
        <v>IR-E-U-0555</v>
      </c>
      <c r="B90" s="1" t="str">
        <f ca="1">IFERROR(__xludf.DUMMYFUNCTION("""COMPUTED_VALUE"""),"Graphic Era University
More DetailsClose | 
[TABLE]")</f>
        <v>Graphic Era University
More DetailsClose | 
[TABLE]</v>
      </c>
      <c r="C90" s="1" t="str">
        <f ca="1">IFERROR(__xludf.DUMMYFUNCTION("""COMPUTED_VALUE"""),"Dehradun")</f>
        <v>Dehradun</v>
      </c>
      <c r="D90" s="1" t="str">
        <f ca="1">IFERROR(__xludf.DUMMYFUNCTION("""COMPUTED_VALUE"""),"Uttarakhand")</f>
        <v>Uttarakhand</v>
      </c>
      <c r="E90" s="1">
        <f ca="1">IFERROR(__xludf.DUMMYFUNCTION("""COMPUTED_VALUE"""),38.32)</f>
        <v>38.32</v>
      </c>
      <c r="F90" s="1">
        <f ca="1">IFERROR(__xludf.DUMMYFUNCTION("""COMPUTED_VALUE"""),89)</f>
        <v>89</v>
      </c>
    </row>
    <row r="91" spans="1:6">
      <c r="A91" s="1" t="str">
        <f ca="1">IFERROR(__xludf.DUMMYFUNCTION("""COMPUTED_VALUE"""),"IR-E-C-36969")</f>
        <v>IR-E-C-36969</v>
      </c>
      <c r="B91" s="1" t="str">
        <f ca="1">IFERROR(__xludf.DUMMYFUNCTION("""COMPUTED_VALUE"""),"Coimbatore Institute of Technology
More DetailsClose | 
[TABLE]")</f>
        <v>Coimbatore Institute of Technology
More DetailsClose | 
[TABLE]</v>
      </c>
      <c r="C91" s="1" t="str">
        <f ca="1">IFERROR(__xludf.DUMMYFUNCTION("""COMPUTED_VALUE"""),"Coimbatore")</f>
        <v>Coimbatore</v>
      </c>
      <c r="D91" s="1" t="str">
        <f ca="1">IFERROR(__xludf.DUMMYFUNCTION("""COMPUTED_VALUE"""),"Tamil Nadu")</f>
        <v>Tamil Nadu</v>
      </c>
      <c r="E91" s="1">
        <f ca="1">IFERROR(__xludf.DUMMYFUNCTION("""COMPUTED_VALUE"""),38.24)</f>
        <v>38.24</v>
      </c>
      <c r="F91" s="1">
        <f ca="1">IFERROR(__xludf.DUMMYFUNCTION("""COMPUTED_VALUE"""),90)</f>
        <v>90</v>
      </c>
    </row>
    <row r="92" spans="1:6">
      <c r="A92" s="1" t="str">
        <f ca="1">IFERROR(__xludf.DUMMYFUNCTION("""COMPUTED_VALUE"""),"IR-E-C-1297")</f>
        <v>IR-E-C-1297</v>
      </c>
      <c r="B92" s="1" t="str">
        <f ca="1">IFERROR(__xludf.DUMMYFUNCTION("""COMPUTED_VALUE"""),"Siddaganga Institute of Technology
More DetailsClose | 
[TABLE]")</f>
        <v>Siddaganga Institute of Technology
More DetailsClose | 
[TABLE]</v>
      </c>
      <c r="C92" s="1" t="str">
        <f ca="1">IFERROR(__xludf.DUMMYFUNCTION("""COMPUTED_VALUE"""),"Tumkur")</f>
        <v>Tumkur</v>
      </c>
      <c r="D92" s="1" t="str">
        <f ca="1">IFERROR(__xludf.DUMMYFUNCTION("""COMPUTED_VALUE"""),"Karnataka")</f>
        <v>Karnataka</v>
      </c>
      <c r="E92" s="1">
        <f ca="1">IFERROR(__xludf.DUMMYFUNCTION("""COMPUTED_VALUE"""),38.23)</f>
        <v>38.229999999999997</v>
      </c>
      <c r="F92" s="1">
        <f ca="1">IFERROR(__xludf.DUMMYFUNCTION("""COMPUTED_VALUE"""),91)</f>
        <v>91</v>
      </c>
    </row>
    <row r="93" spans="1:6">
      <c r="A93" s="1" t="str">
        <f ca="1">IFERROR(__xludf.DUMMYFUNCTION("""COMPUTED_VALUE"""),"IR-E-U-0072")</f>
        <v>IR-E-U-0072</v>
      </c>
      <c r="B93" s="1" t="str">
        <f ca="1">IFERROR(__xludf.DUMMYFUNCTION("""COMPUTED_VALUE"""),"National Institute of Technology Patna
More DetailsClose | 
[TABLE]")</f>
        <v>National Institute of Technology Patna
More DetailsClose | 
[TABLE]</v>
      </c>
      <c r="C93" s="1" t="str">
        <f ca="1">IFERROR(__xludf.DUMMYFUNCTION("""COMPUTED_VALUE"""),"Patna")</f>
        <v>Patna</v>
      </c>
      <c r="D93" s="1" t="str">
        <f ca="1">IFERROR(__xludf.DUMMYFUNCTION("""COMPUTED_VALUE"""),"Bihar")</f>
        <v>Bihar</v>
      </c>
      <c r="E93" s="1">
        <f ca="1">IFERROR(__xludf.DUMMYFUNCTION("""COMPUTED_VALUE"""),38.21)</f>
        <v>38.21</v>
      </c>
      <c r="F93" s="1">
        <f ca="1">IFERROR(__xludf.DUMMYFUNCTION("""COMPUTED_VALUE"""),92)</f>
        <v>92</v>
      </c>
    </row>
    <row r="94" spans="1:6">
      <c r="A94" s="1" t="str">
        <f ca="1">IFERROR(__xludf.DUMMYFUNCTION("""COMPUTED_VALUE"""),"IR-E-C-30045")</f>
        <v>IR-E-C-30045</v>
      </c>
      <c r="B94" s="1" t="str">
        <f ca="1">IFERROR(__xludf.DUMMYFUNCTION("""COMPUTED_VALUE"""),"C. V. Raman College of Engineering 
More DetailsClose | 
[TABLE]")</f>
        <v>C. V. Raman College of Engineering 
More DetailsClose | 
[TABLE]</v>
      </c>
      <c r="C94" s="1" t="str">
        <f ca="1">IFERROR(__xludf.DUMMYFUNCTION("""COMPUTED_VALUE"""),"Bhubaneswar")</f>
        <v>Bhubaneswar</v>
      </c>
      <c r="D94" s="1" t="str">
        <f ca="1">IFERROR(__xludf.DUMMYFUNCTION("""COMPUTED_VALUE"""),"Odisha")</f>
        <v>Odisha</v>
      </c>
      <c r="E94" s="1">
        <f ca="1">IFERROR(__xludf.DUMMYFUNCTION("""COMPUTED_VALUE"""),37.94)</f>
        <v>37.94</v>
      </c>
      <c r="F94" s="1">
        <f ca="1">IFERROR(__xludf.DUMMYFUNCTION("""COMPUTED_VALUE"""),93)</f>
        <v>93</v>
      </c>
    </row>
    <row r="95" spans="1:6">
      <c r="A95" s="1" t="str">
        <f ca="1">IFERROR(__xludf.DUMMYFUNCTION("""COMPUTED_VALUE"""),"IR-E-U-0733")</f>
        <v>IR-E-U-0733</v>
      </c>
      <c r="B95" s="1" t="str">
        <f ca="1">IFERROR(__xludf.DUMMYFUNCTION("""COMPUTED_VALUE"""),"PES University
More DetailsClose | 
[TABLE]")</f>
        <v>PES University
More DetailsClose | 
[TABLE]</v>
      </c>
      <c r="C95" s="1" t="str">
        <f ca="1">IFERROR(__xludf.DUMMYFUNCTION("""COMPUTED_VALUE"""),"Bengaluru")</f>
        <v>Bengaluru</v>
      </c>
      <c r="D95" s="1" t="str">
        <f ca="1">IFERROR(__xludf.DUMMYFUNCTION("""COMPUTED_VALUE"""),"Karnataka")</f>
        <v>Karnataka</v>
      </c>
      <c r="E95" s="1">
        <f ca="1">IFERROR(__xludf.DUMMYFUNCTION("""COMPUTED_VALUE"""),37.94)</f>
        <v>37.94</v>
      </c>
      <c r="F95" s="1">
        <f ca="1">IFERROR(__xludf.DUMMYFUNCTION("""COMPUTED_VALUE"""),93)</f>
        <v>93</v>
      </c>
    </row>
    <row r="96" spans="1:6">
      <c r="A96" s="1" t="str">
        <f ca="1">IFERROR(__xludf.DUMMYFUNCTION("""COMPUTED_VALUE"""),"IR-E-U-0489")</f>
        <v>IR-E-U-0489</v>
      </c>
      <c r="B96" s="1" t="str">
        <f ca="1">IFERROR(__xludf.DUMMYFUNCTION("""COMPUTED_VALUE"""),"Vel Tech Rangarajan Dr. Sagunthala R &amp; D Institute of Science and Technology
More DetailsClose | 
[TABLE]")</f>
        <v>Vel Tech Rangarajan Dr. Sagunthala R &amp; D Institute of Science and Technology
More DetailsClose | 
[TABLE]</v>
      </c>
      <c r="C96" s="1" t="str">
        <f ca="1">IFERROR(__xludf.DUMMYFUNCTION("""COMPUTED_VALUE"""),"Chennai")</f>
        <v>Chennai</v>
      </c>
      <c r="D96" s="1" t="str">
        <f ca="1">IFERROR(__xludf.DUMMYFUNCTION("""COMPUTED_VALUE"""),"Tamil Nadu")</f>
        <v>Tamil Nadu</v>
      </c>
      <c r="E96" s="1">
        <f ca="1">IFERROR(__xludf.DUMMYFUNCTION("""COMPUTED_VALUE"""),37.86)</f>
        <v>37.86</v>
      </c>
      <c r="F96" s="1">
        <f ca="1">IFERROR(__xludf.DUMMYFUNCTION("""COMPUTED_VALUE"""),95)</f>
        <v>95</v>
      </c>
    </row>
    <row r="97" spans="1:6">
      <c r="A97" s="1" t="str">
        <f ca="1">IFERROR(__xludf.DUMMYFUNCTION("""COMPUTED_VALUE"""),"IR-E-U-0522")</f>
        <v>IR-E-U-0522</v>
      </c>
      <c r="B97" s="1" t="str">
        <f ca="1">IFERROR(__xludf.DUMMYFUNCTION("""COMPUTED_VALUE"""),"Jaypee Institute of Information Technology
More DetailsClose | 
[TABLE]")</f>
        <v>Jaypee Institute of Information Technology
More DetailsClose | 
[TABLE]</v>
      </c>
      <c r="C97" s="1" t="str">
        <f ca="1">IFERROR(__xludf.DUMMYFUNCTION("""COMPUTED_VALUE"""),"Noida")</f>
        <v>Noida</v>
      </c>
      <c r="D97" s="1" t="str">
        <f ca="1">IFERROR(__xludf.DUMMYFUNCTION("""COMPUTED_VALUE"""),"Uttar Pradesh")</f>
        <v>Uttar Pradesh</v>
      </c>
      <c r="E97" s="1">
        <f ca="1">IFERROR(__xludf.DUMMYFUNCTION("""COMPUTED_VALUE"""),37.8)</f>
        <v>37.799999999999997</v>
      </c>
      <c r="F97" s="1">
        <f ca="1">IFERROR(__xludf.DUMMYFUNCTION("""COMPUTED_VALUE"""),96)</f>
        <v>96</v>
      </c>
    </row>
    <row r="98" spans="1:6">
      <c r="A98" s="1" t="str">
        <f ca="1">IFERROR(__xludf.DUMMYFUNCTION("""COMPUTED_VALUE"""),"IR-E-C-18154")</f>
        <v>IR-E-C-18154</v>
      </c>
      <c r="B98" s="1" t="str">
        <f ca="1">IFERROR(__xludf.DUMMYFUNCTION("""COMPUTED_VALUE"""),"University College of Engineering
More DetailsClose | 
[TABLE]")</f>
        <v>University College of Engineering
More DetailsClose | 
[TABLE]</v>
      </c>
      <c r="C98" s="1" t="str">
        <f ca="1">IFERROR(__xludf.DUMMYFUNCTION("""COMPUTED_VALUE"""),"Kakinada")</f>
        <v>Kakinada</v>
      </c>
      <c r="D98" s="1" t="str">
        <f ca="1">IFERROR(__xludf.DUMMYFUNCTION("""COMPUTED_VALUE"""),"Andhra Pradesh")</f>
        <v>Andhra Pradesh</v>
      </c>
      <c r="E98" s="1">
        <f ca="1">IFERROR(__xludf.DUMMYFUNCTION("""COMPUTED_VALUE"""),37.77)</f>
        <v>37.770000000000003</v>
      </c>
      <c r="F98" s="1">
        <f ca="1">IFERROR(__xludf.DUMMYFUNCTION("""COMPUTED_VALUE"""),97)</f>
        <v>97</v>
      </c>
    </row>
    <row r="99" spans="1:6">
      <c r="A99" s="1" t="str">
        <f ca="1">IFERROR(__xludf.DUMMYFUNCTION("""COMPUTED_VALUE"""),"IR-E-U-0189")</f>
        <v>IR-E-U-0189</v>
      </c>
      <c r="B99" s="1" t="str">
        <f ca="1">IFERROR(__xludf.DUMMYFUNCTION("""COMPUTED_VALUE"""),"National Institute of Technology Hamirpur
More DetailsClose | 
[TABLE]")</f>
        <v>National Institute of Technology Hamirpur
More DetailsClose | 
[TABLE]</v>
      </c>
      <c r="C99" s="1" t="str">
        <f ca="1">IFERROR(__xludf.DUMMYFUNCTION("""COMPUTED_VALUE"""),"Hamirpur")</f>
        <v>Hamirpur</v>
      </c>
      <c r="D99" s="1" t="str">
        <f ca="1">IFERROR(__xludf.DUMMYFUNCTION("""COMPUTED_VALUE"""),"Himachal Pradesh")</f>
        <v>Himachal Pradesh</v>
      </c>
      <c r="E99" s="1">
        <f ca="1">IFERROR(__xludf.DUMMYFUNCTION("""COMPUTED_VALUE"""),37.73)</f>
        <v>37.729999999999997</v>
      </c>
      <c r="F99" s="1">
        <f ca="1">IFERROR(__xludf.DUMMYFUNCTION("""COMPUTED_VALUE"""),98)</f>
        <v>98</v>
      </c>
    </row>
    <row r="100" spans="1:6">
      <c r="A100" s="1" t="str">
        <f ca="1">IFERROR(__xludf.DUMMYFUNCTION("""COMPUTED_VALUE"""),"IR-E-C-35417")</f>
        <v>IR-E-C-35417</v>
      </c>
      <c r="B100" s="1" t="str">
        <f ca="1">IFERROR(__xludf.DUMMYFUNCTION("""COMPUTED_VALUE"""),"Bharati Vidyapeeth Deemed University College of Engineering
More DetailsClose | 
[TABLE]")</f>
        <v>Bharati Vidyapeeth Deemed University College of Engineering
More DetailsClose | 
[TABLE]</v>
      </c>
      <c r="C100" s="1" t="str">
        <f ca="1">IFERROR(__xludf.DUMMYFUNCTION("""COMPUTED_VALUE"""),"Pune")</f>
        <v>Pune</v>
      </c>
      <c r="D100" s="1" t="str">
        <f ca="1">IFERROR(__xludf.DUMMYFUNCTION("""COMPUTED_VALUE"""),"Maharashtra")</f>
        <v>Maharashtra</v>
      </c>
      <c r="E100" s="1">
        <f ca="1">IFERROR(__xludf.DUMMYFUNCTION("""COMPUTED_VALUE"""),37.71)</f>
        <v>37.71</v>
      </c>
      <c r="F100" s="1">
        <f ca="1">IFERROR(__xludf.DUMMYFUNCTION("""COMPUTED_VALUE"""),99)</f>
        <v>99</v>
      </c>
    </row>
    <row r="101" spans="1:6">
      <c r="A101" s="1" t="str">
        <f ca="1">IFERROR(__xludf.DUMMYFUNCTION("""COMPUTED_VALUE"""),"IR-E-U-0267")</f>
        <v>IR-E-U-0267</v>
      </c>
      <c r="B101" s="1" t="str">
        <f ca="1">IFERROR(__xludf.DUMMYFUNCTION("""COMPUTED_VALUE"""),"Atal Bihari Vajpayee Indian Institute of Information Technology and 
Management
More DetailsClose | 
[TABLE]")</f>
        <v>Atal Bihari Vajpayee Indian Institute of Information Technology and 
Management
More DetailsClose | 
[TABLE]</v>
      </c>
      <c r="C101" s="1" t="str">
        <f ca="1">IFERROR(__xludf.DUMMYFUNCTION("""COMPUTED_VALUE"""),"Gwalior")</f>
        <v>Gwalior</v>
      </c>
      <c r="D101" s="1" t="str">
        <f ca="1">IFERROR(__xludf.DUMMYFUNCTION("""COMPUTED_VALUE"""),"Madhya Pradesh")</f>
        <v>Madhya Pradesh</v>
      </c>
      <c r="E101" s="1">
        <f ca="1">IFERROR(__xludf.DUMMYFUNCTION("""COMPUTED_VALUE"""),37.6)</f>
        <v>37.6</v>
      </c>
      <c r="F101" s="1">
        <f ca="1">IFERROR(__xludf.DUMMYFUNCTION("""COMPUTED_VALUE"""),100)</f>
        <v>100</v>
      </c>
    </row>
    <row r="102" spans="1:6">
      <c r="A102" s="1" t="str">
        <f ca="1">IFERROR(__xludf.DUMMYFUNCTION("""COMPUTED_VALUE"""),"IR-E-C-27058")</f>
        <v>IR-E-C-27058</v>
      </c>
      <c r="B102" s="1" t="str">
        <f ca="1">IFERROR(__xludf.DUMMYFUNCTION("""COMPUTED_VALUE"""),"Mepco Schlenk Engineering College
More DetailsClose | 
[TABLE]")</f>
        <v>Mepco Schlenk Engineering College
More DetailsClose | 
[TABLE]</v>
      </c>
      <c r="C102" s="1" t="str">
        <f ca="1">IFERROR(__xludf.DUMMYFUNCTION("""COMPUTED_VALUE"""),"Sivakasi")</f>
        <v>Sivakasi</v>
      </c>
      <c r="D102" s="1" t="str">
        <f ca="1">IFERROR(__xludf.DUMMYFUNCTION("""COMPUTED_VALUE"""),"Tamil Nadu")</f>
        <v>Tamil Nadu</v>
      </c>
      <c r="E102" s="1">
        <f ca="1">IFERROR(__xludf.DUMMYFUNCTION("""COMPUTED_VALUE"""),37.52)</f>
        <v>37.520000000000003</v>
      </c>
      <c r="F102" s="1">
        <f ca="1">IFERROR(__xludf.DUMMYFUNCTION("""COMPUTED_VALUE"""),101)</f>
        <v>101</v>
      </c>
    </row>
    <row r="103" spans="1:6">
      <c r="A103" s="1" t="str">
        <f ca="1">IFERROR(__xludf.DUMMYFUNCTION("""COMPUTED_VALUE"""),"IR-E-U-0507")</f>
        <v>IR-E-U-0507</v>
      </c>
      <c r="B103" s="1" t="str">
        <f ca="1">IFERROR(__xludf.DUMMYFUNCTION("""COMPUTED_VALUE"""),"Dayalbagh Educational Institute
More DetailsClose | 
[TABLE]")</f>
        <v>Dayalbagh Educational Institute
More DetailsClose | 
[TABLE]</v>
      </c>
      <c r="C103" s="1" t="str">
        <f ca="1">IFERROR(__xludf.DUMMYFUNCTION("""COMPUTED_VALUE"""),"Agra")</f>
        <v>Agra</v>
      </c>
      <c r="D103" s="1" t="str">
        <f ca="1">IFERROR(__xludf.DUMMYFUNCTION("""COMPUTED_VALUE"""),"Uttar Pradesh")</f>
        <v>Uttar Pradesh</v>
      </c>
      <c r="E103" s="1">
        <f ca="1">IFERROR(__xludf.DUMMYFUNCTION("""COMPUTED_VALUE"""),37.51)</f>
        <v>37.51</v>
      </c>
      <c r="F103" s="1">
        <f ca="1">IFERROR(__xludf.DUMMYFUNCTION("""COMPUTED_VALUE"""),102)</f>
        <v>102</v>
      </c>
    </row>
    <row r="104" spans="1:6">
      <c r="A104" s="1" t="str">
        <f ca="1">IFERROR(__xludf.DUMMYFUNCTION("""COMPUTED_VALUE"""),"IR-E-U-0516")</f>
        <v>IR-E-U-0516</v>
      </c>
      <c r="B104" s="1" t="str">
        <f ca="1">IFERROR(__xludf.DUMMYFUNCTION("""COMPUTED_VALUE"""),"Indian Institute of Information Technology Allahabad
More DetailsClose | 
[TABLE]")</f>
        <v>Indian Institute of Information Technology Allahabad
More DetailsClose | 
[TABLE]</v>
      </c>
      <c r="C104" s="1" t="str">
        <f ca="1">IFERROR(__xludf.DUMMYFUNCTION("""COMPUTED_VALUE"""),"Prayagraj (Allahabad)")</f>
        <v>Prayagraj (Allahabad)</v>
      </c>
      <c r="D104" s="1" t="str">
        <f ca="1">IFERROR(__xludf.DUMMYFUNCTION("""COMPUTED_VALUE"""),"Uttar Pradesh")</f>
        <v>Uttar Pradesh</v>
      </c>
      <c r="E104" s="1">
        <f ca="1">IFERROR(__xludf.DUMMYFUNCTION("""COMPUTED_VALUE"""),37.41)</f>
        <v>37.409999999999997</v>
      </c>
      <c r="F104" s="1">
        <f ca="1">IFERROR(__xludf.DUMMYFUNCTION("""COMPUTED_VALUE"""),103)</f>
        <v>103</v>
      </c>
    </row>
    <row r="105" spans="1:6">
      <c r="A105" s="1" t="str">
        <f ca="1">IFERROR(__xludf.DUMMYFUNCTION("""COMPUTED_VALUE"""),"IR-E-U-0382")</f>
        <v>IR-E-U-0382</v>
      </c>
      <c r="B105" s="1" t="str">
        <f ca="1">IFERROR(__xludf.DUMMYFUNCTION("""COMPUTED_VALUE"""),"Punjab Technical University
More DetailsClose | 
[TABLE]")</f>
        <v>Punjab Technical University
More DetailsClose | 
[TABLE]</v>
      </c>
      <c r="C105" s="1" t="str">
        <f ca="1">IFERROR(__xludf.DUMMYFUNCTION("""COMPUTED_VALUE"""),"Kapurthala")</f>
        <v>Kapurthala</v>
      </c>
      <c r="D105" s="1" t="str">
        <f ca="1">IFERROR(__xludf.DUMMYFUNCTION("""COMPUTED_VALUE"""),"Punjab")</f>
        <v>Punjab</v>
      </c>
      <c r="E105" s="1">
        <f ca="1">IFERROR(__xludf.DUMMYFUNCTION("""COMPUTED_VALUE"""),37.1)</f>
        <v>37.1</v>
      </c>
      <c r="F105" s="1">
        <f ca="1">IFERROR(__xludf.DUMMYFUNCTION("""COMPUTED_VALUE"""),104)</f>
        <v>104</v>
      </c>
    </row>
    <row r="106" spans="1:6">
      <c r="A106" s="1" t="str">
        <f ca="1">IFERROR(__xludf.DUMMYFUNCTION("""COMPUTED_VALUE"""),"IR-E-C-36975")</f>
        <v>IR-E-C-36975</v>
      </c>
      <c r="B106" s="1" t="str">
        <f ca="1">IFERROR(__xludf.DUMMYFUNCTION("""COMPUTED_VALUE"""),"Government College of Technology
More DetailsClose | 
[TABLE]")</f>
        <v>Government College of Technology
More DetailsClose | 
[TABLE]</v>
      </c>
      <c r="C106" s="1" t="str">
        <f ca="1">IFERROR(__xludf.DUMMYFUNCTION("""COMPUTED_VALUE"""),"Coimbatore")</f>
        <v>Coimbatore</v>
      </c>
      <c r="D106" s="1" t="str">
        <f ca="1">IFERROR(__xludf.DUMMYFUNCTION("""COMPUTED_VALUE"""),"Tamil Nadu")</f>
        <v>Tamil Nadu</v>
      </c>
      <c r="E106" s="1">
        <f ca="1">IFERROR(__xludf.DUMMYFUNCTION("""COMPUTED_VALUE"""),37.1)</f>
        <v>37.1</v>
      </c>
      <c r="F106" s="1">
        <f ca="1">IFERROR(__xludf.DUMMYFUNCTION("""COMPUTED_VALUE"""),104)</f>
        <v>104</v>
      </c>
    </row>
    <row r="107" spans="1:6">
      <c r="A107" s="1" t="str">
        <f ca="1">IFERROR(__xludf.DUMMYFUNCTION("""COMPUTED_VALUE"""),"IR-E-C-16626")</f>
        <v>IR-E-C-16626</v>
      </c>
      <c r="B107" s="1" t="str">
        <f ca="1">IFERROR(__xludf.DUMMYFUNCTION("""COMPUTED_VALUE"""),"Rajalakshmi Engineering College
More DetailsClose | 
[TABLE]")</f>
        <v>Rajalakshmi Engineering College
More DetailsClose | 
[TABLE]</v>
      </c>
      <c r="C107" s="1" t="str">
        <f ca="1">IFERROR(__xludf.DUMMYFUNCTION("""COMPUTED_VALUE"""),"Chennai")</f>
        <v>Chennai</v>
      </c>
      <c r="D107" s="1" t="str">
        <f ca="1">IFERROR(__xludf.DUMMYFUNCTION("""COMPUTED_VALUE"""),"Tamil Nadu")</f>
        <v>Tamil Nadu</v>
      </c>
      <c r="E107" s="1">
        <f ca="1">IFERROR(__xludf.DUMMYFUNCTION("""COMPUTED_VALUE"""),37.01)</f>
        <v>37.01</v>
      </c>
      <c r="F107" s="1">
        <f ca="1">IFERROR(__xludf.DUMMYFUNCTION("""COMPUTED_VALUE"""),106)</f>
        <v>106</v>
      </c>
    </row>
    <row r="108" spans="1:6">
      <c r="A108" s="1" t="str">
        <f ca="1">IFERROR(__xludf.DUMMYFUNCTION("""COMPUTED_VALUE"""),"IR-E-U-0454")</f>
        <v>IR-E-U-0454</v>
      </c>
      <c r="B108" s="1" t="str">
        <f ca="1">IFERROR(__xludf.DUMMYFUNCTION("""COMPUTED_VALUE"""),"Hindustan Institute of Technology and Science (HITS)
More DetailsClose | 
[TABLE]")</f>
        <v>Hindustan Institute of Technology and Science (HITS)
More DetailsClose | 
[TABLE]</v>
      </c>
      <c r="C108" s="1" t="str">
        <f ca="1">IFERROR(__xludf.DUMMYFUNCTION("""COMPUTED_VALUE"""),"Chennai")</f>
        <v>Chennai</v>
      </c>
      <c r="D108" s="1" t="str">
        <f ca="1">IFERROR(__xludf.DUMMYFUNCTION("""COMPUTED_VALUE"""),"Tamil Nadu")</f>
        <v>Tamil Nadu</v>
      </c>
      <c r="E108" s="1">
        <f ca="1">IFERROR(__xludf.DUMMYFUNCTION("""COMPUTED_VALUE"""),36.98)</f>
        <v>36.979999999999997</v>
      </c>
      <c r="F108" s="1">
        <f ca="1">IFERROR(__xludf.DUMMYFUNCTION("""COMPUTED_VALUE"""),107)</f>
        <v>107</v>
      </c>
    </row>
    <row r="109" spans="1:6">
      <c r="A109" s="1" t="str">
        <f ca="1">IFERROR(__xludf.DUMMYFUNCTION("""COMPUTED_VALUE"""),"IR-E-C-16547")</f>
        <v>IR-E-C-16547</v>
      </c>
      <c r="B109" s="1" t="str">
        <f ca="1">IFERROR(__xludf.DUMMYFUNCTION("""COMPUTED_VALUE"""),"Sri Sairam Engineering College
More DetailsClose | 
[TABLE]")</f>
        <v>Sri Sairam Engineering College
More DetailsClose | 
[TABLE]</v>
      </c>
      <c r="C109" s="1" t="str">
        <f ca="1">IFERROR(__xludf.DUMMYFUNCTION("""COMPUTED_VALUE"""),"Kancheepuram")</f>
        <v>Kancheepuram</v>
      </c>
      <c r="D109" s="1" t="str">
        <f ca="1">IFERROR(__xludf.DUMMYFUNCTION("""COMPUTED_VALUE"""),"Tamil Nadu")</f>
        <v>Tamil Nadu</v>
      </c>
      <c r="E109" s="1">
        <f ca="1">IFERROR(__xludf.DUMMYFUNCTION("""COMPUTED_VALUE"""),36.91)</f>
        <v>36.909999999999997</v>
      </c>
      <c r="F109" s="1">
        <f ca="1">IFERROR(__xludf.DUMMYFUNCTION("""COMPUTED_VALUE"""),108)</f>
        <v>108</v>
      </c>
    </row>
    <row r="110" spans="1:6">
      <c r="A110" s="1" t="str">
        <f ca="1">IFERROR(__xludf.DUMMYFUNCTION("""COMPUTED_VALUE"""),"IR-E-C-42054")</f>
        <v>IR-E-C-42054</v>
      </c>
      <c r="B110" s="1" t="str">
        <f ca="1">IFERROR(__xludf.DUMMYFUNCTION("""COMPUTED_VALUE"""),"Army Institute of Technology
More DetailsClose | 
[TABLE]")</f>
        <v>Army Institute of Technology
More DetailsClose | 
[TABLE]</v>
      </c>
      <c r="C110" s="1" t="str">
        <f ca="1">IFERROR(__xludf.DUMMYFUNCTION("""COMPUTED_VALUE"""),"Pune")</f>
        <v>Pune</v>
      </c>
      <c r="D110" s="1" t="str">
        <f ca="1">IFERROR(__xludf.DUMMYFUNCTION("""COMPUTED_VALUE"""),"Maharashtra")</f>
        <v>Maharashtra</v>
      </c>
      <c r="E110" s="1">
        <f ca="1">IFERROR(__xludf.DUMMYFUNCTION("""COMPUTED_VALUE"""),36.85)</f>
        <v>36.85</v>
      </c>
      <c r="F110" s="1">
        <f ca="1">IFERROR(__xludf.DUMMYFUNCTION("""COMPUTED_VALUE"""),109)</f>
        <v>109</v>
      </c>
    </row>
    <row r="111" spans="1:6">
      <c r="A111" s="1" t="str">
        <f ca="1">IFERROR(__xludf.DUMMYFUNCTION("""COMPUTED_VALUE"""),"IR-E-U-0163")</f>
        <v>IR-E-U-0163</v>
      </c>
      <c r="B111" s="1" t="str">
        <f ca="1">IFERROR(__xludf.DUMMYFUNCTION("""COMPUTED_VALUE"""),"The Northcap University
More DetailsClose | 
[TABLE]")</f>
        <v>The Northcap University
More DetailsClose | 
[TABLE]</v>
      </c>
      <c r="C111" s="1" t="str">
        <f ca="1">IFERROR(__xludf.DUMMYFUNCTION("""COMPUTED_VALUE"""),"Gurgaon")</f>
        <v>Gurgaon</v>
      </c>
      <c r="D111" s="1" t="str">
        <f ca="1">IFERROR(__xludf.DUMMYFUNCTION("""COMPUTED_VALUE"""),"Haryana")</f>
        <v>Haryana</v>
      </c>
      <c r="E111" s="1">
        <f ca="1">IFERROR(__xludf.DUMMYFUNCTION("""COMPUTED_VALUE"""),36.84)</f>
        <v>36.840000000000003</v>
      </c>
      <c r="F111" s="1">
        <f ca="1">IFERROR(__xludf.DUMMYFUNCTION("""COMPUTED_VALUE"""),110)</f>
        <v>110</v>
      </c>
    </row>
    <row r="112" spans="1:6">
      <c r="A112" s="1" t="str">
        <f ca="1">IFERROR(__xludf.DUMMYFUNCTION("""COMPUTED_VALUE"""),"IR-E-U-0130")</f>
        <v>IR-E-U-0130</v>
      </c>
      <c r="B112" s="1" t="str">
        <f ca="1">IFERROR(__xludf.DUMMYFUNCTION("""COMPUTED_VALUE"""),"Dhirubhai Ambani Institute of Information and Communication Technology
More DetailsClose | 
[TABLE]")</f>
        <v>Dhirubhai Ambani Institute of Information and Communication Technology
More DetailsClose | 
[TABLE]</v>
      </c>
      <c r="C112" s="1" t="str">
        <f ca="1">IFERROR(__xludf.DUMMYFUNCTION("""COMPUTED_VALUE"""),"Gandhinagar")</f>
        <v>Gandhinagar</v>
      </c>
      <c r="D112" s="1" t="str">
        <f ca="1">IFERROR(__xludf.DUMMYFUNCTION("""COMPUTED_VALUE"""),"Gujarat")</f>
        <v>Gujarat</v>
      </c>
      <c r="E112" s="1">
        <f ca="1">IFERROR(__xludf.DUMMYFUNCTION("""COMPUTED_VALUE"""),36.8)</f>
        <v>36.799999999999997</v>
      </c>
      <c r="F112" s="1">
        <f ca="1">IFERROR(__xludf.DUMMYFUNCTION("""COMPUTED_VALUE"""),111)</f>
        <v>111</v>
      </c>
    </row>
    <row r="113" spans="1:6">
      <c r="A113" s="1" t="str">
        <f ca="1">IFERROR(__xludf.DUMMYFUNCTION("""COMPUTED_VALUE"""),"IR-E-U-0190")</f>
        <v>IR-E-U-0190</v>
      </c>
      <c r="B113" s="1" t="str">
        <f ca="1">IFERROR(__xludf.DUMMYFUNCTION("""COMPUTED_VALUE"""),"Shoolini University of Biotechnology and Management Sciences
More DetailsClose | 
[TABLE]")</f>
        <v>Shoolini University of Biotechnology and Management Sciences
More DetailsClose | 
[TABLE]</v>
      </c>
      <c r="C113" s="1" t="str">
        <f ca="1">IFERROR(__xludf.DUMMYFUNCTION("""COMPUTED_VALUE"""),"Solan")</f>
        <v>Solan</v>
      </c>
      <c r="D113" s="1" t="str">
        <f ca="1">IFERROR(__xludf.DUMMYFUNCTION("""COMPUTED_VALUE"""),"Himachal Pradesh")</f>
        <v>Himachal Pradesh</v>
      </c>
      <c r="E113" s="1">
        <f ca="1">IFERROR(__xludf.DUMMYFUNCTION("""COMPUTED_VALUE"""),36.72)</f>
        <v>36.72</v>
      </c>
      <c r="F113" s="1">
        <f ca="1">IFERROR(__xludf.DUMMYFUNCTION("""COMPUTED_VALUE"""),112)</f>
        <v>112</v>
      </c>
    </row>
    <row r="114" spans="1:6">
      <c r="A114" s="1" t="str">
        <f ca="1">IFERROR(__xludf.DUMMYFUNCTION("""COMPUTED_VALUE"""),"IR-E-C-18886")</f>
        <v>IR-E-C-18886</v>
      </c>
      <c r="B114" s="1" t="str">
        <f ca="1">IFERROR(__xludf.DUMMYFUNCTION("""COMPUTED_VALUE"""),"Shri Ramdeobaba College of Engineering and Management
More DetailsClose | 
[TABLE]")</f>
        <v>Shri Ramdeobaba College of Engineering and Management
More DetailsClose | 
[TABLE]</v>
      </c>
      <c r="C114" s="1" t="str">
        <f ca="1">IFERROR(__xludf.DUMMYFUNCTION("""COMPUTED_VALUE"""),"Nagpur")</f>
        <v>Nagpur</v>
      </c>
      <c r="D114" s="1" t="str">
        <f ca="1">IFERROR(__xludf.DUMMYFUNCTION("""COMPUTED_VALUE"""),"Maharashtra")</f>
        <v>Maharashtra</v>
      </c>
      <c r="E114" s="1">
        <f ca="1">IFERROR(__xludf.DUMMYFUNCTION("""COMPUTED_VALUE"""),36.62)</f>
        <v>36.619999999999997</v>
      </c>
      <c r="F114" s="1">
        <f ca="1">IFERROR(__xludf.DUMMYFUNCTION("""COMPUTED_VALUE"""),113)</f>
        <v>113</v>
      </c>
    </row>
    <row r="115" spans="1:6">
      <c r="A115" s="1" t="str">
        <f ca="1">IFERROR(__xludf.DUMMYFUNCTION("""COMPUTED_VALUE"""),"IR-E-C-1371")</f>
        <v>IR-E-C-1371</v>
      </c>
      <c r="B115" s="1" t="str">
        <f ca="1">IFERROR(__xludf.DUMMYFUNCTION("""COMPUTED_VALUE"""),"New Horizon College of Engineering
More DetailsClose | 
[TABLE]")</f>
        <v>New Horizon College of Engineering
More DetailsClose | 
[TABLE]</v>
      </c>
      <c r="C115" s="1" t="str">
        <f ca="1">IFERROR(__xludf.DUMMYFUNCTION("""COMPUTED_VALUE"""),"Bengaluru")</f>
        <v>Bengaluru</v>
      </c>
      <c r="D115" s="1" t="str">
        <f ca="1">IFERROR(__xludf.DUMMYFUNCTION("""COMPUTED_VALUE"""),"Karnataka")</f>
        <v>Karnataka</v>
      </c>
      <c r="E115" s="1">
        <f ca="1">IFERROR(__xludf.DUMMYFUNCTION("""COMPUTED_VALUE"""),36.6)</f>
        <v>36.6</v>
      </c>
      <c r="F115" s="1">
        <f ca="1">IFERROR(__xludf.DUMMYFUNCTION("""COMPUTED_VALUE"""),114)</f>
        <v>114</v>
      </c>
    </row>
    <row r="116" spans="1:6">
      <c r="A116" s="1" t="str">
        <f ca="1">IFERROR(__xludf.DUMMYFUNCTION("""COMPUTED_VALUE"""),"IR-E-U-0186")</f>
        <v>IR-E-U-0186</v>
      </c>
      <c r="B116" s="1" t="str">
        <f ca="1">IFERROR(__xludf.DUMMYFUNCTION("""COMPUTED_VALUE"""),"Jaypee University of Information Technology
More DetailsClose | 
[TABLE]")</f>
        <v>Jaypee University of Information Technology
More DetailsClose | 
[TABLE]</v>
      </c>
      <c r="C116" s="1" t="str">
        <f ca="1">IFERROR(__xludf.DUMMYFUNCTION("""COMPUTED_VALUE"""),"Solan")</f>
        <v>Solan</v>
      </c>
      <c r="D116" s="1" t="str">
        <f ca="1">IFERROR(__xludf.DUMMYFUNCTION("""COMPUTED_VALUE"""),"Himachal Pradesh")</f>
        <v>Himachal Pradesh</v>
      </c>
      <c r="E116" s="1">
        <f ca="1">IFERROR(__xludf.DUMMYFUNCTION("""COMPUTED_VALUE"""),36.55)</f>
        <v>36.549999999999997</v>
      </c>
      <c r="F116" s="1">
        <f ca="1">IFERROR(__xludf.DUMMYFUNCTION("""COMPUTED_VALUE"""),115)</f>
        <v>115</v>
      </c>
    </row>
    <row r="117" spans="1:6">
      <c r="A117" s="1" t="str">
        <f ca="1">IFERROR(__xludf.DUMMYFUNCTION("""COMPUTED_VALUE"""),"IR-E-U-0143")</f>
        <v>IR-E-U-0143</v>
      </c>
      <c r="B117" s="1" t="str">
        <f ca="1">IFERROR(__xludf.DUMMYFUNCTION("""COMPUTED_VALUE"""),"Maharaja Sayajirao University of Baroda
More DetailsClose | 
[TABLE]")</f>
        <v>Maharaja Sayajirao University of Baroda
More DetailsClose | 
[TABLE]</v>
      </c>
      <c r="C117" s="1" t="str">
        <f ca="1">IFERROR(__xludf.DUMMYFUNCTION("""COMPUTED_VALUE"""),"Vadodara")</f>
        <v>Vadodara</v>
      </c>
      <c r="D117" s="1" t="str">
        <f ca="1">IFERROR(__xludf.DUMMYFUNCTION("""COMPUTED_VALUE"""),"Gujarat")</f>
        <v>Gujarat</v>
      </c>
      <c r="E117" s="1">
        <f ca="1">IFERROR(__xludf.DUMMYFUNCTION("""COMPUTED_VALUE"""),36.54)</f>
        <v>36.54</v>
      </c>
      <c r="F117" s="1">
        <f ca="1">IFERROR(__xludf.DUMMYFUNCTION("""COMPUTED_VALUE"""),116)</f>
        <v>116</v>
      </c>
    </row>
    <row r="118" spans="1:6">
      <c r="A118" s="1" t="str">
        <f ca="1">IFERROR(__xludf.DUMMYFUNCTION("""COMPUTED_VALUE"""),"IR-E-U-0223")</f>
        <v>IR-E-U-0223</v>
      </c>
      <c r="B118" s="1" t="str">
        <f ca="1">IFERROR(__xludf.DUMMYFUNCTION("""COMPUTED_VALUE"""),"Jain University
More DetailsClose | 
[TABLE]")</f>
        <v>Jain University
More DetailsClose | 
[TABLE]</v>
      </c>
      <c r="C118" s="1" t="str">
        <f ca="1">IFERROR(__xludf.DUMMYFUNCTION("""COMPUTED_VALUE"""),"Bengluru")</f>
        <v>Bengluru</v>
      </c>
      <c r="D118" s="1" t="str">
        <f ca="1">IFERROR(__xludf.DUMMYFUNCTION("""COMPUTED_VALUE"""),"Karnataka")</f>
        <v>Karnataka</v>
      </c>
      <c r="E118" s="1">
        <f ca="1">IFERROR(__xludf.DUMMYFUNCTION("""COMPUTED_VALUE"""),36.49)</f>
        <v>36.49</v>
      </c>
      <c r="F118" s="1">
        <f ca="1">IFERROR(__xludf.DUMMYFUNCTION("""COMPUTED_VALUE"""),117)</f>
        <v>117</v>
      </c>
    </row>
    <row r="119" spans="1:6">
      <c r="A119" s="1" t="str">
        <f ca="1">IFERROR(__xludf.DUMMYFUNCTION("""COMPUTED_VALUE"""),"IR-E-U-0043")</f>
        <v>IR-E-U-0043</v>
      </c>
      <c r="B119" s="1" t="str">
        <f ca="1">IFERROR(__xludf.DUMMYFUNCTION("""COMPUTED_VALUE"""),"Vignan's Foundation for Science, Technology &amp; Research
More DetailsClose | 
[TABLE]")</f>
        <v>Vignan's Foundation for Science, Technology &amp; Research
More DetailsClose | 
[TABLE]</v>
      </c>
      <c r="C119" s="1" t="str">
        <f ca="1">IFERROR(__xludf.DUMMYFUNCTION("""COMPUTED_VALUE"""),"Guntur")</f>
        <v>Guntur</v>
      </c>
      <c r="D119" s="1" t="str">
        <f ca="1">IFERROR(__xludf.DUMMYFUNCTION("""COMPUTED_VALUE"""),"Andhra Pradesh")</f>
        <v>Andhra Pradesh</v>
      </c>
      <c r="E119" s="1">
        <f ca="1">IFERROR(__xludf.DUMMYFUNCTION("""COMPUTED_VALUE"""),36.28)</f>
        <v>36.28</v>
      </c>
      <c r="F119" s="1">
        <f ca="1">IFERROR(__xludf.DUMMYFUNCTION("""COMPUTED_VALUE"""),118)</f>
        <v>118</v>
      </c>
    </row>
    <row r="120" spans="1:6">
      <c r="A120" s="1" t="str">
        <f ca="1">IFERROR(__xludf.DUMMYFUNCTION("""COMPUTED_VALUE"""),"IR-E-U-0367")</f>
        <v>IR-E-U-0367</v>
      </c>
      <c r="B120" s="1" t="str">
        <f ca="1">IFERROR(__xludf.DUMMYFUNCTION("""COMPUTED_VALUE"""),"Veer Surendra Sai University of Technology
More DetailsClose | 
[TABLE]")</f>
        <v>Veer Surendra Sai University of Technology
More DetailsClose | 
[TABLE]</v>
      </c>
      <c r="C120" s="1" t="str">
        <f ca="1">IFERROR(__xludf.DUMMYFUNCTION("""COMPUTED_VALUE"""),"Burla")</f>
        <v>Burla</v>
      </c>
      <c r="D120" s="1" t="str">
        <f ca="1">IFERROR(__xludf.DUMMYFUNCTION("""COMPUTED_VALUE"""),"Odisha")</f>
        <v>Odisha</v>
      </c>
      <c r="E120" s="1">
        <f ca="1">IFERROR(__xludf.DUMMYFUNCTION("""COMPUTED_VALUE"""),36.13)</f>
        <v>36.130000000000003</v>
      </c>
      <c r="F120" s="1">
        <f ca="1">IFERROR(__xludf.DUMMYFUNCTION("""COMPUTED_VALUE"""),119)</f>
        <v>119</v>
      </c>
    </row>
    <row r="121" spans="1:6">
      <c r="A121" s="1" t="str">
        <f ca="1">IFERROR(__xludf.DUMMYFUNCTION("""COMPUTED_VALUE"""),"IR-E-U-0175")</f>
        <v>IR-E-U-0175</v>
      </c>
      <c r="B121" s="1" t="str">
        <f ca="1">IFERROR(__xludf.DUMMYFUNCTION("""COMPUTED_VALUE"""),"YMCA University of Science and Technology
More DetailsClose | 
[TABLE]")</f>
        <v>YMCA University of Science and Technology
More DetailsClose | 
[TABLE]</v>
      </c>
      <c r="C121" s="1" t="str">
        <f ca="1">IFERROR(__xludf.DUMMYFUNCTION("""COMPUTED_VALUE"""),"Faridabad")</f>
        <v>Faridabad</v>
      </c>
      <c r="D121" s="1" t="str">
        <f ca="1">IFERROR(__xludf.DUMMYFUNCTION("""COMPUTED_VALUE"""),"Haryana")</f>
        <v>Haryana</v>
      </c>
      <c r="E121" s="1">
        <f ca="1">IFERROR(__xludf.DUMMYFUNCTION("""COMPUTED_VALUE"""),35.91)</f>
        <v>35.909999999999997</v>
      </c>
      <c r="F121" s="1">
        <f ca="1">IFERROR(__xludf.DUMMYFUNCTION("""COMPUTED_VALUE"""),120)</f>
        <v>120</v>
      </c>
    </row>
    <row r="122" spans="1:6">
      <c r="A122" s="1" t="str">
        <f ca="1">IFERROR(__xludf.DUMMYFUNCTION("""COMPUTED_VALUE"""),"IR-E-S-8898")</f>
        <v>IR-E-S-8898</v>
      </c>
      <c r="B122" s="1" t="str">
        <f ca="1">IFERROR(__xludf.DUMMYFUNCTION("""COMPUTED_VALUE"""),"National Institute of Food Technology, Enterprenurship &amp; Management
More DetailsClose | 
[TABLE]")</f>
        <v>National Institute of Food Technology, Enterprenurship &amp; Management
More DetailsClose | 
[TABLE]</v>
      </c>
      <c r="C122" s="1" t="str">
        <f ca="1">IFERROR(__xludf.DUMMYFUNCTION("""COMPUTED_VALUE"""),"Sonipat")</f>
        <v>Sonipat</v>
      </c>
      <c r="D122" s="1" t="str">
        <f ca="1">IFERROR(__xludf.DUMMYFUNCTION("""COMPUTED_VALUE"""),"Haryana")</f>
        <v>Haryana</v>
      </c>
      <c r="E122" s="1">
        <f ca="1">IFERROR(__xludf.DUMMYFUNCTION("""COMPUTED_VALUE"""),35.65)</f>
        <v>35.65</v>
      </c>
      <c r="F122" s="1">
        <f ca="1">IFERROR(__xludf.DUMMYFUNCTION("""COMPUTED_VALUE"""),121)</f>
        <v>121</v>
      </c>
    </row>
    <row r="123" spans="1:6">
      <c r="A123" s="1" t="str">
        <f ca="1">IFERROR(__xludf.DUMMYFUNCTION("""COMPUTED_VALUE"""),"IR-E-C-6581")</f>
        <v>IR-E-C-6581</v>
      </c>
      <c r="B123" s="1" t="str">
        <f ca="1">IFERROR(__xludf.DUMMYFUNCTION("""COMPUTED_VALUE"""),"Pondicherry Engineering College
More DetailsClose | 
[TABLE]")</f>
        <v>Pondicherry Engineering College
More DetailsClose | 
[TABLE]</v>
      </c>
      <c r="C123" s="1" t="str">
        <f ca="1">IFERROR(__xludf.DUMMYFUNCTION("""COMPUTED_VALUE"""),"Puducherry")</f>
        <v>Puducherry</v>
      </c>
      <c r="D123" s="1" t="str">
        <f ca="1">IFERROR(__xludf.DUMMYFUNCTION("""COMPUTED_VALUE"""),"Pondicherry")</f>
        <v>Pondicherry</v>
      </c>
      <c r="E123" s="1">
        <f ca="1">IFERROR(__xludf.DUMMYFUNCTION("""COMPUTED_VALUE"""),35.49)</f>
        <v>35.49</v>
      </c>
      <c r="F123" s="1">
        <f ca="1">IFERROR(__xludf.DUMMYFUNCTION("""COMPUTED_VALUE"""),122)</f>
        <v>122</v>
      </c>
    </row>
    <row r="124" spans="1:6">
      <c r="A124" s="1" t="str">
        <f ca="1">IFERROR(__xludf.DUMMYFUNCTION("""COMPUTED_VALUE"""),"IR-E-U-0445")</f>
        <v>IR-E-U-0445</v>
      </c>
      <c r="B124" s="1" t="str">
        <f ca="1">IFERROR(__xludf.DUMMYFUNCTION("""COMPUTED_VALUE"""),"B. S. Abdur Rahman Crescent Institute of Science and Technology
More DetailsClose | 
[TABLE]")</f>
        <v>B. S. Abdur Rahman Crescent Institute of Science and Technology
More DetailsClose | 
[TABLE]</v>
      </c>
      <c r="C124" s="1" t="str">
        <f ca="1">IFERROR(__xludf.DUMMYFUNCTION("""COMPUTED_VALUE"""),"Chennai")</f>
        <v>Chennai</v>
      </c>
      <c r="D124" s="1" t="str">
        <f ca="1">IFERROR(__xludf.DUMMYFUNCTION("""COMPUTED_VALUE"""),"Tamil Nadu")</f>
        <v>Tamil Nadu</v>
      </c>
      <c r="E124" s="1">
        <f ca="1">IFERROR(__xludf.DUMMYFUNCTION("""COMPUTED_VALUE"""),35.41)</f>
        <v>35.409999999999997</v>
      </c>
      <c r="F124" s="1">
        <f ca="1">IFERROR(__xludf.DUMMYFUNCTION("""COMPUTED_VALUE"""),123)</f>
        <v>123</v>
      </c>
    </row>
    <row r="125" spans="1:6">
      <c r="A125" s="1" t="str">
        <f ca="1">IFERROR(__xludf.DUMMYFUNCTION("""COMPUTED_VALUE"""),"IR-E-C-25622")</f>
        <v>IR-E-C-25622</v>
      </c>
      <c r="B125" s="1" t="str">
        <f ca="1">IFERROR(__xludf.DUMMYFUNCTION("""COMPUTED_VALUE"""),"Chaitanya Bharathi Institute of Technology
More DetailsClose | 
[TABLE]")</f>
        <v>Chaitanya Bharathi Institute of Technology
More DetailsClose | 
[TABLE]</v>
      </c>
      <c r="C125" s="1" t="str">
        <f ca="1">IFERROR(__xludf.DUMMYFUNCTION("""COMPUTED_VALUE"""),"Hyderabad")</f>
        <v>Hyderabad</v>
      </c>
      <c r="D125" s="1" t="str">
        <f ca="1">IFERROR(__xludf.DUMMYFUNCTION("""COMPUTED_VALUE"""),"Telangana")</f>
        <v>Telangana</v>
      </c>
      <c r="E125" s="1">
        <f ca="1">IFERROR(__xludf.DUMMYFUNCTION("""COMPUTED_VALUE"""),35.32)</f>
        <v>35.32</v>
      </c>
      <c r="F125" s="1">
        <f ca="1">IFERROR(__xludf.DUMMYFUNCTION("""COMPUTED_VALUE"""),124)</f>
        <v>124</v>
      </c>
    </row>
    <row r="126" spans="1:6">
      <c r="A126" s="1" t="str">
        <f ca="1">IFERROR(__xludf.DUMMYFUNCTION("""COMPUTED_VALUE"""),"IR-E-C-33773")</f>
        <v>IR-E-C-33773</v>
      </c>
      <c r="B126" s="1" t="str">
        <f ca="1">IFERROR(__xludf.DUMMYFUNCTION("""COMPUTED_VALUE"""),"Bharatiya Vidya Bhavan`s Sardar Patel Institute of Technology
More DetailsClose | 
[TABLE]")</f>
        <v>Bharatiya Vidya Bhavan`s Sardar Patel Institute of Technology
More DetailsClose | 
[TABLE]</v>
      </c>
      <c r="C126" s="1" t="str">
        <f ca="1">IFERROR(__xludf.DUMMYFUNCTION("""COMPUTED_VALUE"""),"Mumbai")</f>
        <v>Mumbai</v>
      </c>
      <c r="D126" s="1" t="str">
        <f ca="1">IFERROR(__xludf.DUMMYFUNCTION("""COMPUTED_VALUE"""),"Maharashtra")</f>
        <v>Maharashtra</v>
      </c>
      <c r="E126" s="1">
        <f ca="1">IFERROR(__xludf.DUMMYFUNCTION("""COMPUTED_VALUE"""),35.27)</f>
        <v>35.270000000000003</v>
      </c>
      <c r="F126" s="1">
        <f ca="1">IFERROR(__xludf.DUMMYFUNCTION("""COMPUTED_VALUE"""),125)</f>
        <v>125</v>
      </c>
    </row>
    <row r="127" spans="1:6">
      <c r="A127" s="1" t="str">
        <f ca="1">IFERROR(__xludf.DUMMYFUNCTION("""COMPUTED_VALUE"""),"IR-E-C-1413")</f>
        <v>IR-E-C-1413</v>
      </c>
      <c r="B127" s="1" t="str">
        <f ca="1">IFERROR(__xludf.DUMMYFUNCTION("""COMPUTED_VALUE"""),"Dayananda Sagar College of Engineering
More DetailsClose | 
[TABLE]")</f>
        <v>Dayananda Sagar College of Engineering
More DetailsClose | 
[TABLE]</v>
      </c>
      <c r="C127" s="1" t="str">
        <f ca="1">IFERROR(__xludf.DUMMYFUNCTION("""COMPUTED_VALUE"""),"Bengaluru")</f>
        <v>Bengaluru</v>
      </c>
      <c r="D127" s="1" t="str">
        <f ca="1">IFERROR(__xludf.DUMMYFUNCTION("""COMPUTED_VALUE"""),"Karnataka")</f>
        <v>Karnataka</v>
      </c>
      <c r="E127" s="1">
        <f ca="1">IFERROR(__xludf.DUMMYFUNCTION("""COMPUTED_VALUE"""),35.11)</f>
        <v>35.11</v>
      </c>
      <c r="F127" s="1">
        <f ca="1">IFERROR(__xludf.DUMMYFUNCTION("""COMPUTED_VALUE"""),126)</f>
        <v>126</v>
      </c>
    </row>
    <row r="128" spans="1:6">
      <c r="A128" s="1" t="str">
        <f ca="1">IFERROR(__xludf.DUMMYFUNCTION("""COMPUTED_VALUE"""),"IR-E-C-19667")</f>
        <v>IR-E-C-19667</v>
      </c>
      <c r="B128" s="1" t="str">
        <f ca="1">IFERROR(__xludf.DUMMYFUNCTION("""COMPUTED_VALUE"""),"Vallurupalli Nageswara Rao Vignana Jyothi Institute of Engineering and 
Technology
More DetailsClose | 
[TABLE]")</f>
        <v>Vallurupalli Nageswara Rao Vignana Jyothi Institute of Engineering and 
Technology
More DetailsClose | 
[TABLE]</v>
      </c>
      <c r="C128" s="1" t="str">
        <f ca="1">IFERROR(__xludf.DUMMYFUNCTION("""COMPUTED_VALUE"""),"Hyderabad")</f>
        <v>Hyderabad</v>
      </c>
      <c r="D128" s="1" t="str">
        <f ca="1">IFERROR(__xludf.DUMMYFUNCTION("""COMPUTED_VALUE"""),"Telangana")</f>
        <v>Telangana</v>
      </c>
      <c r="E128" s="1">
        <f ca="1">IFERROR(__xludf.DUMMYFUNCTION("""COMPUTED_VALUE"""),34.99)</f>
        <v>34.99</v>
      </c>
      <c r="F128" s="1">
        <f ca="1">IFERROR(__xludf.DUMMYFUNCTION("""COMPUTED_VALUE"""),127)</f>
        <v>127</v>
      </c>
    </row>
    <row r="129" spans="1:6">
      <c r="A129" s="1" t="str">
        <f ca="1">IFERROR(__xludf.DUMMYFUNCTION("""COMPUTED_VALUE"""),"IR-E-C-1352")</f>
        <v>IR-E-C-1352</v>
      </c>
      <c r="B129" s="1" t="str">
        <f ca="1">IFERROR(__xludf.DUMMYFUNCTION("""COMPUTED_VALUE"""),"Nitte Meenakshi Institute of Technology
More DetailsClose | 
[TABLE]")</f>
        <v>Nitte Meenakshi Institute of Technology
More DetailsClose | 
[TABLE]</v>
      </c>
      <c r="C129" s="1" t="str">
        <f ca="1">IFERROR(__xludf.DUMMYFUNCTION("""COMPUTED_VALUE"""),"Bengaluru")</f>
        <v>Bengaluru</v>
      </c>
      <c r="D129" s="1" t="str">
        <f ca="1">IFERROR(__xludf.DUMMYFUNCTION("""COMPUTED_VALUE"""),"Karnataka")</f>
        <v>Karnataka</v>
      </c>
      <c r="E129" s="1">
        <f ca="1">IFERROR(__xludf.DUMMYFUNCTION("""COMPUTED_VALUE"""),34.97)</f>
        <v>34.97</v>
      </c>
      <c r="F129" s="1">
        <f ca="1">IFERROR(__xludf.DUMMYFUNCTION("""COMPUTED_VALUE"""),128)</f>
        <v>128</v>
      </c>
    </row>
    <row r="130" spans="1:6">
      <c r="A130" s="1" t="str">
        <f ca="1">IFERROR(__xludf.DUMMYFUNCTION("""COMPUTED_VALUE"""),"IR-E-U-0774")</f>
        <v>IR-E-U-0774</v>
      </c>
      <c r="B130" s="1" t="str">
        <f ca="1">IFERROR(__xludf.DUMMYFUNCTION("""COMPUTED_VALUE"""),"DIT University
More DetailsClose | 
[TABLE]")</f>
        <v>DIT University
More DetailsClose | 
[TABLE]</v>
      </c>
      <c r="C130" s="1" t="str">
        <f ca="1">IFERROR(__xludf.DUMMYFUNCTION("""COMPUTED_VALUE"""),"Dehradun")</f>
        <v>Dehradun</v>
      </c>
      <c r="D130" s="1" t="str">
        <f ca="1">IFERROR(__xludf.DUMMYFUNCTION("""COMPUTED_VALUE"""),"Uttarakhand")</f>
        <v>Uttarakhand</v>
      </c>
      <c r="E130" s="1">
        <f ca="1">IFERROR(__xludf.DUMMYFUNCTION("""COMPUTED_VALUE"""),34.93)</f>
        <v>34.93</v>
      </c>
      <c r="F130" s="1">
        <f ca="1">IFERROR(__xludf.DUMMYFUNCTION("""COMPUTED_VALUE"""),129)</f>
        <v>129</v>
      </c>
    </row>
    <row r="131" spans="1:6">
      <c r="A131" s="1" t="str">
        <f ca="1">IFERROR(__xludf.DUMMYFUNCTION("""COMPUTED_VALUE"""),"IR-E-U-0621")</f>
        <v>IR-E-U-0621</v>
      </c>
      <c r="B131" s="1" t="str">
        <f ca="1">IFERROR(__xludf.DUMMYFUNCTION("""COMPUTED_VALUE"""),"National Institute of Technology Puducherry
More DetailsClose | 
[TABLE]")</f>
        <v>National Institute of Technology Puducherry
More DetailsClose | 
[TABLE]</v>
      </c>
      <c r="C131" s="1" t="str">
        <f ca="1">IFERROR(__xludf.DUMMYFUNCTION("""COMPUTED_VALUE"""),"Karaikal")</f>
        <v>Karaikal</v>
      </c>
      <c r="D131" s="1" t="str">
        <f ca="1">IFERROR(__xludf.DUMMYFUNCTION("""COMPUTED_VALUE"""),"Pondicherry")</f>
        <v>Pondicherry</v>
      </c>
      <c r="E131" s="1">
        <f ca="1">IFERROR(__xludf.DUMMYFUNCTION("""COMPUTED_VALUE"""),34.87)</f>
        <v>34.869999999999997</v>
      </c>
      <c r="F131" s="1">
        <f ca="1">IFERROR(__xludf.DUMMYFUNCTION("""COMPUTED_VALUE"""),130)</f>
        <v>130</v>
      </c>
    </row>
    <row r="132" spans="1:6">
      <c r="A132" s="1" t="str">
        <f ca="1">IFERROR(__xludf.DUMMYFUNCTION("""COMPUTED_VALUE"""),"IR-E-U-0146")</f>
        <v>IR-E-U-0146</v>
      </c>
      <c r="B132" s="1" t="str">
        <f ca="1">IFERROR(__xludf.DUMMYFUNCTION("""COMPUTED_VALUE"""),"Nirma University
More DetailsClose | 
[TABLE]")</f>
        <v>Nirma University
More DetailsClose | 
[TABLE]</v>
      </c>
      <c r="C132" s="1" t="str">
        <f ca="1">IFERROR(__xludf.DUMMYFUNCTION("""COMPUTED_VALUE"""),"Ahmedabad")</f>
        <v>Ahmedabad</v>
      </c>
      <c r="D132" s="1" t="str">
        <f ca="1">IFERROR(__xludf.DUMMYFUNCTION("""COMPUTED_VALUE"""),"Gujarat")</f>
        <v>Gujarat</v>
      </c>
      <c r="E132" s="1">
        <f ca="1">IFERROR(__xludf.DUMMYFUNCTION("""COMPUTED_VALUE"""),34.85)</f>
        <v>34.85</v>
      </c>
      <c r="F132" s="1">
        <f ca="1">IFERROR(__xludf.DUMMYFUNCTION("""COMPUTED_VALUE"""),131)</f>
        <v>131</v>
      </c>
    </row>
    <row r="133" spans="1:6">
      <c r="A133" s="1" t="str">
        <f ca="1">IFERROR(__xludf.DUMMYFUNCTION("""COMPUTED_VALUE"""),"IR-E-C-1412")</f>
        <v>IR-E-C-1412</v>
      </c>
      <c r="B133" s="1" t="str">
        <f ca="1">IFERROR(__xludf.DUMMYFUNCTION("""COMPUTED_VALUE"""),"JSS Science and Technology University 
More DetailsClose | 
[TABLE]")</f>
        <v>JSS Science and Technology University 
More DetailsClose | 
[TABLE]</v>
      </c>
      <c r="C133" s="1" t="str">
        <f ca="1">IFERROR(__xludf.DUMMYFUNCTION("""COMPUTED_VALUE"""),"Mysuru")</f>
        <v>Mysuru</v>
      </c>
      <c r="D133" s="1" t="str">
        <f ca="1">IFERROR(__xludf.DUMMYFUNCTION("""COMPUTED_VALUE"""),"Karnataka")</f>
        <v>Karnataka</v>
      </c>
      <c r="E133" s="1">
        <f ca="1">IFERROR(__xludf.DUMMYFUNCTION("""COMPUTED_VALUE"""),34.81)</f>
        <v>34.81</v>
      </c>
      <c r="F133" s="1">
        <f ca="1">IFERROR(__xludf.DUMMYFUNCTION("""COMPUTED_VALUE"""),132)</f>
        <v>132</v>
      </c>
    </row>
    <row r="134" spans="1:6">
      <c r="A134" s="1" t="str">
        <f ca="1">IFERROR(__xludf.DUMMYFUNCTION("""COMPUTED_VALUE"""),"IR-E-C-1400")</f>
        <v>IR-E-C-1400</v>
      </c>
      <c r="B134" s="1" t="str">
        <f ca="1">IFERROR(__xludf.DUMMYFUNCTION("""COMPUTED_VALUE"""),"N M A M Institute of Technology
More DetailsClose | 
[TABLE]")</f>
        <v>N M A M Institute of Technology
More DetailsClose | 
[TABLE]</v>
      </c>
      <c r="C134" s="1" t="str">
        <f ca="1">IFERROR(__xludf.DUMMYFUNCTION("""COMPUTED_VALUE"""),"Nitte, Udupi")</f>
        <v>Nitte, Udupi</v>
      </c>
      <c r="D134" s="1" t="str">
        <f ca="1">IFERROR(__xludf.DUMMYFUNCTION("""COMPUTED_VALUE"""),"Karnataka")</f>
        <v>Karnataka</v>
      </c>
      <c r="E134" s="1">
        <f ca="1">IFERROR(__xludf.DUMMYFUNCTION("""COMPUTED_VALUE"""),34.73)</f>
        <v>34.729999999999997</v>
      </c>
      <c r="F134" s="1">
        <f ca="1">IFERROR(__xludf.DUMMYFUNCTION("""COMPUTED_VALUE"""),133)</f>
        <v>133</v>
      </c>
    </row>
    <row r="135" spans="1:6">
      <c r="A135" s="1" t="str">
        <f ca="1">IFERROR(__xludf.DUMMYFUNCTION("""COMPUTED_VALUE"""),"IR-E-U-0535")</f>
        <v>IR-E-U-0535</v>
      </c>
      <c r="B135" s="1" t="str">
        <f ca="1">IFERROR(__xludf.DUMMYFUNCTION("""COMPUTED_VALUE"""),"Rajiv Gandhi Institute of Petroleum Technology
More DetailsClose | 
[TABLE]")</f>
        <v>Rajiv Gandhi Institute of Petroleum Technology
More DetailsClose | 
[TABLE]</v>
      </c>
      <c r="C135" s="1" t="str">
        <f ca="1">IFERROR(__xludf.DUMMYFUNCTION("""COMPUTED_VALUE"""),"Amethi")</f>
        <v>Amethi</v>
      </c>
      <c r="D135" s="1" t="str">
        <f ca="1">IFERROR(__xludf.DUMMYFUNCTION("""COMPUTED_VALUE"""),"Uttar Pradesh")</f>
        <v>Uttar Pradesh</v>
      </c>
      <c r="E135" s="1">
        <f ca="1">IFERROR(__xludf.DUMMYFUNCTION("""COMPUTED_VALUE"""),34.59)</f>
        <v>34.590000000000003</v>
      </c>
      <c r="F135" s="1">
        <f ca="1">IFERROR(__xludf.DUMMYFUNCTION("""COMPUTED_VALUE"""),134)</f>
        <v>134</v>
      </c>
    </row>
    <row r="136" spans="1:6">
      <c r="A136" s="1" t="str">
        <f ca="1">IFERROR(__xludf.DUMMYFUNCTION("""COMPUTED_VALUE"""),"IR-E-C-37065")</f>
        <v>IR-E-C-37065</v>
      </c>
      <c r="B136" s="1" t="str">
        <f ca="1">IFERROR(__xludf.DUMMYFUNCTION("""COMPUTED_VALUE"""),"Kongu Engineering College
More DetailsClose | 
[TABLE]")</f>
        <v>Kongu Engineering College
More DetailsClose | 
[TABLE]</v>
      </c>
      <c r="C136" s="1" t="str">
        <f ca="1">IFERROR(__xludf.DUMMYFUNCTION("""COMPUTED_VALUE"""),"Perundurai")</f>
        <v>Perundurai</v>
      </c>
      <c r="D136" s="1" t="str">
        <f ca="1">IFERROR(__xludf.DUMMYFUNCTION("""COMPUTED_VALUE"""),"Tamil Nadu")</f>
        <v>Tamil Nadu</v>
      </c>
      <c r="E136" s="1">
        <f ca="1">IFERROR(__xludf.DUMMYFUNCTION("""COMPUTED_VALUE"""),34.45)</f>
        <v>34.450000000000003</v>
      </c>
      <c r="F136" s="1">
        <f ca="1">IFERROR(__xludf.DUMMYFUNCTION("""COMPUTED_VALUE"""),135)</f>
        <v>135</v>
      </c>
    </row>
    <row r="137" spans="1:6">
      <c r="A137" s="1" t="str">
        <f ca="1">IFERROR(__xludf.DUMMYFUNCTION("""COMPUTED_VALUE"""),"IR-E-U-0854")</f>
        <v>IR-E-U-0854</v>
      </c>
      <c r="B137" s="1" t="str">
        <f ca="1">IFERROR(__xludf.DUMMYFUNCTION("""COMPUTED_VALUE"""),"KLE Technological University
More DetailsClose | 
[TABLE]")</f>
        <v>KLE Technological University
More DetailsClose | 
[TABLE]</v>
      </c>
      <c r="C137" s="1" t="str">
        <f ca="1">IFERROR(__xludf.DUMMYFUNCTION("""COMPUTED_VALUE"""),"Dharwad")</f>
        <v>Dharwad</v>
      </c>
      <c r="D137" s="1" t="str">
        <f ca="1">IFERROR(__xludf.DUMMYFUNCTION("""COMPUTED_VALUE"""),"Karnataka")</f>
        <v>Karnataka</v>
      </c>
      <c r="E137" s="1">
        <f ca="1">IFERROR(__xludf.DUMMYFUNCTION("""COMPUTED_VALUE"""),34.34)</f>
        <v>34.340000000000003</v>
      </c>
      <c r="F137" s="1">
        <f ca="1">IFERROR(__xludf.DUMMYFUNCTION("""COMPUTED_VALUE"""),136)</f>
        <v>136</v>
      </c>
    </row>
    <row r="138" spans="1:6">
      <c r="A138" s="1" t="str">
        <f ca="1">IFERROR(__xludf.DUMMYFUNCTION("""COMPUTED_VALUE"""),"IR-E-U-0384")</f>
        <v>IR-E-U-0384</v>
      </c>
      <c r="B138" s="1" t="str">
        <f ca="1">IFERROR(__xludf.DUMMYFUNCTION("""COMPUTED_VALUE"""),"Sant Longowal Institute of Engineering &amp; Technology
More DetailsClose | 
[TABLE]")</f>
        <v>Sant Longowal Institute of Engineering &amp; Technology
More DetailsClose | 
[TABLE]</v>
      </c>
      <c r="C138" s="1" t="str">
        <f ca="1">IFERROR(__xludf.DUMMYFUNCTION("""COMPUTED_VALUE"""),"Longowal")</f>
        <v>Longowal</v>
      </c>
      <c r="D138" s="1" t="str">
        <f ca="1">IFERROR(__xludf.DUMMYFUNCTION("""COMPUTED_VALUE"""),"Punjab")</f>
        <v>Punjab</v>
      </c>
      <c r="E138" s="1">
        <f ca="1">IFERROR(__xludf.DUMMYFUNCTION("""COMPUTED_VALUE"""),34.27)</f>
        <v>34.270000000000003</v>
      </c>
      <c r="F138" s="1">
        <f ca="1">IFERROR(__xludf.DUMMYFUNCTION("""COMPUTED_VALUE"""),137)</f>
        <v>137</v>
      </c>
    </row>
    <row r="139" spans="1:6">
      <c r="A139" s="1" t="str">
        <f ca="1">IFERROR(__xludf.DUMMYFUNCTION("""COMPUTED_VALUE"""),"IR-E-U-0938")</f>
        <v>IR-E-U-0938</v>
      </c>
      <c r="B139" s="1" t="str">
        <f ca="1">IFERROR(__xludf.DUMMYFUNCTION("""COMPUTED_VALUE"""),"Dr. Vishwanath Karad MIT World Peace University
More DetailsClose | 
[TABLE]")</f>
        <v>Dr. Vishwanath Karad MIT World Peace University
More DetailsClose | 
[TABLE]</v>
      </c>
      <c r="C139" s="1" t="str">
        <f ca="1">IFERROR(__xludf.DUMMYFUNCTION("""COMPUTED_VALUE"""),"Pune")</f>
        <v>Pune</v>
      </c>
      <c r="D139" s="1" t="str">
        <f ca="1">IFERROR(__xludf.DUMMYFUNCTION("""COMPUTED_VALUE"""),"Maharashtra")</f>
        <v>Maharashtra</v>
      </c>
      <c r="E139" s="1">
        <f ca="1">IFERROR(__xludf.DUMMYFUNCTION("""COMPUTED_VALUE"""),34.17)</f>
        <v>34.17</v>
      </c>
      <c r="F139" s="1">
        <f ca="1">IFERROR(__xludf.DUMMYFUNCTION("""COMPUTED_VALUE"""),138)</f>
        <v>138</v>
      </c>
    </row>
    <row r="140" spans="1:6">
      <c r="A140" s="1" t="str">
        <f ca="1">IFERROR(__xludf.DUMMYFUNCTION("""COMPUTED_VALUE"""),"IR-E-C-18817")</f>
        <v>IR-E-C-18817</v>
      </c>
      <c r="B140" s="1" t="str">
        <f ca="1">IFERROR(__xludf.DUMMYFUNCTION("""COMPUTED_VALUE"""),"G. H. Raisoni College of Engineering
More DetailsClose | 
[TABLE]")</f>
        <v>G. H. Raisoni College of Engineering
More DetailsClose | 
[TABLE]</v>
      </c>
      <c r="C140" s="1" t="str">
        <f ca="1">IFERROR(__xludf.DUMMYFUNCTION("""COMPUTED_VALUE"""),"Nagpur")</f>
        <v>Nagpur</v>
      </c>
      <c r="D140" s="1" t="str">
        <f ca="1">IFERROR(__xludf.DUMMYFUNCTION("""COMPUTED_VALUE"""),"Maharashtra")</f>
        <v>Maharashtra</v>
      </c>
      <c r="E140" s="1">
        <f ca="1">IFERROR(__xludf.DUMMYFUNCTION("""COMPUTED_VALUE"""),34.07)</f>
        <v>34.07</v>
      </c>
      <c r="F140" s="1">
        <f ca="1">IFERROR(__xludf.DUMMYFUNCTION("""COMPUTED_VALUE"""),139)</f>
        <v>139</v>
      </c>
    </row>
    <row r="141" spans="1:6">
      <c r="A141" s="1" t="str">
        <f ca="1">IFERROR(__xludf.DUMMYFUNCTION("""COMPUTED_VALUE"""),"IR-E-C-18254")</f>
        <v>IR-E-C-18254</v>
      </c>
      <c r="B141" s="1" t="str">
        <f ca="1">IFERROR(__xludf.DUMMYFUNCTION("""COMPUTED_VALUE"""),"Yeshwantrao Chavan College of Engineering
More DetailsClose | 
[TABLE]")</f>
        <v>Yeshwantrao Chavan College of Engineering
More DetailsClose | 
[TABLE]</v>
      </c>
      <c r="C141" s="1" t="str">
        <f ca="1">IFERROR(__xludf.DUMMYFUNCTION("""COMPUTED_VALUE"""),"Nagpur")</f>
        <v>Nagpur</v>
      </c>
      <c r="D141" s="1" t="str">
        <f ca="1">IFERROR(__xludf.DUMMYFUNCTION("""COMPUTED_VALUE"""),"Maharashtra")</f>
        <v>Maharashtra</v>
      </c>
      <c r="E141" s="1">
        <f ca="1">IFERROR(__xludf.DUMMYFUNCTION("""COMPUTED_VALUE"""),34.07)</f>
        <v>34.07</v>
      </c>
      <c r="F141" s="1">
        <f ca="1">IFERROR(__xludf.DUMMYFUNCTION("""COMPUTED_VALUE"""),139)</f>
        <v>139</v>
      </c>
    </row>
    <row r="142" spans="1:6">
      <c r="A142" s="1" t="str">
        <f ca="1">IFERROR(__xludf.DUMMYFUNCTION("""COMPUTED_VALUE"""),"IR-E-C-19607")</f>
        <v>IR-E-C-19607</v>
      </c>
      <c r="B142" s="1" t="str">
        <f ca="1">IFERROR(__xludf.DUMMYFUNCTION("""COMPUTED_VALUE"""),"CVR College Of Engineering
More DetailsClose | 
[TABLE]")</f>
        <v>CVR College Of Engineering
More DetailsClose | 
[TABLE]</v>
      </c>
      <c r="C142" s="1" t="str">
        <f ca="1">IFERROR(__xludf.DUMMYFUNCTION("""COMPUTED_VALUE"""),"Ibrahimpatan")</f>
        <v>Ibrahimpatan</v>
      </c>
      <c r="D142" s="1" t="str">
        <f ca="1">IFERROR(__xludf.DUMMYFUNCTION("""COMPUTED_VALUE"""),"Telangana")</f>
        <v>Telangana</v>
      </c>
      <c r="E142" s="1">
        <f ca="1">IFERROR(__xludf.DUMMYFUNCTION("""COMPUTED_VALUE"""),33.87)</f>
        <v>33.869999999999997</v>
      </c>
      <c r="F142" s="1">
        <f ca="1">IFERROR(__xludf.DUMMYFUNCTION("""COMPUTED_VALUE"""),141)</f>
        <v>141</v>
      </c>
    </row>
    <row r="143" spans="1:6">
      <c r="A143" s="1" t="str">
        <f ca="1">IFERROR(__xludf.DUMMYFUNCTION("""COMPUTED_VALUE"""),"IR-E-C-37089")</f>
        <v>IR-E-C-37089</v>
      </c>
      <c r="B143" s="1" t="str">
        <f ca="1">IFERROR(__xludf.DUMMYFUNCTION("""COMPUTED_VALUE"""),"Sri Ramakrishna Engineering College
More DetailsClose | 
[TABLE]")</f>
        <v>Sri Ramakrishna Engineering College
More DetailsClose | 
[TABLE]</v>
      </c>
      <c r="C143" s="1" t="str">
        <f ca="1">IFERROR(__xludf.DUMMYFUNCTION("""COMPUTED_VALUE"""),"Coimbatore")</f>
        <v>Coimbatore</v>
      </c>
      <c r="D143" s="1" t="str">
        <f ca="1">IFERROR(__xludf.DUMMYFUNCTION("""COMPUTED_VALUE"""),"Tamil Nadu")</f>
        <v>Tamil Nadu</v>
      </c>
      <c r="E143" s="1">
        <f ca="1">IFERROR(__xludf.DUMMYFUNCTION("""COMPUTED_VALUE"""),33.79)</f>
        <v>33.79</v>
      </c>
      <c r="F143" s="1">
        <f ca="1">IFERROR(__xludf.DUMMYFUNCTION("""COMPUTED_VALUE"""),142)</f>
        <v>142</v>
      </c>
    </row>
    <row r="144" spans="1:6">
      <c r="A144" s="1" t="str">
        <f ca="1">IFERROR(__xludf.DUMMYFUNCTION("""COMPUTED_VALUE"""),"IR-E-C-19650")</f>
        <v>IR-E-C-19650</v>
      </c>
      <c r="B144" s="1" t="str">
        <f ca="1">IFERROR(__xludf.DUMMYFUNCTION("""COMPUTED_VALUE"""),"Vardhaman College of Engineering
More DetailsClose | 
[TABLE]")</f>
        <v>Vardhaman College of Engineering
More DetailsClose | 
[TABLE]</v>
      </c>
      <c r="C144" s="1" t="str">
        <f ca="1">IFERROR(__xludf.DUMMYFUNCTION("""COMPUTED_VALUE"""),"Rangareddy")</f>
        <v>Rangareddy</v>
      </c>
      <c r="D144" s="1" t="str">
        <f ca="1">IFERROR(__xludf.DUMMYFUNCTION("""COMPUTED_VALUE"""),"Telangana")</f>
        <v>Telangana</v>
      </c>
      <c r="E144" s="1">
        <f ca="1">IFERROR(__xludf.DUMMYFUNCTION("""COMPUTED_VALUE"""),33.75)</f>
        <v>33.75</v>
      </c>
      <c r="F144" s="1">
        <f ca="1">IFERROR(__xludf.DUMMYFUNCTION("""COMPUTED_VALUE"""),143)</f>
        <v>143</v>
      </c>
    </row>
    <row r="145" spans="1:6">
      <c r="A145" s="1" t="str">
        <f ca="1">IFERROR(__xludf.DUMMYFUNCTION("""COMPUTED_VALUE"""),"IR-E-U-0332")</f>
        <v>IR-E-U-0332</v>
      </c>
      <c r="B145" s="1" t="str">
        <f ca="1">IFERROR(__xludf.DUMMYFUNCTION("""COMPUTED_VALUE"""),"The Rashtrasant Tukadoji Maharaj Nagpur University
More DetailsClose | 
[TABLE]")</f>
        <v>The Rashtrasant Tukadoji Maharaj Nagpur University
More DetailsClose | 
[TABLE]</v>
      </c>
      <c r="C145" s="1" t="str">
        <f ca="1">IFERROR(__xludf.DUMMYFUNCTION("""COMPUTED_VALUE"""),"Nagpur")</f>
        <v>Nagpur</v>
      </c>
      <c r="D145" s="1" t="str">
        <f ca="1">IFERROR(__xludf.DUMMYFUNCTION("""COMPUTED_VALUE"""),"Maharashtra")</f>
        <v>Maharashtra</v>
      </c>
      <c r="E145" s="1">
        <f ca="1">IFERROR(__xludf.DUMMYFUNCTION("""COMPUTED_VALUE"""),33.68)</f>
        <v>33.68</v>
      </c>
      <c r="F145" s="1">
        <f ca="1">IFERROR(__xludf.DUMMYFUNCTION("""COMPUTED_VALUE"""),144)</f>
        <v>144</v>
      </c>
    </row>
    <row r="146" spans="1:6">
      <c r="A146" s="1" t="str">
        <f ca="1">IFERROR(__xludf.DUMMYFUNCTION("""COMPUTED_VALUE"""),"IR-E-U-0046")</f>
        <v>IR-E-U-0046</v>
      </c>
      <c r="B146" s="1" t="str">
        <f ca="1">IFERROR(__xludf.DUMMYFUNCTION("""COMPUTED_VALUE"""),"North Eastern Regional Institute of Science &amp; Technology
More DetailsClose | 
[TABLE]")</f>
        <v>North Eastern Regional Institute of Science &amp; Technology
More DetailsClose | 
[TABLE]</v>
      </c>
      <c r="C146" s="1" t="str">
        <f ca="1">IFERROR(__xludf.DUMMYFUNCTION("""COMPUTED_VALUE"""),"Itanagar")</f>
        <v>Itanagar</v>
      </c>
      <c r="D146" s="1" t="str">
        <f ca="1">IFERROR(__xludf.DUMMYFUNCTION("""COMPUTED_VALUE"""),"Arunachal Pradesh")</f>
        <v>Arunachal Pradesh</v>
      </c>
      <c r="E146" s="1">
        <f ca="1">IFERROR(__xludf.DUMMYFUNCTION("""COMPUTED_VALUE"""),33.67)</f>
        <v>33.67</v>
      </c>
      <c r="F146" s="1">
        <f ca="1">IFERROR(__xludf.DUMMYFUNCTION("""COMPUTED_VALUE"""),145)</f>
        <v>145</v>
      </c>
    </row>
    <row r="147" spans="1:6">
      <c r="A147" s="1" t="str">
        <f ca="1">IFERROR(__xludf.DUMMYFUNCTION("""COMPUTED_VALUE"""),"IR-E-U-0685")</f>
        <v>IR-E-U-0685</v>
      </c>
      <c r="B147" s="1" t="str">
        <f ca="1">IFERROR(__xludf.DUMMYFUNCTION("""COMPUTED_VALUE"""),"Indira Gandhi Delhi Technical University for Women
More DetailsClose | 
[TABLE]")</f>
        <v>Indira Gandhi Delhi Technical University for Women
More DetailsClose | 
[TABLE]</v>
      </c>
      <c r="C147" s="1" t="str">
        <f ca="1">IFERROR(__xludf.DUMMYFUNCTION("""COMPUTED_VALUE"""),"Delhi")</f>
        <v>Delhi</v>
      </c>
      <c r="D147" s="1" t="str">
        <f ca="1">IFERROR(__xludf.DUMMYFUNCTION("""COMPUTED_VALUE"""),"Delhi")</f>
        <v>Delhi</v>
      </c>
      <c r="E147" s="1">
        <f ca="1">IFERROR(__xludf.DUMMYFUNCTION("""COMPUTED_VALUE"""),33.67)</f>
        <v>33.67</v>
      </c>
      <c r="F147" s="1">
        <f ca="1">IFERROR(__xludf.DUMMYFUNCTION("""COMPUTED_VALUE"""),145)</f>
        <v>145</v>
      </c>
    </row>
    <row r="148" spans="1:6">
      <c r="A148" s="1" t="str">
        <f ca="1">IFERROR(__xludf.DUMMYFUNCTION("""COMPUTED_VALUE"""),"IR-E-C-1345")</f>
        <v>IR-E-C-1345</v>
      </c>
      <c r="B148" s="1" t="str">
        <f ca="1">IFERROR(__xludf.DUMMYFUNCTION("""COMPUTED_VALUE"""),"P E S College of Engineering
More DetailsClose | 
[TABLE]")</f>
        <v>P E S College of Engineering
More DetailsClose | 
[TABLE]</v>
      </c>
      <c r="C148" s="1" t="str">
        <f ca="1">IFERROR(__xludf.DUMMYFUNCTION("""COMPUTED_VALUE"""),"Mandya")</f>
        <v>Mandya</v>
      </c>
      <c r="D148" s="1" t="str">
        <f ca="1">IFERROR(__xludf.DUMMYFUNCTION("""COMPUTED_VALUE"""),"Karnataka")</f>
        <v>Karnataka</v>
      </c>
      <c r="E148" s="1">
        <f ca="1">IFERROR(__xludf.DUMMYFUNCTION("""COMPUTED_VALUE"""),33.65)</f>
        <v>33.65</v>
      </c>
      <c r="F148" s="1">
        <f ca="1">IFERROR(__xludf.DUMMYFUNCTION("""COMPUTED_VALUE"""),147)</f>
        <v>147</v>
      </c>
    </row>
    <row r="149" spans="1:6">
      <c r="A149" s="1" t="str">
        <f ca="1">IFERROR(__xludf.DUMMYFUNCTION("""COMPUTED_VALUE"""),"IR-E-C-43264")</f>
        <v>IR-E-C-43264</v>
      </c>
      <c r="B149" s="1" t="str">
        <f ca="1">IFERROR(__xludf.DUMMYFUNCTION("""COMPUTED_VALUE"""),"National Institute of Foundry and Forge Technology (NIFFT)
More DetailsClose | 
[TABLE]")</f>
        <v>National Institute of Foundry and Forge Technology (NIFFT)
More DetailsClose | 
[TABLE]</v>
      </c>
      <c r="C149" s="1" t="str">
        <f ca="1">IFERROR(__xludf.DUMMYFUNCTION("""COMPUTED_VALUE"""),"Ranchi")</f>
        <v>Ranchi</v>
      </c>
      <c r="D149" s="1" t="str">
        <f ca="1">IFERROR(__xludf.DUMMYFUNCTION("""COMPUTED_VALUE"""),"Jharkhand")</f>
        <v>Jharkhand</v>
      </c>
      <c r="E149" s="1">
        <f ca="1">IFERROR(__xludf.DUMMYFUNCTION("""COMPUTED_VALUE"""),33.57)</f>
        <v>33.57</v>
      </c>
      <c r="F149" s="1">
        <f ca="1">IFERROR(__xludf.DUMMYFUNCTION("""COMPUTED_VALUE"""),148)</f>
        <v>148</v>
      </c>
    </row>
    <row r="150" spans="1:6">
      <c r="A150" s="1" t="str">
        <f ca="1">IFERROR(__xludf.DUMMYFUNCTION("""COMPUTED_VALUE"""),"IR-E-I-1441")</f>
        <v>IR-E-I-1441</v>
      </c>
      <c r="B150" s="1" t="str">
        <f ca="1">IFERROR(__xludf.DUMMYFUNCTION("""COMPUTED_VALUE"""),"Saveetha Institute of Medical and Technical Sciences
More DetailsClose | 
[TABLE]")</f>
        <v>Saveetha Institute of Medical and Technical Sciences
More DetailsClose | 
[TABLE]</v>
      </c>
      <c r="C150" s="1" t="str">
        <f ca="1">IFERROR(__xludf.DUMMYFUNCTION("""COMPUTED_VALUE"""),"Chennai")</f>
        <v>Chennai</v>
      </c>
      <c r="D150" s="1" t="str">
        <f ca="1">IFERROR(__xludf.DUMMYFUNCTION("""COMPUTED_VALUE"""),"Tamil Nadu")</f>
        <v>Tamil Nadu</v>
      </c>
      <c r="E150" s="1">
        <f ca="1">IFERROR(__xludf.DUMMYFUNCTION("""COMPUTED_VALUE"""),33.55)</f>
        <v>33.549999999999997</v>
      </c>
      <c r="F150" s="1">
        <f ca="1">IFERROR(__xludf.DUMMYFUNCTION("""COMPUTED_VALUE"""),149)</f>
        <v>149</v>
      </c>
    </row>
    <row r="151" spans="1:6">
      <c r="A151" s="1" t="str">
        <f ca="1">IFERROR(__xludf.DUMMYFUNCTION("""COMPUTED_VALUE"""),"IR-E-C-37028")</f>
        <v>IR-E-C-37028</v>
      </c>
      <c r="B151" s="1" t="str">
        <f ca="1">IFERROR(__xludf.DUMMYFUNCTION("""COMPUTED_VALUE"""),"Sona College of Technology
More DetailsClose | 
[TABLE]")</f>
        <v>Sona College of Technology
More DetailsClose | 
[TABLE]</v>
      </c>
      <c r="C151" s="1" t="str">
        <f ca="1">IFERROR(__xludf.DUMMYFUNCTION("""COMPUTED_VALUE"""),"Salem")</f>
        <v>Salem</v>
      </c>
      <c r="D151" s="1" t="str">
        <f ca="1">IFERROR(__xludf.DUMMYFUNCTION("""COMPUTED_VALUE"""),"Tamil Nadu")</f>
        <v>Tamil Nadu</v>
      </c>
      <c r="E151" s="1">
        <f ca="1">IFERROR(__xludf.DUMMYFUNCTION("""COMPUTED_VALUE"""),33.53)</f>
        <v>33.53</v>
      </c>
      <c r="F151" s="1">
        <f ca="1">IFERROR(__xludf.DUMMYFUNCTION("""COMPUTED_VALUE"""),150)</f>
        <v>150</v>
      </c>
    </row>
    <row r="152" spans="1:6">
      <c r="A152" s="1" t="str">
        <f ca="1">IFERROR(__xludf.DUMMYFUNCTION("""COMPUTED_VALUE"""),"IR-E-N-10")</f>
        <v>IR-E-N-10</v>
      </c>
      <c r="B152" s="1" t="str">
        <f ca="1">IFERROR(__xludf.DUMMYFUNCTION("""COMPUTED_VALUE"""),"SVKM`s Narsee Monjee Institute of Management Studies 
More DetailsClose | 
[TABLE]")</f>
        <v>SVKM`s Narsee Monjee Institute of Management Studies 
More DetailsClose | 
[TABLE]</v>
      </c>
      <c r="C152" s="1" t="str">
        <f ca="1">IFERROR(__xludf.DUMMYFUNCTION("""COMPUTED_VALUE"""),"Mumbai")</f>
        <v>Mumbai</v>
      </c>
      <c r="D152" s="1" t="str">
        <f ca="1">IFERROR(__xludf.DUMMYFUNCTION("""COMPUTED_VALUE"""),"Maharashtra")</f>
        <v>Maharashtra</v>
      </c>
      <c r="E152" s="1">
        <f ca="1">IFERROR(__xludf.DUMMYFUNCTION("""COMPUTED_VALUE"""),33.5)</f>
        <v>33.5</v>
      </c>
      <c r="F152" s="1">
        <f ca="1">IFERROR(__xludf.DUMMYFUNCTION("""COMPUTED_VALUE"""),151)</f>
        <v>151</v>
      </c>
    </row>
    <row r="153" spans="1:6">
      <c r="A153" s="1" t="str">
        <f ca="1">IFERROR(__xludf.DUMMYFUNCTION("""COMPUTED_VALUE"""),"IR-E-C-37064")</f>
        <v>IR-E-C-37064</v>
      </c>
      <c r="B153" s="1" t="str">
        <f ca="1">IFERROR(__xludf.DUMMYFUNCTION("""COMPUTED_VALUE"""),"Sri Krishna College of Technology
More DetailsClose | 
[TABLE]")</f>
        <v>Sri Krishna College of Technology
More DetailsClose | 
[TABLE]</v>
      </c>
      <c r="C153" s="1" t="str">
        <f ca="1">IFERROR(__xludf.DUMMYFUNCTION("""COMPUTED_VALUE"""),"Coimbatore")</f>
        <v>Coimbatore</v>
      </c>
      <c r="D153" s="1" t="str">
        <f ca="1">IFERROR(__xludf.DUMMYFUNCTION("""COMPUTED_VALUE"""),"Tamil Nadu")</f>
        <v>Tamil Nadu</v>
      </c>
      <c r="E153" s="1">
        <f ca="1">IFERROR(__xludf.DUMMYFUNCTION("""COMPUTED_VALUE"""),33.43)</f>
        <v>33.43</v>
      </c>
      <c r="F153" s="1">
        <f ca="1">IFERROR(__xludf.DUMMYFUNCTION("""COMPUTED_VALUE"""),152)</f>
        <v>152</v>
      </c>
    </row>
    <row r="154" spans="1:6">
      <c r="A154" s="1" t="str">
        <f ca="1">IFERROR(__xludf.DUMMYFUNCTION("""COMPUTED_VALUE"""),"IR-E-U-0037")</f>
        <v>IR-E-U-0037</v>
      </c>
      <c r="B154" s="1" t="str">
        <f ca="1">IFERROR(__xludf.DUMMYFUNCTION("""COMPUTED_VALUE"""),"Sri Venkateswara University
More DetailsClose | 
[TABLE]")</f>
        <v>Sri Venkateswara University
More DetailsClose | 
[TABLE]</v>
      </c>
      <c r="C154" s="1" t="str">
        <f ca="1">IFERROR(__xludf.DUMMYFUNCTION("""COMPUTED_VALUE"""),"Tirupati")</f>
        <v>Tirupati</v>
      </c>
      <c r="D154" s="1" t="str">
        <f ca="1">IFERROR(__xludf.DUMMYFUNCTION("""COMPUTED_VALUE"""),"Andhra Pradesh")</f>
        <v>Andhra Pradesh</v>
      </c>
      <c r="E154" s="1">
        <f ca="1">IFERROR(__xludf.DUMMYFUNCTION("""COMPUTED_VALUE"""),33.29)</f>
        <v>33.29</v>
      </c>
      <c r="F154" s="1">
        <f ca="1">IFERROR(__xludf.DUMMYFUNCTION("""COMPUTED_VALUE"""),153)</f>
        <v>153</v>
      </c>
    </row>
    <row r="155" spans="1:6">
      <c r="A155" s="1" t="str">
        <f ca="1">IFERROR(__xludf.DUMMYFUNCTION("""COMPUTED_VALUE"""),"IR-E-C-6202")</f>
        <v>IR-E-C-6202</v>
      </c>
      <c r="B155" s="1" t="str">
        <f ca="1">IFERROR(__xludf.DUMMYFUNCTION("""COMPUTED_VALUE"""),"Heritage Institute of Technology
More DetailsClose | 
[TABLE]")</f>
        <v>Heritage Institute of Technology
More DetailsClose | 
[TABLE]</v>
      </c>
      <c r="C155" s="1" t="str">
        <f ca="1">IFERROR(__xludf.DUMMYFUNCTION("""COMPUTED_VALUE"""),"Kolkata")</f>
        <v>Kolkata</v>
      </c>
      <c r="D155" s="1" t="str">
        <f ca="1">IFERROR(__xludf.DUMMYFUNCTION("""COMPUTED_VALUE"""),"West Bengal")</f>
        <v>West Bengal</v>
      </c>
      <c r="E155" s="1">
        <f ca="1">IFERROR(__xludf.DUMMYFUNCTION("""COMPUTED_VALUE"""),33.27)</f>
        <v>33.270000000000003</v>
      </c>
      <c r="F155" s="1">
        <f ca="1">IFERROR(__xludf.DUMMYFUNCTION("""COMPUTED_VALUE"""),154)</f>
        <v>154</v>
      </c>
    </row>
    <row r="156" spans="1:6">
      <c r="A156" s="1" t="str">
        <f ca="1">IFERROR(__xludf.DUMMYFUNCTION("""COMPUTED_VALUE"""),"IR-E-C-16614")</f>
        <v>IR-E-C-16614</v>
      </c>
      <c r="B156" s="1" t="str">
        <f ca="1">IFERROR(__xludf.DUMMYFUNCTION("""COMPUTED_VALUE"""),"R. M. K. Engineering College
More DetailsClose | 
[TABLE]")</f>
        <v>R. M. K. Engineering College
More DetailsClose | 
[TABLE]</v>
      </c>
      <c r="C156" s="1" t="str">
        <f ca="1">IFERROR(__xludf.DUMMYFUNCTION("""COMPUTED_VALUE"""),"Thiruvallur")</f>
        <v>Thiruvallur</v>
      </c>
      <c r="D156" s="1" t="str">
        <f ca="1">IFERROR(__xludf.DUMMYFUNCTION("""COMPUTED_VALUE"""),"Tamil Nadu")</f>
        <v>Tamil Nadu</v>
      </c>
      <c r="E156" s="1">
        <f ca="1">IFERROR(__xludf.DUMMYFUNCTION("""COMPUTED_VALUE"""),33.24)</f>
        <v>33.24</v>
      </c>
      <c r="F156" s="1">
        <f ca="1">IFERROR(__xludf.DUMMYFUNCTION("""COMPUTED_VALUE"""),155)</f>
        <v>155</v>
      </c>
    </row>
    <row r="157" spans="1:6">
      <c r="A157" s="1" t="str">
        <f ca="1">IFERROR(__xludf.DUMMYFUNCTION("""COMPUTED_VALUE"""),"IR-E-C-18010")</f>
        <v>IR-E-C-18010</v>
      </c>
      <c r="B157" s="1" t="str">
        <f ca="1">IFERROR(__xludf.DUMMYFUNCTION("""COMPUTED_VALUE"""),"Velagapudi Ramakrishna Siddhartha Engineering College
More DetailsClose | 
[TABLE]")</f>
        <v>Velagapudi Ramakrishna Siddhartha Engineering College
More DetailsClose | 
[TABLE]</v>
      </c>
      <c r="C157" s="1" t="str">
        <f ca="1">IFERROR(__xludf.DUMMYFUNCTION("""COMPUTED_VALUE"""),"Vijayawada")</f>
        <v>Vijayawada</v>
      </c>
      <c r="D157" s="1" t="str">
        <f ca="1">IFERROR(__xludf.DUMMYFUNCTION("""COMPUTED_VALUE"""),"Andhra Pradesh")</f>
        <v>Andhra Pradesh</v>
      </c>
      <c r="E157" s="1">
        <f ca="1">IFERROR(__xludf.DUMMYFUNCTION("""COMPUTED_VALUE"""),33.13)</f>
        <v>33.130000000000003</v>
      </c>
      <c r="F157" s="1">
        <f ca="1">IFERROR(__xludf.DUMMYFUNCTION("""COMPUTED_VALUE"""),156)</f>
        <v>156</v>
      </c>
    </row>
    <row r="158" spans="1:6">
      <c r="A158" s="1" t="str">
        <f ca="1">IFERROR(__xludf.DUMMYFUNCTION("""COMPUTED_VALUE"""),"IR-E-U-0592")</f>
        <v>IR-E-U-0592</v>
      </c>
      <c r="B158" s="1" t="str">
        <f ca="1">IFERROR(__xludf.DUMMYFUNCTION("""COMPUTED_VALUE"""),"Maulana Abul Kalam Azad University of Technology
More DetailsClose | 
[TABLE]")</f>
        <v>Maulana Abul Kalam Azad University of Technology
More DetailsClose | 
[TABLE]</v>
      </c>
      <c r="C158" s="1" t="str">
        <f ca="1">IFERROR(__xludf.DUMMYFUNCTION("""COMPUTED_VALUE"""),"Nadia")</f>
        <v>Nadia</v>
      </c>
      <c r="D158" s="1" t="str">
        <f ca="1">IFERROR(__xludf.DUMMYFUNCTION("""COMPUTED_VALUE"""),"West Bengal")</f>
        <v>West Bengal</v>
      </c>
      <c r="E158" s="1">
        <f ca="1">IFERROR(__xludf.DUMMYFUNCTION("""COMPUTED_VALUE"""),33.07)</f>
        <v>33.07</v>
      </c>
      <c r="F158" s="1">
        <f ca="1">IFERROR(__xludf.DUMMYFUNCTION("""COMPUTED_VALUE"""),157)</f>
        <v>157</v>
      </c>
    </row>
    <row r="159" spans="1:6">
      <c r="A159" s="1" t="str">
        <f ca="1">IFERROR(__xludf.DUMMYFUNCTION("""COMPUTED_VALUE"""),"IR-E-U-0613")</f>
        <v>IR-E-U-0613</v>
      </c>
      <c r="B159" s="1" t="str">
        <f ca="1">IFERROR(__xludf.DUMMYFUNCTION("""COMPUTED_VALUE"""),"National Institute of Technology Manipur
More DetailsClose | 
[TABLE]")</f>
        <v>National Institute of Technology Manipur
More DetailsClose | 
[TABLE]</v>
      </c>
      <c r="C159" s="1" t="str">
        <f ca="1">IFERROR(__xludf.DUMMYFUNCTION("""COMPUTED_VALUE"""),"Imphal")</f>
        <v>Imphal</v>
      </c>
      <c r="D159" s="1" t="str">
        <f ca="1">IFERROR(__xludf.DUMMYFUNCTION("""COMPUTED_VALUE"""),"Manipur")</f>
        <v>Manipur</v>
      </c>
      <c r="E159" s="1">
        <f ca="1">IFERROR(__xludf.DUMMYFUNCTION("""COMPUTED_VALUE"""),33.02)</f>
        <v>33.020000000000003</v>
      </c>
      <c r="F159" s="1">
        <f ca="1">IFERROR(__xludf.DUMMYFUNCTION("""COMPUTED_VALUE"""),158)</f>
        <v>158</v>
      </c>
    </row>
    <row r="160" spans="1:6">
      <c r="A160" s="1" t="str">
        <f ca="1">IFERROR(__xludf.DUMMYFUNCTION("""COMPUTED_VALUE"""),"IR-E-U-0213")</f>
        <v>IR-E-U-0213</v>
      </c>
      <c r="B160" s="1" t="str">
        <f ca="1">IFERROR(__xludf.DUMMYFUNCTION("""COMPUTED_VALUE"""),"Alliance University
More DetailsClose | 
[TABLE]")</f>
        <v>Alliance University
More DetailsClose | 
[TABLE]</v>
      </c>
      <c r="C160" s="1" t="str">
        <f ca="1">IFERROR(__xludf.DUMMYFUNCTION("""COMPUTED_VALUE"""),"Bengaluru")</f>
        <v>Bengaluru</v>
      </c>
      <c r="D160" s="1" t="str">
        <f ca="1">IFERROR(__xludf.DUMMYFUNCTION("""COMPUTED_VALUE"""),"Karnataka")</f>
        <v>Karnataka</v>
      </c>
      <c r="E160" s="1">
        <f ca="1">IFERROR(__xludf.DUMMYFUNCTION("""COMPUTED_VALUE"""),33)</f>
        <v>33</v>
      </c>
      <c r="F160" s="1">
        <f ca="1">IFERROR(__xludf.DUMMYFUNCTION("""COMPUTED_VALUE"""),159)</f>
        <v>159</v>
      </c>
    </row>
    <row r="161" spans="1:6">
      <c r="A161" s="1" t="str">
        <f ca="1">IFERROR(__xludf.DUMMYFUNCTION("""COMPUTED_VALUE"""),"IR-E-C-16537")</f>
        <v>IR-E-C-16537</v>
      </c>
      <c r="B161" s="1" t="str">
        <f ca="1">IFERROR(__xludf.DUMMYFUNCTION("""COMPUTED_VALUE"""),"St. Josephs College of Engineering
More DetailsClose | 
[TABLE]")</f>
        <v>St. Josephs College of Engineering
More DetailsClose | 
[TABLE]</v>
      </c>
      <c r="C161" s="1" t="str">
        <f ca="1">IFERROR(__xludf.DUMMYFUNCTION("""COMPUTED_VALUE"""),"Kancheepuram")</f>
        <v>Kancheepuram</v>
      </c>
      <c r="D161" s="1" t="str">
        <f ca="1">IFERROR(__xludf.DUMMYFUNCTION("""COMPUTED_VALUE"""),"Tamil Nadu")</f>
        <v>Tamil Nadu</v>
      </c>
      <c r="E161" s="1">
        <f ca="1">IFERROR(__xludf.DUMMYFUNCTION("""COMPUTED_VALUE"""),32.95)</f>
        <v>32.950000000000003</v>
      </c>
      <c r="F161" s="1">
        <f ca="1">IFERROR(__xludf.DUMMYFUNCTION("""COMPUTED_VALUE"""),160)</f>
        <v>160</v>
      </c>
    </row>
    <row r="162" spans="1:6">
      <c r="A162" s="1" t="str">
        <f ca="1">IFERROR(__xludf.DUMMYFUNCTION("""COMPUTED_VALUE"""),"IR-E-C-19754")</f>
        <v>IR-E-C-19754</v>
      </c>
      <c r="B162" s="1" t="str">
        <f ca="1">IFERROR(__xludf.DUMMYFUNCTION("""COMPUTED_VALUE"""),"SR Engineering College 
More DetailsClose | 
[TABLE]")</f>
        <v>SR Engineering College 
More DetailsClose | 
[TABLE]</v>
      </c>
      <c r="C162" s="1" t="str">
        <f ca="1">IFERROR(__xludf.DUMMYFUNCTION("""COMPUTED_VALUE"""),"Warangal")</f>
        <v>Warangal</v>
      </c>
      <c r="D162" s="1" t="str">
        <f ca="1">IFERROR(__xludf.DUMMYFUNCTION("""COMPUTED_VALUE"""),"Telangana")</f>
        <v>Telangana</v>
      </c>
      <c r="E162" s="1">
        <f ca="1">IFERROR(__xludf.DUMMYFUNCTION("""COMPUTED_VALUE"""),32.95)</f>
        <v>32.950000000000003</v>
      </c>
      <c r="F162" s="1">
        <f ca="1">IFERROR(__xludf.DUMMYFUNCTION("""COMPUTED_VALUE"""),160)</f>
        <v>160</v>
      </c>
    </row>
    <row r="163" spans="1:6">
      <c r="A163" s="1" t="str">
        <f ca="1">IFERROR(__xludf.DUMMYFUNCTION("""COMPUTED_VALUE"""),"IR-E-U-0604")</f>
        <v>IR-E-U-0604</v>
      </c>
      <c r="B163" s="1" t="str">
        <f ca="1">IFERROR(__xludf.DUMMYFUNCTION("""COMPUTED_VALUE"""),"Amity University Gwalior
More DetailsClose | 
[TABLE]")</f>
        <v>Amity University Gwalior
More DetailsClose | 
[TABLE]</v>
      </c>
      <c r="C163" s="1" t="str">
        <f ca="1">IFERROR(__xludf.DUMMYFUNCTION("""COMPUTED_VALUE"""),"Gwalior")</f>
        <v>Gwalior</v>
      </c>
      <c r="D163" s="1" t="str">
        <f ca="1">IFERROR(__xludf.DUMMYFUNCTION("""COMPUTED_VALUE"""),"Madhya Pradesh")</f>
        <v>Madhya Pradesh</v>
      </c>
      <c r="E163" s="1">
        <f ca="1">IFERROR(__xludf.DUMMYFUNCTION("""COMPUTED_VALUE"""),32.88)</f>
        <v>32.880000000000003</v>
      </c>
      <c r="F163" s="1">
        <f ca="1">IFERROR(__xludf.DUMMYFUNCTION("""COMPUTED_VALUE"""),162)</f>
        <v>162</v>
      </c>
    </row>
    <row r="164" spans="1:6">
      <c r="A164" s="1" t="str">
        <f ca="1">IFERROR(__xludf.DUMMYFUNCTION("""COMPUTED_VALUE"""),"IR-E-C-6238")</f>
        <v>IR-E-C-6238</v>
      </c>
      <c r="B164" s="1" t="str">
        <f ca="1">IFERROR(__xludf.DUMMYFUNCTION("""COMPUTED_VALUE"""),"Haldia Institute of Technology
More DetailsClose | 
[TABLE]")</f>
        <v>Haldia Institute of Technology
More DetailsClose | 
[TABLE]</v>
      </c>
      <c r="C164" s="1" t="str">
        <f ca="1">IFERROR(__xludf.DUMMYFUNCTION("""COMPUTED_VALUE"""),"Haldia")</f>
        <v>Haldia</v>
      </c>
      <c r="D164" s="1" t="str">
        <f ca="1">IFERROR(__xludf.DUMMYFUNCTION("""COMPUTED_VALUE"""),"West Bengal")</f>
        <v>West Bengal</v>
      </c>
      <c r="E164" s="1">
        <f ca="1">IFERROR(__xludf.DUMMYFUNCTION("""COMPUTED_VALUE"""),32.83)</f>
        <v>32.83</v>
      </c>
      <c r="F164" s="1">
        <f ca="1">IFERROR(__xludf.DUMMYFUNCTION("""COMPUTED_VALUE"""),163)</f>
        <v>163</v>
      </c>
    </row>
    <row r="165" spans="1:6">
      <c r="A165" s="1" t="str">
        <f ca="1">IFERROR(__xludf.DUMMYFUNCTION("""COMPUTED_VALUE"""),"IR-E-C-8277")</f>
        <v>IR-E-C-8277</v>
      </c>
      <c r="B165" s="1" t="str">
        <f ca="1">IFERROR(__xludf.DUMMYFUNCTION("""COMPUTED_VALUE"""),"Government Engineering College
More DetailsClose | 
[TABLE]")</f>
        <v>Government Engineering College
More DetailsClose | 
[TABLE]</v>
      </c>
      <c r="C165" s="1" t="str">
        <f ca="1">IFERROR(__xludf.DUMMYFUNCTION("""COMPUTED_VALUE"""),"Thrissur")</f>
        <v>Thrissur</v>
      </c>
      <c r="D165" s="1" t="str">
        <f ca="1">IFERROR(__xludf.DUMMYFUNCTION("""COMPUTED_VALUE"""),"Kerala")</f>
        <v>Kerala</v>
      </c>
      <c r="E165" s="1">
        <f ca="1">IFERROR(__xludf.DUMMYFUNCTION("""COMPUTED_VALUE"""),32.81)</f>
        <v>32.81</v>
      </c>
      <c r="F165" s="1">
        <f ca="1">IFERROR(__xludf.DUMMYFUNCTION("""COMPUTED_VALUE"""),164)</f>
        <v>164</v>
      </c>
    </row>
    <row r="166" spans="1:6">
      <c r="A166" s="1" t="str">
        <f ca="1">IFERROR(__xludf.DUMMYFUNCTION("""COMPUTED_VALUE"""),"IR-E-I-1015")</f>
        <v>IR-E-I-1015</v>
      </c>
      <c r="B166" s="1" t="str">
        <f ca="1">IFERROR(__xludf.DUMMYFUNCTION("""COMPUTED_VALUE"""),"Vishwakarma Institute of Technology
More DetailsClose | 
[TABLE]")</f>
        <v>Vishwakarma Institute of Technology
More DetailsClose | 
[TABLE]</v>
      </c>
      <c r="C166" s="1" t="str">
        <f ca="1">IFERROR(__xludf.DUMMYFUNCTION("""COMPUTED_VALUE"""),"Pune")</f>
        <v>Pune</v>
      </c>
      <c r="D166" s="1" t="str">
        <f ca="1">IFERROR(__xludf.DUMMYFUNCTION("""COMPUTED_VALUE"""),"Maharashtra")</f>
        <v>Maharashtra</v>
      </c>
      <c r="E166" s="1">
        <f ca="1">IFERROR(__xludf.DUMMYFUNCTION("""COMPUTED_VALUE"""),32.72)</f>
        <v>32.72</v>
      </c>
      <c r="F166" s="1">
        <f ca="1">IFERROR(__xludf.DUMMYFUNCTION("""COMPUTED_VALUE"""),165)</f>
        <v>165</v>
      </c>
    </row>
    <row r="167" spans="1:6">
      <c r="A167" s="1" t="str">
        <f ca="1">IFERROR(__xludf.DUMMYFUNCTION("""COMPUTED_VALUE"""),"IR-E-U-0864")</f>
        <v>IR-E-U-0864</v>
      </c>
      <c r="B167" s="1" t="str">
        <f ca="1">IFERROR(__xludf.DUMMYFUNCTION("""COMPUTED_VALUE"""),"Harcourt Butler Technical University
More DetailsClose | 
[TABLE]")</f>
        <v>Harcourt Butler Technical University
More DetailsClose | 
[TABLE]</v>
      </c>
      <c r="C167" s="1" t="str">
        <f ca="1">IFERROR(__xludf.DUMMYFUNCTION("""COMPUTED_VALUE"""),"Kanpur Nagar")</f>
        <v>Kanpur Nagar</v>
      </c>
      <c r="D167" s="1" t="str">
        <f ca="1">IFERROR(__xludf.DUMMYFUNCTION("""COMPUTED_VALUE"""),"Uttar Pradesh")</f>
        <v>Uttar Pradesh</v>
      </c>
      <c r="E167" s="1">
        <f ca="1">IFERROR(__xludf.DUMMYFUNCTION("""COMPUTED_VALUE"""),32.69)</f>
        <v>32.69</v>
      </c>
      <c r="F167" s="1">
        <f ca="1">IFERROR(__xludf.DUMMYFUNCTION("""COMPUTED_VALUE"""),166)</f>
        <v>166</v>
      </c>
    </row>
    <row r="168" spans="1:6">
      <c r="A168" s="1" t="str">
        <f ca="1">IFERROR(__xludf.DUMMYFUNCTION("""COMPUTED_VALUE"""),"IR-E-U-0564")</f>
        <v>IR-E-U-0564</v>
      </c>
      <c r="B168" s="1" t="str">
        <f ca="1">IFERROR(__xludf.DUMMYFUNCTION("""COMPUTED_VALUE"""),"University of Petroleum and Energy Studies
More DetailsClose | 
[TABLE]")</f>
        <v>University of Petroleum and Energy Studies
More DetailsClose | 
[TABLE]</v>
      </c>
      <c r="C168" s="1" t="str">
        <f ca="1">IFERROR(__xludf.DUMMYFUNCTION("""COMPUTED_VALUE"""),"Dehradun")</f>
        <v>Dehradun</v>
      </c>
      <c r="D168" s="1" t="str">
        <f ca="1">IFERROR(__xludf.DUMMYFUNCTION("""COMPUTED_VALUE"""),"Uttarakhand")</f>
        <v>Uttarakhand</v>
      </c>
      <c r="E168" s="1">
        <f ca="1">IFERROR(__xludf.DUMMYFUNCTION("""COMPUTED_VALUE"""),32.51)</f>
        <v>32.51</v>
      </c>
      <c r="F168" s="1">
        <f ca="1">IFERROR(__xludf.DUMMYFUNCTION("""COMPUTED_VALUE"""),167)</f>
        <v>167</v>
      </c>
    </row>
    <row r="169" spans="1:6">
      <c r="A169" s="1" t="str">
        <f ca="1">IFERROR(__xludf.DUMMYFUNCTION("""COMPUTED_VALUE"""),"IR-E-C-11015")</f>
        <v>IR-E-C-11015</v>
      </c>
      <c r="B169" s="1" t="str">
        <f ca="1">IFERROR(__xludf.DUMMYFUNCTION("""COMPUTED_VALUE"""),"Walchand College of Engineering
More DetailsClose | 
[TABLE]")</f>
        <v>Walchand College of Engineering
More DetailsClose | 
[TABLE]</v>
      </c>
      <c r="C169" s="1" t="str">
        <f ca="1">IFERROR(__xludf.DUMMYFUNCTION("""COMPUTED_VALUE"""),"Sangli")</f>
        <v>Sangli</v>
      </c>
      <c r="D169" s="1" t="str">
        <f ca="1">IFERROR(__xludf.DUMMYFUNCTION("""COMPUTED_VALUE"""),"Maharashtra")</f>
        <v>Maharashtra</v>
      </c>
      <c r="E169" s="1">
        <f ca="1">IFERROR(__xludf.DUMMYFUNCTION("""COMPUTED_VALUE"""),32.39)</f>
        <v>32.39</v>
      </c>
      <c r="F169" s="1">
        <f ca="1">IFERROR(__xludf.DUMMYFUNCTION("""COMPUTED_VALUE"""),168)</f>
        <v>168</v>
      </c>
    </row>
    <row r="170" spans="1:6">
      <c r="A170" s="1" t="str">
        <f ca="1">IFERROR(__xludf.DUMMYFUNCTION("""COMPUTED_VALUE"""),"IR-E-C-1336")</f>
        <v>IR-E-C-1336</v>
      </c>
      <c r="B170" s="1" t="str">
        <f ca="1">IFERROR(__xludf.DUMMYFUNCTION("""COMPUTED_VALUE"""),"BMS Institute of Technology &amp; Management
More DetailsClose | 
[TABLE]")</f>
        <v>BMS Institute of Technology &amp; Management
More DetailsClose | 
[TABLE]</v>
      </c>
      <c r="C170" s="1" t="str">
        <f ca="1">IFERROR(__xludf.DUMMYFUNCTION("""COMPUTED_VALUE"""),"Bengaluru")</f>
        <v>Bengaluru</v>
      </c>
      <c r="D170" s="1" t="str">
        <f ca="1">IFERROR(__xludf.DUMMYFUNCTION("""COMPUTED_VALUE"""),"Karnataka")</f>
        <v>Karnataka</v>
      </c>
      <c r="E170" s="1">
        <f ca="1">IFERROR(__xludf.DUMMYFUNCTION("""COMPUTED_VALUE"""),32.36)</f>
        <v>32.36</v>
      </c>
      <c r="F170" s="1">
        <f ca="1">IFERROR(__xludf.DUMMYFUNCTION("""COMPUTED_VALUE"""),169)</f>
        <v>169</v>
      </c>
    </row>
    <row r="171" spans="1:6">
      <c r="A171" s="1" t="str">
        <f ca="1">IFERROR(__xludf.DUMMYFUNCTION("""COMPUTED_VALUE"""),"IR-E-C-19706")</f>
        <v>IR-E-C-19706</v>
      </c>
      <c r="B171" s="1" t="str">
        <f ca="1">IFERROR(__xludf.DUMMYFUNCTION("""COMPUTED_VALUE"""),"Institute of Aeronautical Engineering
More DetailsClose | 
[TABLE]")</f>
        <v>Institute of Aeronautical Engineering
More DetailsClose | 
[TABLE]</v>
      </c>
      <c r="C171" s="1" t="str">
        <f ca="1">IFERROR(__xludf.DUMMYFUNCTION("""COMPUTED_VALUE"""),"Hyderabad")</f>
        <v>Hyderabad</v>
      </c>
      <c r="D171" s="1" t="str">
        <f ca="1">IFERROR(__xludf.DUMMYFUNCTION("""COMPUTED_VALUE"""),"Telangana")</f>
        <v>Telangana</v>
      </c>
      <c r="E171" s="1">
        <f ca="1">IFERROR(__xludf.DUMMYFUNCTION("""COMPUTED_VALUE"""),32.26)</f>
        <v>32.26</v>
      </c>
      <c r="F171" s="1">
        <f ca="1">IFERROR(__xludf.DUMMYFUNCTION("""COMPUTED_VALUE"""),170)</f>
        <v>170</v>
      </c>
    </row>
    <row r="172" spans="1:6">
      <c r="A172" s="1" t="str">
        <f ca="1">IFERROR(__xludf.DUMMYFUNCTION("""COMPUTED_VALUE"""),"IR-E-C-33584")</f>
        <v>IR-E-C-33584</v>
      </c>
      <c r="B172" s="1" t="str">
        <f ca="1">IFERROR(__xludf.DUMMYFUNCTION("""COMPUTED_VALUE"""),"K. J. Somaiya College of Engineering
More DetailsClose | 
[TABLE]")</f>
        <v>K. J. Somaiya College of Engineering
More DetailsClose | 
[TABLE]</v>
      </c>
      <c r="C172" s="1" t="str">
        <f ca="1">IFERROR(__xludf.DUMMYFUNCTION("""COMPUTED_VALUE"""),"Mumbai")</f>
        <v>Mumbai</v>
      </c>
      <c r="D172" s="1" t="str">
        <f ca="1">IFERROR(__xludf.DUMMYFUNCTION("""COMPUTED_VALUE"""),"Maharashtra")</f>
        <v>Maharashtra</v>
      </c>
      <c r="E172" s="1">
        <f ca="1">IFERROR(__xludf.DUMMYFUNCTION("""COMPUTED_VALUE"""),32.25)</f>
        <v>32.25</v>
      </c>
      <c r="F172" s="1">
        <f ca="1">IFERROR(__xludf.DUMMYFUNCTION("""COMPUTED_VALUE"""),171)</f>
        <v>171</v>
      </c>
    </row>
    <row r="173" spans="1:6">
      <c r="A173" s="1" t="str">
        <f ca="1">IFERROR(__xludf.DUMMYFUNCTION("""COMPUTED_VALUE"""),"IR-E-C-19534")</f>
        <v>IR-E-C-19534</v>
      </c>
      <c r="B173" s="1" t="str">
        <f ca="1">IFERROR(__xludf.DUMMYFUNCTION("""COMPUTED_VALUE"""),"Goka Raju Ranga Raju Institute of Engineering &amp; Technology
More DetailsClose | 
[TABLE]")</f>
        <v>Goka Raju Ranga Raju Institute of Engineering &amp; Technology
More DetailsClose | 
[TABLE]</v>
      </c>
      <c r="C173" s="1" t="str">
        <f ca="1">IFERROR(__xludf.DUMMYFUNCTION("""COMPUTED_VALUE"""),"Hyderabad")</f>
        <v>Hyderabad</v>
      </c>
      <c r="D173" s="1" t="str">
        <f ca="1">IFERROR(__xludf.DUMMYFUNCTION("""COMPUTED_VALUE"""),"Telangana")</f>
        <v>Telangana</v>
      </c>
      <c r="E173" s="1">
        <f ca="1">IFERROR(__xludf.DUMMYFUNCTION("""COMPUTED_VALUE"""),32.24)</f>
        <v>32.24</v>
      </c>
      <c r="F173" s="1">
        <f ca="1">IFERROR(__xludf.DUMMYFUNCTION("""COMPUTED_VALUE"""),172)</f>
        <v>172</v>
      </c>
    </row>
    <row r="174" spans="1:6">
      <c r="A174" s="1" t="str">
        <f ca="1">IFERROR(__xludf.DUMMYFUNCTION("""COMPUTED_VALUE"""),"IR-E-C-42242")</f>
        <v>IR-E-C-42242</v>
      </c>
      <c r="B174" s="1" t="str">
        <f ca="1">IFERROR(__xludf.DUMMYFUNCTION("""COMPUTED_VALUE"""),"Maharshi Karve Stree Shikshan Samstha's Cummins College of Engineering for 
Women
More DetailsClose | 
[TABLE]")</f>
        <v>Maharshi Karve Stree Shikshan Samstha's Cummins College of Engineering for 
Women
More DetailsClose | 
[TABLE]</v>
      </c>
      <c r="C174" s="1" t="str">
        <f ca="1">IFERROR(__xludf.DUMMYFUNCTION("""COMPUTED_VALUE"""),"Pune")</f>
        <v>Pune</v>
      </c>
      <c r="D174" s="1" t="str">
        <f ca="1">IFERROR(__xludf.DUMMYFUNCTION("""COMPUTED_VALUE"""),"Maharashtra")</f>
        <v>Maharashtra</v>
      </c>
      <c r="E174" s="1">
        <f ca="1">IFERROR(__xludf.DUMMYFUNCTION("""COMPUTED_VALUE"""),32.23)</f>
        <v>32.229999999999997</v>
      </c>
      <c r="F174" s="1">
        <f ca="1">IFERROR(__xludf.DUMMYFUNCTION("""COMPUTED_VALUE"""),173)</f>
        <v>173</v>
      </c>
    </row>
    <row r="175" spans="1:6">
      <c r="A175" s="1" t="str">
        <f ca="1">IFERROR(__xludf.DUMMYFUNCTION("""COMPUTED_VALUE"""),"IR-E-U-0169")</f>
        <v>IR-E-U-0169</v>
      </c>
      <c r="B175" s="1" t="str">
        <f ca="1">IFERROR(__xludf.DUMMYFUNCTION("""COMPUTED_VALUE"""),"ManavRachna International Institute of Research &amp; Studies
More DetailsClose | 
[TABLE]")</f>
        <v>ManavRachna International Institute of Research &amp; Studies
More DetailsClose | 
[TABLE]</v>
      </c>
      <c r="C175" s="1" t="str">
        <f ca="1">IFERROR(__xludf.DUMMYFUNCTION("""COMPUTED_VALUE"""),"Faridabad")</f>
        <v>Faridabad</v>
      </c>
      <c r="D175" s="1" t="str">
        <f ca="1">IFERROR(__xludf.DUMMYFUNCTION("""COMPUTED_VALUE"""),"Haryana")</f>
        <v>Haryana</v>
      </c>
      <c r="E175" s="1">
        <f ca="1">IFERROR(__xludf.DUMMYFUNCTION("""COMPUTED_VALUE"""),32.21)</f>
        <v>32.21</v>
      </c>
      <c r="F175" s="1">
        <f ca="1">IFERROR(__xludf.DUMMYFUNCTION("""COMPUTED_VALUE"""),174)</f>
        <v>174</v>
      </c>
    </row>
    <row r="176" spans="1:6">
      <c r="A176" s="1" t="str">
        <f ca="1">IFERROR(__xludf.DUMMYFUNCTION("""COMPUTED_VALUE"""),"IR-E-C-1438")</f>
        <v>IR-E-C-1438</v>
      </c>
      <c r="B176" s="1" t="str">
        <f ca="1">IFERROR(__xludf.DUMMYFUNCTION("""COMPUTED_VALUE"""),"The National Institute of Engineering
More DetailsClose | 
[TABLE]")</f>
        <v>The National Institute of Engineering
More DetailsClose | 
[TABLE]</v>
      </c>
      <c r="C176" s="1" t="str">
        <f ca="1">IFERROR(__xludf.DUMMYFUNCTION("""COMPUTED_VALUE"""),"Mysore")</f>
        <v>Mysore</v>
      </c>
      <c r="D176" s="1" t="str">
        <f ca="1">IFERROR(__xludf.DUMMYFUNCTION("""COMPUTED_VALUE"""),"Karnataka")</f>
        <v>Karnataka</v>
      </c>
      <c r="E176" s="1">
        <f ca="1">IFERROR(__xludf.DUMMYFUNCTION("""COMPUTED_VALUE"""),32.17)</f>
        <v>32.17</v>
      </c>
      <c r="F176" s="1">
        <f ca="1">IFERROR(__xludf.DUMMYFUNCTION("""COMPUTED_VALUE"""),175)</f>
        <v>175</v>
      </c>
    </row>
    <row r="177" spans="1:6">
      <c r="A177" s="1" t="str">
        <f ca="1">IFERROR(__xludf.DUMMYFUNCTION("""COMPUTED_VALUE"""),"IR-E-C-16572")</f>
        <v>IR-E-C-16572</v>
      </c>
      <c r="B177" s="1" t="str">
        <f ca="1">IFERROR(__xludf.DUMMYFUNCTION("""COMPUTED_VALUE"""),"Sri Venkateswara College of Engineering
More DetailsClose | 
[TABLE]")</f>
        <v>Sri Venkateswara College of Engineering
More DetailsClose | 
[TABLE]</v>
      </c>
      <c r="C177" s="1" t="str">
        <f ca="1">IFERROR(__xludf.DUMMYFUNCTION("""COMPUTED_VALUE"""),"Kancheepuram")</f>
        <v>Kancheepuram</v>
      </c>
      <c r="D177" s="1" t="str">
        <f ca="1">IFERROR(__xludf.DUMMYFUNCTION("""COMPUTED_VALUE"""),"Tamil Nadu")</f>
        <v>Tamil Nadu</v>
      </c>
      <c r="E177" s="1">
        <f ca="1">IFERROR(__xludf.DUMMYFUNCTION("""COMPUTED_VALUE"""),32.12)</f>
        <v>32.119999999999997</v>
      </c>
      <c r="F177" s="1">
        <f ca="1">IFERROR(__xludf.DUMMYFUNCTION("""COMPUTED_VALUE"""),176)</f>
        <v>176</v>
      </c>
    </row>
    <row r="178" spans="1:6">
      <c r="A178" s="1" t="str">
        <f ca="1">IFERROR(__xludf.DUMMYFUNCTION("""COMPUTED_VALUE"""),"IR-E-U-0147")</f>
        <v>IR-E-U-0147</v>
      </c>
      <c r="B178" s="1" t="str">
        <f ca="1">IFERROR(__xludf.DUMMYFUNCTION("""COMPUTED_VALUE"""),"Pandit Deendayal Petroleum University
More DetailsClose | 
[TABLE]")</f>
        <v>Pandit Deendayal Petroleum University
More DetailsClose | 
[TABLE]</v>
      </c>
      <c r="C178" s="1" t="str">
        <f ca="1">IFERROR(__xludf.DUMMYFUNCTION("""COMPUTED_VALUE"""),"Gandhinagar")</f>
        <v>Gandhinagar</v>
      </c>
      <c r="D178" s="1" t="str">
        <f ca="1">IFERROR(__xludf.DUMMYFUNCTION("""COMPUTED_VALUE"""),"Gujarat")</f>
        <v>Gujarat</v>
      </c>
      <c r="E178" s="1">
        <f ca="1">IFERROR(__xludf.DUMMYFUNCTION("""COMPUTED_VALUE"""),32.08)</f>
        <v>32.08</v>
      </c>
      <c r="F178" s="1">
        <f ca="1">IFERROR(__xludf.DUMMYFUNCTION("""COMPUTED_VALUE"""),177)</f>
        <v>177</v>
      </c>
    </row>
    <row r="179" spans="1:6">
      <c r="A179" s="1" t="str">
        <f ca="1">IFERROR(__xludf.DUMMYFUNCTION("""COMPUTED_VALUE"""),"IR-E-C-9462")</f>
        <v>IR-E-C-9462</v>
      </c>
      <c r="B179" s="1" t="str">
        <f ca="1">IFERROR(__xludf.DUMMYFUNCTION("""COMPUTED_VALUE"""),"School of Engineering, Cochin University of Science and Technology
More DetailsClose | 
[TABLE]")</f>
        <v>School of Engineering, Cochin University of Science and Technology
More DetailsClose | 
[TABLE]</v>
      </c>
      <c r="C179" s="1" t="str">
        <f ca="1">IFERROR(__xludf.DUMMYFUNCTION("""COMPUTED_VALUE"""),"Cochin")</f>
        <v>Cochin</v>
      </c>
      <c r="D179" s="1" t="str">
        <f ca="1">IFERROR(__xludf.DUMMYFUNCTION("""COMPUTED_VALUE"""),"Kerala")</f>
        <v>Kerala</v>
      </c>
      <c r="E179" s="1">
        <f ca="1">IFERROR(__xludf.DUMMYFUNCTION("""COMPUTED_VALUE"""),32.04)</f>
        <v>32.04</v>
      </c>
      <c r="F179" s="1">
        <f ca="1">IFERROR(__xludf.DUMMYFUNCTION("""COMPUTED_VALUE"""),178)</f>
        <v>178</v>
      </c>
    </row>
    <row r="180" spans="1:6">
      <c r="A180" s="1" t="str">
        <f ca="1">IFERROR(__xludf.DUMMYFUNCTION("""COMPUTED_VALUE"""),"IR-E-C-30153")</f>
        <v>IR-E-C-30153</v>
      </c>
      <c r="B180" s="1" t="str">
        <f ca="1">IFERROR(__xludf.DUMMYFUNCTION("""COMPUTED_VALUE"""),"Silicon Institute of Technology (SIT), Bhubaneswar
More DetailsClose | 
[TABLE]")</f>
        <v>Silicon Institute of Technology (SIT), Bhubaneswar
More DetailsClose | 
[TABLE]</v>
      </c>
      <c r="C180" s="1" t="str">
        <f ca="1">IFERROR(__xludf.DUMMYFUNCTION("""COMPUTED_VALUE"""),"Bhubaneswar")</f>
        <v>Bhubaneswar</v>
      </c>
      <c r="D180" s="1" t="str">
        <f ca="1">IFERROR(__xludf.DUMMYFUNCTION("""COMPUTED_VALUE"""),"Odisha")</f>
        <v>Odisha</v>
      </c>
      <c r="E180" s="1">
        <f ca="1">IFERROR(__xludf.DUMMYFUNCTION("""COMPUTED_VALUE"""),32)</f>
        <v>32</v>
      </c>
      <c r="F180" s="1">
        <f ca="1">IFERROR(__xludf.DUMMYFUNCTION("""COMPUTED_VALUE"""),179)</f>
        <v>179</v>
      </c>
    </row>
    <row r="181" spans="1:6">
      <c r="A181" s="1" t="str">
        <f ca="1">IFERROR(__xludf.DUMMYFUNCTION("""COMPUTED_VALUE"""),"IR-E-C-19747")</f>
        <v>IR-E-C-19747</v>
      </c>
      <c r="B181" s="1" t="str">
        <f ca="1">IFERROR(__xludf.DUMMYFUNCTION("""COMPUTED_VALUE"""),"Anurag Group of Institutions
More DetailsClose | 
[TABLE]")</f>
        <v>Anurag Group of Institutions
More DetailsClose | 
[TABLE]</v>
      </c>
      <c r="C181" s="1" t="str">
        <f ca="1">IFERROR(__xludf.DUMMYFUNCTION("""COMPUTED_VALUE"""),"Hyderabad")</f>
        <v>Hyderabad</v>
      </c>
      <c r="D181" s="1" t="str">
        <f ca="1">IFERROR(__xludf.DUMMYFUNCTION("""COMPUTED_VALUE"""),"Telangana")</f>
        <v>Telangana</v>
      </c>
      <c r="E181" s="1">
        <f ca="1">IFERROR(__xludf.DUMMYFUNCTION("""COMPUTED_VALUE"""),31.74)</f>
        <v>31.74</v>
      </c>
      <c r="F181" s="1">
        <f ca="1">IFERROR(__xludf.DUMMYFUNCTION("""COMPUTED_VALUE"""),180)</f>
        <v>180</v>
      </c>
    </row>
    <row r="182" spans="1:6">
      <c r="A182" s="1" t="str">
        <f ca="1">IFERROR(__xludf.DUMMYFUNCTION("""COMPUTED_VALUE"""),"IR-E-U-0373")</f>
        <v>IR-E-U-0373</v>
      </c>
      <c r="B182" s="1" t="str">
        <f ca="1">IFERROR(__xludf.DUMMYFUNCTION("""COMPUTED_VALUE"""),"Chitkara University
More DetailsClose | 
[TABLE]")</f>
        <v>Chitkara University
More DetailsClose | 
[TABLE]</v>
      </c>
      <c r="C182" s="1" t="str">
        <f ca="1">IFERROR(__xludf.DUMMYFUNCTION("""COMPUTED_VALUE"""),"Rajpura")</f>
        <v>Rajpura</v>
      </c>
      <c r="D182" s="1" t="str">
        <f ca="1">IFERROR(__xludf.DUMMYFUNCTION("""COMPUTED_VALUE"""),"Punjab")</f>
        <v>Punjab</v>
      </c>
      <c r="E182" s="1">
        <f ca="1">IFERROR(__xludf.DUMMYFUNCTION("""COMPUTED_VALUE"""),31.72)</f>
        <v>31.72</v>
      </c>
      <c r="F182" s="1">
        <f ca="1">IFERROR(__xludf.DUMMYFUNCTION("""COMPUTED_VALUE"""),181)</f>
        <v>181</v>
      </c>
    </row>
    <row r="183" spans="1:6">
      <c r="A183" s="1" t="str">
        <f ca="1">IFERROR(__xludf.DUMMYFUNCTION("""COMPUTED_VALUE"""),"IR-E-U-0455")</f>
        <v>IR-E-U-0455</v>
      </c>
      <c r="B183" s="1" t="str">
        <f ca="1">IFERROR(__xludf.DUMMYFUNCTION("""COMPUTED_VALUE"""),"Indian Institute of Information Technology, Design &amp; Manufacturing
More DetailsClose | 
[TABLE]")</f>
        <v>Indian Institute of Information Technology, Design &amp; Manufacturing
More DetailsClose | 
[TABLE]</v>
      </c>
      <c r="C183" s="1" t="str">
        <f ca="1">IFERROR(__xludf.DUMMYFUNCTION("""COMPUTED_VALUE"""),"Chennai")</f>
        <v>Chennai</v>
      </c>
      <c r="D183" s="1" t="str">
        <f ca="1">IFERROR(__xludf.DUMMYFUNCTION("""COMPUTED_VALUE"""),"Tamil Nadu")</f>
        <v>Tamil Nadu</v>
      </c>
      <c r="E183" s="1">
        <f ca="1">IFERROR(__xludf.DUMMYFUNCTION("""COMPUTED_VALUE"""),31.63)</f>
        <v>31.63</v>
      </c>
      <c r="F183" s="1">
        <f ca="1">IFERROR(__xludf.DUMMYFUNCTION("""COMPUTED_VALUE"""),182)</f>
        <v>182</v>
      </c>
    </row>
    <row r="184" spans="1:6">
      <c r="A184" s="1" t="str">
        <f ca="1">IFERROR(__xludf.DUMMYFUNCTION("""COMPUTED_VALUE"""),"IR-E-U-0739")</f>
        <v>IR-E-U-0739</v>
      </c>
      <c r="B184" s="1" t="str">
        <f ca="1">IFERROR(__xludf.DUMMYFUNCTION("""COMPUTED_VALUE"""),"Madan Mohan Malaviya University of Technology
More DetailsClose | 
[TABLE]")</f>
        <v>Madan Mohan Malaviya University of Technology
More DetailsClose | 
[TABLE]</v>
      </c>
      <c r="C184" s="1" t="str">
        <f ca="1">IFERROR(__xludf.DUMMYFUNCTION("""COMPUTED_VALUE"""),"Gorakhpur")</f>
        <v>Gorakhpur</v>
      </c>
      <c r="D184" s="1" t="str">
        <f ca="1">IFERROR(__xludf.DUMMYFUNCTION("""COMPUTED_VALUE"""),"Uttar Pradesh")</f>
        <v>Uttar Pradesh</v>
      </c>
      <c r="E184" s="1">
        <f ca="1">IFERROR(__xludf.DUMMYFUNCTION("""COMPUTED_VALUE"""),31.6)</f>
        <v>31.6</v>
      </c>
      <c r="F184" s="1">
        <f ca="1">IFERROR(__xludf.DUMMYFUNCTION("""COMPUTED_VALUE"""),183)</f>
        <v>183</v>
      </c>
    </row>
    <row r="185" spans="1:6">
      <c r="A185" s="1" t="str">
        <f ca="1">IFERROR(__xludf.DUMMYFUNCTION("""COMPUTED_VALUE"""),"IR-E-C-26929")</f>
        <v>IR-E-C-26929</v>
      </c>
      <c r="B185" s="1" t="str">
        <f ca="1">IFERROR(__xludf.DUMMYFUNCTION("""COMPUTED_VALUE"""),"Sree Vidyanikethan Engineering College
More DetailsClose | 
[TABLE]")</f>
        <v>Sree Vidyanikethan Engineering College
More DetailsClose | 
[TABLE]</v>
      </c>
      <c r="C185" s="1" t="str">
        <f ca="1">IFERROR(__xludf.DUMMYFUNCTION("""COMPUTED_VALUE"""),"A.Rangampet")</f>
        <v>A.Rangampet</v>
      </c>
      <c r="D185" s="1" t="str">
        <f ca="1">IFERROR(__xludf.DUMMYFUNCTION("""COMPUTED_VALUE"""),"Andhra Pradesh")</f>
        <v>Andhra Pradesh</v>
      </c>
      <c r="E185" s="1">
        <f ca="1">IFERROR(__xludf.DUMMYFUNCTION("""COMPUTED_VALUE"""),31.54)</f>
        <v>31.54</v>
      </c>
      <c r="F185" s="1">
        <f ca="1">IFERROR(__xludf.DUMMYFUNCTION("""COMPUTED_VALUE"""),184)</f>
        <v>184</v>
      </c>
    </row>
    <row r="186" spans="1:6">
      <c r="A186" s="1" t="str">
        <f ca="1">IFERROR(__xludf.DUMMYFUNCTION("""COMPUTED_VALUE"""),"IR-E-C-26928")</f>
        <v>IR-E-C-26928</v>
      </c>
      <c r="B186" s="1" t="str">
        <f ca="1">IFERROR(__xludf.DUMMYFUNCTION("""COMPUTED_VALUE"""),"JNTUA College of Engineering
More DetailsClose | 
[TABLE]")</f>
        <v>JNTUA College of Engineering
More DetailsClose | 
[TABLE]</v>
      </c>
      <c r="C186" s="1" t="str">
        <f ca="1">IFERROR(__xludf.DUMMYFUNCTION("""COMPUTED_VALUE"""),"Anantapur")</f>
        <v>Anantapur</v>
      </c>
      <c r="D186" s="1" t="str">
        <f ca="1">IFERROR(__xludf.DUMMYFUNCTION("""COMPUTED_VALUE"""),"Andhra Pradesh")</f>
        <v>Andhra Pradesh</v>
      </c>
      <c r="E186" s="1">
        <f ca="1">IFERROR(__xludf.DUMMYFUNCTION("""COMPUTED_VALUE"""),31.52)</f>
        <v>31.52</v>
      </c>
      <c r="F186" s="1">
        <f ca="1">IFERROR(__xludf.DUMMYFUNCTION("""COMPUTED_VALUE"""),185)</f>
        <v>185</v>
      </c>
    </row>
    <row r="187" spans="1:6">
      <c r="A187" s="1" t="str">
        <f ca="1">IFERROR(__xludf.DUMMYFUNCTION("""COMPUTED_VALUE"""),"IR-E-C-1398")</f>
        <v>IR-E-C-1398</v>
      </c>
      <c r="B187" s="1" t="str">
        <f ca="1">IFERROR(__xludf.DUMMYFUNCTION("""COMPUTED_VALUE"""),"BNM Institute of Technology
More DetailsClose | 
[TABLE]")</f>
        <v>BNM Institute of Technology
More DetailsClose | 
[TABLE]</v>
      </c>
      <c r="C187" s="1" t="str">
        <f ca="1">IFERROR(__xludf.DUMMYFUNCTION("""COMPUTED_VALUE"""),"Bengaluru")</f>
        <v>Bengaluru</v>
      </c>
      <c r="D187" s="1" t="str">
        <f ca="1">IFERROR(__xludf.DUMMYFUNCTION("""COMPUTED_VALUE"""),"Karnataka")</f>
        <v>Karnataka</v>
      </c>
      <c r="E187" s="1">
        <f ca="1">IFERROR(__xludf.DUMMYFUNCTION("""COMPUTED_VALUE"""),31.48)</f>
        <v>31.48</v>
      </c>
      <c r="F187" s="1">
        <f ca="1">IFERROR(__xludf.DUMMYFUNCTION("""COMPUTED_VALUE"""),186)</f>
        <v>186</v>
      </c>
    </row>
    <row r="188" spans="1:6">
      <c r="A188" s="1" t="str">
        <f ca="1">IFERROR(__xludf.DUMMYFUNCTION("""COMPUTED_VALUE"""),"IR-E-C-26162")</f>
        <v>IR-E-C-26162</v>
      </c>
      <c r="B188" s="1" t="str">
        <f ca="1">IFERROR(__xludf.DUMMYFUNCTION("""COMPUTED_VALUE"""),"Vasavi College of Engineering
More DetailsClose | 
[TABLE]")</f>
        <v>Vasavi College of Engineering
More DetailsClose | 
[TABLE]</v>
      </c>
      <c r="C188" s="1" t="str">
        <f ca="1">IFERROR(__xludf.DUMMYFUNCTION("""COMPUTED_VALUE"""),"Hyderabad")</f>
        <v>Hyderabad</v>
      </c>
      <c r="D188" s="1" t="str">
        <f ca="1">IFERROR(__xludf.DUMMYFUNCTION("""COMPUTED_VALUE"""),"Telangana")</f>
        <v>Telangana</v>
      </c>
      <c r="E188" s="1">
        <f ca="1">IFERROR(__xludf.DUMMYFUNCTION("""COMPUTED_VALUE"""),31.46)</f>
        <v>31.46</v>
      </c>
      <c r="F188" s="1">
        <f ca="1">IFERROR(__xludf.DUMMYFUNCTION("""COMPUTED_VALUE"""),187)</f>
        <v>187</v>
      </c>
    </row>
    <row r="189" spans="1:6">
      <c r="A189" s="1" t="str">
        <f ca="1">IFERROR(__xludf.DUMMYFUNCTION("""COMPUTED_VALUE"""),"IR-E-C-17913")</f>
        <v>IR-E-C-17913</v>
      </c>
      <c r="B189" s="1" t="str">
        <f ca="1">IFERROR(__xludf.DUMMYFUNCTION("""COMPUTED_VALUE"""),"Gayatri Vidya Parishad College of Engineering
More DetailsClose | 
[TABLE]")</f>
        <v>Gayatri Vidya Parishad College of Engineering
More DetailsClose | 
[TABLE]</v>
      </c>
      <c r="C189" s="1" t="str">
        <f ca="1">IFERROR(__xludf.DUMMYFUNCTION("""COMPUTED_VALUE"""),"Visakhapatnam")</f>
        <v>Visakhapatnam</v>
      </c>
      <c r="D189" s="1" t="str">
        <f ca="1">IFERROR(__xludf.DUMMYFUNCTION("""COMPUTED_VALUE"""),"Andhra Pradesh")</f>
        <v>Andhra Pradesh</v>
      </c>
      <c r="E189" s="1">
        <f ca="1">IFERROR(__xludf.DUMMYFUNCTION("""COMPUTED_VALUE"""),31.38)</f>
        <v>31.38</v>
      </c>
      <c r="F189" s="1">
        <f ca="1">IFERROR(__xludf.DUMMYFUNCTION("""COMPUTED_VALUE"""),188)</f>
        <v>188</v>
      </c>
    </row>
    <row r="190" spans="1:6">
      <c r="A190" s="1" t="str">
        <f ca="1">IFERROR(__xludf.DUMMYFUNCTION("""COMPUTED_VALUE"""),"IR-E-C-27089")</f>
        <v>IR-E-C-27089</v>
      </c>
      <c r="B190" s="1" t="str">
        <f ca="1">IFERROR(__xludf.DUMMYFUNCTION("""COMPUTED_VALUE"""),"National Engineering College
More DetailsClose | 
[TABLE]")</f>
        <v>National Engineering College
More DetailsClose | 
[TABLE]</v>
      </c>
      <c r="C190" s="1" t="str">
        <f ca="1">IFERROR(__xludf.DUMMYFUNCTION("""COMPUTED_VALUE"""),"Kovilpatti")</f>
        <v>Kovilpatti</v>
      </c>
      <c r="D190" s="1" t="str">
        <f ca="1">IFERROR(__xludf.DUMMYFUNCTION("""COMPUTED_VALUE"""),"Tamil Nadu")</f>
        <v>Tamil Nadu</v>
      </c>
      <c r="E190" s="1">
        <f ca="1">IFERROR(__xludf.DUMMYFUNCTION("""COMPUTED_VALUE"""),31.36)</f>
        <v>31.36</v>
      </c>
      <c r="F190" s="1">
        <f ca="1">IFERROR(__xludf.DUMMYFUNCTION("""COMPUTED_VALUE"""),189)</f>
        <v>189</v>
      </c>
    </row>
    <row r="191" spans="1:6">
      <c r="A191" s="1" t="str">
        <f ca="1">IFERROR(__xludf.DUMMYFUNCTION("""COMPUTED_VALUE"""),"IR-E-C-26905")</f>
        <v>IR-E-C-26905</v>
      </c>
      <c r="B191" s="1" t="str">
        <f ca="1">IFERROR(__xludf.DUMMYFUNCTION("""COMPUTED_VALUE"""),"G.Pulla Reddy Engineering College
More DetailsClose | 
[TABLE]")</f>
        <v>G.Pulla Reddy Engineering College
More DetailsClose | 
[TABLE]</v>
      </c>
      <c r="C191" s="1" t="str">
        <f ca="1">IFERROR(__xludf.DUMMYFUNCTION("""COMPUTED_VALUE"""),"Kurnool")</f>
        <v>Kurnool</v>
      </c>
      <c r="D191" s="1" t="str">
        <f ca="1">IFERROR(__xludf.DUMMYFUNCTION("""COMPUTED_VALUE"""),"Andhra Pradesh")</f>
        <v>Andhra Pradesh</v>
      </c>
      <c r="E191" s="1">
        <f ca="1">IFERROR(__xludf.DUMMYFUNCTION("""COMPUTED_VALUE"""),31.35)</f>
        <v>31.35</v>
      </c>
      <c r="F191" s="1">
        <f ca="1">IFERROR(__xludf.DUMMYFUNCTION("""COMPUTED_VALUE"""),190)</f>
        <v>190</v>
      </c>
    </row>
    <row r="192" spans="1:6">
      <c r="A192" s="1" t="str">
        <f ca="1">IFERROR(__xludf.DUMMYFUNCTION("""COMPUTED_VALUE"""),"IR-E-C-6192")</f>
        <v>IR-E-C-6192</v>
      </c>
      <c r="B192" s="1" t="str">
        <f ca="1">IFERROR(__xludf.DUMMYFUNCTION("""COMPUTED_VALUE"""),"Institute of Engineering &amp; Management
More DetailsClose | 
[TABLE]")</f>
        <v>Institute of Engineering &amp; Management
More DetailsClose | 
[TABLE]</v>
      </c>
      <c r="C192" s="1" t="str">
        <f ca="1">IFERROR(__xludf.DUMMYFUNCTION("""COMPUTED_VALUE"""),"Kolkata")</f>
        <v>Kolkata</v>
      </c>
      <c r="D192" s="1" t="str">
        <f ca="1">IFERROR(__xludf.DUMMYFUNCTION("""COMPUTED_VALUE"""),"West Bengal")</f>
        <v>West Bengal</v>
      </c>
      <c r="E192" s="1">
        <f ca="1">IFERROR(__xludf.DUMMYFUNCTION("""COMPUTED_VALUE"""),31.33)</f>
        <v>31.33</v>
      </c>
      <c r="F192" s="1">
        <f ca="1">IFERROR(__xludf.DUMMYFUNCTION("""COMPUTED_VALUE"""),191)</f>
        <v>191</v>
      </c>
    </row>
    <row r="193" spans="1:6">
      <c r="A193" s="1" t="str">
        <f ca="1">IFERROR(__xludf.DUMMYFUNCTION("""COMPUTED_VALUE"""),"IR-E-C-16476")</f>
        <v>IR-E-C-16476</v>
      </c>
      <c r="B193" s="1" t="str">
        <f ca="1">IFERROR(__xludf.DUMMYFUNCTION("""COMPUTED_VALUE"""),"Sri Sai Ram Institute of Technology
More DetailsClose | 
[TABLE]")</f>
        <v>Sri Sai Ram Institute of Technology
More DetailsClose | 
[TABLE]</v>
      </c>
      <c r="C193" s="1" t="str">
        <f ca="1">IFERROR(__xludf.DUMMYFUNCTION("""COMPUTED_VALUE"""),"Chennai")</f>
        <v>Chennai</v>
      </c>
      <c r="D193" s="1" t="str">
        <f ca="1">IFERROR(__xludf.DUMMYFUNCTION("""COMPUTED_VALUE"""),"Tamil Nadu")</f>
        <v>Tamil Nadu</v>
      </c>
      <c r="E193" s="1">
        <f ca="1">IFERROR(__xludf.DUMMYFUNCTION("""COMPUTED_VALUE"""),31.32)</f>
        <v>31.32</v>
      </c>
      <c r="F193" s="1">
        <f ca="1">IFERROR(__xludf.DUMMYFUNCTION("""COMPUTED_VALUE"""),192)</f>
        <v>192</v>
      </c>
    </row>
    <row r="194" spans="1:6">
      <c r="A194" s="1" t="str">
        <f ca="1">IFERROR(__xludf.DUMMYFUNCTION("""COMPUTED_VALUE"""),"IR-E-U-0129")</f>
        <v>IR-E-U-0129</v>
      </c>
      <c r="B194" s="1" t="str">
        <f ca="1">IFERROR(__xludf.DUMMYFUNCTION("""COMPUTED_VALUE"""),"Dharmsinh Desai University
More DetailsClose | 
[TABLE]")</f>
        <v>Dharmsinh Desai University
More DetailsClose | 
[TABLE]</v>
      </c>
      <c r="C194" s="1" t="str">
        <f ca="1">IFERROR(__xludf.DUMMYFUNCTION("""COMPUTED_VALUE"""),"Nadiad")</f>
        <v>Nadiad</v>
      </c>
      <c r="D194" s="1" t="str">
        <f ca="1">IFERROR(__xludf.DUMMYFUNCTION("""COMPUTED_VALUE"""),"Gujarat")</f>
        <v>Gujarat</v>
      </c>
      <c r="E194" s="1">
        <f ca="1">IFERROR(__xludf.DUMMYFUNCTION("""COMPUTED_VALUE"""),31.29)</f>
        <v>31.29</v>
      </c>
      <c r="F194" s="1">
        <f ca="1">IFERROR(__xludf.DUMMYFUNCTION("""COMPUTED_VALUE"""),193)</f>
        <v>193</v>
      </c>
    </row>
    <row r="195" spans="1:6">
      <c r="A195" s="1" t="str">
        <f ca="1">IFERROR(__xludf.DUMMYFUNCTION("""COMPUTED_VALUE"""),"IR-E-U-0405")</f>
        <v>IR-E-U-0405</v>
      </c>
      <c r="B195" s="1" t="str">
        <f ca="1">IFERROR(__xludf.DUMMYFUNCTION("""COMPUTED_VALUE"""),"The LNM Institute of Information Technology
More DetailsClose | 
[TABLE]")</f>
        <v>The LNM Institute of Information Technology
More DetailsClose | 
[TABLE]</v>
      </c>
      <c r="C195" s="1" t="str">
        <f ca="1">IFERROR(__xludf.DUMMYFUNCTION("""COMPUTED_VALUE"""),"Jaipur")</f>
        <v>Jaipur</v>
      </c>
      <c r="D195" s="1" t="str">
        <f ca="1">IFERROR(__xludf.DUMMYFUNCTION("""COMPUTED_VALUE"""),"Rajasthan")</f>
        <v>Rajasthan</v>
      </c>
      <c r="E195" s="1">
        <f ca="1">IFERROR(__xludf.DUMMYFUNCTION("""COMPUTED_VALUE"""),31.24)</f>
        <v>31.24</v>
      </c>
      <c r="F195" s="1">
        <f ca="1">IFERROR(__xludf.DUMMYFUNCTION("""COMPUTED_VALUE"""),194)</f>
        <v>194</v>
      </c>
    </row>
    <row r="196" spans="1:6">
      <c r="A196" s="1" t="str">
        <f ca="1">IFERROR(__xludf.DUMMYFUNCTION("""COMPUTED_VALUE"""),"IR-E-U-0162")</f>
        <v>IR-E-U-0162</v>
      </c>
      <c r="B196" s="1" t="str">
        <f ca="1">IFERROR(__xludf.DUMMYFUNCTION("""COMPUTED_VALUE"""),"Guru Jambheshwar University of Science and Technology
More DetailsClose | 
[TABLE]")</f>
        <v>Guru Jambheshwar University of Science and Technology
More DetailsClose | 
[TABLE]</v>
      </c>
      <c r="C196" s="1" t="str">
        <f ca="1">IFERROR(__xludf.DUMMYFUNCTION("""COMPUTED_VALUE"""),"Hisar")</f>
        <v>Hisar</v>
      </c>
      <c r="D196" s="1" t="str">
        <f ca="1">IFERROR(__xludf.DUMMYFUNCTION("""COMPUTED_VALUE"""),"Haryana")</f>
        <v>Haryana</v>
      </c>
      <c r="E196" s="1">
        <f ca="1">IFERROR(__xludf.DUMMYFUNCTION("""COMPUTED_VALUE"""),31.23)</f>
        <v>31.23</v>
      </c>
      <c r="F196" s="1">
        <f ca="1">IFERROR(__xludf.DUMMYFUNCTION("""COMPUTED_VALUE"""),195)</f>
        <v>195</v>
      </c>
    </row>
    <row r="197" spans="1:6">
      <c r="A197" s="1" t="str">
        <f ca="1">IFERROR(__xludf.DUMMYFUNCTION("""COMPUTED_VALUE"""),"IR-E-C-42227")</f>
        <v>IR-E-C-42227</v>
      </c>
      <c r="B197" s="1" t="str">
        <f ca="1">IFERROR(__xludf.DUMMYFUNCTION("""COMPUTED_VALUE"""),"Dr. D. Y. Patil Institute of Technology
More DetailsClose | 
[TABLE]")</f>
        <v>Dr. D. Y. Patil Institute of Technology
More DetailsClose | 
[TABLE]</v>
      </c>
      <c r="C197" s="1" t="str">
        <f ca="1">IFERROR(__xludf.DUMMYFUNCTION("""COMPUTED_VALUE"""),"Pune")</f>
        <v>Pune</v>
      </c>
      <c r="D197" s="1" t="str">
        <f ca="1">IFERROR(__xludf.DUMMYFUNCTION("""COMPUTED_VALUE"""),"Maharashtra")</f>
        <v>Maharashtra</v>
      </c>
      <c r="E197" s="1">
        <f ca="1">IFERROR(__xludf.DUMMYFUNCTION("""COMPUTED_VALUE"""),31.15)</f>
        <v>31.15</v>
      </c>
      <c r="F197" s="1">
        <f ca="1">IFERROR(__xludf.DUMMYFUNCTION("""COMPUTED_VALUE"""),196)</f>
        <v>196</v>
      </c>
    </row>
    <row r="198" spans="1:6">
      <c r="A198" s="1" t="str">
        <f ca="1">IFERROR(__xludf.DUMMYFUNCTION("""COMPUTED_VALUE"""),"IR-E-C-49660")</f>
        <v>IR-E-C-49660</v>
      </c>
      <c r="B198" s="1" t="str">
        <f ca="1">IFERROR(__xludf.DUMMYFUNCTION("""COMPUTED_VALUE"""),"Pimpri Chinchwad College of Engineering
More DetailsClose | 
[TABLE]")</f>
        <v>Pimpri Chinchwad College of Engineering
More DetailsClose | 
[TABLE]</v>
      </c>
      <c r="C198" s="1" t="str">
        <f ca="1">IFERROR(__xludf.DUMMYFUNCTION("""COMPUTED_VALUE"""),"Pune")</f>
        <v>Pune</v>
      </c>
      <c r="D198" s="1" t="str">
        <f ca="1">IFERROR(__xludf.DUMMYFUNCTION("""COMPUTED_VALUE"""),"Maharashtra")</f>
        <v>Maharashtra</v>
      </c>
      <c r="E198" s="1">
        <f ca="1">IFERROR(__xludf.DUMMYFUNCTION("""COMPUTED_VALUE"""),31.13)</f>
        <v>31.13</v>
      </c>
      <c r="F198" s="1">
        <f ca="1">IFERROR(__xludf.DUMMYFUNCTION("""COMPUTED_VALUE"""),197)</f>
        <v>197</v>
      </c>
    </row>
    <row r="199" spans="1:6">
      <c r="A199" s="1" t="str">
        <f ca="1">IFERROR(__xludf.DUMMYFUNCTION("""COMPUTED_VALUE"""),"IR-E-C-34167")</f>
        <v>IR-E-C-34167</v>
      </c>
      <c r="B199" s="1" t="str">
        <f ca="1">IFERROR(__xludf.DUMMYFUNCTION("""COMPUTED_VALUE"""),"Ramrao Adik Institute of Technology
More DetailsClose | 
[TABLE]")</f>
        <v>Ramrao Adik Institute of Technology
More DetailsClose | 
[TABLE]</v>
      </c>
      <c r="C199" s="1" t="str">
        <f ca="1">IFERROR(__xludf.DUMMYFUNCTION("""COMPUTED_VALUE"""),"Navi Mumbai")</f>
        <v>Navi Mumbai</v>
      </c>
      <c r="D199" s="1" t="str">
        <f ca="1">IFERROR(__xludf.DUMMYFUNCTION("""COMPUTED_VALUE"""),"Maharashtra")</f>
        <v>Maharashtra</v>
      </c>
      <c r="E199" s="1">
        <f ca="1">IFERROR(__xludf.DUMMYFUNCTION("""COMPUTED_VALUE"""),31.11)</f>
        <v>31.11</v>
      </c>
      <c r="F199" s="1">
        <f ca="1">IFERROR(__xludf.DUMMYFUNCTION("""COMPUTED_VALUE"""),198)</f>
        <v>198</v>
      </c>
    </row>
    <row r="200" spans="1:6">
      <c r="A200" s="1" t="str">
        <f ca="1">IFERROR(__xludf.DUMMYFUNCTION("""COMPUTED_VALUE"""),"IR-E-C-48145")</f>
        <v>IR-E-C-48145</v>
      </c>
      <c r="B200" s="1" t="str">
        <f ca="1">IFERROR(__xludf.DUMMYFUNCTION("""COMPUTED_VALUE"""),"BVRIT Hyderabad
More DetailsClose | 
[TABLE]")</f>
        <v>BVRIT Hyderabad
More DetailsClose | 
[TABLE]</v>
      </c>
      <c r="C200" s="1" t="str">
        <f ca="1">IFERROR(__xludf.DUMMYFUNCTION("""COMPUTED_VALUE"""),"Hyderabad")</f>
        <v>Hyderabad</v>
      </c>
      <c r="D200" s="1" t="str">
        <f ca="1">IFERROR(__xludf.DUMMYFUNCTION("""COMPUTED_VALUE"""),"Telangana")</f>
        <v>Telangana</v>
      </c>
      <c r="E200" s="1">
        <f ca="1">IFERROR(__xludf.DUMMYFUNCTION("""COMPUTED_VALUE"""),31.1)</f>
        <v>31.1</v>
      </c>
      <c r="F200" s="1">
        <f ca="1">IFERROR(__xludf.DUMMYFUNCTION("""COMPUTED_VALUE"""),199)</f>
        <v>199</v>
      </c>
    </row>
    <row r="201" spans="1:6">
      <c r="A201" s="1" t="str">
        <f ca="1">IFERROR(__xludf.DUMMYFUNCTION("""COMPUTED_VALUE"""),"IR-E-U-0615")</f>
        <v>IR-E-U-0615</v>
      </c>
      <c r="B201" s="1" t="str">
        <f ca="1">IFERROR(__xludf.DUMMYFUNCTION("""COMPUTED_VALUE"""),"National Institute of Technology Arunachal Pradesh
More DetailsClose | 
[TABLE]")</f>
        <v>National Institute of Technology Arunachal Pradesh
More DetailsClose | 
[TABLE]</v>
      </c>
      <c r="C201" s="1" t="str">
        <f ca="1">IFERROR(__xludf.DUMMYFUNCTION("""COMPUTED_VALUE"""),"Itanagar")</f>
        <v>Itanagar</v>
      </c>
      <c r="D201" s="1" t="str">
        <f ca="1">IFERROR(__xludf.DUMMYFUNCTION("""COMPUTED_VALUE"""),"Arunachal Pradesh")</f>
        <v>Arunachal Pradesh</v>
      </c>
      <c r="E201" s="1">
        <f ca="1">IFERROR(__xludf.DUMMYFUNCTION("""COMPUTED_VALUE"""),31.09)</f>
        <v>31.09</v>
      </c>
      <c r="F201" s="1">
        <f ca="1">IFERROR(__xludf.DUMMYFUNCTION("""COMPUTED_VALUE"""),200)</f>
        <v>200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76"/>
  <sheetViews>
    <sheetView workbookViewId="0"/>
  </sheetViews>
  <sheetFormatPr defaultColWidth="14.42578125" defaultRowHeight="15.75" customHeight="1"/>
  <sheetData>
    <row r="1" spans="1:6">
      <c r="A1" s="1" t="str">
        <f ca="1">IFERROR(__xludf.DUMMYFUNCTION("IMPORTHTML(""https://www.nirfindia.org/2020/ManagementRanking.html"",""table"",1)"),"Institute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IFERROR(__xludf.DUMMYFUNCTION("""COMPUTED_VALUE"""),"IR-M-S-8890")</f>
        <v>IR-M-S-8890</v>
      </c>
      <c r="B2" s="1" t="str">
        <f ca="1">IFERROR(__xludf.DUMMYFUNCTION("""COMPUTED_VALUE"""),"Indian Institute of Management Ahmedabad
More DetailsClose | 
[TABLE]")</f>
        <v>Indian Institute of Management Ahmedabad
More DetailsClose | 
[TABLE]</v>
      </c>
      <c r="C2" s="1" t="str">
        <f ca="1">IFERROR(__xludf.DUMMYFUNCTION("""COMPUTED_VALUE"""),"Ahmedabad")</f>
        <v>Ahmedabad</v>
      </c>
      <c r="D2" s="1" t="str">
        <f ca="1">IFERROR(__xludf.DUMMYFUNCTION("""COMPUTED_VALUE"""),"Gujarat")</f>
        <v>Gujarat</v>
      </c>
      <c r="E2" s="1">
        <f ca="1">IFERROR(__xludf.DUMMYFUNCTION("""COMPUTED_VALUE"""),82.75)</f>
        <v>82.75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IFERROR(__xludf.DUMMYFUNCTION("""COMPUTED_VALUE"""),"IR-M-S-8903")</f>
        <v>IR-M-S-8903</v>
      </c>
      <c r="B3" s="1" t="str">
        <f ca="1">IFERROR(__xludf.DUMMYFUNCTION("""COMPUTED_VALUE"""),"Indian Institute of Management Bangalore
More DetailsClose | 
[TABLE]")</f>
        <v>Indian Institute of Management Bangalore
More DetailsClose | 
[TABLE]</v>
      </c>
      <c r="C3" s="1" t="str">
        <f ca="1">IFERROR(__xludf.DUMMYFUNCTION("""COMPUTED_VALUE"""),"Bengaluru")</f>
        <v>Bengaluru</v>
      </c>
      <c r="D3" s="1" t="str">
        <f ca="1">IFERROR(__xludf.DUMMYFUNCTION("""COMPUTED_VALUE"""),"Karnataka")</f>
        <v>Karnataka</v>
      </c>
      <c r="E3" s="1">
        <f ca="1">IFERROR(__xludf.DUMMYFUNCTION("""COMPUTED_VALUE"""),81.32)</f>
        <v>81.319999999999993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IFERROR(__xludf.DUMMYFUNCTION("""COMPUTED_VALUE"""),"IR-M-S-8972")</f>
        <v>IR-M-S-8972</v>
      </c>
      <c r="B4" s="1" t="str">
        <f ca="1">IFERROR(__xludf.DUMMYFUNCTION("""COMPUTED_VALUE"""),"Indian Institute of Management Calcutta
More DetailsClose | 
[TABLE]")</f>
        <v>Indian Institute of Management Calcutta
More DetailsClose | 
[TABLE]</v>
      </c>
      <c r="C4" s="1" t="str">
        <f ca="1">IFERROR(__xludf.DUMMYFUNCTION("""COMPUTED_VALUE"""),"Kolkata")</f>
        <v>Kolkata</v>
      </c>
      <c r="D4" s="1" t="str">
        <f ca="1">IFERROR(__xludf.DUMMYFUNCTION("""COMPUTED_VALUE"""),"West Bengal")</f>
        <v>West Bengal</v>
      </c>
      <c r="E4" s="1">
        <f ca="1">IFERROR(__xludf.DUMMYFUNCTION("""COMPUTED_VALUE"""),80.39)</f>
        <v>80.39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IFERROR(__xludf.DUMMYFUNCTION("""COMPUTED_VALUE"""),"IR-M-S-8959")</f>
        <v>IR-M-S-8959</v>
      </c>
      <c r="B5" s="1" t="str">
        <f ca="1">IFERROR(__xludf.DUMMYFUNCTION("""COMPUTED_VALUE"""),"Indian Institute of Management Lucknow
More DetailsClose | 
[TABLE]")</f>
        <v>Indian Institute of Management Lucknow
More DetailsClose | 
[TABLE]</v>
      </c>
      <c r="C5" s="1" t="str">
        <f ca="1">IFERROR(__xludf.DUMMYFUNCTION("""COMPUTED_VALUE"""),"Lucknow")</f>
        <v>Lucknow</v>
      </c>
      <c r="D5" s="1" t="str">
        <f ca="1">IFERROR(__xludf.DUMMYFUNCTION("""COMPUTED_VALUE"""),"Uttar Pradesh")</f>
        <v>Uttar Pradesh</v>
      </c>
      <c r="E5" s="1">
        <f ca="1">IFERROR(__xludf.DUMMYFUNCTION("""COMPUTED_VALUE"""),73.85)</f>
        <v>73.849999999999994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IFERROR(__xludf.DUMMYFUNCTION("""COMPUTED_VALUE"""),"IR-M-U-0573")</f>
        <v>IR-M-U-0573</v>
      </c>
      <c r="B6" s="1" t="str">
        <f ca="1">IFERROR(__xludf.DUMMYFUNCTION("""COMPUTED_VALUE"""),"Indian Institute of Technology Kharagpur
More DetailsClose | 
[TABLE]")</f>
        <v>Indian Institute of Technology Kharagpur
More DetailsClose | 
[TABLE]</v>
      </c>
      <c r="C6" s="1" t="str">
        <f ca="1">IFERROR(__xludf.DUMMYFUNCTION("""COMPUTED_VALUE"""),"Kharagpur")</f>
        <v>Kharagpur</v>
      </c>
      <c r="D6" s="1" t="str">
        <f ca="1">IFERROR(__xludf.DUMMYFUNCTION("""COMPUTED_VALUE"""),"West Bengal")</f>
        <v>West Bengal</v>
      </c>
      <c r="E6" s="1">
        <f ca="1">IFERROR(__xludf.DUMMYFUNCTION("""COMPUTED_VALUE"""),70.43)</f>
        <v>70.430000000000007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IFERROR(__xludf.DUMMYFUNCTION("""COMPUTED_VALUE"""),"IR-M-S-8909")</f>
        <v>IR-M-S-8909</v>
      </c>
      <c r="B7" s="1" t="str">
        <f ca="1">IFERROR(__xludf.DUMMYFUNCTION("""COMPUTED_VALUE"""),"Indian Institute of Management Kozhikode
More DetailsClose | 
[TABLE]")</f>
        <v>Indian Institute of Management Kozhikode
More DetailsClose | 
[TABLE]</v>
      </c>
      <c r="C7" s="1" t="str">
        <f ca="1">IFERROR(__xludf.DUMMYFUNCTION("""COMPUTED_VALUE"""),"Kozhikode")</f>
        <v>Kozhikode</v>
      </c>
      <c r="D7" s="1" t="str">
        <f ca="1">IFERROR(__xludf.DUMMYFUNCTION("""COMPUTED_VALUE"""),"Kerala")</f>
        <v>Kerala</v>
      </c>
      <c r="E7" s="1">
        <f ca="1">IFERROR(__xludf.DUMMYFUNCTION("""COMPUTED_VALUE"""),69.96)</f>
        <v>69.959999999999994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IFERROR(__xludf.DUMMYFUNCTION("""COMPUTED_VALUE"""),"IR-M-S-8918")</f>
        <v>IR-M-S-8918</v>
      </c>
      <c r="B8" s="1" t="str">
        <f ca="1">IFERROR(__xludf.DUMMYFUNCTION("""COMPUTED_VALUE"""),"Indian Institute of Management Indore
More DetailsClose | 
[TABLE]")</f>
        <v>Indian Institute of Management Indore
More DetailsClose | 
[TABLE]</v>
      </c>
      <c r="C8" s="1" t="str">
        <f ca="1">IFERROR(__xludf.DUMMYFUNCTION("""COMPUTED_VALUE"""),"Indore")</f>
        <v>Indore</v>
      </c>
      <c r="D8" s="1" t="str">
        <f ca="1">IFERROR(__xludf.DUMMYFUNCTION("""COMPUTED_VALUE"""),"Madhya Pradesh")</f>
        <v>Madhya Pradesh</v>
      </c>
      <c r="E8" s="1">
        <f ca="1">IFERROR(__xludf.DUMMYFUNCTION("""COMPUTED_VALUE"""),69.04)</f>
        <v>69.040000000000006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IFERROR(__xludf.DUMMYFUNCTION("""COMPUTED_VALUE"""),"IR-M-I-1074")</f>
        <v>IR-M-I-1074</v>
      </c>
      <c r="B9" s="1" t="str">
        <f ca="1">IFERROR(__xludf.DUMMYFUNCTION("""COMPUTED_VALUE"""),"Indian Institute of Technology Delhi
More DetailsClose | 
[TABLE]")</f>
        <v>Indian Institute of Technology Delhi
More DetailsClose | 
[TABLE]</v>
      </c>
      <c r="C9" s="1" t="str">
        <f ca="1">IFERROR(__xludf.DUMMYFUNCTION("""COMPUTED_VALUE"""),"New Delhi")</f>
        <v>New Delhi</v>
      </c>
      <c r="D9" s="1" t="str">
        <f ca="1">IFERROR(__xludf.DUMMYFUNCTION("""COMPUTED_VALUE"""),"Delhi")</f>
        <v>Delhi</v>
      </c>
      <c r="E9" s="1">
        <f ca="1">IFERROR(__xludf.DUMMYFUNCTION("""COMPUTED_VALUE"""),67.19)</f>
        <v>67.19</v>
      </c>
      <c r="F9" s="1">
        <f ca="1">IFERROR(__xludf.DUMMYFUNCTION("""COMPUTED_VALUE"""),8)</f>
        <v>8</v>
      </c>
    </row>
    <row r="10" spans="1:6">
      <c r="A10" s="1" t="str">
        <f ca="1">IFERROR(__xludf.DUMMYFUNCTION("""COMPUTED_VALUE"""),"IR-M-S-132")</f>
        <v>IR-M-S-132</v>
      </c>
      <c r="B10" s="1" t="str">
        <f ca="1">IFERROR(__xludf.DUMMYFUNCTION("""COMPUTED_VALUE"""),"Xavier Labour Relations Institute (XLRI)
More DetailsClose | 
[TABLE]")</f>
        <v>Xavier Labour Relations Institute (XLRI)
More DetailsClose | 
[TABLE]</v>
      </c>
      <c r="C10" s="1" t="str">
        <f ca="1">IFERROR(__xludf.DUMMYFUNCTION("""COMPUTED_VALUE"""),"Jamshedpur")</f>
        <v>Jamshedpur</v>
      </c>
      <c r="D10" s="1" t="str">
        <f ca="1">IFERROR(__xludf.DUMMYFUNCTION("""COMPUTED_VALUE"""),"Jharkhand")</f>
        <v>Jharkhand</v>
      </c>
      <c r="E10" s="1">
        <f ca="1">IFERROR(__xludf.DUMMYFUNCTION("""COMPUTED_VALUE"""),67.11)</f>
        <v>67.11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IFERROR(__xludf.DUMMYFUNCTION("""COMPUTED_VALUE"""),"IR-M-I-1170")</f>
        <v>IR-M-I-1170</v>
      </c>
      <c r="B11" s="1" t="str">
        <f ca="1">IFERROR(__xludf.DUMMYFUNCTION("""COMPUTED_VALUE"""),"Management Development Institute
More DetailsClose | 
[TABLE]")</f>
        <v>Management Development Institute
More DetailsClose | 
[TABLE]</v>
      </c>
      <c r="C11" s="1" t="str">
        <f ca="1">IFERROR(__xludf.DUMMYFUNCTION("""COMPUTED_VALUE"""),"Gurugram")</f>
        <v>Gurugram</v>
      </c>
      <c r="D11" s="1" t="str">
        <f ca="1">IFERROR(__xludf.DUMMYFUNCTION("""COMPUTED_VALUE"""),"Haryana")</f>
        <v>Haryana</v>
      </c>
      <c r="E11" s="1">
        <f ca="1">IFERROR(__xludf.DUMMYFUNCTION("""COMPUTED_VALUE"""),65.95)</f>
        <v>65.95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IFERROR(__xludf.DUMMYFUNCTION("""COMPUTED_VALUE"""),"IR-M-U-0306")</f>
        <v>IR-M-U-0306</v>
      </c>
      <c r="B12" s="1" t="str">
        <f ca="1">IFERROR(__xludf.DUMMYFUNCTION("""COMPUTED_VALUE"""),"Indian Institute of Technology Bombay
More DetailsClose | 
[TABLE]")</f>
        <v>Indian Institute of Technology Bombay
More DetailsClose | 
[TABLE]</v>
      </c>
      <c r="C12" s="1" t="str">
        <f ca="1">IFERROR(__xludf.DUMMYFUNCTION("""COMPUTED_VALUE"""),"Mumbai")</f>
        <v>Mumbai</v>
      </c>
      <c r="D12" s="1" t="str">
        <f ca="1">IFERROR(__xludf.DUMMYFUNCTION("""COMPUTED_VALUE"""),"Maharashtra")</f>
        <v>Maharashtra</v>
      </c>
      <c r="E12" s="1">
        <f ca="1">IFERROR(__xludf.DUMMYFUNCTION("""COMPUTED_VALUE"""),65.76)</f>
        <v>65.760000000000005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IFERROR(__xludf.DUMMYFUNCTION("""COMPUTED_VALUE"""),"IR-M-U-0560")</f>
        <v>IR-M-U-0560</v>
      </c>
      <c r="B13" s="1" t="str">
        <f ca="1">IFERROR(__xludf.DUMMYFUNCTION("""COMPUTED_VALUE"""),"Indian Institute of Technology Roorkee
More DetailsClose | 
[TABLE]")</f>
        <v>Indian Institute of Technology Roorkee
More DetailsClose | 
[TABLE]</v>
      </c>
      <c r="C13" s="1" t="str">
        <f ca="1">IFERROR(__xludf.DUMMYFUNCTION("""COMPUTED_VALUE"""),"Roorkee")</f>
        <v>Roorkee</v>
      </c>
      <c r="D13" s="1" t="str">
        <f ca="1">IFERROR(__xludf.DUMMYFUNCTION("""COMPUTED_VALUE"""),"Uttarakhand")</f>
        <v>Uttarakhand</v>
      </c>
      <c r="E13" s="1">
        <f ca="1">IFERROR(__xludf.DUMMYFUNCTION("""COMPUTED_VALUE"""),62.87)</f>
        <v>62.87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IFERROR(__xludf.DUMMYFUNCTION("""COMPUTED_VALUE"""),"IR-M-S-8931")</f>
        <v>IR-M-S-8931</v>
      </c>
      <c r="B14" s="1" t="str">
        <f ca="1">IFERROR(__xludf.DUMMYFUNCTION("""COMPUTED_VALUE"""),"National Institute of Industrial Engineering
More DetailsClose | 
[TABLE]")</f>
        <v>National Institute of Industrial Engineering
More DetailsClose | 
[TABLE]</v>
      </c>
      <c r="C14" s="1" t="str">
        <f ca="1">IFERROR(__xludf.DUMMYFUNCTION("""COMPUTED_VALUE"""),"Mumbai")</f>
        <v>Mumbai</v>
      </c>
      <c r="D14" s="1" t="str">
        <f ca="1">IFERROR(__xludf.DUMMYFUNCTION("""COMPUTED_VALUE"""),"Maharashtra")</f>
        <v>Maharashtra</v>
      </c>
      <c r="E14" s="1">
        <f ca="1">IFERROR(__xludf.DUMMYFUNCTION("""COMPUTED_VALUE"""),62.87)</f>
        <v>62.87</v>
      </c>
      <c r="F14" s="1">
        <f ca="1">IFERROR(__xludf.DUMMYFUNCTION("""COMPUTED_VALUE"""),12)</f>
        <v>12</v>
      </c>
    </row>
    <row r="15" spans="1:6">
      <c r="A15" s="1" t="str">
        <f ca="1">IFERROR(__xludf.DUMMYFUNCTION("""COMPUTED_VALUE"""),"IR-M-U-0456")</f>
        <v>IR-M-U-0456</v>
      </c>
      <c r="B15" s="1" t="str">
        <f ca="1">IFERROR(__xludf.DUMMYFUNCTION("""COMPUTED_VALUE"""),"Indian Institute of Technology Madras
More DetailsClose | 
[TABLE]")</f>
        <v>Indian Institute of Technology Madras
More DetailsClose | 
[TABLE]</v>
      </c>
      <c r="C15" s="1" t="str">
        <f ca="1">IFERROR(__xludf.DUMMYFUNCTION("""COMPUTED_VALUE"""),"Chennai")</f>
        <v>Chennai</v>
      </c>
      <c r="D15" s="1" t="str">
        <f ca="1">IFERROR(__xludf.DUMMYFUNCTION("""COMPUTED_VALUE"""),"Tamil Nadu")</f>
        <v>Tamil Nadu</v>
      </c>
      <c r="E15" s="1">
        <f ca="1">IFERROR(__xludf.DUMMYFUNCTION("""COMPUTED_VALUE"""),61.77)</f>
        <v>61.77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IFERROR(__xludf.DUMMYFUNCTION("""COMPUTED_VALUE"""),"IR-M-S-8948")</f>
        <v>IR-M-S-8948</v>
      </c>
      <c r="B16" s="1" t="str">
        <f ca="1">IFERROR(__xludf.DUMMYFUNCTION("""COMPUTED_VALUE"""),"Indian Institute of Management Tiruchirappalli
More DetailsClose | 
[TABLE]")</f>
        <v>Indian Institute of Management Tiruchirappalli
More DetailsClose | 
[TABLE]</v>
      </c>
      <c r="C16" s="1" t="str">
        <f ca="1">IFERROR(__xludf.DUMMYFUNCTION("""COMPUTED_VALUE"""),"Tiruchirappalli")</f>
        <v>Tiruchirappalli</v>
      </c>
      <c r="D16" s="1" t="str">
        <f ca="1">IFERROR(__xludf.DUMMYFUNCTION("""COMPUTED_VALUE"""),"Tamil Nadu")</f>
        <v>Tamil Nadu</v>
      </c>
      <c r="E16" s="1">
        <f ca="1">IFERROR(__xludf.DUMMYFUNCTION("""COMPUTED_VALUE"""),60.79)</f>
        <v>60.79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IFERROR(__xludf.DUMMYFUNCTION("""COMPUTED_VALUE"""),"IR-M-I-1075")</f>
        <v>IR-M-I-1075</v>
      </c>
      <c r="B17" s="1" t="str">
        <f ca="1">IFERROR(__xludf.DUMMYFUNCTION("""COMPUTED_VALUE"""),"Indian Institute of Technology Kanpur
More DetailsClose | 
[TABLE]")</f>
        <v>Indian Institute of Technology Kanpur
More DetailsClose | 
[TABLE]</v>
      </c>
      <c r="C17" s="1" t="str">
        <f ca="1">IFERROR(__xludf.DUMMYFUNCTION("""COMPUTED_VALUE"""),"Kanpur")</f>
        <v>Kanpur</v>
      </c>
      <c r="D17" s="1" t="str">
        <f ca="1">IFERROR(__xludf.DUMMYFUNCTION("""COMPUTED_VALUE"""),"Uttar Pradesh")</f>
        <v>Uttar Pradesh</v>
      </c>
      <c r="E17" s="1">
        <f ca="1">IFERROR(__xludf.DUMMYFUNCTION("""COMPUTED_VALUE"""),60.53)</f>
        <v>60.53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IFERROR(__xludf.DUMMYFUNCTION("""COMPUTED_VALUE"""),"IR-M-S-8942")</f>
        <v>IR-M-S-8942</v>
      </c>
      <c r="B18" s="1" t="str">
        <f ca="1">IFERROR(__xludf.DUMMYFUNCTION("""COMPUTED_VALUE"""),"Indian Institute of Management Udaipur
More DetailsClose | 
[TABLE]")</f>
        <v>Indian Institute of Management Udaipur
More DetailsClose | 
[TABLE]</v>
      </c>
      <c r="C18" s="1" t="str">
        <f ca="1">IFERROR(__xludf.DUMMYFUNCTION("""COMPUTED_VALUE"""),"Udaipur")</f>
        <v>Udaipur</v>
      </c>
      <c r="D18" s="1" t="str">
        <f ca="1">IFERROR(__xludf.DUMMYFUNCTION("""COMPUTED_VALUE"""),"Rajasthan")</f>
        <v>Rajasthan</v>
      </c>
      <c r="E18" s="1">
        <f ca="1">IFERROR(__xludf.DUMMYFUNCTION("""COMPUTED_VALUE"""),59.57)</f>
        <v>59.57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IFERROR(__xludf.DUMMYFUNCTION("""COMPUTED_VALUE"""),"IR-M-I-1044")</f>
        <v>IR-M-I-1044</v>
      </c>
      <c r="B19" s="1" t="str">
        <f ca="1">IFERROR(__xludf.DUMMYFUNCTION("""COMPUTED_VALUE"""),"S. P. Jain Institute of Management and Research
More DetailsClose | 
[TABLE]")</f>
        <v>S. P. Jain Institute of Management and Research
More DetailsClose | 
[TABLE]</v>
      </c>
      <c r="C19" s="1" t="str">
        <f ca="1">IFERROR(__xludf.DUMMYFUNCTION("""COMPUTED_VALUE"""),"Mumbai")</f>
        <v>Mumbai</v>
      </c>
      <c r="D19" s="1" t="str">
        <f ca="1">IFERROR(__xludf.DUMMYFUNCTION("""COMPUTED_VALUE"""),"Maharashtra")</f>
        <v>Maharashtra</v>
      </c>
      <c r="E19" s="1">
        <f ca="1">IFERROR(__xludf.DUMMYFUNCTION("""COMPUTED_VALUE"""),56.93)</f>
        <v>56.93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IFERROR(__xludf.DUMMYFUNCTION("""COMPUTED_VALUE"""),"IR-M-S-8868")</f>
        <v>IR-M-S-8868</v>
      </c>
      <c r="B20" s="1" t="str">
        <f ca="1">IFERROR(__xludf.DUMMYFUNCTION("""COMPUTED_VALUE"""),"Indian Institute of Management Raipur
More DetailsClose | 
[TABLE]")</f>
        <v>Indian Institute of Management Raipur
More DetailsClose | 
[TABLE]</v>
      </c>
      <c r="C20" s="1" t="str">
        <f ca="1">IFERROR(__xludf.DUMMYFUNCTION("""COMPUTED_VALUE"""),"Raipur")</f>
        <v>Raipur</v>
      </c>
      <c r="D20" s="1" t="str">
        <f ca="1">IFERROR(__xludf.DUMMYFUNCTION("""COMPUTED_VALUE"""),"Chhattisgarh")</f>
        <v>Chhattisgarh</v>
      </c>
      <c r="E20" s="1">
        <f ca="1">IFERROR(__xludf.DUMMYFUNCTION("""COMPUTED_VALUE"""),56.12)</f>
        <v>56.12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IFERROR(__xludf.DUMMYFUNCTION("""COMPUTED_VALUE"""),"IR-M-S-8904")</f>
        <v>IR-M-S-8904</v>
      </c>
      <c r="B21" s="1" t="str">
        <f ca="1">IFERROR(__xludf.DUMMYFUNCTION("""COMPUTED_VALUE"""),"Indian Institute of Management Ranchi
More DetailsClose | 
[TABLE]")</f>
        <v>Indian Institute of Management Ranchi
More DetailsClose | 
[TABLE]</v>
      </c>
      <c r="C21" s="1" t="str">
        <f ca="1">IFERROR(__xludf.DUMMYFUNCTION("""COMPUTED_VALUE"""),"Ranchi")</f>
        <v>Ranchi</v>
      </c>
      <c r="D21" s="1" t="str">
        <f ca="1">IFERROR(__xludf.DUMMYFUNCTION("""COMPUTED_VALUE"""),"Jharkhand")</f>
        <v>Jharkhand</v>
      </c>
      <c r="E21" s="1">
        <f ca="1">IFERROR(__xludf.DUMMYFUNCTION("""COMPUTED_VALUE"""),55.97)</f>
        <v>55.97</v>
      </c>
      <c r="F21" s="1">
        <f ca="1">IFERROR(__xludf.DUMMYFUNCTION("""COMPUTED_VALUE"""),20)</f>
        <v>20</v>
      </c>
    </row>
    <row r="22" spans="1:6">
      <c r="A22" s="1" t="str">
        <f ca="1">IFERROR(__xludf.DUMMYFUNCTION("""COMPUTED_VALUE"""),"IR-M-S-8895")</f>
        <v>IR-M-S-8895</v>
      </c>
      <c r="B22" s="1" t="str">
        <f ca="1">IFERROR(__xludf.DUMMYFUNCTION("""COMPUTED_VALUE"""),"Indian Institute of Management Rohtak
More DetailsClose | 
[TABLE]")</f>
        <v>Indian Institute of Management Rohtak
More DetailsClose | 
[TABLE]</v>
      </c>
      <c r="C22" s="1" t="str">
        <f ca="1">IFERROR(__xludf.DUMMYFUNCTION("""COMPUTED_VALUE"""),"Rohtak")</f>
        <v>Rohtak</v>
      </c>
      <c r="D22" s="1" t="str">
        <f ca="1">IFERROR(__xludf.DUMMYFUNCTION("""COMPUTED_VALUE"""),"Haryana")</f>
        <v>Haryana</v>
      </c>
      <c r="E22" s="1">
        <f ca="1">IFERROR(__xludf.DUMMYFUNCTION("""COMPUTED_VALUE"""),55.91)</f>
        <v>55.91</v>
      </c>
      <c r="F22" s="1">
        <f ca="1">IFERROR(__xludf.DUMMYFUNCTION("""COMPUTED_VALUE"""),21)</f>
        <v>21</v>
      </c>
    </row>
    <row r="23" spans="1:6">
      <c r="A23" s="1" t="str">
        <f ca="1">IFERROR(__xludf.DUMMYFUNCTION("""COMPUTED_VALUE"""),"IR-M-C-19343")</f>
        <v>IR-M-C-19343</v>
      </c>
      <c r="B23" s="1" t="str">
        <f ca="1">IFERROR(__xludf.DUMMYFUNCTION("""COMPUTED_VALUE"""),"Symbiosis Institute of Business Management
More DetailsClose | 
[TABLE]")</f>
        <v>Symbiosis Institute of Business Management
More DetailsClose | 
[TABLE]</v>
      </c>
      <c r="C23" s="1" t="str">
        <f ca="1">IFERROR(__xludf.DUMMYFUNCTION("""COMPUTED_VALUE"""),"Pune")</f>
        <v>Pune</v>
      </c>
      <c r="D23" s="1" t="str">
        <f ca="1">IFERROR(__xludf.DUMMYFUNCTION("""COMPUTED_VALUE"""),"Maharashtra")</f>
        <v>Maharashtra</v>
      </c>
      <c r="E23" s="1">
        <f ca="1">IFERROR(__xludf.DUMMYFUNCTION("""COMPUTED_VALUE"""),55.82)</f>
        <v>55.82</v>
      </c>
      <c r="F23" s="1">
        <f ca="1">IFERROR(__xludf.DUMMYFUNCTION("""COMPUTED_VALUE"""),22)</f>
        <v>22</v>
      </c>
    </row>
    <row r="24" spans="1:6">
      <c r="A24" s="1" t="str">
        <f ca="1">IFERROR(__xludf.DUMMYFUNCTION("""COMPUTED_VALUE"""),"IR-M-N-16")</f>
        <v>IR-M-N-16</v>
      </c>
      <c r="B24" s="1" t="str">
        <f ca="1">IFERROR(__xludf.DUMMYFUNCTION("""COMPUTED_VALUE"""),"Great Lakes Institute of Management
More DetailsClose | 
[TABLE]")</f>
        <v>Great Lakes Institute of Management
More DetailsClose | 
[TABLE]</v>
      </c>
      <c r="C24" s="1" t="str">
        <f ca="1">IFERROR(__xludf.DUMMYFUNCTION("""COMPUTED_VALUE"""),"Chennai")</f>
        <v>Chennai</v>
      </c>
      <c r="D24" s="1" t="str">
        <f ca="1">IFERROR(__xludf.DUMMYFUNCTION("""COMPUTED_VALUE"""),"Tamil Nadu")</f>
        <v>Tamil Nadu</v>
      </c>
      <c r="E24" s="1">
        <f ca="1">IFERROR(__xludf.DUMMYFUNCTION("""COMPUTED_VALUE"""),55.8)</f>
        <v>55.8</v>
      </c>
      <c r="F24" s="1">
        <f ca="1">IFERROR(__xludf.DUMMYFUNCTION("""COMPUTED_VALUE"""),23)</f>
        <v>23</v>
      </c>
    </row>
    <row r="25" spans="1:6">
      <c r="A25" s="1" t="str">
        <f ca="1">IFERROR(__xludf.DUMMYFUNCTION("""COMPUTED_VALUE"""),"IR-M-N-10")</f>
        <v>IR-M-N-10</v>
      </c>
      <c r="B25" s="1" t="str">
        <f ca="1">IFERROR(__xludf.DUMMYFUNCTION("""COMPUTED_VALUE"""),"SVKM`s Narsee Monjee Institute of Management Studies 
More DetailsClose | 
[TABLE]")</f>
        <v>SVKM`s Narsee Monjee Institute of Management Studies 
More DetailsClose | 
[TABLE]</v>
      </c>
      <c r="C25" s="1" t="str">
        <f ca="1">IFERROR(__xludf.DUMMYFUNCTION("""COMPUTED_VALUE"""),"Mumbai")</f>
        <v>Mumbai</v>
      </c>
      <c r="D25" s="1" t="str">
        <f ca="1">IFERROR(__xludf.DUMMYFUNCTION("""COMPUTED_VALUE"""),"Maharashtra")</f>
        <v>Maharashtra</v>
      </c>
      <c r="E25" s="1">
        <f ca="1">IFERROR(__xludf.DUMMYFUNCTION("""COMPUTED_VALUE"""),55.44)</f>
        <v>55.44</v>
      </c>
      <c r="F25" s="1">
        <f ca="1">IFERROR(__xludf.DUMMYFUNCTION("""COMPUTED_VALUE"""),24)</f>
        <v>24</v>
      </c>
    </row>
    <row r="26" spans="1:6">
      <c r="A26" s="1" t="str">
        <f ca="1">IFERROR(__xludf.DUMMYFUNCTION("""COMPUTED_VALUE"""),"IR-M-U-0012")</f>
        <v>IR-M-U-0012</v>
      </c>
      <c r="B26" s="1" t="str">
        <f ca="1">IFERROR(__xludf.DUMMYFUNCTION("""COMPUTED_VALUE"""),"ICFAI Foundation for Higher Education
More DetailsClose | 
[TABLE]")</f>
        <v>ICFAI Foundation for Higher Education
More DetailsClose | 
[TABLE]</v>
      </c>
      <c r="C26" s="1" t="str">
        <f ca="1">IFERROR(__xludf.DUMMYFUNCTION("""COMPUTED_VALUE"""),"Hyderabad")</f>
        <v>Hyderabad</v>
      </c>
      <c r="D26" s="1" t="str">
        <f ca="1">IFERROR(__xludf.DUMMYFUNCTION("""COMPUTED_VALUE"""),"Telangana")</f>
        <v>Telangana</v>
      </c>
      <c r="E26" s="1">
        <f ca="1">IFERROR(__xludf.DUMMYFUNCTION("""COMPUTED_VALUE"""),55.21)</f>
        <v>55.21</v>
      </c>
      <c r="F26" s="1">
        <f ca="1">IFERROR(__xludf.DUMMYFUNCTION("""COMPUTED_VALUE"""),25)</f>
        <v>25</v>
      </c>
    </row>
    <row r="27" spans="1:6">
      <c r="A27" s="1" t="str">
        <f ca="1">IFERROR(__xludf.DUMMYFUNCTION("""COMPUTED_VALUE"""),"IR-M-U-0102")</f>
        <v>IR-M-U-0102</v>
      </c>
      <c r="B27" s="1" t="str">
        <f ca="1">IFERROR(__xludf.DUMMYFUNCTION("""COMPUTED_VALUE"""),"Indian Institute of Foreign Trade
More DetailsClose | 
[TABLE]")</f>
        <v>Indian Institute of Foreign Trade
More DetailsClose | 
[TABLE]</v>
      </c>
      <c r="C27" s="1" t="str">
        <f ca="1">IFERROR(__xludf.DUMMYFUNCTION("""COMPUTED_VALUE"""),"New Delhi")</f>
        <v>New Delhi</v>
      </c>
      <c r="D27" s="1" t="str">
        <f ca="1">IFERROR(__xludf.DUMMYFUNCTION("""COMPUTED_VALUE"""),"Delhi")</f>
        <v>Delhi</v>
      </c>
      <c r="E27" s="1">
        <f ca="1">IFERROR(__xludf.DUMMYFUNCTION("""COMPUTED_VALUE"""),55.01)</f>
        <v>55.01</v>
      </c>
      <c r="F27" s="1">
        <f ca="1">IFERROR(__xludf.DUMMYFUNCTION("""COMPUTED_VALUE"""),26)</f>
        <v>26</v>
      </c>
    </row>
    <row r="28" spans="1:6">
      <c r="A28" s="1" t="str">
        <f ca="1">IFERROR(__xludf.DUMMYFUNCTION("""COMPUTED_VALUE"""),"IR-M-S-156")</f>
        <v>IR-M-S-156</v>
      </c>
      <c r="B28" s="1" t="str">
        <f ca="1">IFERROR(__xludf.DUMMYFUNCTION("""COMPUTED_VALUE"""),"T. A. Pai Management Institute
More DetailsClose | 
[TABLE]")</f>
        <v>T. A. Pai Management Institute
More DetailsClose | 
[TABLE]</v>
      </c>
      <c r="C28" s="1" t="str">
        <f ca="1">IFERROR(__xludf.DUMMYFUNCTION("""COMPUTED_VALUE"""),"Manipal")</f>
        <v>Manipal</v>
      </c>
      <c r="D28" s="1" t="str">
        <f ca="1">IFERROR(__xludf.DUMMYFUNCTION("""COMPUTED_VALUE"""),"Karnataka")</f>
        <v>Karnataka</v>
      </c>
      <c r="E28" s="1">
        <f ca="1">IFERROR(__xludf.DUMMYFUNCTION("""COMPUTED_VALUE"""),54.85)</f>
        <v>54.85</v>
      </c>
      <c r="F28" s="1">
        <f ca="1">IFERROR(__xludf.DUMMYFUNCTION("""COMPUTED_VALUE"""),27)</f>
        <v>27</v>
      </c>
    </row>
    <row r="29" spans="1:6">
      <c r="A29" s="1" t="str">
        <f ca="1">IFERROR(__xludf.DUMMYFUNCTION("""COMPUTED_VALUE"""),"IR-M-I-1064")</f>
        <v>IR-M-I-1064</v>
      </c>
      <c r="B29" s="1" t="str">
        <f ca="1">IFERROR(__xludf.DUMMYFUNCTION("""COMPUTED_VALUE"""),"International Management Institute
More DetailsClose | 
[TABLE]")</f>
        <v>International Management Institute
More DetailsClose | 
[TABLE]</v>
      </c>
      <c r="C29" s="1" t="str">
        <f ca="1">IFERROR(__xludf.DUMMYFUNCTION("""COMPUTED_VALUE"""),"New Delhi")</f>
        <v>New Delhi</v>
      </c>
      <c r="D29" s="1" t="str">
        <f ca="1">IFERROR(__xludf.DUMMYFUNCTION("""COMPUTED_VALUE"""),"Delhi")</f>
        <v>Delhi</v>
      </c>
      <c r="E29" s="1">
        <f ca="1">IFERROR(__xludf.DUMMYFUNCTION("""COMPUTED_VALUE"""),54.65)</f>
        <v>54.65</v>
      </c>
      <c r="F29" s="1">
        <f ca="1">IFERROR(__xludf.DUMMYFUNCTION("""COMPUTED_VALUE"""),28)</f>
        <v>28</v>
      </c>
    </row>
    <row r="30" spans="1:6">
      <c r="A30" s="1" t="str">
        <f ca="1">IFERROR(__xludf.DUMMYFUNCTION("""COMPUTED_VALUE"""),"IR-M-U-0205")</f>
        <v>IR-M-U-0205</v>
      </c>
      <c r="B30" s="1" t="str">
        <f ca="1">IFERROR(__xludf.DUMMYFUNCTION("""COMPUTED_VALUE"""),"Indian Institute of Technology (Indian School of Mines)
More DetailsClose | 
[TABLE]")</f>
        <v>Indian Institute of Technology (Indian School of Mines)
More DetailsClose | 
[TABLE]</v>
      </c>
      <c r="C30" s="1" t="str">
        <f ca="1">IFERROR(__xludf.DUMMYFUNCTION("""COMPUTED_VALUE"""),"Dhanbad")</f>
        <v>Dhanbad</v>
      </c>
      <c r="D30" s="1" t="str">
        <f ca="1">IFERROR(__xludf.DUMMYFUNCTION("""COMPUTED_VALUE"""),"Jharkhand")</f>
        <v>Jharkhand</v>
      </c>
      <c r="E30" s="1">
        <f ca="1">IFERROR(__xludf.DUMMYFUNCTION("""COMPUTED_VALUE"""),53.71)</f>
        <v>53.71</v>
      </c>
      <c r="F30" s="1">
        <f ca="1">IFERROR(__xludf.DUMMYFUNCTION("""COMPUTED_VALUE"""),29)</f>
        <v>29</v>
      </c>
    </row>
    <row r="31" spans="1:6">
      <c r="A31" s="1" t="str">
        <f ca="1">IFERROR(__xludf.DUMMYFUNCTION("""COMPUTED_VALUE"""),"IR-M-S-8937")</f>
        <v>IR-M-S-8937</v>
      </c>
      <c r="B31" s="1" t="str">
        <f ca="1">IFERROR(__xludf.DUMMYFUNCTION("""COMPUTED_VALUE"""),"Indian Institute of Management Shillong
More DetailsClose | 
[TABLE]")</f>
        <v>Indian Institute of Management Shillong
More DetailsClose | 
[TABLE]</v>
      </c>
      <c r="C31" s="1" t="str">
        <f ca="1">IFERROR(__xludf.DUMMYFUNCTION("""COMPUTED_VALUE"""),"Shillong")</f>
        <v>Shillong</v>
      </c>
      <c r="D31" s="1" t="str">
        <f ca="1">IFERROR(__xludf.DUMMYFUNCTION("""COMPUTED_VALUE"""),"Meghalaya")</f>
        <v>Meghalaya</v>
      </c>
      <c r="E31" s="1">
        <f ca="1">IFERROR(__xludf.DUMMYFUNCTION("""COMPUTED_VALUE"""),53.56)</f>
        <v>53.56</v>
      </c>
      <c r="F31" s="1">
        <f ca="1">IFERROR(__xludf.DUMMYFUNCTION("""COMPUTED_VALUE"""),30)</f>
        <v>30</v>
      </c>
    </row>
    <row r="32" spans="1:6">
      <c r="A32" s="1" t="str">
        <f ca="1">IFERROR(__xludf.DUMMYFUNCTION("""COMPUTED_VALUE"""),"IR-M-N-354")</f>
        <v>IR-M-N-354</v>
      </c>
      <c r="B32" s="1" t="str">
        <f ca="1">IFERROR(__xludf.DUMMYFUNCTION("""COMPUTED_VALUE"""),"Xavier Institute of Management (XIMB)
More DetailsClose | 
[TABLE]")</f>
        <v>Xavier Institute of Management (XIMB)
More DetailsClose | 
[TABLE]</v>
      </c>
      <c r="C32" s="1" t="str">
        <f ca="1">IFERROR(__xludf.DUMMYFUNCTION("""COMPUTED_VALUE"""),"Bhubaneswar")</f>
        <v>Bhubaneswar</v>
      </c>
      <c r="D32" s="1" t="str">
        <f ca="1">IFERROR(__xludf.DUMMYFUNCTION("""COMPUTED_VALUE"""),"Odisha")</f>
        <v>Odisha</v>
      </c>
      <c r="E32" s="1">
        <f ca="1">IFERROR(__xludf.DUMMYFUNCTION("""COMPUTED_VALUE"""),52.55)</f>
        <v>52.55</v>
      </c>
      <c r="F32" s="1">
        <f ca="1">IFERROR(__xludf.DUMMYFUNCTION("""COMPUTED_VALUE"""),31)</f>
        <v>31</v>
      </c>
    </row>
    <row r="33" spans="1:6">
      <c r="A33" s="1" t="str">
        <f ca="1">IFERROR(__xludf.DUMMYFUNCTION("""COMPUTED_VALUE"""),"IR-M-U-0356")</f>
        <v>IR-M-U-0356</v>
      </c>
      <c r="B33" s="1" t="str">
        <f ca="1">IFERROR(__xludf.DUMMYFUNCTION("""COMPUTED_VALUE"""),"Kalinga Institute of Industrial Technology
More DetailsClose | 
[TABLE]")</f>
        <v>Kalinga Institute of Industrial Technology
More DetailsClose | 
[TABLE]</v>
      </c>
      <c r="C33" s="1" t="str">
        <f ca="1">IFERROR(__xludf.DUMMYFUNCTION("""COMPUTED_VALUE"""),"Bhubaneswar")</f>
        <v>Bhubaneswar</v>
      </c>
      <c r="D33" s="1" t="str">
        <f ca="1">IFERROR(__xludf.DUMMYFUNCTION("""COMPUTED_VALUE"""),"Odisha")</f>
        <v>Odisha</v>
      </c>
      <c r="E33" s="1">
        <f ca="1">IFERROR(__xludf.DUMMYFUNCTION("""COMPUTED_VALUE"""),52.15)</f>
        <v>52.15</v>
      </c>
      <c r="F33" s="1">
        <f ca="1">IFERROR(__xludf.DUMMYFUNCTION("""COMPUTED_VALUE"""),32)</f>
        <v>32</v>
      </c>
    </row>
    <row r="34" spans="1:6">
      <c r="A34" s="1" t="str">
        <f ca="1">IFERROR(__xludf.DUMMYFUNCTION("""COMPUTED_VALUE"""),"IR-M-S-8967")</f>
        <v>IR-M-S-8967</v>
      </c>
      <c r="B34" s="1" t="str">
        <f ca="1">IFERROR(__xludf.DUMMYFUNCTION("""COMPUTED_VALUE"""),"Indian Institute of Management Kashipur
More DetailsClose | 
[TABLE]")</f>
        <v>Indian Institute of Management Kashipur
More DetailsClose | 
[TABLE]</v>
      </c>
      <c r="C34" s="1" t="str">
        <f ca="1">IFERROR(__xludf.DUMMYFUNCTION("""COMPUTED_VALUE"""),"Kashipur")</f>
        <v>Kashipur</v>
      </c>
      <c r="D34" s="1" t="str">
        <f ca="1">IFERROR(__xludf.DUMMYFUNCTION("""COMPUTED_VALUE"""),"Uttarakhand")</f>
        <v>Uttarakhand</v>
      </c>
      <c r="E34" s="1">
        <f ca="1">IFERROR(__xludf.DUMMYFUNCTION("""COMPUTED_VALUE"""),52.07)</f>
        <v>52.07</v>
      </c>
      <c r="F34" s="1">
        <f ca="1">IFERROR(__xludf.DUMMYFUNCTION("""COMPUTED_VALUE"""),33)</f>
        <v>33</v>
      </c>
    </row>
    <row r="35" spans="1:6">
      <c r="A35" s="1" t="str">
        <f ca="1">IFERROR(__xludf.DUMMYFUNCTION("""COMPUTED_VALUE"""),"IR-M-U-0108")</f>
        <v>IR-M-U-0108</v>
      </c>
      <c r="B35" s="1" t="str">
        <f ca="1">IFERROR(__xludf.DUMMYFUNCTION("""COMPUTED_VALUE"""),"Jamia Millia Islamia
More DetailsClose | 
[TABLE]")</f>
        <v>Jamia Millia Islamia
More DetailsClose | 
[TABLE]</v>
      </c>
      <c r="C35" s="1" t="str">
        <f ca="1">IFERROR(__xludf.DUMMYFUNCTION("""COMPUTED_VALUE"""),"New Delhi")</f>
        <v>New Delhi</v>
      </c>
      <c r="D35" s="1" t="str">
        <f ca="1">IFERROR(__xludf.DUMMYFUNCTION("""COMPUTED_VALUE"""),"Delhi")</f>
        <v>Delhi</v>
      </c>
      <c r="E35" s="1">
        <f ca="1">IFERROR(__xludf.DUMMYFUNCTION("""COMPUTED_VALUE"""),51.41)</f>
        <v>51.41</v>
      </c>
      <c r="F35" s="1">
        <f ca="1">IFERROR(__xludf.DUMMYFUNCTION("""COMPUTED_VALUE"""),34)</f>
        <v>34</v>
      </c>
    </row>
    <row r="36" spans="1:6">
      <c r="A36" s="1" t="str">
        <f ca="1">IFERROR(__xludf.DUMMYFUNCTION("""COMPUTED_VALUE"""),"IR-M-U-0467")</f>
        <v>IR-M-U-0467</v>
      </c>
      <c r="B36" s="1" t="str">
        <f ca="1">IFERROR(__xludf.DUMMYFUNCTION("""COMPUTED_VALUE"""),"National Institute of Technology Tiruchirappalli
More DetailsClose | 
[TABLE]")</f>
        <v>National Institute of Technology Tiruchirappalli
More DetailsClose | 
[TABLE]</v>
      </c>
      <c r="C36" s="1" t="str">
        <f ca="1">IFERROR(__xludf.DUMMYFUNCTION("""COMPUTED_VALUE"""),"Tiruchirappalli")</f>
        <v>Tiruchirappalli</v>
      </c>
      <c r="D36" s="1" t="str">
        <f ca="1">IFERROR(__xludf.DUMMYFUNCTION("""COMPUTED_VALUE"""),"Tamil Nadu")</f>
        <v>Tamil Nadu</v>
      </c>
      <c r="E36" s="1">
        <f ca="1">IFERROR(__xludf.DUMMYFUNCTION("""COMPUTED_VALUE"""),50.49)</f>
        <v>50.49</v>
      </c>
      <c r="F36" s="1">
        <f ca="1">IFERROR(__xludf.DUMMYFUNCTION("""COMPUTED_VALUE"""),35)</f>
        <v>35</v>
      </c>
    </row>
    <row r="37" spans="1:6">
      <c r="A37" s="1" t="str">
        <f ca="1">IFERROR(__xludf.DUMMYFUNCTION("""COMPUTED_VALUE"""),"IR-M-U-0500")</f>
        <v>IR-M-U-0500</v>
      </c>
      <c r="B37" s="1" t="str">
        <f ca="1">IFERROR(__xludf.DUMMYFUNCTION("""COMPUTED_VALUE"""),"Banaras Hindu University
More DetailsClose | 
[TABLE]")</f>
        <v>Banaras Hindu University
More DetailsClose | 
[TABLE]</v>
      </c>
      <c r="C37" s="1" t="str">
        <f ca="1">IFERROR(__xludf.DUMMYFUNCTION("""COMPUTED_VALUE"""),"Varanasi")</f>
        <v>Varanasi</v>
      </c>
      <c r="D37" s="1" t="str">
        <f ca="1">IFERROR(__xludf.DUMMYFUNCTION("""COMPUTED_VALUE"""),"Uttar Pradesh")</f>
        <v>Uttar Pradesh</v>
      </c>
      <c r="E37" s="1">
        <f ca="1">IFERROR(__xludf.DUMMYFUNCTION("""COMPUTED_VALUE"""),49.51)</f>
        <v>49.51</v>
      </c>
      <c r="F37" s="1">
        <f ca="1">IFERROR(__xludf.DUMMYFUNCTION("""COMPUTED_VALUE"""),36)</f>
        <v>36</v>
      </c>
    </row>
    <row r="38" spans="1:6">
      <c r="A38" s="1" t="str">
        <f ca="1">IFERROR(__xludf.DUMMYFUNCTION("""COMPUTED_VALUE"""),"IR-M-S-394")</f>
        <v>IR-M-S-394</v>
      </c>
      <c r="B38" s="1" t="str">
        <f ca="1">IFERROR(__xludf.DUMMYFUNCTION("""COMPUTED_VALUE"""),"Institute of Management Technology
More DetailsClose | 
[TABLE]")</f>
        <v>Institute of Management Technology
More DetailsClose | 
[TABLE]</v>
      </c>
      <c r="C38" s="1" t="str">
        <f ca="1">IFERROR(__xludf.DUMMYFUNCTION("""COMPUTED_VALUE"""),"Ghaziabad")</f>
        <v>Ghaziabad</v>
      </c>
      <c r="D38" s="1" t="str">
        <f ca="1">IFERROR(__xludf.DUMMYFUNCTION("""COMPUTED_VALUE"""),"Uttar Pradesh")</f>
        <v>Uttar Pradesh</v>
      </c>
      <c r="E38" s="1">
        <f ca="1">IFERROR(__xludf.DUMMYFUNCTION("""COMPUTED_VALUE"""),48.27)</f>
        <v>48.27</v>
      </c>
      <c r="F38" s="1">
        <f ca="1">IFERROR(__xludf.DUMMYFUNCTION("""COMPUTED_VALUE"""),37)</f>
        <v>37</v>
      </c>
    </row>
    <row r="39" spans="1:6">
      <c r="A39" s="1" t="str">
        <f ca="1">IFERROR(__xludf.DUMMYFUNCTION("""COMPUTED_VALUE"""),"IR-M-U-0735")</f>
        <v>IR-M-U-0735</v>
      </c>
      <c r="B39" s="1" t="str">
        <f ca="1">IFERROR(__xludf.DUMMYFUNCTION("""COMPUTED_VALUE"""),"BML Munjal University
More DetailsClose | 
[TABLE]")</f>
        <v>BML Munjal University
More DetailsClose | 
[TABLE]</v>
      </c>
      <c r="C39" s="1" t="str">
        <f ca="1">IFERROR(__xludf.DUMMYFUNCTION("""COMPUTED_VALUE"""),"Gurgaon")</f>
        <v>Gurgaon</v>
      </c>
      <c r="D39" s="1" t="str">
        <f ca="1">IFERROR(__xludf.DUMMYFUNCTION("""COMPUTED_VALUE"""),"Haryana")</f>
        <v>Haryana</v>
      </c>
      <c r="E39" s="1">
        <f ca="1">IFERROR(__xludf.DUMMYFUNCTION("""COMPUTED_VALUE"""),48.27)</f>
        <v>48.27</v>
      </c>
      <c r="F39" s="1">
        <f ca="1">IFERROR(__xludf.DUMMYFUNCTION("""COMPUTED_VALUE"""),37)</f>
        <v>37</v>
      </c>
    </row>
    <row r="40" spans="1:6">
      <c r="A40" s="1" t="str">
        <f ca="1">IFERROR(__xludf.DUMMYFUNCTION("""COMPUTED_VALUE"""),"IR-M-U-0213")</f>
        <v>IR-M-U-0213</v>
      </c>
      <c r="B40" s="1" t="str">
        <f ca="1">IFERROR(__xludf.DUMMYFUNCTION("""COMPUTED_VALUE"""),"Alliance University
More DetailsClose | 
[TABLE]")</f>
        <v>Alliance University
More DetailsClose | 
[TABLE]</v>
      </c>
      <c r="C40" s="1" t="str">
        <f ca="1">IFERROR(__xludf.DUMMYFUNCTION("""COMPUTED_VALUE"""),"Bengaluru")</f>
        <v>Bengaluru</v>
      </c>
      <c r="D40" s="1" t="str">
        <f ca="1">IFERROR(__xludf.DUMMYFUNCTION("""COMPUTED_VALUE"""),"Karnataka")</f>
        <v>Karnataka</v>
      </c>
      <c r="E40" s="1">
        <f ca="1">IFERROR(__xludf.DUMMYFUNCTION("""COMPUTED_VALUE"""),47.47)</f>
        <v>47.47</v>
      </c>
      <c r="F40" s="1">
        <f ca="1">IFERROR(__xludf.DUMMYFUNCTION("""COMPUTED_VALUE"""),39)</f>
        <v>39</v>
      </c>
    </row>
    <row r="41" spans="1:6">
      <c r="A41" s="1" t="str">
        <f ca="1">IFERROR(__xludf.DUMMYFUNCTION("""COMPUTED_VALUE"""),"IR-M-S-15962")</f>
        <v>IR-M-S-15962</v>
      </c>
      <c r="B41" s="1" t="str">
        <f ca="1">IFERROR(__xludf.DUMMYFUNCTION("""COMPUTED_VALUE"""),"Indian Institute of Management
More DetailsClose | 
[TABLE]")</f>
        <v>Indian Institute of Management
More DetailsClose | 
[TABLE]</v>
      </c>
      <c r="C41" s="1" t="str">
        <f ca="1">IFERROR(__xludf.DUMMYFUNCTION("""COMPUTED_VALUE"""),"Nagpur")</f>
        <v>Nagpur</v>
      </c>
      <c r="D41" s="1" t="str">
        <f ca="1">IFERROR(__xludf.DUMMYFUNCTION("""COMPUTED_VALUE"""),"Maharashtra")</f>
        <v>Maharashtra</v>
      </c>
      <c r="E41" s="1">
        <f ca="1">IFERROR(__xludf.DUMMYFUNCTION("""COMPUTED_VALUE"""),47.38)</f>
        <v>47.38</v>
      </c>
      <c r="F41" s="1">
        <f ca="1">IFERROR(__xludf.DUMMYFUNCTION("""COMPUTED_VALUE"""),40)</f>
        <v>40</v>
      </c>
    </row>
    <row r="42" spans="1:6">
      <c r="A42" s="1" t="str">
        <f ca="1">IFERROR(__xludf.DUMMYFUNCTION("""COMPUTED_VALUE"""),"IR-M-U-0497")</f>
        <v>IR-M-U-0497</v>
      </c>
      <c r="B42" s="1" t="str">
        <f ca="1">IFERROR(__xludf.DUMMYFUNCTION("""COMPUTED_VALUE"""),"Amity University Noida
More DetailsClose | 
[TABLE]")</f>
        <v>Amity University Noida
More DetailsClose | 
[TABLE]</v>
      </c>
      <c r="C42" s="1" t="str">
        <f ca="1">IFERROR(__xludf.DUMMYFUNCTION("""COMPUTED_VALUE"""),"Gautam Budh Nagar")</f>
        <v>Gautam Budh Nagar</v>
      </c>
      <c r="D42" s="1" t="str">
        <f ca="1">IFERROR(__xludf.DUMMYFUNCTION("""COMPUTED_VALUE"""),"Uttar Pradesh")</f>
        <v>Uttar Pradesh</v>
      </c>
      <c r="E42" s="1">
        <f ca="1">IFERROR(__xludf.DUMMYFUNCTION("""COMPUTED_VALUE"""),47.35)</f>
        <v>47.35</v>
      </c>
      <c r="F42" s="1">
        <f ca="1">IFERROR(__xludf.DUMMYFUNCTION("""COMPUTED_VALUE"""),41)</f>
        <v>41</v>
      </c>
    </row>
    <row r="43" spans="1:6">
      <c r="A43" s="1" t="str">
        <f ca="1">IFERROR(__xludf.DUMMYFUNCTION("""COMPUTED_VALUE"""),"IR-M-U-0078")</f>
        <v>IR-M-U-0078</v>
      </c>
      <c r="B43" s="1" t="str">
        <f ca="1">IFERROR(__xludf.DUMMYFUNCTION("""COMPUTED_VALUE"""),"Panjab University
More DetailsClose | 
[TABLE]")</f>
        <v>Panjab University
More DetailsClose | 
[TABLE]</v>
      </c>
      <c r="C43" s="1" t="str">
        <f ca="1">IFERROR(__xludf.DUMMYFUNCTION("""COMPUTED_VALUE"""),"Chandigarh")</f>
        <v>Chandigarh</v>
      </c>
      <c r="D43" s="1" t="str">
        <f ca="1">IFERROR(__xludf.DUMMYFUNCTION("""COMPUTED_VALUE"""),"Chandigarh")</f>
        <v>Chandigarh</v>
      </c>
      <c r="E43" s="1">
        <f ca="1">IFERROR(__xludf.DUMMYFUNCTION("""COMPUTED_VALUE"""),47.22)</f>
        <v>47.22</v>
      </c>
      <c r="F43" s="1">
        <f ca="1">IFERROR(__xludf.DUMMYFUNCTION("""COMPUTED_VALUE"""),42)</f>
        <v>42</v>
      </c>
    </row>
    <row r="44" spans="1:6">
      <c r="A44" s="1" t="str">
        <f ca="1">IFERROR(__xludf.DUMMYFUNCTION("""COMPUTED_VALUE"""),"IR-M-I-1066")</f>
        <v>IR-M-I-1066</v>
      </c>
      <c r="B44" s="1" t="str">
        <f ca="1">IFERROR(__xludf.DUMMYFUNCTION("""COMPUTED_VALUE"""),"FORE School of Management
More DetailsClose | 
[TABLE]")</f>
        <v>FORE School of Management
More DetailsClose | 
[TABLE]</v>
      </c>
      <c r="C44" s="1" t="str">
        <f ca="1">IFERROR(__xludf.DUMMYFUNCTION("""COMPUTED_VALUE"""),"New Delhi")</f>
        <v>New Delhi</v>
      </c>
      <c r="D44" s="1" t="str">
        <f ca="1">IFERROR(__xludf.DUMMYFUNCTION("""COMPUTED_VALUE"""),"Delhi")</f>
        <v>Delhi</v>
      </c>
      <c r="E44" s="1">
        <f ca="1">IFERROR(__xludf.DUMMYFUNCTION("""COMPUTED_VALUE"""),47.11)</f>
        <v>47.11</v>
      </c>
      <c r="F44" s="1">
        <f ca="1">IFERROR(__xludf.DUMMYFUNCTION("""COMPUTED_VALUE"""),43)</f>
        <v>43</v>
      </c>
    </row>
    <row r="45" spans="1:6">
      <c r="A45" s="1" t="str">
        <f ca="1">IFERROR(__xludf.DUMMYFUNCTION("""COMPUTED_VALUE"""),"IR-M-U-0146")</f>
        <v>IR-M-U-0146</v>
      </c>
      <c r="B45" s="1" t="str">
        <f ca="1">IFERROR(__xludf.DUMMYFUNCTION("""COMPUTED_VALUE"""),"Nirma University
More DetailsClose | 
[TABLE]")</f>
        <v>Nirma University
More DetailsClose | 
[TABLE]</v>
      </c>
      <c r="C45" s="1" t="str">
        <f ca="1">IFERROR(__xludf.DUMMYFUNCTION("""COMPUTED_VALUE"""),"Ahmedabad")</f>
        <v>Ahmedabad</v>
      </c>
      <c r="D45" s="1" t="str">
        <f ca="1">IFERROR(__xludf.DUMMYFUNCTION("""COMPUTED_VALUE"""),"Gujarat")</f>
        <v>Gujarat</v>
      </c>
      <c r="E45" s="1">
        <f ca="1">IFERROR(__xludf.DUMMYFUNCTION("""COMPUTED_VALUE"""),46.75)</f>
        <v>46.75</v>
      </c>
      <c r="F45" s="1">
        <f ca="1">IFERROR(__xludf.DUMMYFUNCTION("""COMPUTED_VALUE"""),44)</f>
        <v>44</v>
      </c>
    </row>
    <row r="46" spans="1:6">
      <c r="A46" s="1" t="str">
        <f ca="1">IFERROR(__xludf.DUMMYFUNCTION("""COMPUTED_VALUE"""),"IR-M-U-0496")</f>
        <v>IR-M-U-0496</v>
      </c>
      <c r="B46" s="1" t="str">
        <f ca="1">IFERROR(__xludf.DUMMYFUNCTION("""COMPUTED_VALUE"""),"Aligarh Muslim University
More DetailsClose | 
[TABLE]")</f>
        <v>Aligarh Muslim University
More DetailsClose | 
[TABLE]</v>
      </c>
      <c r="C46" s="1" t="str">
        <f ca="1">IFERROR(__xludf.DUMMYFUNCTION("""COMPUTED_VALUE"""),"Aligarh")</f>
        <v>Aligarh</v>
      </c>
      <c r="D46" s="1" t="str">
        <f ca="1">IFERROR(__xludf.DUMMYFUNCTION("""COMPUTED_VALUE"""),"Uttar Pradesh")</f>
        <v>Uttar Pradesh</v>
      </c>
      <c r="E46" s="1">
        <f ca="1">IFERROR(__xludf.DUMMYFUNCTION("""COMPUTED_VALUE"""),46.71)</f>
        <v>46.71</v>
      </c>
      <c r="F46" s="1">
        <f ca="1">IFERROR(__xludf.DUMMYFUNCTION("""COMPUTED_VALUE"""),45)</f>
        <v>45</v>
      </c>
    </row>
    <row r="47" spans="1:6">
      <c r="A47" s="1" t="str">
        <f ca="1">IFERROR(__xludf.DUMMYFUNCTION("""COMPUTED_VALUE"""),"IR-M-C-37013")</f>
        <v>IR-M-C-37013</v>
      </c>
      <c r="B47" s="1" t="str">
        <f ca="1">IFERROR(__xludf.DUMMYFUNCTION("""COMPUTED_VALUE"""),"PSG College of Technology
More DetailsClose | 
[TABLE]")</f>
        <v>PSG College of Technology
More DetailsClose | 
[TABLE]</v>
      </c>
      <c r="C47" s="1" t="str">
        <f ca="1">IFERROR(__xludf.DUMMYFUNCTION("""COMPUTED_VALUE"""),"Coimbatore")</f>
        <v>Coimbatore</v>
      </c>
      <c r="D47" s="1" t="str">
        <f ca="1">IFERROR(__xludf.DUMMYFUNCTION("""COMPUTED_VALUE"""),"Tamil Nadu")</f>
        <v>Tamil Nadu</v>
      </c>
      <c r="E47" s="1">
        <f ca="1">IFERROR(__xludf.DUMMYFUNCTION("""COMPUTED_VALUE"""),46.69)</f>
        <v>46.69</v>
      </c>
      <c r="F47" s="1">
        <f ca="1">IFERROR(__xludf.DUMMYFUNCTION("""COMPUTED_VALUE"""),46)</f>
        <v>46</v>
      </c>
    </row>
    <row r="48" spans="1:6">
      <c r="A48" s="1" t="str">
        <f ca="1">IFERROR(__xludf.DUMMYFUNCTION("""COMPUTED_VALUE"""),"IR-M-S-354")</f>
        <v>IR-M-S-354</v>
      </c>
      <c r="B48" s="1" t="str">
        <f ca="1">IFERROR(__xludf.DUMMYFUNCTION("""COMPUTED_VALUE"""),"Birla Institute of Management Technology
More DetailsClose | 
[TABLE]")</f>
        <v>Birla Institute of Management Technology
More DetailsClose | 
[TABLE]</v>
      </c>
      <c r="C48" s="1" t="str">
        <f ca="1">IFERROR(__xludf.DUMMYFUNCTION("""COMPUTED_VALUE"""),"Greater Noida")</f>
        <v>Greater Noida</v>
      </c>
      <c r="D48" s="1" t="str">
        <f ca="1">IFERROR(__xludf.DUMMYFUNCTION("""COMPUTED_VALUE"""),"Uttar Pradesh")</f>
        <v>Uttar Pradesh</v>
      </c>
      <c r="E48" s="1">
        <f ca="1">IFERROR(__xludf.DUMMYFUNCTION("""COMPUTED_VALUE"""),46.65)</f>
        <v>46.65</v>
      </c>
      <c r="F48" s="1">
        <f ca="1">IFERROR(__xludf.DUMMYFUNCTION("""COMPUTED_VALUE"""),47)</f>
        <v>47</v>
      </c>
    </row>
    <row r="49" spans="1:6">
      <c r="A49" s="1" t="str">
        <f ca="1">IFERROR(__xludf.DUMMYFUNCTION("""COMPUTED_VALUE"""),"IR-M-S-87")</f>
        <v>IR-M-S-87</v>
      </c>
      <c r="B49" s="1" t="str">
        <f ca="1">IFERROR(__xludf.DUMMYFUNCTION("""COMPUTED_VALUE"""),"Goa Institute of Management
More DetailsClose | 
[TABLE]")</f>
        <v>Goa Institute of Management
More DetailsClose | 
[TABLE]</v>
      </c>
      <c r="C49" s="1" t="str">
        <f ca="1">IFERROR(__xludf.DUMMYFUNCTION("""COMPUTED_VALUE"""),"Sanquelim")</f>
        <v>Sanquelim</v>
      </c>
      <c r="D49" s="1" t="str">
        <f ca="1">IFERROR(__xludf.DUMMYFUNCTION("""COMPUTED_VALUE"""),"Goa")</f>
        <v>Goa</v>
      </c>
      <c r="E49" s="1">
        <f ca="1">IFERROR(__xludf.DUMMYFUNCTION("""COMPUTED_VALUE"""),46.63)</f>
        <v>46.63</v>
      </c>
      <c r="F49" s="1">
        <f ca="1">IFERROR(__xludf.DUMMYFUNCTION("""COMPUTED_VALUE"""),48)</f>
        <v>48</v>
      </c>
    </row>
    <row r="50" spans="1:6">
      <c r="A50" s="1" t="str">
        <f ca="1">IFERROR(__xludf.DUMMYFUNCTION("""COMPUTED_VALUE"""),"IR-M-U-0379")</f>
        <v>IR-M-U-0379</v>
      </c>
      <c r="B50" s="1" t="str">
        <f ca="1">IFERROR(__xludf.DUMMYFUNCTION("""COMPUTED_VALUE"""),"Lovely Professional University
More DetailsClose | 
[TABLE]")</f>
        <v>Lovely Professional University
More DetailsClose | 
[TABLE]</v>
      </c>
      <c r="C50" s="1" t="str">
        <f ca="1">IFERROR(__xludf.DUMMYFUNCTION("""COMPUTED_VALUE"""),"Phagwara")</f>
        <v>Phagwara</v>
      </c>
      <c r="D50" s="1" t="str">
        <f ca="1">IFERROR(__xludf.DUMMYFUNCTION("""COMPUTED_VALUE"""),"Punjab")</f>
        <v>Punjab</v>
      </c>
      <c r="E50" s="1">
        <f ca="1">IFERROR(__xludf.DUMMYFUNCTION("""COMPUTED_VALUE"""),46.58)</f>
        <v>46.58</v>
      </c>
      <c r="F50" s="1">
        <f ca="1">IFERROR(__xludf.DUMMYFUNCTION("""COMPUTED_VALUE"""),49)</f>
        <v>49</v>
      </c>
    </row>
    <row r="51" spans="1:6">
      <c r="A51" s="1" t="str">
        <f ca="1">IFERROR(__xludf.DUMMYFUNCTION("""COMPUTED_VALUE"""),"IR-M-S-331")</f>
        <v>IR-M-S-331</v>
      </c>
      <c r="B51" s="1" t="str">
        <f ca="1">IFERROR(__xludf.DUMMYFUNCTION("""COMPUTED_VALUE"""),"Loyola Institute of Business Administration
More DetailsClose | 
[TABLE]")</f>
        <v>Loyola Institute of Business Administration
More DetailsClose | 
[TABLE]</v>
      </c>
      <c r="C51" s="1" t="str">
        <f ca="1">IFERROR(__xludf.DUMMYFUNCTION("""COMPUTED_VALUE"""),"Chennai")</f>
        <v>Chennai</v>
      </c>
      <c r="D51" s="1" t="str">
        <f ca="1">IFERROR(__xludf.DUMMYFUNCTION("""COMPUTED_VALUE"""),"Tamil Nadu")</f>
        <v>Tamil Nadu</v>
      </c>
      <c r="E51" s="1">
        <f ca="1">IFERROR(__xludf.DUMMYFUNCTION("""COMPUTED_VALUE"""),46.51)</f>
        <v>46.51</v>
      </c>
      <c r="F51" s="1">
        <f ca="1">IFERROR(__xludf.DUMMYFUNCTION("""COMPUTED_VALUE"""),50)</f>
        <v>50</v>
      </c>
    </row>
    <row r="52" spans="1:6">
      <c r="A52" s="1" t="str">
        <f ca="1">IFERROR(__xludf.DUMMYFUNCTION("""COMPUTED_VALUE"""),"IR-M-U-0747")</f>
        <v>IR-M-U-0747</v>
      </c>
      <c r="B52" s="1" t="str">
        <f ca="1">IFERROR(__xludf.DUMMYFUNCTION("""COMPUTED_VALUE"""),"Chandigarh University
More DetailsClose | 
[TABLE]")</f>
        <v>Chandigarh University
More DetailsClose | 
[TABLE]</v>
      </c>
      <c r="C52" s="1" t="str">
        <f ca="1">IFERROR(__xludf.DUMMYFUNCTION("""COMPUTED_VALUE"""),"Mohali")</f>
        <v>Mohali</v>
      </c>
      <c r="D52" s="1" t="str">
        <f ca="1">IFERROR(__xludf.DUMMYFUNCTION("""COMPUTED_VALUE"""),"Punjab")</f>
        <v>Punjab</v>
      </c>
      <c r="E52" s="1">
        <f ca="1">IFERROR(__xludf.DUMMYFUNCTION("""COMPUTED_VALUE"""),46.4)</f>
        <v>46.4</v>
      </c>
      <c r="F52" s="1">
        <f ca="1">IFERROR(__xludf.DUMMYFUNCTION("""COMPUTED_VALUE"""),51)</f>
        <v>51</v>
      </c>
    </row>
    <row r="53" spans="1:6">
      <c r="A53" s="1" t="str">
        <f ca="1">IFERROR(__xludf.DUMMYFUNCTION("""COMPUTED_VALUE"""),"IR-M-I-1408")</f>
        <v>IR-M-I-1408</v>
      </c>
      <c r="B53" s="1" t="str">
        <f ca="1">IFERROR(__xludf.DUMMYFUNCTION("""COMPUTED_VALUE"""),"International Management Institute
More DetailsClose | 
[TABLE]")</f>
        <v>International Management Institute
More DetailsClose | 
[TABLE]</v>
      </c>
      <c r="C53" s="1" t="str">
        <f ca="1">IFERROR(__xludf.DUMMYFUNCTION("""COMPUTED_VALUE"""),"Kolkata")</f>
        <v>Kolkata</v>
      </c>
      <c r="D53" s="1" t="str">
        <f ca="1">IFERROR(__xludf.DUMMYFUNCTION("""COMPUTED_VALUE"""),"West Bengal")</f>
        <v>West Bengal</v>
      </c>
      <c r="E53" s="1">
        <f ca="1">IFERROR(__xludf.DUMMYFUNCTION("""COMPUTED_VALUE"""),46.22)</f>
        <v>46.22</v>
      </c>
      <c r="F53" s="1">
        <f ca="1">IFERROR(__xludf.DUMMYFUNCTION("""COMPUTED_VALUE"""),52)</f>
        <v>52</v>
      </c>
    </row>
    <row r="54" spans="1:6">
      <c r="A54" s="1" t="str">
        <f ca="1">IFERROR(__xludf.DUMMYFUNCTION("""COMPUTED_VALUE"""),"IR-M-I-1238")</f>
        <v>IR-M-I-1238</v>
      </c>
      <c r="B54" s="1" t="str">
        <f ca="1">IFERROR(__xludf.DUMMYFUNCTION("""COMPUTED_VALUE"""),"Institute for Financial Management and Research
More DetailsClose | 
[TABLE]")</f>
        <v>Institute for Financial Management and Research
More DetailsClose | 
[TABLE]</v>
      </c>
      <c r="C54" s="1" t="str">
        <f ca="1">IFERROR(__xludf.DUMMYFUNCTION("""COMPUTED_VALUE"""),"Sri City, Chittoor")</f>
        <v>Sri City, Chittoor</v>
      </c>
      <c r="D54" s="1" t="str">
        <f ca="1">IFERROR(__xludf.DUMMYFUNCTION("""COMPUTED_VALUE"""),"Andhra Pradesh")</f>
        <v>Andhra Pradesh</v>
      </c>
      <c r="E54" s="1">
        <f ca="1">IFERROR(__xludf.DUMMYFUNCTION("""COMPUTED_VALUE"""),46.16)</f>
        <v>46.16</v>
      </c>
      <c r="F54" s="1">
        <f ca="1">IFERROR(__xludf.DUMMYFUNCTION("""COMPUTED_VALUE"""),53)</f>
        <v>53</v>
      </c>
    </row>
    <row r="55" spans="1:6">
      <c r="A55" s="1" t="str">
        <f ca="1">IFERROR(__xludf.DUMMYFUNCTION("""COMPUTED_VALUE"""),"IR-M-I-1480")</f>
        <v>IR-M-I-1480</v>
      </c>
      <c r="B55" s="1" t="str">
        <f ca="1">IFERROR(__xludf.DUMMYFUNCTION("""COMPUTED_VALUE"""),"Thapar Institute of Engineering &amp; Technology
More DetailsClose | 
[TABLE]")</f>
        <v>Thapar Institute of Engineering &amp; Technology
More DetailsClose | 
[TABLE]</v>
      </c>
      <c r="C55" s="1" t="str">
        <f ca="1">IFERROR(__xludf.DUMMYFUNCTION("""COMPUTED_VALUE"""),"Patiala")</f>
        <v>Patiala</v>
      </c>
      <c r="D55" s="1" t="str">
        <f ca="1">IFERROR(__xludf.DUMMYFUNCTION("""COMPUTED_VALUE"""),"Punjab")</f>
        <v>Punjab</v>
      </c>
      <c r="E55" s="1">
        <f ca="1">IFERROR(__xludf.DUMMYFUNCTION("""COMPUTED_VALUE"""),46.14)</f>
        <v>46.14</v>
      </c>
      <c r="F55" s="1">
        <f ca="1">IFERROR(__xludf.DUMMYFUNCTION("""COMPUTED_VALUE"""),54)</f>
        <v>54</v>
      </c>
    </row>
    <row r="56" spans="1:6">
      <c r="A56" s="1" t="str">
        <f ca="1">IFERROR(__xludf.DUMMYFUNCTION("""COMPUTED_VALUE"""),"IR-M-U-0490")</f>
        <v>IR-M-U-0490</v>
      </c>
      <c r="B56" s="1" t="str">
        <f ca="1">IFERROR(__xludf.DUMMYFUNCTION("""COMPUTED_VALUE"""),"Vellore Institute of Technology
More DetailsClose | 
[TABLE]")</f>
        <v>Vellore Institute of Technology
More DetailsClose | 
[TABLE]</v>
      </c>
      <c r="C56" s="1" t="str">
        <f ca="1">IFERROR(__xludf.DUMMYFUNCTION("""COMPUTED_VALUE"""),"Vellore")</f>
        <v>Vellore</v>
      </c>
      <c r="D56" s="1" t="str">
        <f ca="1">IFERROR(__xludf.DUMMYFUNCTION("""COMPUTED_VALUE"""),"Tamil Nadu")</f>
        <v>Tamil Nadu</v>
      </c>
      <c r="E56" s="1">
        <f ca="1">IFERROR(__xludf.DUMMYFUNCTION("""COMPUTED_VALUE"""),45.89)</f>
        <v>45.89</v>
      </c>
      <c r="F56" s="1">
        <f ca="1">IFERROR(__xludf.DUMMYFUNCTION("""COMPUTED_VALUE"""),55)</f>
        <v>55</v>
      </c>
    </row>
    <row r="57" spans="1:6">
      <c r="A57" s="1" t="str">
        <f ca="1">IFERROR(__xludf.DUMMYFUNCTION("""COMPUTED_VALUE"""),"IR-M-S-220")</f>
        <v>IR-M-S-220</v>
      </c>
      <c r="B57" s="1" t="str">
        <f ca="1">IFERROR(__xludf.DUMMYFUNCTION("""COMPUTED_VALUE"""),"K. J. Somaiya Institute of Management Studies &amp; Research
More DetailsClose | 
[TABLE]")</f>
        <v>K. J. Somaiya Institute of Management Studies &amp; Research
More DetailsClose | 
[TABLE]</v>
      </c>
      <c r="C57" s="1" t="str">
        <f ca="1">IFERROR(__xludf.DUMMYFUNCTION("""COMPUTED_VALUE"""),"Mumbai")</f>
        <v>Mumbai</v>
      </c>
      <c r="D57" s="1" t="str">
        <f ca="1">IFERROR(__xludf.DUMMYFUNCTION("""COMPUTED_VALUE"""),"Maharashtra")</f>
        <v>Maharashtra</v>
      </c>
      <c r="E57" s="1">
        <f ca="1">IFERROR(__xludf.DUMMYFUNCTION("""COMPUTED_VALUE"""),45.5)</f>
        <v>45.5</v>
      </c>
      <c r="F57" s="1">
        <f ca="1">IFERROR(__xludf.DUMMYFUNCTION("""COMPUTED_VALUE"""),56)</f>
        <v>56</v>
      </c>
    </row>
    <row r="58" spans="1:6">
      <c r="A58" s="1" t="str">
        <f ca="1">IFERROR(__xludf.DUMMYFUNCTION("""COMPUTED_VALUE"""),"IR-M-U-0099")</f>
        <v>IR-M-U-0099</v>
      </c>
      <c r="B58" s="1" t="str">
        <f ca="1">IFERROR(__xludf.DUMMYFUNCTION("""COMPUTED_VALUE"""),"Guru Gobind Singh Indraprastha University
More DetailsClose | 
[TABLE]")</f>
        <v>Guru Gobind Singh Indraprastha University
More DetailsClose | 
[TABLE]</v>
      </c>
      <c r="C58" s="1" t="str">
        <f ca="1">IFERROR(__xludf.DUMMYFUNCTION("""COMPUTED_VALUE"""),"New Delhi")</f>
        <v>New Delhi</v>
      </c>
      <c r="D58" s="1" t="str">
        <f ca="1">IFERROR(__xludf.DUMMYFUNCTION("""COMPUTED_VALUE"""),"Delhi")</f>
        <v>Delhi</v>
      </c>
      <c r="E58" s="1">
        <f ca="1">IFERROR(__xludf.DUMMYFUNCTION("""COMPUTED_VALUE"""),45.22)</f>
        <v>45.22</v>
      </c>
      <c r="F58" s="1">
        <f ca="1">IFERROR(__xludf.DUMMYFUNCTION("""COMPUTED_VALUE"""),57)</f>
        <v>57</v>
      </c>
    </row>
    <row r="59" spans="1:6">
      <c r="A59" s="1" t="str">
        <f ca="1">IFERROR(__xludf.DUMMYFUNCTION("""COMPUTED_VALUE"""),"IR-M-U-0202")</f>
        <v>IR-M-U-0202</v>
      </c>
      <c r="B59" s="1" t="str">
        <f ca="1">IFERROR(__xludf.DUMMYFUNCTION("""COMPUTED_VALUE"""),"Birla Institute of Technology
More DetailsClose | 
[TABLE]")</f>
        <v>Birla Institute of Technology
More DetailsClose | 
[TABLE]</v>
      </c>
      <c r="C59" s="1" t="str">
        <f ca="1">IFERROR(__xludf.DUMMYFUNCTION("""COMPUTED_VALUE"""),"Ranchi")</f>
        <v>Ranchi</v>
      </c>
      <c r="D59" s="1" t="str">
        <f ca="1">IFERROR(__xludf.DUMMYFUNCTION("""COMPUTED_VALUE"""),"Jharkhand")</f>
        <v>Jharkhand</v>
      </c>
      <c r="E59" s="1">
        <f ca="1">IFERROR(__xludf.DUMMYFUNCTION("""COMPUTED_VALUE"""),45.13)</f>
        <v>45.13</v>
      </c>
      <c r="F59" s="1">
        <f ca="1">IFERROR(__xludf.DUMMYFUNCTION("""COMPUTED_VALUE"""),58)</f>
        <v>58</v>
      </c>
    </row>
    <row r="60" spans="1:6">
      <c r="A60" s="1" t="str">
        <f ca="1">IFERROR(__xludf.DUMMYFUNCTION("""COMPUTED_VALUE"""),"IR-M-U-0439")</f>
        <v>IR-M-U-0439</v>
      </c>
      <c r="B60" s="1" t="str">
        <f ca="1">IFERROR(__xludf.DUMMYFUNCTION("""COMPUTED_VALUE"""),"Anna University
More DetailsClose | 
[TABLE]")</f>
        <v>Anna University
More DetailsClose | 
[TABLE]</v>
      </c>
      <c r="C60" s="1" t="str">
        <f ca="1">IFERROR(__xludf.DUMMYFUNCTION("""COMPUTED_VALUE"""),"Chennai")</f>
        <v>Chennai</v>
      </c>
      <c r="D60" s="1" t="str">
        <f ca="1">IFERROR(__xludf.DUMMYFUNCTION("""COMPUTED_VALUE"""),"Tamil Nadu")</f>
        <v>Tamil Nadu</v>
      </c>
      <c r="E60" s="1">
        <f ca="1">IFERROR(__xludf.DUMMYFUNCTION("""COMPUTED_VALUE"""),44.81)</f>
        <v>44.81</v>
      </c>
      <c r="F60" s="1">
        <f ca="1">IFERROR(__xludf.DUMMYFUNCTION("""COMPUTED_VALUE"""),59)</f>
        <v>59</v>
      </c>
    </row>
    <row r="61" spans="1:6">
      <c r="A61" s="1" t="str">
        <f ca="1">IFERROR(__xludf.DUMMYFUNCTION("""COMPUTED_VALUE"""),"IR-M-I-1048")</f>
        <v>IR-M-I-1048</v>
      </c>
      <c r="B61" s="1" t="str">
        <f ca="1">IFERROR(__xludf.DUMMYFUNCTION("""COMPUTED_VALUE"""),"Institute of Management Technology
More DetailsClose | 
[TABLE]")</f>
        <v>Institute of Management Technology
More DetailsClose | 
[TABLE]</v>
      </c>
      <c r="C61" s="1" t="str">
        <f ca="1">IFERROR(__xludf.DUMMYFUNCTION("""COMPUTED_VALUE"""),"Nagpur")</f>
        <v>Nagpur</v>
      </c>
      <c r="D61" s="1" t="str">
        <f ca="1">IFERROR(__xludf.DUMMYFUNCTION("""COMPUTED_VALUE"""),"Maharashtra")</f>
        <v>Maharashtra</v>
      </c>
      <c r="E61" s="1">
        <f ca="1">IFERROR(__xludf.DUMMYFUNCTION("""COMPUTED_VALUE"""),44.71)</f>
        <v>44.71</v>
      </c>
      <c r="F61" s="1">
        <f ca="1">IFERROR(__xludf.DUMMYFUNCTION("""COMPUTED_VALUE"""),60)</f>
        <v>60</v>
      </c>
    </row>
    <row r="62" spans="1:6">
      <c r="A62" s="1" t="str">
        <f ca="1">IFERROR(__xludf.DUMMYFUNCTION("""COMPUTED_VALUE"""),"IR-M-I-1132")</f>
        <v>IR-M-I-1132</v>
      </c>
      <c r="B62" s="1" t="str">
        <f ca="1">IFERROR(__xludf.DUMMYFUNCTION("""COMPUTED_VALUE"""),"Institute of Management Technology
More DetailsClose | 
[TABLE]")</f>
        <v>Institute of Management Technology
More DetailsClose | 
[TABLE]</v>
      </c>
      <c r="C62" s="1" t="str">
        <f ca="1">IFERROR(__xludf.DUMMYFUNCTION("""COMPUTED_VALUE"""),"Hyderabad")</f>
        <v>Hyderabad</v>
      </c>
      <c r="D62" s="1" t="str">
        <f ca="1">IFERROR(__xludf.DUMMYFUNCTION("""COMPUTED_VALUE"""),"Telangana")</f>
        <v>Telangana</v>
      </c>
      <c r="E62" s="1">
        <f ca="1">IFERROR(__xludf.DUMMYFUNCTION("""COMPUTED_VALUE"""),44.38)</f>
        <v>44.38</v>
      </c>
      <c r="F62" s="1">
        <f ca="1">IFERROR(__xludf.DUMMYFUNCTION("""COMPUTED_VALUE"""),61)</f>
        <v>61</v>
      </c>
    </row>
    <row r="63" spans="1:6">
      <c r="A63" s="1" t="str">
        <f ca="1">IFERROR(__xludf.DUMMYFUNCTION("""COMPUTED_VALUE"""),"IR-M-I-1058")</f>
        <v>IR-M-I-1058</v>
      </c>
      <c r="B63" s="1" t="str">
        <f ca="1">IFERROR(__xludf.DUMMYFUNCTION("""COMPUTED_VALUE"""),"Indian Institute of Forest Management
More DetailsClose | 
[TABLE]")</f>
        <v>Indian Institute of Forest Management
More DetailsClose | 
[TABLE]</v>
      </c>
      <c r="C63" s="1" t="str">
        <f ca="1">IFERROR(__xludf.DUMMYFUNCTION("""COMPUTED_VALUE"""),"Bhopal")</f>
        <v>Bhopal</v>
      </c>
      <c r="D63" s="1" t="str">
        <f ca="1">IFERROR(__xludf.DUMMYFUNCTION("""COMPUTED_VALUE"""),"Madhya Pradesh")</f>
        <v>Madhya Pradesh</v>
      </c>
      <c r="E63" s="1">
        <f ca="1">IFERROR(__xludf.DUMMYFUNCTION("""COMPUTED_VALUE"""),44.26)</f>
        <v>44.26</v>
      </c>
      <c r="F63" s="1">
        <f ca="1">IFERROR(__xludf.DUMMYFUNCTION("""COMPUTED_VALUE"""),62)</f>
        <v>62</v>
      </c>
    </row>
    <row r="64" spans="1:6">
      <c r="A64" s="1" t="str">
        <f ca="1">IFERROR(__xludf.DUMMYFUNCTION("""COMPUTED_VALUE"""),"IR-M-I-1124")</f>
        <v>IR-M-I-1124</v>
      </c>
      <c r="B64" s="1" t="str">
        <f ca="1">IFERROR(__xludf.DUMMYFUNCTION("""COMPUTED_VALUE"""),"International Management Institute
More DetailsClose | 
[TABLE]")</f>
        <v>International Management Institute
More DetailsClose | 
[TABLE]</v>
      </c>
      <c r="C64" s="1" t="str">
        <f ca="1">IFERROR(__xludf.DUMMYFUNCTION("""COMPUTED_VALUE"""),"Bhubaneswar")</f>
        <v>Bhubaneswar</v>
      </c>
      <c r="D64" s="1" t="str">
        <f ca="1">IFERROR(__xludf.DUMMYFUNCTION("""COMPUTED_VALUE"""),"Odisha")</f>
        <v>Odisha</v>
      </c>
      <c r="E64" s="1">
        <f ca="1">IFERROR(__xludf.DUMMYFUNCTION("""COMPUTED_VALUE"""),44.02)</f>
        <v>44.02</v>
      </c>
      <c r="F64" s="1">
        <f ca="1">IFERROR(__xludf.DUMMYFUNCTION("""COMPUTED_VALUE"""),63)</f>
        <v>63</v>
      </c>
    </row>
    <row r="65" spans="1:6">
      <c r="A65" s="1" t="str">
        <f ca="1">IFERROR(__xludf.DUMMYFUNCTION("""COMPUTED_VALUE"""),"IR-M-I-1156")</f>
        <v>IR-M-I-1156</v>
      </c>
      <c r="B65" s="1" t="str">
        <f ca="1">IFERROR(__xludf.DUMMYFUNCTION("""COMPUTED_VALUE"""),"Bharati Vidyapeeth?s Institute of Management and Entrepreneurship 
Development
More DetailsClose | 
[TABLE]")</f>
        <v>Bharati Vidyapeeth?s Institute of Management and Entrepreneurship 
Development
More DetailsClose | 
[TABLE]</v>
      </c>
      <c r="C65" s="1" t="str">
        <f ca="1">IFERROR(__xludf.DUMMYFUNCTION("""COMPUTED_VALUE"""),"Pune")</f>
        <v>Pune</v>
      </c>
      <c r="D65" s="1" t="str">
        <f ca="1">IFERROR(__xludf.DUMMYFUNCTION("""COMPUTED_VALUE"""),"Maharashtra")</f>
        <v>Maharashtra</v>
      </c>
      <c r="E65" s="1">
        <f ca="1">IFERROR(__xludf.DUMMYFUNCTION("""COMPUTED_VALUE"""),44.02)</f>
        <v>44.02</v>
      </c>
      <c r="F65" s="1">
        <f ca="1">IFERROR(__xludf.DUMMYFUNCTION("""COMPUTED_VALUE"""),63)</f>
        <v>63</v>
      </c>
    </row>
    <row r="66" spans="1:6">
      <c r="A66" s="1" t="str">
        <f ca="1">IFERROR(__xludf.DUMMYFUNCTION("""COMPUTED_VALUE"""),"IR-M-U-0851")</f>
        <v>IR-M-U-0851</v>
      </c>
      <c r="B66" s="1" t="str">
        <f ca="1">IFERROR(__xludf.DUMMYFUNCTION("""COMPUTED_VALUE"""),"IIHMR UNIVERSITY
More DetailsClose | 
[TABLE]")</f>
        <v>IIHMR UNIVERSITY
More DetailsClose | 
[TABLE]</v>
      </c>
      <c r="C66" s="1" t="str">
        <f ca="1">IFERROR(__xludf.DUMMYFUNCTION("""COMPUTED_VALUE"""),"Jaipur")</f>
        <v>Jaipur</v>
      </c>
      <c r="D66" s="1" t="str">
        <f ca="1">IFERROR(__xludf.DUMMYFUNCTION("""COMPUTED_VALUE"""),"Rajasthan")</f>
        <v>Rajasthan</v>
      </c>
      <c r="E66" s="1">
        <f ca="1">IFERROR(__xludf.DUMMYFUNCTION("""COMPUTED_VALUE"""),43.97)</f>
        <v>43.97</v>
      </c>
      <c r="F66" s="1">
        <f ca="1">IFERROR(__xludf.DUMMYFUNCTION("""COMPUTED_VALUE"""),65)</f>
        <v>65</v>
      </c>
    </row>
    <row r="67" spans="1:6">
      <c r="A67" s="1" t="str">
        <f ca="1">IFERROR(__xludf.DUMMYFUNCTION("""COMPUTED_VALUE"""),"IR-M-U-0564")</f>
        <v>IR-M-U-0564</v>
      </c>
      <c r="B67" s="1" t="str">
        <f ca="1">IFERROR(__xludf.DUMMYFUNCTION("""COMPUTED_VALUE"""),"University of Petroleum and Energy Studies
More DetailsClose | 
[TABLE]")</f>
        <v>University of Petroleum and Energy Studies
More DetailsClose | 
[TABLE]</v>
      </c>
      <c r="C67" s="1" t="str">
        <f ca="1">IFERROR(__xludf.DUMMYFUNCTION("""COMPUTED_VALUE"""),"Dehradun")</f>
        <v>Dehradun</v>
      </c>
      <c r="D67" s="1" t="str">
        <f ca="1">IFERROR(__xludf.DUMMYFUNCTION("""COMPUTED_VALUE"""),"Uttarakhand")</f>
        <v>Uttarakhand</v>
      </c>
      <c r="E67" s="1">
        <f ca="1">IFERROR(__xludf.DUMMYFUNCTION("""COMPUTED_VALUE"""),43.73)</f>
        <v>43.73</v>
      </c>
      <c r="F67" s="1">
        <f ca="1">IFERROR(__xludf.DUMMYFUNCTION("""COMPUTED_VALUE"""),66)</f>
        <v>66</v>
      </c>
    </row>
    <row r="68" spans="1:6">
      <c r="A68" s="1" t="str">
        <f ca="1">IFERROR(__xludf.DUMMYFUNCTION("""COMPUTED_VALUE"""),"IR-M-C-32855")</f>
        <v>IR-M-C-32855</v>
      </c>
      <c r="B68" s="1" t="str">
        <f ca="1">IFERROR(__xludf.DUMMYFUNCTION("""COMPUTED_VALUE"""),"Jagan Institute of Management Studies
More DetailsClose | 
[TABLE]")</f>
        <v>Jagan Institute of Management Studies
More DetailsClose | 
[TABLE]</v>
      </c>
      <c r="C68" s="1" t="str">
        <f ca="1">IFERROR(__xludf.DUMMYFUNCTION("""COMPUTED_VALUE"""),"Delhi")</f>
        <v>Delhi</v>
      </c>
      <c r="D68" s="1" t="str">
        <f ca="1">IFERROR(__xludf.DUMMYFUNCTION("""COMPUTED_VALUE"""),"Delhi")</f>
        <v>Delhi</v>
      </c>
      <c r="E68" s="1">
        <f ca="1">IFERROR(__xludf.DUMMYFUNCTION("""COMPUTED_VALUE"""),43.45)</f>
        <v>43.45</v>
      </c>
      <c r="F68" s="1">
        <f ca="1">IFERROR(__xludf.DUMMYFUNCTION("""COMPUTED_VALUE"""),67)</f>
        <v>67</v>
      </c>
    </row>
    <row r="69" spans="1:6">
      <c r="A69" s="1" t="str">
        <f ca="1">IFERROR(__xludf.DUMMYFUNCTION("""COMPUTED_VALUE"""),"IR-M-C-34129")</f>
        <v>IR-M-C-34129</v>
      </c>
      <c r="B69" s="1" t="str">
        <f ca="1">IFERROR(__xludf.DUMMYFUNCTION("""COMPUTED_VALUE"""),"Principal L N Welingkar Institute of Management Development and Research 
More DetailsClose | 
[TABLE]")</f>
        <v>Principal L N Welingkar Institute of Management Development and Research 
More DetailsClose | 
[TABLE]</v>
      </c>
      <c r="C69" s="1" t="str">
        <f ca="1">IFERROR(__xludf.DUMMYFUNCTION("""COMPUTED_VALUE"""),"Mumbai")</f>
        <v>Mumbai</v>
      </c>
      <c r="D69" s="1" t="str">
        <f ca="1">IFERROR(__xludf.DUMMYFUNCTION("""COMPUTED_VALUE"""),"Maharashtra")</f>
        <v>Maharashtra</v>
      </c>
      <c r="E69" s="1">
        <f ca="1">IFERROR(__xludf.DUMMYFUNCTION("""COMPUTED_VALUE"""),43.4)</f>
        <v>43.4</v>
      </c>
      <c r="F69" s="1">
        <f ca="1">IFERROR(__xludf.DUMMYFUNCTION("""COMPUTED_VALUE"""),68)</f>
        <v>68</v>
      </c>
    </row>
    <row r="70" spans="1:6">
      <c r="A70" s="1" t="str">
        <f ca="1">IFERROR(__xludf.DUMMYFUNCTION("""COMPUTED_VALUE"""),"IR-M-S-3283")</f>
        <v>IR-M-S-3283</v>
      </c>
      <c r="B70" s="1" t="str">
        <f ca="1">IFERROR(__xludf.DUMMYFUNCTION("""COMPUTED_VALUE"""),"Jaipuria Institute of Management
More DetailsClose | 
[TABLE]")</f>
        <v>Jaipuria Institute of Management
More DetailsClose | 
[TABLE]</v>
      </c>
      <c r="C70" s="1" t="str">
        <f ca="1">IFERROR(__xludf.DUMMYFUNCTION("""COMPUTED_VALUE"""),"Noida")</f>
        <v>Noida</v>
      </c>
      <c r="D70" s="1" t="str">
        <f ca="1">IFERROR(__xludf.DUMMYFUNCTION("""COMPUTED_VALUE"""),"Uttar Pradesh")</f>
        <v>Uttar Pradesh</v>
      </c>
      <c r="E70" s="1">
        <f ca="1">IFERROR(__xludf.DUMMYFUNCTION("""COMPUTED_VALUE"""),43.38)</f>
        <v>43.38</v>
      </c>
      <c r="F70" s="1">
        <f ca="1">IFERROR(__xludf.DUMMYFUNCTION("""COMPUTED_VALUE"""),69)</f>
        <v>69</v>
      </c>
    </row>
    <row r="71" spans="1:6">
      <c r="A71" s="1" t="str">
        <f ca="1">IFERROR(__xludf.DUMMYFUNCTION("""COMPUTED_VALUE"""),"IR-M-U-0020")</f>
        <v>IR-M-U-0020</v>
      </c>
      <c r="B71" s="1" t="str">
        <f ca="1">IFERROR(__xludf.DUMMYFUNCTION("""COMPUTED_VALUE"""),"Koneru Lakshmaiah Education Foundation University
More DetailsClose | 
[TABLE]")</f>
        <v>Koneru Lakshmaiah Education Foundation University
More DetailsClose | 
[TABLE]</v>
      </c>
      <c r="C71" s="1" t="str">
        <f ca="1">IFERROR(__xludf.DUMMYFUNCTION("""COMPUTED_VALUE"""),"Vaddeswaram")</f>
        <v>Vaddeswaram</v>
      </c>
      <c r="D71" s="1" t="str">
        <f ca="1">IFERROR(__xludf.DUMMYFUNCTION("""COMPUTED_VALUE"""),"Andhra Pradesh")</f>
        <v>Andhra Pradesh</v>
      </c>
      <c r="E71" s="1">
        <f ca="1">IFERROR(__xludf.DUMMYFUNCTION("""COMPUTED_VALUE"""),43.3)</f>
        <v>43.3</v>
      </c>
      <c r="F71" s="1">
        <f ca="1">IFERROR(__xludf.DUMMYFUNCTION("""COMPUTED_VALUE"""),70)</f>
        <v>70</v>
      </c>
    </row>
    <row r="72" spans="1:6">
      <c r="A72" s="1" t="str">
        <f ca="1">IFERROR(__xludf.DUMMYFUNCTION("""COMPUTED_VALUE"""),"IR-M-U-0249")</f>
        <v>IR-M-U-0249</v>
      </c>
      <c r="B72" s="1" t="str">
        <f ca="1">IFERROR(__xludf.DUMMYFUNCTION("""COMPUTED_VALUE"""),"Visvesvaraya Technological University
More DetailsClose | 
[TABLE]")</f>
        <v>Visvesvaraya Technological University
More DetailsClose | 
[TABLE]</v>
      </c>
      <c r="C72" s="1" t="str">
        <f ca="1">IFERROR(__xludf.DUMMYFUNCTION("""COMPUTED_VALUE"""),"Belgaum")</f>
        <v>Belgaum</v>
      </c>
      <c r="D72" s="1" t="str">
        <f ca="1">IFERROR(__xludf.DUMMYFUNCTION("""COMPUTED_VALUE"""),"Karnataka")</f>
        <v>Karnataka</v>
      </c>
      <c r="E72" s="1">
        <f ca="1">IFERROR(__xludf.DUMMYFUNCTION("""COMPUTED_VALUE"""),43.24)</f>
        <v>43.24</v>
      </c>
      <c r="F72" s="1">
        <f ca="1">IFERROR(__xludf.DUMMYFUNCTION("""COMPUTED_VALUE"""),71)</f>
        <v>71</v>
      </c>
    </row>
    <row r="73" spans="1:6">
      <c r="A73" s="1" t="str">
        <f ca="1">IFERROR(__xludf.DUMMYFUNCTION("""COMPUTED_VALUE"""),"IR-M-S-92")</f>
        <v>IR-M-S-92</v>
      </c>
      <c r="B73" s="1" t="str">
        <f ca="1">IFERROR(__xludf.DUMMYFUNCTION("""COMPUTED_VALUE"""),"Institute of Rural Management Anand
More DetailsClose | 
[TABLE]")</f>
        <v>Institute of Rural Management Anand
More DetailsClose | 
[TABLE]</v>
      </c>
      <c r="C73" s="1" t="str">
        <f ca="1">IFERROR(__xludf.DUMMYFUNCTION("""COMPUTED_VALUE"""),"Anand")</f>
        <v>Anand</v>
      </c>
      <c r="D73" s="1" t="str">
        <f ca="1">IFERROR(__xludf.DUMMYFUNCTION("""COMPUTED_VALUE"""),"Gujarat")</f>
        <v>Gujarat</v>
      </c>
      <c r="E73" s="1">
        <f ca="1">IFERROR(__xludf.DUMMYFUNCTION("""COMPUTED_VALUE"""),42.7)</f>
        <v>42.7</v>
      </c>
      <c r="F73" s="1">
        <f ca="1">IFERROR(__xludf.DUMMYFUNCTION("""COMPUTED_VALUE"""),72)</f>
        <v>72</v>
      </c>
    </row>
    <row r="74" spans="1:6">
      <c r="A74" s="1" t="str">
        <f ca="1">IFERROR(__xludf.DUMMYFUNCTION("""COMPUTED_VALUE"""),"IR-M-S-419")</f>
        <v>IR-M-S-419</v>
      </c>
      <c r="B74" s="1" t="str">
        <f ca="1">IFERROR(__xludf.DUMMYFUNCTION("""COMPUTED_VALUE"""),"Jaipuria Institute of Management
More DetailsClose | 
[TABLE]")</f>
        <v>Jaipuria Institute of Management
More DetailsClose | 
[TABLE]</v>
      </c>
      <c r="C74" s="1" t="str">
        <f ca="1">IFERROR(__xludf.DUMMYFUNCTION("""COMPUTED_VALUE"""),"Lucknow")</f>
        <v>Lucknow</v>
      </c>
      <c r="D74" s="1" t="str">
        <f ca="1">IFERROR(__xludf.DUMMYFUNCTION("""COMPUTED_VALUE"""),"Uttar Pradesh")</f>
        <v>Uttar Pradesh</v>
      </c>
      <c r="E74" s="1">
        <f ca="1">IFERROR(__xludf.DUMMYFUNCTION("""COMPUTED_VALUE"""),42.56)</f>
        <v>42.56</v>
      </c>
      <c r="F74" s="1">
        <f ca="1">IFERROR(__xludf.DUMMYFUNCTION("""COMPUTED_VALUE"""),73)</f>
        <v>73</v>
      </c>
    </row>
    <row r="75" spans="1:6">
      <c r="A75" s="1" t="str">
        <f ca="1">IFERROR(__xludf.DUMMYFUNCTION("""COMPUTED_VALUE"""),"IR-M-U-0147")</f>
        <v>IR-M-U-0147</v>
      </c>
      <c r="B75" s="1" t="str">
        <f ca="1">IFERROR(__xludf.DUMMYFUNCTION("""COMPUTED_VALUE"""),"Pandit Deendayal Petroleum University
More DetailsClose | 
[TABLE]")</f>
        <v>Pandit Deendayal Petroleum University
More DetailsClose | 
[TABLE]</v>
      </c>
      <c r="C75" s="1" t="str">
        <f ca="1">IFERROR(__xludf.DUMMYFUNCTION("""COMPUTED_VALUE"""),"Gandhinagar")</f>
        <v>Gandhinagar</v>
      </c>
      <c r="D75" s="1" t="str">
        <f ca="1">IFERROR(__xludf.DUMMYFUNCTION("""COMPUTED_VALUE"""),"Gujarat")</f>
        <v>Gujarat</v>
      </c>
      <c r="E75" s="1">
        <f ca="1">IFERROR(__xludf.DUMMYFUNCTION("""COMPUTED_VALUE"""),42.47)</f>
        <v>42.47</v>
      </c>
      <c r="F75" s="1">
        <f ca="1">IFERROR(__xludf.DUMMYFUNCTION("""COMPUTED_VALUE"""),74)</f>
        <v>74</v>
      </c>
    </row>
    <row r="76" spans="1:6">
      <c r="A76" s="1" t="str">
        <f ca="1">IFERROR(__xludf.DUMMYFUNCTION("""COMPUTED_VALUE"""),"IR-M-U-0373")</f>
        <v>IR-M-U-0373</v>
      </c>
      <c r="B76" s="1" t="str">
        <f ca="1">IFERROR(__xludf.DUMMYFUNCTION("""COMPUTED_VALUE"""),"Chitkara University
More DetailsClose | 
[TABLE]")</f>
        <v>Chitkara University
More DetailsClose | 
[TABLE]</v>
      </c>
      <c r="C76" s="1" t="str">
        <f ca="1">IFERROR(__xludf.DUMMYFUNCTION("""COMPUTED_VALUE"""),"Rajpura")</f>
        <v>Rajpura</v>
      </c>
      <c r="D76" s="1" t="str">
        <f ca="1">IFERROR(__xludf.DUMMYFUNCTION("""COMPUTED_VALUE"""),"Punjab")</f>
        <v>Punjab</v>
      </c>
      <c r="E76" s="1">
        <f ca="1">IFERROR(__xludf.DUMMYFUNCTION("""COMPUTED_VALUE"""),42.31)</f>
        <v>42.31</v>
      </c>
      <c r="F76" s="1">
        <f ca="1">IFERROR(__xludf.DUMMYFUNCTION("""COMPUTED_VALUE"""),75)</f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76"/>
  <sheetViews>
    <sheetView workbookViewId="0"/>
  </sheetViews>
  <sheetFormatPr defaultColWidth="14.42578125" defaultRowHeight="15.75" customHeight="1"/>
  <sheetData>
    <row r="1" spans="1:6">
      <c r="A1" s="1" t="str">
        <f ca="1">IFERROR(__xludf.DUMMYFUNCTION("IMPORTHTML(""https://www.nirfindia.org/2020/PharmacyRanking.html"",""table"",1)"),"Institute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IFERROR(__xludf.DUMMYFUNCTION("""COMPUTED_VALUE"""),"IR-P-U-0107")</f>
        <v>IR-P-U-0107</v>
      </c>
      <c r="B2" s="1" t="str">
        <f ca="1">IFERROR(__xludf.DUMMYFUNCTION("""COMPUTED_VALUE"""),"Jamia Hamdard
More DetailsClose | 
[TABLE]")</f>
        <v>Jamia Hamdard
More DetailsClose | 
[TABLE]</v>
      </c>
      <c r="C2" s="1" t="str">
        <f ca="1">IFERROR(__xludf.DUMMYFUNCTION("""COMPUTED_VALUE"""),"New Delhi")</f>
        <v>New Delhi</v>
      </c>
      <c r="D2" s="1" t="str">
        <f ca="1">IFERROR(__xludf.DUMMYFUNCTION("""COMPUTED_VALUE"""),"Delhi")</f>
        <v>Delhi</v>
      </c>
      <c r="E2" s="1">
        <f ca="1">IFERROR(__xludf.DUMMYFUNCTION("""COMPUTED_VALUE"""),80.5)</f>
        <v>80.5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IFERROR(__xludf.DUMMYFUNCTION("""COMPUTED_VALUE"""),"IR-P-U-0078")</f>
        <v>IR-P-U-0078</v>
      </c>
      <c r="B3" s="1" t="str">
        <f ca="1">IFERROR(__xludf.DUMMYFUNCTION("""COMPUTED_VALUE"""),"Panjab University
More DetailsClose | 
[TABLE]")</f>
        <v>Panjab University
More DetailsClose | 
[TABLE]</v>
      </c>
      <c r="C3" s="1" t="str">
        <f ca="1">IFERROR(__xludf.DUMMYFUNCTION("""COMPUTED_VALUE"""),"Chandigarh")</f>
        <v>Chandigarh</v>
      </c>
      <c r="D3" s="1" t="str">
        <f ca="1">IFERROR(__xludf.DUMMYFUNCTION("""COMPUTED_VALUE"""),"Chandigarh")</f>
        <v>Chandigarh</v>
      </c>
      <c r="E3" s="1">
        <f ca="1">IFERROR(__xludf.DUMMYFUNCTION("""COMPUTED_VALUE"""),79.8)</f>
        <v>79.8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IFERROR(__xludf.DUMMYFUNCTION("""COMPUTED_VALUE"""),"IR-P-U-0380")</f>
        <v>IR-P-U-0380</v>
      </c>
      <c r="B4" s="1" t="str">
        <f ca="1">IFERROR(__xludf.DUMMYFUNCTION("""COMPUTED_VALUE"""),"National Institute of Pharmaceutical Education and Research Mohali
More DetailsClose | 
[TABLE]")</f>
        <v>National Institute of Pharmaceutical Education and Research Mohali
More DetailsClose | 
[TABLE]</v>
      </c>
      <c r="C4" s="1" t="str">
        <f ca="1">IFERROR(__xludf.DUMMYFUNCTION("""COMPUTED_VALUE"""),"Mohali")</f>
        <v>Mohali</v>
      </c>
      <c r="D4" s="1" t="str">
        <f ca="1">IFERROR(__xludf.DUMMYFUNCTION("""COMPUTED_VALUE"""),"Punjab")</f>
        <v>Punjab</v>
      </c>
      <c r="E4" s="1">
        <f ca="1">IFERROR(__xludf.DUMMYFUNCTION("""COMPUTED_VALUE"""),74.73)</f>
        <v>74.73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IFERROR(__xludf.DUMMYFUNCTION("""COMPUTED_VALUE"""),"IR-P-U-0308")</f>
        <v>IR-P-U-0308</v>
      </c>
      <c r="B5" s="1" t="str">
        <f ca="1">IFERROR(__xludf.DUMMYFUNCTION("""COMPUTED_VALUE"""),"Institute of Chemical Technology
More DetailsClose | 
[TABLE]")</f>
        <v>Institute of Chemical Technology
More DetailsClose | 
[TABLE]</v>
      </c>
      <c r="C5" s="1" t="str">
        <f ca="1">IFERROR(__xludf.DUMMYFUNCTION("""COMPUTED_VALUE"""),"Mumbai")</f>
        <v>Mumbai</v>
      </c>
      <c r="D5" s="1" t="str">
        <f ca="1">IFERROR(__xludf.DUMMYFUNCTION("""COMPUTED_VALUE"""),"Maharashtra")</f>
        <v>Maharashtra</v>
      </c>
      <c r="E5" s="1">
        <f ca="1">IFERROR(__xludf.DUMMYFUNCTION("""COMPUTED_VALUE"""),74.5)</f>
        <v>74.5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IFERROR(__xludf.DUMMYFUNCTION("""COMPUTED_VALUE"""),"IR-P-I-1077")</f>
        <v>IR-P-I-1077</v>
      </c>
      <c r="B6" s="1" t="str">
        <f ca="1">IFERROR(__xludf.DUMMYFUNCTION("""COMPUTED_VALUE"""),"National Institute of Pharmaceutical Education and Research Hyderabad
More DetailsClose | 
[TABLE]")</f>
        <v>National Institute of Pharmaceutical Education and Research Hyderabad
More DetailsClose | 
[TABLE]</v>
      </c>
      <c r="C6" s="1" t="str">
        <f ca="1">IFERROR(__xludf.DUMMYFUNCTION("""COMPUTED_VALUE"""),"Hyderabad")</f>
        <v>Hyderabad</v>
      </c>
      <c r="D6" s="1" t="str">
        <f ca="1">IFERROR(__xludf.DUMMYFUNCTION("""COMPUTED_VALUE"""),"Telangana")</f>
        <v>Telangana</v>
      </c>
      <c r="E6" s="1">
        <f ca="1">IFERROR(__xludf.DUMMYFUNCTION("""COMPUTED_VALUE"""),73.81)</f>
        <v>73.81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IFERROR(__xludf.DUMMYFUNCTION("""COMPUTED_VALUE"""),"IR-P-U-0391")</f>
        <v>IR-P-U-0391</v>
      </c>
      <c r="B7" s="1" t="str">
        <f ca="1">IFERROR(__xludf.DUMMYFUNCTION("""COMPUTED_VALUE"""),"Birla Institute of Technology &amp; Science
More DetailsClose | 
[TABLE]")</f>
        <v>Birla Institute of Technology &amp; Science
More DetailsClose | 
[TABLE]</v>
      </c>
      <c r="C7" s="1" t="str">
        <f ca="1">IFERROR(__xludf.DUMMYFUNCTION("""COMPUTED_VALUE"""),"Pilani")</f>
        <v>Pilani</v>
      </c>
      <c r="D7" s="1" t="str">
        <f ca="1">IFERROR(__xludf.DUMMYFUNCTION("""COMPUTED_VALUE"""),"Rajasthan")</f>
        <v>Rajasthan</v>
      </c>
      <c r="E7" s="1">
        <f ca="1">IFERROR(__xludf.DUMMYFUNCTION("""COMPUTED_VALUE"""),72.95)</f>
        <v>72.95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IFERROR(__xludf.DUMMYFUNCTION("""COMPUTED_VALUE"""),"IR-P-C-7249")</f>
        <v>IR-P-C-7249</v>
      </c>
      <c r="B8" s="1" t="str">
        <f ca="1">IFERROR(__xludf.DUMMYFUNCTION("""COMPUTED_VALUE"""),"Manipal College of Pharmaceutical Sciences
More DetailsClose | 
[TABLE]")</f>
        <v>Manipal College of Pharmaceutical Sciences
More DetailsClose | 
[TABLE]</v>
      </c>
      <c r="C8" s="1" t="str">
        <f ca="1">IFERROR(__xludf.DUMMYFUNCTION("""COMPUTED_VALUE"""),"Udupi")</f>
        <v>Udupi</v>
      </c>
      <c r="D8" s="1" t="str">
        <f ca="1">IFERROR(__xludf.DUMMYFUNCTION("""COMPUTED_VALUE"""),"Karnataka")</f>
        <v>Karnataka</v>
      </c>
      <c r="E8" s="1">
        <f ca="1">IFERROR(__xludf.DUMMYFUNCTION("""COMPUTED_VALUE"""),67.42)</f>
        <v>67.42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IFERROR(__xludf.DUMMYFUNCTION("""COMPUTED_VALUE"""),"IR-P-N-14")</f>
        <v>IR-P-N-14</v>
      </c>
      <c r="B9" s="1" t="str">
        <f ca="1">IFERROR(__xludf.DUMMYFUNCTION("""COMPUTED_VALUE"""),"National Institute of Pharmaceutical Education and Research Ahmedabad
More DetailsClose | 
[TABLE]")</f>
        <v>National Institute of Pharmaceutical Education and Research Ahmedabad
More DetailsClose | 
[TABLE]</v>
      </c>
      <c r="C9" s="1" t="str">
        <f ca="1">IFERROR(__xludf.DUMMYFUNCTION("""COMPUTED_VALUE"""),"Gandhinagar")</f>
        <v>Gandhinagar</v>
      </c>
      <c r="D9" s="1" t="str">
        <f ca="1">IFERROR(__xludf.DUMMYFUNCTION("""COMPUTED_VALUE"""),"Gujarat")</f>
        <v>Gujarat</v>
      </c>
      <c r="E9" s="1">
        <f ca="1">IFERROR(__xludf.DUMMYFUNCTION("""COMPUTED_VALUE"""),65.64)</f>
        <v>65.64</v>
      </c>
      <c r="F9" s="1">
        <f ca="1">IFERROR(__xludf.DUMMYFUNCTION("""COMPUTED_VALUE"""),8)</f>
        <v>8</v>
      </c>
    </row>
    <row r="10" spans="1:6">
      <c r="A10" s="1" t="str">
        <f ca="1">IFERROR(__xludf.DUMMYFUNCTION("""COMPUTED_VALUE"""),"IR-P-C-35006")</f>
        <v>IR-P-C-35006</v>
      </c>
      <c r="B10" s="1" t="str">
        <f ca="1">IFERROR(__xludf.DUMMYFUNCTION("""COMPUTED_VALUE"""),"JSS College of Pharmacy
More DetailsClose | 
[TABLE]")</f>
        <v>JSS College of Pharmacy
More DetailsClose | 
[TABLE]</v>
      </c>
      <c r="C10" s="1" t="str">
        <f ca="1">IFERROR(__xludf.DUMMYFUNCTION("""COMPUTED_VALUE"""),"Ooty")</f>
        <v>Ooty</v>
      </c>
      <c r="D10" s="1" t="str">
        <f ca="1">IFERROR(__xludf.DUMMYFUNCTION("""COMPUTED_VALUE"""),"Tamil Nadu")</f>
        <v>Tamil Nadu</v>
      </c>
      <c r="E10" s="1">
        <f ca="1">IFERROR(__xludf.DUMMYFUNCTION("""COMPUTED_VALUE"""),65.6)</f>
        <v>65.599999999999994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IFERROR(__xludf.DUMMYFUNCTION("""COMPUTED_VALUE"""),"IR-P-C-35007")</f>
        <v>IR-P-C-35007</v>
      </c>
      <c r="B11" s="1" t="str">
        <f ca="1">IFERROR(__xludf.DUMMYFUNCTION("""COMPUTED_VALUE"""),"JSS College of Pharmacy
More DetailsClose | 
[TABLE]")</f>
        <v>JSS College of Pharmacy
More DetailsClose | 
[TABLE]</v>
      </c>
      <c r="C11" s="1" t="str">
        <f ca="1">IFERROR(__xludf.DUMMYFUNCTION("""COMPUTED_VALUE"""),"Mysore")</f>
        <v>Mysore</v>
      </c>
      <c r="D11" s="1" t="str">
        <f ca="1">IFERROR(__xludf.DUMMYFUNCTION("""COMPUTED_VALUE"""),"Karnataka")</f>
        <v>Karnataka</v>
      </c>
      <c r="E11" s="1">
        <f ca="1">IFERROR(__xludf.DUMMYFUNCTION("""COMPUTED_VALUE"""),64.58)</f>
        <v>64.58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IFERROR(__xludf.DUMMYFUNCTION("""COMPUTED_VALUE"""),"IR-P-I-1073")</f>
        <v>IR-P-I-1073</v>
      </c>
      <c r="B12" s="1" t="str">
        <f ca="1">IFERROR(__xludf.DUMMYFUNCTION("""COMPUTED_VALUE"""),"National Institute of Pharmaceutical Education and Research Guwahati
More DetailsClose | 
[TABLE]")</f>
        <v>National Institute of Pharmaceutical Education and Research Guwahati
More DetailsClose | 
[TABLE]</v>
      </c>
      <c r="C12" s="1" t="str">
        <f ca="1">IFERROR(__xludf.DUMMYFUNCTION("""COMPUTED_VALUE"""),"Guwahati")</f>
        <v>Guwahati</v>
      </c>
      <c r="D12" s="1" t="str">
        <f ca="1">IFERROR(__xludf.DUMMYFUNCTION("""COMPUTED_VALUE"""),"Assam")</f>
        <v>Assam</v>
      </c>
      <c r="E12" s="1">
        <f ca="1">IFERROR(__xludf.DUMMYFUNCTION("""COMPUTED_VALUE"""),60.45)</f>
        <v>60.45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IFERROR(__xludf.DUMMYFUNCTION("""COMPUTED_VALUE"""),"IR-P-U-0443")</f>
        <v>IR-P-U-0443</v>
      </c>
      <c r="B13" s="1" t="str">
        <f ca="1">IFERROR(__xludf.DUMMYFUNCTION("""COMPUTED_VALUE"""),"Annamalai University
More DetailsClose | 
[TABLE]")</f>
        <v>Annamalai University
More DetailsClose | 
[TABLE]</v>
      </c>
      <c r="C13" s="1" t="str">
        <f ca="1">IFERROR(__xludf.DUMMYFUNCTION("""COMPUTED_VALUE"""),"Annamalainagar")</f>
        <v>Annamalainagar</v>
      </c>
      <c r="D13" s="1" t="str">
        <f ca="1">IFERROR(__xludf.DUMMYFUNCTION("""COMPUTED_VALUE"""),"Tamil Nadu")</f>
        <v>Tamil Nadu</v>
      </c>
      <c r="E13" s="1">
        <f ca="1">IFERROR(__xludf.DUMMYFUNCTION("""COMPUTED_VALUE"""),59.88)</f>
        <v>59.88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IFERROR(__xludf.DUMMYFUNCTION("""COMPUTED_VALUE"""),"IR-P-N-10")</f>
        <v>IR-P-N-10</v>
      </c>
      <c r="B14" s="1" t="str">
        <f ca="1">IFERROR(__xludf.DUMMYFUNCTION("""COMPUTED_VALUE"""),"SVKM`s Narsee Monjee Institute of Management Studies 
More DetailsClose | 
[TABLE]")</f>
        <v>SVKM`s Narsee Monjee Institute of Management Studies 
More DetailsClose | 
[TABLE]</v>
      </c>
      <c r="C14" s="1" t="str">
        <f ca="1">IFERROR(__xludf.DUMMYFUNCTION("""COMPUTED_VALUE"""),"Mumbai")</f>
        <v>Mumbai</v>
      </c>
      <c r="D14" s="1" t="str">
        <f ca="1">IFERROR(__xludf.DUMMYFUNCTION("""COMPUTED_VALUE"""),"Maharashtra")</f>
        <v>Maharashtra</v>
      </c>
      <c r="E14" s="1">
        <f ca="1">IFERROR(__xludf.DUMMYFUNCTION("""COMPUTED_VALUE"""),57.85)</f>
        <v>57.85</v>
      </c>
      <c r="F14" s="1">
        <f ca="1">IFERROR(__xludf.DUMMYFUNCTION("""COMPUTED_VALUE"""),13)</f>
        <v>13</v>
      </c>
    </row>
    <row r="15" spans="1:6">
      <c r="A15" s="1" t="str">
        <f ca="1">IFERROR(__xludf.DUMMYFUNCTION("""COMPUTED_VALUE"""),"IR-P-U-0143")</f>
        <v>IR-P-U-0143</v>
      </c>
      <c r="B15" s="1" t="str">
        <f ca="1">IFERROR(__xludf.DUMMYFUNCTION("""COMPUTED_VALUE"""),"Maharaja Sayajirao University of Baroda
More DetailsClose | 
[TABLE]")</f>
        <v>Maharaja Sayajirao University of Baroda
More DetailsClose | 
[TABLE]</v>
      </c>
      <c r="C15" s="1" t="str">
        <f ca="1">IFERROR(__xludf.DUMMYFUNCTION("""COMPUTED_VALUE"""),"Vadodara")</f>
        <v>Vadodara</v>
      </c>
      <c r="D15" s="1" t="str">
        <f ca="1">IFERROR(__xludf.DUMMYFUNCTION("""COMPUTED_VALUE"""),"Gujarat")</f>
        <v>Gujarat</v>
      </c>
      <c r="E15" s="1">
        <f ca="1">IFERROR(__xludf.DUMMYFUNCTION("""COMPUTED_VALUE"""),57.68)</f>
        <v>57.68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IFERROR(__xludf.DUMMYFUNCTION("""COMPUTED_VALUE"""),"IR-P-U-0436")</f>
        <v>IR-P-U-0436</v>
      </c>
      <c r="B16" s="1" t="str">
        <f ca="1">IFERROR(__xludf.DUMMYFUNCTION("""COMPUTED_VALUE"""),"Amrita Vishwa Vidyapeetham
More DetailsClose | 
[TABLE]")</f>
        <v>Amrita Vishwa Vidyapeetham
More DetailsClose | 
[TABLE]</v>
      </c>
      <c r="C16" s="1" t="str">
        <f ca="1">IFERROR(__xludf.DUMMYFUNCTION("""COMPUTED_VALUE"""),"Coimbatore")</f>
        <v>Coimbatore</v>
      </c>
      <c r="D16" s="1" t="str">
        <f ca="1">IFERROR(__xludf.DUMMYFUNCTION("""COMPUTED_VALUE"""),"Tamil Nadu")</f>
        <v>Tamil Nadu</v>
      </c>
      <c r="E16" s="1">
        <f ca="1">IFERROR(__xludf.DUMMYFUNCTION("""COMPUTED_VALUE"""),56.82)</f>
        <v>56.82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IFERROR(__xludf.DUMMYFUNCTION("""COMPUTED_VALUE"""),"IR-P-U-0202")</f>
        <v>IR-P-U-0202</v>
      </c>
      <c r="B17" s="1" t="str">
        <f ca="1">IFERROR(__xludf.DUMMYFUNCTION("""COMPUTED_VALUE"""),"Birla Institute of Technology
More DetailsClose | 
[TABLE]")</f>
        <v>Birla Institute of Technology
More DetailsClose | 
[TABLE]</v>
      </c>
      <c r="C17" s="1" t="str">
        <f ca="1">IFERROR(__xludf.DUMMYFUNCTION("""COMPUTED_VALUE"""),"Ranchi")</f>
        <v>Ranchi</v>
      </c>
      <c r="D17" s="1" t="str">
        <f ca="1">IFERROR(__xludf.DUMMYFUNCTION("""COMPUTED_VALUE"""),"Jharkhand")</f>
        <v>Jharkhand</v>
      </c>
      <c r="E17" s="1">
        <f ca="1">IFERROR(__xludf.DUMMYFUNCTION("""COMPUTED_VALUE"""),56.52)</f>
        <v>56.52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IFERROR(__xludf.DUMMYFUNCTION("""COMPUTED_VALUE"""),"IR-P-U-0146")</f>
        <v>IR-P-U-0146</v>
      </c>
      <c r="B18" s="1" t="str">
        <f ca="1">IFERROR(__xludf.DUMMYFUNCTION("""COMPUTED_VALUE"""),"Nirma University
More DetailsClose | 
[TABLE]")</f>
        <v>Nirma University
More DetailsClose | 
[TABLE]</v>
      </c>
      <c r="C18" s="1" t="str">
        <f ca="1">IFERROR(__xludf.DUMMYFUNCTION("""COMPUTED_VALUE"""),"Ahmedabad")</f>
        <v>Ahmedabad</v>
      </c>
      <c r="D18" s="1" t="str">
        <f ca="1">IFERROR(__xludf.DUMMYFUNCTION("""COMPUTED_VALUE"""),"Gujarat")</f>
        <v>Gujarat</v>
      </c>
      <c r="E18" s="1">
        <f ca="1">IFERROR(__xludf.DUMMYFUNCTION("""COMPUTED_VALUE"""),55.05)</f>
        <v>55.05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IFERROR(__xludf.DUMMYFUNCTION("""COMPUTED_VALUE"""),"IR-P-N-26")</f>
        <v>IR-P-N-26</v>
      </c>
      <c r="B19" s="1" t="str">
        <f ca="1">IFERROR(__xludf.DUMMYFUNCTION("""COMPUTED_VALUE"""),"National Institute of Pharmaceutical Education and Research Raebareli
More DetailsClose | 
[TABLE]")</f>
        <v>National Institute of Pharmaceutical Education and Research Raebareli
More DetailsClose | 
[TABLE]</v>
      </c>
      <c r="C19" s="1" t="str">
        <f ca="1">IFERROR(__xludf.DUMMYFUNCTION("""COMPUTED_VALUE"""),"LUCKNOW")</f>
        <v>LUCKNOW</v>
      </c>
      <c r="D19" s="1" t="str">
        <f ca="1">IFERROR(__xludf.DUMMYFUNCTION("""COMPUTED_VALUE"""),"Uttar Pradesh")</f>
        <v>Uttar Pradesh</v>
      </c>
      <c r="E19" s="1">
        <f ca="1">IFERROR(__xludf.DUMMYFUNCTION("""COMPUTED_VALUE"""),54.99)</f>
        <v>54.99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IFERROR(__xludf.DUMMYFUNCTION("""COMPUTED_VALUE"""),"IR-P-U-0473")</f>
        <v>IR-P-U-0473</v>
      </c>
      <c r="B20" s="1" t="str">
        <f ca="1">IFERROR(__xludf.DUMMYFUNCTION("""COMPUTED_VALUE"""),"S. R. M. Institute of Science and Technology
More DetailsClose | 
[TABLE]")</f>
        <v>S. R. M. Institute of Science and Technology
More DetailsClose | 
[TABLE]</v>
      </c>
      <c r="C20" s="1" t="str">
        <f ca="1">IFERROR(__xludf.DUMMYFUNCTION("""COMPUTED_VALUE"""),"Chennai")</f>
        <v>Chennai</v>
      </c>
      <c r="D20" s="1" t="str">
        <f ca="1">IFERROR(__xludf.DUMMYFUNCTION("""COMPUTED_VALUE"""),"Tamil Nadu")</f>
        <v>Tamil Nadu</v>
      </c>
      <c r="E20" s="1">
        <f ca="1">IFERROR(__xludf.DUMMYFUNCTION("""COMPUTED_VALUE"""),54.85)</f>
        <v>54.85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IFERROR(__xludf.DUMMYFUNCTION("""COMPUTED_VALUE"""),"IR-P-U-0389")</f>
        <v>IR-P-U-0389</v>
      </c>
      <c r="B21" s="1" t="str">
        <f ca="1">IFERROR(__xludf.DUMMYFUNCTION("""COMPUTED_VALUE"""),"Banasthali Vidyapith
More DetailsClose | 
[TABLE]")</f>
        <v>Banasthali Vidyapith
More DetailsClose | 
[TABLE]</v>
      </c>
      <c r="C21" s="1" t="str">
        <f ca="1">IFERROR(__xludf.DUMMYFUNCTION("""COMPUTED_VALUE"""),"Banasthali")</f>
        <v>Banasthali</v>
      </c>
      <c r="D21" s="1" t="str">
        <f ca="1">IFERROR(__xludf.DUMMYFUNCTION("""COMPUTED_VALUE"""),"Rajasthan")</f>
        <v>Rajasthan</v>
      </c>
      <c r="E21" s="1">
        <f ca="1">IFERROR(__xludf.DUMMYFUNCTION("""COMPUTED_VALUE"""),54.54)</f>
        <v>54.54</v>
      </c>
      <c r="F21" s="1">
        <f ca="1">IFERROR(__xludf.DUMMYFUNCTION("""COMPUTED_VALUE"""),20)</f>
        <v>20</v>
      </c>
    </row>
    <row r="22" spans="1:6">
      <c r="A22" s="1" t="str">
        <f ca="1">IFERROR(__xludf.DUMMYFUNCTION("""COMPUTED_VALUE"""),"IR-P-U-0497")</f>
        <v>IR-P-U-0497</v>
      </c>
      <c r="B22" s="1" t="str">
        <f ca="1">IFERROR(__xludf.DUMMYFUNCTION("""COMPUTED_VALUE"""),"Amity University Noida
More DetailsClose | 
[TABLE]")</f>
        <v>Amity University Noida
More DetailsClose | 
[TABLE]</v>
      </c>
      <c r="C22" s="1" t="str">
        <f ca="1">IFERROR(__xludf.DUMMYFUNCTION("""COMPUTED_VALUE"""),"Gautam Budh Nagar")</f>
        <v>Gautam Budh Nagar</v>
      </c>
      <c r="D22" s="1" t="str">
        <f ca="1">IFERROR(__xludf.DUMMYFUNCTION("""COMPUTED_VALUE"""),"Uttar Pradesh")</f>
        <v>Uttar Pradesh</v>
      </c>
      <c r="E22" s="1">
        <f ca="1">IFERROR(__xludf.DUMMYFUNCTION("""COMPUTED_VALUE"""),54.49)</f>
        <v>54.49</v>
      </c>
      <c r="F22" s="1">
        <f ca="1">IFERROR(__xludf.DUMMYFUNCTION("""COMPUTED_VALUE"""),21)</f>
        <v>21</v>
      </c>
    </row>
    <row r="23" spans="1:6">
      <c r="A23" s="1" t="str">
        <f ca="1">IFERROR(__xludf.DUMMYFUNCTION("""COMPUTED_VALUE"""),"IR-P-C-35430")</f>
        <v>IR-P-C-35430</v>
      </c>
      <c r="B23" s="1" t="str">
        <f ca="1">IFERROR(__xludf.DUMMYFUNCTION("""COMPUTED_VALUE"""),"Poona College of Pharmacy, Pune
More DetailsClose | 
[TABLE]")</f>
        <v>Poona College of Pharmacy, Pune
More DetailsClose | 
[TABLE]</v>
      </c>
      <c r="C23" s="1" t="str">
        <f ca="1">IFERROR(__xludf.DUMMYFUNCTION("""COMPUTED_VALUE"""),"Pune")</f>
        <v>Pune</v>
      </c>
      <c r="D23" s="1" t="str">
        <f ca="1">IFERROR(__xludf.DUMMYFUNCTION("""COMPUTED_VALUE"""),"Maharashtra")</f>
        <v>Maharashtra</v>
      </c>
      <c r="E23" s="1">
        <f ca="1">IFERROR(__xludf.DUMMYFUNCTION("""COMPUTED_VALUE"""),54.44)</f>
        <v>54.44</v>
      </c>
      <c r="F23" s="1">
        <f ca="1">IFERROR(__xludf.DUMMYFUNCTION("""COMPUTED_VALUE"""),22)</f>
        <v>22</v>
      </c>
    </row>
    <row r="24" spans="1:6">
      <c r="A24" s="1" t="str">
        <f ca="1">IFERROR(__xludf.DUMMYFUNCTION("""COMPUTED_VALUE"""),"IR-P-U-0383")</f>
        <v>IR-P-U-0383</v>
      </c>
      <c r="B24" s="1" t="str">
        <f ca="1">IFERROR(__xludf.DUMMYFUNCTION("""COMPUTED_VALUE"""),"Punjabi University
More DetailsClose | 
[TABLE]")</f>
        <v>Punjabi University
More DetailsClose | 
[TABLE]</v>
      </c>
      <c r="C24" s="1" t="str">
        <f ca="1">IFERROR(__xludf.DUMMYFUNCTION("""COMPUTED_VALUE"""),"Patiala")</f>
        <v>Patiala</v>
      </c>
      <c r="D24" s="1" t="str">
        <f ca="1">IFERROR(__xludf.DUMMYFUNCTION("""COMPUTED_VALUE"""),"Punjab")</f>
        <v>Punjab</v>
      </c>
      <c r="E24" s="1">
        <f ca="1">IFERROR(__xludf.DUMMYFUNCTION("""COMPUTED_VALUE"""),54.29)</f>
        <v>54.29</v>
      </c>
      <c r="F24" s="1">
        <f ca="1">IFERROR(__xludf.DUMMYFUNCTION("""COMPUTED_VALUE"""),23)</f>
        <v>23</v>
      </c>
    </row>
    <row r="25" spans="1:6">
      <c r="A25" s="1" t="str">
        <f ca="1">IFERROR(__xludf.DUMMYFUNCTION("""COMPUTED_VALUE"""),"IR-P-C-33873")</f>
        <v>IR-P-C-33873</v>
      </c>
      <c r="B25" s="1" t="str">
        <f ca="1">IFERROR(__xludf.DUMMYFUNCTION("""COMPUTED_VALUE"""),"Bombay College of Pharmacy
More DetailsClose | 
[TABLE]")</f>
        <v>Bombay College of Pharmacy
More DetailsClose | 
[TABLE]</v>
      </c>
      <c r="C25" s="1" t="str">
        <f ca="1">IFERROR(__xludf.DUMMYFUNCTION("""COMPUTED_VALUE"""),"Mumbai")</f>
        <v>Mumbai</v>
      </c>
      <c r="D25" s="1" t="str">
        <f ca="1">IFERROR(__xludf.DUMMYFUNCTION("""COMPUTED_VALUE"""),"Maharashtra")</f>
        <v>Maharashtra</v>
      </c>
      <c r="E25" s="1">
        <f ca="1">IFERROR(__xludf.DUMMYFUNCTION("""COMPUTED_VALUE"""),53.37)</f>
        <v>53.37</v>
      </c>
      <c r="F25" s="1">
        <f ca="1">IFERROR(__xludf.DUMMYFUNCTION("""COMPUTED_VALUE"""),24)</f>
        <v>24</v>
      </c>
    </row>
    <row r="26" spans="1:6">
      <c r="A26" s="1" t="str">
        <f ca="1">IFERROR(__xludf.DUMMYFUNCTION("""COMPUTED_VALUE"""),"IR-P-C-6370")</f>
        <v>IR-P-C-6370</v>
      </c>
      <c r="B26" s="1" t="str">
        <f ca="1">IFERROR(__xludf.DUMMYFUNCTION("""COMPUTED_VALUE"""),"Delhi Institute of Pharmaceutical Sciences &amp; Research
More DetailsClose | 
[TABLE]")</f>
        <v>Delhi Institute of Pharmaceutical Sciences &amp; Research
More DetailsClose | 
[TABLE]</v>
      </c>
      <c r="C26" s="1" t="str">
        <f ca="1">IFERROR(__xludf.DUMMYFUNCTION("""COMPUTED_VALUE"""),"New Delhi")</f>
        <v>New Delhi</v>
      </c>
      <c r="D26" s="1" t="str">
        <f ca="1">IFERROR(__xludf.DUMMYFUNCTION("""COMPUTED_VALUE"""),"Delhi")</f>
        <v>Delhi</v>
      </c>
      <c r="E26" s="1">
        <f ca="1">IFERROR(__xludf.DUMMYFUNCTION("""COMPUTED_VALUE"""),52.13)</f>
        <v>52.13</v>
      </c>
      <c r="F26" s="1">
        <f ca="1">IFERROR(__xludf.DUMMYFUNCTION("""COMPUTED_VALUE"""),25)</f>
        <v>25</v>
      </c>
    </row>
    <row r="27" spans="1:6">
      <c r="A27" s="1" t="str">
        <f ca="1">IFERROR(__xludf.DUMMYFUNCTION("""COMPUTED_VALUE"""),"IR-P-I-1486")</f>
        <v>IR-P-I-1486</v>
      </c>
      <c r="B27" s="1" t="str">
        <f ca="1">IFERROR(__xludf.DUMMYFUNCTION("""COMPUTED_VALUE"""),"Sri Ramachandra Institute of Higher Education And Research
More DetailsClose | 
[TABLE]")</f>
        <v>Sri Ramachandra Institute of Higher Education And Research
More DetailsClose | 
[TABLE]</v>
      </c>
      <c r="C27" s="1" t="str">
        <f ca="1">IFERROR(__xludf.DUMMYFUNCTION("""COMPUTED_VALUE"""),"Chennai")</f>
        <v>Chennai</v>
      </c>
      <c r="D27" s="1" t="str">
        <f ca="1">IFERROR(__xludf.DUMMYFUNCTION("""COMPUTED_VALUE"""),"Tamil Nadu")</f>
        <v>Tamil Nadu</v>
      </c>
      <c r="E27" s="1">
        <f ca="1">IFERROR(__xludf.DUMMYFUNCTION("""COMPUTED_VALUE"""),51.52)</f>
        <v>51.52</v>
      </c>
      <c r="F27" s="1">
        <f ca="1">IFERROR(__xludf.DUMMYFUNCTION("""COMPUTED_VALUE"""),26)</f>
        <v>26</v>
      </c>
    </row>
    <row r="28" spans="1:6">
      <c r="A28" s="1" t="str">
        <f ca="1">IFERROR(__xludf.DUMMYFUNCTION("""COMPUTED_VALUE"""),"IR-P-I-1072")</f>
        <v>IR-P-I-1072</v>
      </c>
      <c r="B28" s="1" t="str">
        <f ca="1">IFERROR(__xludf.DUMMYFUNCTION("""COMPUTED_VALUE"""),"National Institute of Pharmaceutical Education and Research Kolkata
More DetailsClose | 
[TABLE]")</f>
        <v>National Institute of Pharmaceutical Education and Research Kolkata
More DetailsClose | 
[TABLE]</v>
      </c>
      <c r="C28" s="1" t="str">
        <f ca="1">IFERROR(__xludf.DUMMYFUNCTION("""COMPUTED_VALUE"""),"Kolkata")</f>
        <v>Kolkata</v>
      </c>
      <c r="D28" s="1" t="str">
        <f ca="1">IFERROR(__xludf.DUMMYFUNCTION("""COMPUTED_VALUE"""),"West Bengal")</f>
        <v>West Bengal</v>
      </c>
      <c r="E28" s="1">
        <f ca="1">IFERROR(__xludf.DUMMYFUNCTION("""COMPUTED_VALUE"""),51.49)</f>
        <v>51.49</v>
      </c>
      <c r="F28" s="1">
        <f ca="1">IFERROR(__xludf.DUMMYFUNCTION("""COMPUTED_VALUE"""),27)</f>
        <v>27</v>
      </c>
    </row>
    <row r="29" spans="1:6">
      <c r="A29" s="1" t="str">
        <f ca="1">IFERROR(__xludf.DUMMYFUNCTION("""COMPUTED_VALUE"""),"IR-P-U-0168")</f>
        <v>IR-P-U-0168</v>
      </c>
      <c r="B29" s="1" t="str">
        <f ca="1">IFERROR(__xludf.DUMMYFUNCTION("""COMPUTED_VALUE"""),"Maharishi Markandeshwar
More DetailsClose | 
[TABLE]")</f>
        <v>Maharishi Markandeshwar
More DetailsClose | 
[TABLE]</v>
      </c>
      <c r="C29" s="1" t="str">
        <f ca="1">IFERROR(__xludf.DUMMYFUNCTION("""COMPUTED_VALUE"""),"Ambala")</f>
        <v>Ambala</v>
      </c>
      <c r="D29" s="1" t="str">
        <f ca="1">IFERROR(__xludf.DUMMYFUNCTION("""COMPUTED_VALUE"""),"Haryana")</f>
        <v>Haryana</v>
      </c>
      <c r="E29" s="1">
        <f ca="1">IFERROR(__xludf.DUMMYFUNCTION("""COMPUTED_VALUE"""),51.12)</f>
        <v>51.12</v>
      </c>
      <c r="F29" s="1">
        <f ca="1">IFERROR(__xludf.DUMMYFUNCTION("""COMPUTED_VALUE"""),28)</f>
        <v>28</v>
      </c>
    </row>
    <row r="30" spans="1:6">
      <c r="A30" s="1" t="str">
        <f ca="1">IFERROR(__xludf.DUMMYFUNCTION("""COMPUTED_VALUE"""),"IR-P-U-0379")</f>
        <v>IR-P-U-0379</v>
      </c>
      <c r="B30" s="1" t="str">
        <f ca="1">IFERROR(__xludf.DUMMYFUNCTION("""COMPUTED_VALUE"""),"Lovely Professional University
More DetailsClose | 
[TABLE]")</f>
        <v>Lovely Professional University
More DetailsClose | 
[TABLE]</v>
      </c>
      <c r="C30" s="1" t="str">
        <f ca="1">IFERROR(__xludf.DUMMYFUNCTION("""COMPUTED_VALUE"""),"Phagwara")</f>
        <v>Phagwara</v>
      </c>
      <c r="D30" s="1" t="str">
        <f ca="1">IFERROR(__xludf.DUMMYFUNCTION("""COMPUTED_VALUE"""),"Punjab")</f>
        <v>Punjab</v>
      </c>
      <c r="E30" s="1">
        <f ca="1">IFERROR(__xludf.DUMMYFUNCTION("""COMPUTED_VALUE"""),50.46)</f>
        <v>50.46</v>
      </c>
      <c r="F30" s="1">
        <f ca="1">IFERROR(__xludf.DUMMYFUNCTION("""COMPUTED_VALUE"""),29)</f>
        <v>29</v>
      </c>
    </row>
    <row r="31" spans="1:6">
      <c r="A31" s="1" t="str">
        <f ca="1">IFERROR(__xludf.DUMMYFUNCTION("""COMPUTED_VALUE"""),"IR-P-C-33877")</f>
        <v>IR-P-C-33877</v>
      </c>
      <c r="B31" s="1" t="str">
        <f ca="1">IFERROR(__xludf.DUMMYFUNCTION("""COMPUTED_VALUE"""),"SVKM's Dr. Bhanuben Nanavati College of Pharmacy
More DetailsClose | 
[TABLE]")</f>
        <v>SVKM's Dr. Bhanuben Nanavati College of Pharmacy
More DetailsClose | 
[TABLE]</v>
      </c>
      <c r="C31" s="1" t="str">
        <f ca="1">IFERROR(__xludf.DUMMYFUNCTION("""COMPUTED_VALUE"""),"Mumbai")</f>
        <v>Mumbai</v>
      </c>
      <c r="D31" s="1" t="str">
        <f ca="1">IFERROR(__xludf.DUMMYFUNCTION("""COMPUTED_VALUE"""),"Maharashtra")</f>
        <v>Maharashtra</v>
      </c>
      <c r="E31" s="1">
        <f ca="1">IFERROR(__xludf.DUMMYFUNCTION("""COMPUTED_VALUE"""),50.07)</f>
        <v>50.07</v>
      </c>
      <c r="F31" s="1">
        <f ca="1">IFERROR(__xludf.DUMMYFUNCTION("""COMPUTED_VALUE"""),30)</f>
        <v>30</v>
      </c>
    </row>
    <row r="32" spans="1:6">
      <c r="A32" s="1" t="str">
        <f ca="1">IFERROR(__xludf.DUMMYFUNCTION("""COMPUTED_VALUE"""),"IR-P-U-0162")</f>
        <v>IR-P-U-0162</v>
      </c>
      <c r="B32" s="1" t="str">
        <f ca="1">IFERROR(__xludf.DUMMYFUNCTION("""COMPUTED_VALUE"""),"Guru Jambheshwar University of Science and Technology
More DetailsClose | 
[TABLE]")</f>
        <v>Guru Jambheshwar University of Science and Technology
More DetailsClose | 
[TABLE]</v>
      </c>
      <c r="C32" s="1" t="str">
        <f ca="1">IFERROR(__xludf.DUMMYFUNCTION("""COMPUTED_VALUE"""),"Hisar")</f>
        <v>Hisar</v>
      </c>
      <c r="D32" s="1" t="str">
        <f ca="1">IFERROR(__xludf.DUMMYFUNCTION("""COMPUTED_VALUE"""),"Haryana")</f>
        <v>Haryana</v>
      </c>
      <c r="E32" s="1">
        <f ca="1">IFERROR(__xludf.DUMMYFUNCTION("""COMPUTED_VALUE"""),49.73)</f>
        <v>49.73</v>
      </c>
      <c r="F32" s="1">
        <f ca="1">IFERROR(__xludf.DUMMYFUNCTION("""COMPUTED_VALUE"""),31)</f>
        <v>31</v>
      </c>
    </row>
    <row r="33" spans="1:6">
      <c r="A33" s="1" t="str">
        <f ca="1">IFERROR(__xludf.DUMMYFUNCTION("""COMPUTED_VALUE"""),"IR-P-C-10398")</f>
        <v>IR-P-C-10398</v>
      </c>
      <c r="B33" s="1" t="str">
        <f ca="1">IFERROR(__xludf.DUMMYFUNCTION("""COMPUTED_VALUE"""),"I. S. F. College of Pharmacy
More DetailsClose | 
[TABLE]")</f>
        <v>I. S. F. College of Pharmacy
More DetailsClose | 
[TABLE]</v>
      </c>
      <c r="C33" s="1" t="str">
        <f ca="1">IFERROR(__xludf.DUMMYFUNCTION("""COMPUTED_VALUE"""),"Moga")</f>
        <v>Moga</v>
      </c>
      <c r="D33" s="1" t="str">
        <f ca="1">IFERROR(__xludf.DUMMYFUNCTION("""COMPUTED_VALUE"""),"Punjab")</f>
        <v>Punjab</v>
      </c>
      <c r="E33" s="1">
        <f ca="1">IFERROR(__xludf.DUMMYFUNCTION("""COMPUTED_VALUE"""),49.26)</f>
        <v>49.26</v>
      </c>
      <c r="F33" s="1">
        <f ca="1">IFERROR(__xludf.DUMMYFUNCTION("""COMPUTED_VALUE"""),32)</f>
        <v>32</v>
      </c>
    </row>
    <row r="34" spans="1:6">
      <c r="A34" s="1" t="str">
        <f ca="1">IFERROR(__xludf.DUMMYFUNCTION("""COMPUTED_VALUE"""),"IR-P-U-0332")</f>
        <v>IR-P-U-0332</v>
      </c>
      <c r="B34" s="1" t="str">
        <f ca="1">IFERROR(__xludf.DUMMYFUNCTION("""COMPUTED_VALUE"""),"The Rashtrasant Tukadoji Maharaj Nagpur University
More DetailsClose | 
[TABLE]")</f>
        <v>The Rashtrasant Tukadoji Maharaj Nagpur University
More DetailsClose | 
[TABLE]</v>
      </c>
      <c r="C34" s="1" t="str">
        <f ca="1">IFERROR(__xludf.DUMMYFUNCTION("""COMPUTED_VALUE"""),"Nagpur")</f>
        <v>Nagpur</v>
      </c>
      <c r="D34" s="1" t="str">
        <f ca="1">IFERROR(__xludf.DUMMYFUNCTION("""COMPUTED_VALUE"""),"Maharashtra")</f>
        <v>Maharashtra</v>
      </c>
      <c r="E34" s="1">
        <f ca="1">IFERROR(__xludf.DUMMYFUNCTION("""COMPUTED_VALUE"""),48.67)</f>
        <v>48.67</v>
      </c>
      <c r="F34" s="1">
        <f ca="1">IFERROR(__xludf.DUMMYFUNCTION("""COMPUTED_VALUE"""),33)</f>
        <v>33</v>
      </c>
    </row>
    <row r="35" spans="1:6">
      <c r="A35" s="1" t="str">
        <f ca="1">IFERROR(__xludf.DUMMYFUNCTION("""COMPUTED_VALUE"""),"IR-P-I-1450")</f>
        <v>IR-P-I-1450</v>
      </c>
      <c r="B35" s="1" t="str">
        <f ca="1">IFERROR(__xludf.DUMMYFUNCTION("""COMPUTED_VALUE"""),"AU College of Pharmaceutical Sciences, Andhra University
More DetailsClose | 
[TABLE]")</f>
        <v>AU College of Pharmaceutical Sciences, Andhra University
More DetailsClose | 
[TABLE]</v>
      </c>
      <c r="C35" s="1" t="str">
        <f ca="1">IFERROR(__xludf.DUMMYFUNCTION("""COMPUTED_VALUE"""),"Visakhapatnam")</f>
        <v>Visakhapatnam</v>
      </c>
      <c r="D35" s="1" t="str">
        <f ca="1">IFERROR(__xludf.DUMMYFUNCTION("""COMPUTED_VALUE"""),"Andhra Pradesh")</f>
        <v>Andhra Pradesh</v>
      </c>
      <c r="E35" s="1">
        <f ca="1">IFERROR(__xludf.DUMMYFUNCTION("""COMPUTED_VALUE"""),48.64)</f>
        <v>48.64</v>
      </c>
      <c r="F35" s="1">
        <f ca="1">IFERROR(__xludf.DUMMYFUNCTION("""COMPUTED_VALUE"""),34)</f>
        <v>34</v>
      </c>
    </row>
    <row r="36" spans="1:6">
      <c r="A36" s="1" t="str">
        <f ca="1">IFERROR(__xludf.DUMMYFUNCTION("""COMPUTED_VALUE"""),"IR-P-U-0051")</f>
        <v>IR-P-U-0051</v>
      </c>
      <c r="B36" s="1" t="str">
        <f ca="1">IFERROR(__xludf.DUMMYFUNCTION("""COMPUTED_VALUE"""),"Dibrugarh University
More DetailsClose | 
[TABLE]")</f>
        <v>Dibrugarh University
More DetailsClose | 
[TABLE]</v>
      </c>
      <c r="C36" s="1" t="str">
        <f ca="1">IFERROR(__xludf.DUMMYFUNCTION("""COMPUTED_VALUE"""),"Dibrugarh")</f>
        <v>Dibrugarh</v>
      </c>
      <c r="D36" s="1" t="str">
        <f ca="1">IFERROR(__xludf.DUMMYFUNCTION("""COMPUTED_VALUE"""),"Assam")</f>
        <v>Assam</v>
      </c>
      <c r="E36" s="1">
        <f ca="1">IFERROR(__xludf.DUMMYFUNCTION("""COMPUTED_VALUE"""),48.45)</f>
        <v>48.45</v>
      </c>
      <c r="F36" s="1">
        <f ca="1">IFERROR(__xludf.DUMMYFUNCTION("""COMPUTED_VALUE"""),35)</f>
        <v>35</v>
      </c>
    </row>
    <row r="37" spans="1:6">
      <c r="A37" s="1" t="str">
        <f ca="1">IFERROR(__xludf.DUMMYFUNCTION("""COMPUTED_VALUE"""),"IR-P-I-1280")</f>
        <v>IR-P-I-1280</v>
      </c>
      <c r="B37" s="1" t="str">
        <f ca="1">IFERROR(__xludf.DUMMYFUNCTION("""COMPUTED_VALUE"""),"Maharshi Dayanand University
More DetailsClose | 
[TABLE]")</f>
        <v>Maharshi Dayanand University
More DetailsClose | 
[TABLE]</v>
      </c>
      <c r="C37" s="1" t="str">
        <f ca="1">IFERROR(__xludf.DUMMYFUNCTION("""COMPUTED_VALUE"""),"Rohtak")</f>
        <v>Rohtak</v>
      </c>
      <c r="D37" s="1" t="str">
        <f ca="1">IFERROR(__xludf.DUMMYFUNCTION("""COMPUTED_VALUE"""),"Haryana")</f>
        <v>Haryana</v>
      </c>
      <c r="E37" s="1">
        <f ca="1">IFERROR(__xludf.DUMMYFUNCTION("""COMPUTED_VALUE"""),47.86)</f>
        <v>47.86</v>
      </c>
      <c r="F37" s="1">
        <f ca="1">IFERROR(__xludf.DUMMYFUNCTION("""COMPUTED_VALUE"""),36)</f>
        <v>36</v>
      </c>
    </row>
    <row r="38" spans="1:6">
      <c r="A38" s="1" t="str">
        <f ca="1">IFERROR(__xludf.DUMMYFUNCTION("""COMPUTED_VALUE"""),"IR-P-C-24505")</f>
        <v>IR-P-C-24505</v>
      </c>
      <c r="B38" s="1" t="str">
        <f ca="1">IFERROR(__xludf.DUMMYFUNCTION("""COMPUTED_VALUE"""),"KLE College of Pharmacy
More DetailsClose | 
[TABLE]")</f>
        <v>KLE College of Pharmacy
More DetailsClose | 
[TABLE]</v>
      </c>
      <c r="C38" s="1" t="str">
        <f ca="1">IFERROR(__xludf.DUMMYFUNCTION("""COMPUTED_VALUE"""),"Belgaum")</f>
        <v>Belgaum</v>
      </c>
      <c r="D38" s="1" t="str">
        <f ca="1">IFERROR(__xludf.DUMMYFUNCTION("""COMPUTED_VALUE"""),"Karnataka")</f>
        <v>Karnataka</v>
      </c>
      <c r="E38" s="1">
        <f ca="1">IFERROR(__xludf.DUMMYFUNCTION("""COMPUTED_VALUE"""),47.73)</f>
        <v>47.73</v>
      </c>
      <c r="F38" s="1">
        <f ca="1">IFERROR(__xludf.DUMMYFUNCTION("""COMPUTED_VALUE"""),37)</f>
        <v>37</v>
      </c>
    </row>
    <row r="39" spans="1:6">
      <c r="A39" s="1" t="str">
        <f ca="1">IFERROR(__xludf.DUMMYFUNCTION("""COMPUTED_VALUE"""),"IR-P-U-0373")</f>
        <v>IR-P-U-0373</v>
      </c>
      <c r="B39" s="1" t="str">
        <f ca="1">IFERROR(__xludf.DUMMYFUNCTION("""COMPUTED_VALUE"""),"Chitkara University
More DetailsClose | 
[TABLE]")</f>
        <v>Chitkara University
More DetailsClose | 
[TABLE]</v>
      </c>
      <c r="C39" s="1" t="str">
        <f ca="1">IFERROR(__xludf.DUMMYFUNCTION("""COMPUTED_VALUE"""),"Rajpura")</f>
        <v>Rajpura</v>
      </c>
      <c r="D39" s="1" t="str">
        <f ca="1">IFERROR(__xludf.DUMMYFUNCTION("""COMPUTED_VALUE"""),"Punjab")</f>
        <v>Punjab</v>
      </c>
      <c r="E39" s="1">
        <f ca="1">IFERROR(__xludf.DUMMYFUNCTION("""COMPUTED_VALUE"""),47.37)</f>
        <v>47.37</v>
      </c>
      <c r="F39" s="1">
        <f ca="1">IFERROR(__xludf.DUMMYFUNCTION("""COMPUTED_VALUE"""),38)</f>
        <v>38</v>
      </c>
    </row>
    <row r="40" spans="1:6">
      <c r="A40" s="1" t="str">
        <f ca="1">IFERROR(__xludf.DUMMYFUNCTION("""COMPUTED_VALUE"""),"IR-P-U-0190")</f>
        <v>IR-P-U-0190</v>
      </c>
      <c r="B40" s="1" t="str">
        <f ca="1">IFERROR(__xludf.DUMMYFUNCTION("""COMPUTED_VALUE"""),"Shoolini University of Biotechnology and Management Sciences
More DetailsClose | 
[TABLE]")</f>
        <v>Shoolini University of Biotechnology and Management Sciences
More DetailsClose | 
[TABLE]</v>
      </c>
      <c r="C40" s="1" t="str">
        <f ca="1">IFERROR(__xludf.DUMMYFUNCTION("""COMPUTED_VALUE"""),"Solan")</f>
        <v>Solan</v>
      </c>
      <c r="D40" s="1" t="str">
        <f ca="1">IFERROR(__xludf.DUMMYFUNCTION("""COMPUTED_VALUE"""),"Himachal Pradesh")</f>
        <v>Himachal Pradesh</v>
      </c>
      <c r="E40" s="1">
        <f ca="1">IFERROR(__xludf.DUMMYFUNCTION("""COMPUTED_VALUE"""),45.69)</f>
        <v>45.69</v>
      </c>
      <c r="F40" s="1">
        <f ca="1">IFERROR(__xludf.DUMMYFUNCTION("""COMPUTED_VALUE"""),39)</f>
        <v>39</v>
      </c>
    </row>
    <row r="41" spans="1:6">
      <c r="A41" s="1" t="str">
        <f ca="1">IFERROR(__xludf.DUMMYFUNCTION("""COMPUTED_VALUE"""),"IR-P-C-34531")</f>
        <v>IR-P-C-34531</v>
      </c>
      <c r="B41" s="1" t="str">
        <f ca="1">IFERROR(__xludf.DUMMYFUNCTION("""COMPUTED_VALUE"""),"Y. B. Chavan College of Pharmacy
More DetailsClose | 
[TABLE]")</f>
        <v>Y. B. Chavan College of Pharmacy
More DetailsClose | 
[TABLE]</v>
      </c>
      <c r="C41" s="1" t="str">
        <f ca="1">IFERROR(__xludf.DUMMYFUNCTION("""COMPUTED_VALUE"""),"Aurangabad")</f>
        <v>Aurangabad</v>
      </c>
      <c r="D41" s="1" t="str">
        <f ca="1">IFERROR(__xludf.DUMMYFUNCTION("""COMPUTED_VALUE"""),"Maharashtra")</f>
        <v>Maharashtra</v>
      </c>
      <c r="E41" s="1">
        <f ca="1">IFERROR(__xludf.DUMMYFUNCTION("""COMPUTED_VALUE"""),45.12)</f>
        <v>45.12</v>
      </c>
      <c r="F41" s="1">
        <f ca="1">IFERROR(__xludf.DUMMYFUNCTION("""COMPUTED_VALUE"""),40)</f>
        <v>40</v>
      </c>
    </row>
    <row r="42" spans="1:6">
      <c r="A42" s="1" t="str">
        <f ca="1">IFERROR(__xludf.DUMMYFUNCTION("""COMPUTED_VALUE"""),"IR-P-I-1335")</f>
        <v>IR-P-I-1335</v>
      </c>
      <c r="B42" s="1" t="str">
        <f ca="1">IFERROR(__xludf.DUMMYFUNCTION("""COMPUTED_VALUE"""),"Padmashree Dr. D. Y. Patil Institute of Pharmaceutical Sciences and Research
More DetailsClose | 
[TABLE]")</f>
        <v>Padmashree Dr. D. Y. Patil Institute of Pharmaceutical Sciences and Research
More DetailsClose | 
[TABLE]</v>
      </c>
      <c r="C42" s="1" t="str">
        <f ca="1">IFERROR(__xludf.DUMMYFUNCTION("""COMPUTED_VALUE"""),"Pune")</f>
        <v>Pune</v>
      </c>
      <c r="D42" s="1" t="str">
        <f ca="1">IFERROR(__xludf.DUMMYFUNCTION("""COMPUTED_VALUE"""),"Maharashtra")</f>
        <v>Maharashtra</v>
      </c>
      <c r="E42" s="1">
        <f ca="1">IFERROR(__xludf.DUMMYFUNCTION("""COMPUTED_VALUE"""),44.9)</f>
        <v>44.9</v>
      </c>
      <c r="F42" s="1">
        <f ca="1">IFERROR(__xludf.DUMMYFUNCTION("""COMPUTED_VALUE"""),41)</f>
        <v>41</v>
      </c>
    </row>
    <row r="43" spans="1:6">
      <c r="A43" s="1" t="str">
        <f ca="1">IFERROR(__xludf.DUMMYFUNCTION("""COMPUTED_VALUE"""),"IR-P-U-0034")</f>
        <v>IR-P-U-0034</v>
      </c>
      <c r="B43" s="1" t="str">
        <f ca="1">IFERROR(__xludf.DUMMYFUNCTION("""COMPUTED_VALUE"""),"Sri Padmavathi Mahila Visva Vidyalayam
More DetailsClose | 
[TABLE]")</f>
        <v>Sri Padmavathi Mahila Visva Vidyalayam
More DetailsClose | 
[TABLE]</v>
      </c>
      <c r="C43" s="1" t="str">
        <f ca="1">IFERROR(__xludf.DUMMYFUNCTION("""COMPUTED_VALUE"""),"Tirupathi")</f>
        <v>Tirupathi</v>
      </c>
      <c r="D43" s="1" t="str">
        <f ca="1">IFERROR(__xludf.DUMMYFUNCTION("""COMPUTED_VALUE"""),"Andhra Pradesh")</f>
        <v>Andhra Pradesh</v>
      </c>
      <c r="E43" s="1">
        <f ca="1">IFERROR(__xludf.DUMMYFUNCTION("""COMPUTED_VALUE"""),44.52)</f>
        <v>44.52</v>
      </c>
      <c r="F43" s="1">
        <f ca="1">IFERROR(__xludf.DUMMYFUNCTION("""COMPUTED_VALUE"""),42)</f>
        <v>42</v>
      </c>
    </row>
    <row r="44" spans="1:6">
      <c r="A44" s="1" t="str">
        <f ca="1">IFERROR(__xludf.DUMMYFUNCTION("""COMPUTED_VALUE"""),"IR-P-U-0491")</f>
        <v>IR-P-U-0491</v>
      </c>
      <c r="B44" s="1" t="str">
        <f ca="1">IFERROR(__xludf.DUMMYFUNCTION("""COMPUTED_VALUE"""),"Vels Institute of Science, Technology &amp; Advanced Studies (VISTAS)
More DetailsClose | 
[TABLE]")</f>
        <v>Vels Institute of Science, Technology &amp; Advanced Studies (VISTAS)
More DetailsClose | 
[TABLE]</v>
      </c>
      <c r="C44" s="1" t="str">
        <f ca="1">IFERROR(__xludf.DUMMYFUNCTION("""COMPUTED_VALUE"""),"Chennai")</f>
        <v>Chennai</v>
      </c>
      <c r="D44" s="1" t="str">
        <f ca="1">IFERROR(__xludf.DUMMYFUNCTION("""COMPUTED_VALUE"""),"Tamil Nadu")</f>
        <v>Tamil Nadu</v>
      </c>
      <c r="E44" s="1">
        <f ca="1">IFERROR(__xludf.DUMMYFUNCTION("""COMPUTED_VALUE"""),44.35)</f>
        <v>44.35</v>
      </c>
      <c r="F44" s="1">
        <f ca="1">IFERROR(__xludf.DUMMYFUNCTION("""COMPUTED_VALUE"""),43)</f>
        <v>43</v>
      </c>
    </row>
    <row r="45" spans="1:6">
      <c r="A45" s="1" t="str">
        <f ca="1">IFERROR(__xludf.DUMMYFUNCTION("""COMPUTED_VALUE"""),"IR-P-U-0085")</f>
        <v>IR-P-U-0085</v>
      </c>
      <c r="B45" s="1" t="str">
        <f ca="1">IFERROR(__xludf.DUMMYFUNCTION("""COMPUTED_VALUE"""),"Guru Ghasidas Vishwavidyalaya
More DetailsClose | 
[TABLE]")</f>
        <v>Guru Ghasidas Vishwavidyalaya
More DetailsClose | 
[TABLE]</v>
      </c>
      <c r="C45" s="1" t="str">
        <f ca="1">IFERROR(__xludf.DUMMYFUNCTION("""COMPUTED_VALUE"""),"Bilaspur")</f>
        <v>Bilaspur</v>
      </c>
      <c r="D45" s="1" t="str">
        <f ca="1">IFERROR(__xludf.DUMMYFUNCTION("""COMPUTED_VALUE"""),"Chhattisgarh")</f>
        <v>Chhattisgarh</v>
      </c>
      <c r="E45" s="1">
        <f ca="1">IFERROR(__xludf.DUMMYFUNCTION("""COMPUTED_VALUE"""),44.17)</f>
        <v>44.17</v>
      </c>
      <c r="F45" s="1">
        <f ca="1">IFERROR(__xludf.DUMMYFUNCTION("""COMPUTED_VALUE"""),44)</f>
        <v>44</v>
      </c>
    </row>
    <row r="46" spans="1:6">
      <c r="A46" s="1" t="str">
        <f ca="1">IFERROR(__xludf.DUMMYFUNCTION("""COMPUTED_VALUE"""),"IR-P-C-409")</f>
        <v>IR-P-C-409</v>
      </c>
      <c r="B46" s="1" t="str">
        <f ca="1">IFERROR(__xludf.DUMMYFUNCTION("""COMPUTED_VALUE"""),"L. M. College of Pharmacy
More DetailsClose | 
[TABLE]")</f>
        <v>L. M. College of Pharmacy
More DetailsClose | 
[TABLE]</v>
      </c>
      <c r="C46" s="1" t="str">
        <f ca="1">IFERROR(__xludf.DUMMYFUNCTION("""COMPUTED_VALUE"""),"Ahmedabad")</f>
        <v>Ahmedabad</v>
      </c>
      <c r="D46" s="1" t="str">
        <f ca="1">IFERROR(__xludf.DUMMYFUNCTION("""COMPUTED_VALUE"""),"Gujarat")</f>
        <v>Gujarat</v>
      </c>
      <c r="E46" s="1">
        <f ca="1">IFERROR(__xludf.DUMMYFUNCTION("""COMPUTED_VALUE"""),44.11)</f>
        <v>44.11</v>
      </c>
      <c r="F46" s="1">
        <f ca="1">IFERROR(__xludf.DUMMYFUNCTION("""COMPUTED_VALUE"""),45)</f>
        <v>45</v>
      </c>
    </row>
    <row r="47" spans="1:6">
      <c r="A47" s="1" t="str">
        <f ca="1">IFERROR(__xludf.DUMMYFUNCTION("""COMPUTED_VALUE"""),"IR-P-U-0519")</f>
        <v>IR-P-U-0519</v>
      </c>
      <c r="B47" s="1" t="str">
        <f ca="1">IFERROR(__xludf.DUMMYFUNCTION("""COMPUTED_VALUE"""),"Integral University
More DetailsClose | 
[TABLE]")</f>
        <v>Integral University
More DetailsClose | 
[TABLE]</v>
      </c>
      <c r="C47" s="1" t="str">
        <f ca="1">IFERROR(__xludf.DUMMYFUNCTION("""COMPUTED_VALUE"""),"Lucknow")</f>
        <v>Lucknow</v>
      </c>
      <c r="D47" s="1" t="str">
        <f ca="1">IFERROR(__xludf.DUMMYFUNCTION("""COMPUTED_VALUE"""),"Uttar Pradesh")</f>
        <v>Uttar Pradesh</v>
      </c>
      <c r="E47" s="1">
        <f ca="1">IFERROR(__xludf.DUMMYFUNCTION("""COMPUTED_VALUE"""),43.79)</f>
        <v>43.79</v>
      </c>
      <c r="F47" s="1">
        <f ca="1">IFERROR(__xludf.DUMMYFUNCTION("""COMPUTED_VALUE"""),46)</f>
        <v>46</v>
      </c>
    </row>
    <row r="48" spans="1:6">
      <c r="A48" s="1" t="str">
        <f ca="1">IFERROR(__xludf.DUMMYFUNCTION("""COMPUTED_VALUE"""),"IR-P-C-30858")</f>
        <v>IR-P-C-30858</v>
      </c>
      <c r="B48" s="1" t="str">
        <f ca="1">IFERROR(__xludf.DUMMYFUNCTION("""COMPUTED_VALUE"""),"Goa College of Pharmacy
More DetailsClose | 
[TABLE]")</f>
        <v>Goa College of Pharmacy
More DetailsClose | 
[TABLE]</v>
      </c>
      <c r="C48" s="1" t="str">
        <f ca="1">IFERROR(__xludf.DUMMYFUNCTION("""COMPUTED_VALUE"""),"Panaji")</f>
        <v>Panaji</v>
      </c>
      <c r="D48" s="1" t="str">
        <f ca="1">IFERROR(__xludf.DUMMYFUNCTION("""COMPUTED_VALUE"""),"Goa")</f>
        <v>Goa</v>
      </c>
      <c r="E48" s="1">
        <f ca="1">IFERROR(__xludf.DUMMYFUNCTION("""COMPUTED_VALUE"""),42.73)</f>
        <v>42.73</v>
      </c>
      <c r="F48" s="1">
        <f ca="1">IFERROR(__xludf.DUMMYFUNCTION("""COMPUTED_VALUE"""),47)</f>
        <v>47</v>
      </c>
    </row>
    <row r="49" spans="1:6">
      <c r="A49" s="1" t="str">
        <f ca="1">IFERROR(__xludf.DUMMYFUNCTION("""COMPUTED_VALUE"""),"IR-P-C-18900")</f>
        <v>IR-P-C-18900</v>
      </c>
      <c r="B49" s="1" t="str">
        <f ca="1">IFERROR(__xludf.DUMMYFUNCTION("""COMPUTED_VALUE"""),"Smt. Kishoritai Bhoyar College of Pharmacy
More DetailsClose | 
[TABLE]")</f>
        <v>Smt. Kishoritai Bhoyar College of Pharmacy
More DetailsClose | 
[TABLE]</v>
      </c>
      <c r="C49" s="1" t="str">
        <f ca="1">IFERROR(__xludf.DUMMYFUNCTION("""COMPUTED_VALUE"""),"NAGPUR")</f>
        <v>NAGPUR</v>
      </c>
      <c r="D49" s="1" t="str">
        <f ca="1">IFERROR(__xludf.DUMMYFUNCTION("""COMPUTED_VALUE"""),"Maharashtra")</f>
        <v>Maharashtra</v>
      </c>
      <c r="E49" s="1">
        <f ca="1">IFERROR(__xludf.DUMMYFUNCTION("""COMPUTED_VALUE"""),42.62)</f>
        <v>42.62</v>
      </c>
      <c r="F49" s="1">
        <f ca="1">IFERROR(__xludf.DUMMYFUNCTION("""COMPUTED_VALUE"""),48)</f>
        <v>48</v>
      </c>
    </row>
    <row r="50" spans="1:6">
      <c r="A50" s="1" t="str">
        <f ca="1">IFERROR(__xludf.DUMMYFUNCTION("""COMPUTED_VALUE"""),"IR-P-C-19322")</f>
        <v>IR-P-C-19322</v>
      </c>
      <c r="B50" s="1" t="str">
        <f ca="1">IFERROR(__xludf.DUMMYFUNCTION("""COMPUTED_VALUE"""),"N.G.S.M.Institute of Pharmaceutical Sciences
More DetailsClose | 
[TABLE]")</f>
        <v>N.G.S.M.Institute of Pharmaceutical Sciences
More DetailsClose | 
[TABLE]</v>
      </c>
      <c r="C50" s="1" t="str">
        <f ca="1">IFERROR(__xludf.DUMMYFUNCTION("""COMPUTED_VALUE"""),"Mangaluru")</f>
        <v>Mangaluru</v>
      </c>
      <c r="D50" s="1" t="str">
        <f ca="1">IFERROR(__xludf.DUMMYFUNCTION("""COMPUTED_VALUE"""),"Karnataka")</f>
        <v>Karnataka</v>
      </c>
      <c r="E50" s="1">
        <f ca="1">IFERROR(__xludf.DUMMYFUNCTION("""COMPUTED_VALUE"""),42.46)</f>
        <v>42.46</v>
      </c>
      <c r="F50" s="1">
        <f ca="1">IFERROR(__xludf.DUMMYFUNCTION("""COMPUTED_VALUE"""),49)</f>
        <v>49</v>
      </c>
    </row>
    <row r="51" spans="1:6">
      <c r="A51" s="1" t="str">
        <f ca="1">IFERROR(__xludf.DUMMYFUNCTION("""COMPUTED_VALUE"""),"IR-P-I-1256")</f>
        <v>IR-P-I-1256</v>
      </c>
      <c r="B51" s="1" t="str">
        <f ca="1">IFERROR(__xludf.DUMMYFUNCTION("""COMPUTED_VALUE"""),"Noida Institute of Engineering And Technology (Pharmacy Institute)
More DetailsClose | 
[TABLE]")</f>
        <v>Noida Institute of Engineering And Technology (Pharmacy Institute)
More DetailsClose | 
[TABLE]</v>
      </c>
      <c r="C51" s="1" t="str">
        <f ca="1">IFERROR(__xludf.DUMMYFUNCTION("""COMPUTED_VALUE"""),"Greater Noida")</f>
        <v>Greater Noida</v>
      </c>
      <c r="D51" s="1" t="str">
        <f ca="1">IFERROR(__xludf.DUMMYFUNCTION("""COMPUTED_VALUE"""),"Uttar Pradesh")</f>
        <v>Uttar Pradesh</v>
      </c>
      <c r="E51" s="1">
        <f ca="1">IFERROR(__xludf.DUMMYFUNCTION("""COMPUTED_VALUE"""),42.46)</f>
        <v>42.46</v>
      </c>
      <c r="F51" s="1">
        <f ca="1">IFERROR(__xludf.DUMMYFUNCTION("""COMPUTED_VALUE"""),49)</f>
        <v>49</v>
      </c>
    </row>
    <row r="52" spans="1:6">
      <c r="A52" s="1" t="str">
        <f ca="1">IFERROR(__xludf.DUMMYFUNCTION("""COMPUTED_VALUE"""),"IR-P-C-45540")</f>
        <v>IR-P-C-45540</v>
      </c>
      <c r="B52" s="1" t="str">
        <f ca="1">IFERROR(__xludf.DUMMYFUNCTION("""COMPUTED_VALUE"""),"PSG College of Pharmacy
More DetailsClose | 
[TABLE]")</f>
        <v>PSG College of Pharmacy
More DetailsClose | 
[TABLE]</v>
      </c>
      <c r="C52" s="1" t="str">
        <f ca="1">IFERROR(__xludf.DUMMYFUNCTION("""COMPUTED_VALUE"""),"Coimbatore")</f>
        <v>Coimbatore</v>
      </c>
      <c r="D52" s="1" t="str">
        <f ca="1">IFERROR(__xludf.DUMMYFUNCTION("""COMPUTED_VALUE"""),"Tamil Nadu")</f>
        <v>Tamil Nadu</v>
      </c>
      <c r="E52" s="1">
        <f ca="1">IFERROR(__xludf.DUMMYFUNCTION("""COMPUTED_VALUE"""),42.21)</f>
        <v>42.21</v>
      </c>
      <c r="F52" s="1">
        <f ca="1">IFERROR(__xludf.DUMMYFUNCTION("""COMPUTED_VALUE"""),51)</f>
        <v>51</v>
      </c>
    </row>
    <row r="53" spans="1:6">
      <c r="A53" s="1" t="str">
        <f ca="1">IFERROR(__xludf.DUMMYFUNCTION("""COMPUTED_VALUE"""),"IR-P-U-0724")</f>
        <v>IR-P-U-0724</v>
      </c>
      <c r="B53" s="1" t="str">
        <f ca="1">IFERROR(__xludf.DUMMYFUNCTION("""COMPUTED_VALUE"""),"M. S. Ramaiah University of Applied Sciences
More DetailsClose | 
[TABLE]")</f>
        <v>M. S. Ramaiah University of Applied Sciences
More DetailsClose | 
[TABLE]</v>
      </c>
      <c r="C53" s="1" t="str">
        <f ca="1">IFERROR(__xludf.DUMMYFUNCTION("""COMPUTED_VALUE"""),"Bangalore")</f>
        <v>Bangalore</v>
      </c>
      <c r="D53" s="1" t="str">
        <f ca="1">IFERROR(__xludf.DUMMYFUNCTION("""COMPUTED_VALUE"""),"Karnataka")</f>
        <v>Karnataka</v>
      </c>
      <c r="E53" s="1">
        <f ca="1">IFERROR(__xludf.DUMMYFUNCTION("""COMPUTED_VALUE"""),41.74)</f>
        <v>41.74</v>
      </c>
      <c r="F53" s="1">
        <f ca="1">IFERROR(__xludf.DUMMYFUNCTION("""COMPUTED_VALUE"""),52)</f>
        <v>52</v>
      </c>
    </row>
    <row r="54" spans="1:6">
      <c r="A54" s="1" t="str">
        <f ca="1">IFERROR(__xludf.DUMMYFUNCTION("""COMPUTED_VALUE"""),"IR-P-I-1045")</f>
        <v>IR-P-I-1045</v>
      </c>
      <c r="B54" s="1" t="str">
        <f ca="1">IFERROR(__xludf.DUMMYFUNCTION("""COMPUTED_VALUE"""),"R. C. Patel Institute of Pharmaceutical Education &amp; Research
More DetailsClose | 
[TABLE]")</f>
        <v>R. C. Patel Institute of Pharmaceutical Education &amp; Research
More DetailsClose | 
[TABLE]</v>
      </c>
      <c r="C54" s="1" t="str">
        <f ca="1">IFERROR(__xludf.DUMMYFUNCTION("""COMPUTED_VALUE"""),"Shirpur")</f>
        <v>Shirpur</v>
      </c>
      <c r="D54" s="1" t="str">
        <f ca="1">IFERROR(__xludf.DUMMYFUNCTION("""COMPUTED_VALUE"""),"Maharashtra")</f>
        <v>Maharashtra</v>
      </c>
      <c r="E54" s="1">
        <f ca="1">IFERROR(__xludf.DUMMYFUNCTION("""COMPUTED_VALUE"""),41.4)</f>
        <v>41.4</v>
      </c>
      <c r="F54" s="1">
        <f ca="1">IFERROR(__xludf.DUMMYFUNCTION("""COMPUTED_VALUE"""),53)</f>
        <v>53</v>
      </c>
    </row>
    <row r="55" spans="1:6">
      <c r="A55" s="1" t="str">
        <f ca="1">IFERROR(__xludf.DUMMYFUNCTION("""COMPUTED_VALUE"""),"IR-P-C-39486")</f>
        <v>IR-P-C-39486</v>
      </c>
      <c r="B55" s="1" t="str">
        <f ca="1">IFERROR(__xludf.DUMMYFUNCTION("""COMPUTED_VALUE"""),"Chalapathi Institute of Pharmaceutical Sciences
More DetailsClose | 
[TABLE]")</f>
        <v>Chalapathi Institute of Pharmaceutical Sciences
More DetailsClose | 
[TABLE]</v>
      </c>
      <c r="C55" s="1" t="str">
        <f ca="1">IFERROR(__xludf.DUMMYFUNCTION("""COMPUTED_VALUE"""),"Guntur")</f>
        <v>Guntur</v>
      </c>
      <c r="D55" s="1" t="str">
        <f ca="1">IFERROR(__xludf.DUMMYFUNCTION("""COMPUTED_VALUE"""),"Andhra Pradesh")</f>
        <v>Andhra Pradesh</v>
      </c>
      <c r="E55" s="1">
        <f ca="1">IFERROR(__xludf.DUMMYFUNCTION("""COMPUTED_VALUE"""),41.31)</f>
        <v>41.31</v>
      </c>
      <c r="F55" s="1">
        <f ca="1">IFERROR(__xludf.DUMMYFUNCTION("""COMPUTED_VALUE"""),54)</f>
        <v>54</v>
      </c>
    </row>
    <row r="56" spans="1:6">
      <c r="A56" s="1" t="str">
        <f ca="1">IFERROR(__xludf.DUMMYFUNCTION("""COMPUTED_VALUE"""),"IR-P-C-26907")</f>
        <v>IR-P-C-26907</v>
      </c>
      <c r="B56" s="1" t="str">
        <f ca="1">IFERROR(__xludf.DUMMYFUNCTION("""COMPUTED_VALUE"""),"Raghavendra Institute of Pharmaceuatical Education &amp; Research 
More DetailsClose | 
[TABLE]")</f>
        <v>Raghavendra Institute of Pharmaceuatical Education &amp; Research 
More DetailsClose | 
[TABLE]</v>
      </c>
      <c r="C56" s="1" t="str">
        <f ca="1">IFERROR(__xludf.DUMMYFUNCTION("""COMPUTED_VALUE"""),"Anantapur")</f>
        <v>Anantapur</v>
      </c>
      <c r="D56" s="1" t="str">
        <f ca="1">IFERROR(__xludf.DUMMYFUNCTION("""COMPUTED_VALUE"""),"Andhra Pradesh")</f>
        <v>Andhra Pradesh</v>
      </c>
      <c r="E56" s="1">
        <f ca="1">IFERROR(__xludf.DUMMYFUNCTION("""COMPUTED_VALUE"""),41.14)</f>
        <v>41.14</v>
      </c>
      <c r="F56" s="1">
        <f ca="1">IFERROR(__xludf.DUMMYFUNCTION("""COMPUTED_VALUE"""),55)</f>
        <v>55</v>
      </c>
    </row>
    <row r="57" spans="1:6">
      <c r="A57" s="1" t="str">
        <f ca="1">IFERROR(__xludf.DUMMYFUNCTION("""COMPUTED_VALUE"""),"IR-P-U-0536")</f>
        <v>IR-P-U-0536</v>
      </c>
      <c r="B57" s="1" t="str">
        <f ca="1">IFERROR(__xludf.DUMMYFUNCTION("""COMPUTED_VALUE"""),"Sam Higginbottom Institute of Agriculture, Technology &amp; Sciences
More DetailsClose | 
[TABLE]")</f>
        <v>Sam Higginbottom Institute of Agriculture, Technology &amp; Sciences
More DetailsClose | 
[TABLE]</v>
      </c>
      <c r="C57" s="1" t="str">
        <f ca="1">IFERROR(__xludf.DUMMYFUNCTION("""COMPUTED_VALUE"""),"Allahabad")</f>
        <v>Allahabad</v>
      </c>
      <c r="D57" s="1" t="str">
        <f ca="1">IFERROR(__xludf.DUMMYFUNCTION("""COMPUTED_VALUE"""),"Uttar Pradesh")</f>
        <v>Uttar Pradesh</v>
      </c>
      <c r="E57" s="1">
        <f ca="1">IFERROR(__xludf.DUMMYFUNCTION("""COMPUTED_VALUE"""),41.05)</f>
        <v>41.05</v>
      </c>
      <c r="F57" s="1">
        <f ca="1">IFERROR(__xludf.DUMMYFUNCTION("""COMPUTED_VALUE"""),56)</f>
        <v>56</v>
      </c>
    </row>
    <row r="58" spans="1:6">
      <c r="A58" s="1" t="str">
        <f ca="1">IFERROR(__xludf.DUMMYFUNCTION("""COMPUTED_VALUE"""),"IR-P-I-1243")</f>
        <v>IR-P-I-1243</v>
      </c>
      <c r="B58" s="1" t="str">
        <f ca="1">IFERROR(__xludf.DUMMYFUNCTION("""COMPUTED_VALUE"""),"College of Pharmacy, Madras Medical College
More DetailsClose | 
[TABLE]")</f>
        <v>College of Pharmacy, Madras Medical College
More DetailsClose | 
[TABLE]</v>
      </c>
      <c r="C58" s="1" t="str">
        <f ca="1">IFERROR(__xludf.DUMMYFUNCTION("""COMPUTED_VALUE"""),"Chennai")</f>
        <v>Chennai</v>
      </c>
      <c r="D58" s="1" t="str">
        <f ca="1">IFERROR(__xludf.DUMMYFUNCTION("""COMPUTED_VALUE"""),"Tamil Nadu")</f>
        <v>Tamil Nadu</v>
      </c>
      <c r="E58" s="1">
        <f ca="1">IFERROR(__xludf.DUMMYFUNCTION("""COMPUTED_VALUE"""),40.93)</f>
        <v>40.93</v>
      </c>
      <c r="F58" s="1">
        <f ca="1">IFERROR(__xludf.DUMMYFUNCTION("""COMPUTED_VALUE"""),57)</f>
        <v>57</v>
      </c>
    </row>
    <row r="59" spans="1:6">
      <c r="A59" s="1" t="str">
        <f ca="1">IFERROR(__xludf.DUMMYFUNCTION("""COMPUTED_VALUE"""),"IR-P-C-33814")</f>
        <v>IR-P-C-33814</v>
      </c>
      <c r="B59" s="1" t="str">
        <f ca="1">IFERROR(__xludf.DUMMYFUNCTION("""COMPUTED_VALUE"""),"Bharati Vidyapeeth's College of Pharmacy
More DetailsClose | 
[TABLE]")</f>
        <v>Bharati Vidyapeeth's College of Pharmacy
More DetailsClose | 
[TABLE]</v>
      </c>
      <c r="C59" s="1" t="str">
        <f ca="1">IFERROR(__xludf.DUMMYFUNCTION("""COMPUTED_VALUE"""),"Navi Mumbai")</f>
        <v>Navi Mumbai</v>
      </c>
      <c r="D59" s="1" t="str">
        <f ca="1">IFERROR(__xludf.DUMMYFUNCTION("""COMPUTED_VALUE"""),"Maharashtra")</f>
        <v>Maharashtra</v>
      </c>
      <c r="E59" s="1">
        <f ca="1">IFERROR(__xludf.DUMMYFUNCTION("""COMPUTED_VALUE"""),40.64)</f>
        <v>40.64</v>
      </c>
      <c r="F59" s="1">
        <f ca="1">IFERROR(__xludf.DUMMYFUNCTION("""COMPUTED_VALUE"""),58)</f>
        <v>58</v>
      </c>
    </row>
    <row r="60" spans="1:6">
      <c r="A60" s="1" t="str">
        <f ca="1">IFERROR(__xludf.DUMMYFUNCTION("""COMPUTED_VALUE"""),"IR-P-U-0093")</f>
        <v>IR-P-U-0093</v>
      </c>
      <c r="B60" s="1" t="str">
        <f ca="1">IFERROR(__xludf.DUMMYFUNCTION("""COMPUTED_VALUE"""),"Pt. Ravishankar Shukla University
More DetailsClose | 
[TABLE]")</f>
        <v>Pt. Ravishankar Shukla University
More DetailsClose | 
[TABLE]</v>
      </c>
      <c r="C60" s="1" t="str">
        <f ca="1">IFERROR(__xludf.DUMMYFUNCTION("""COMPUTED_VALUE"""),"Raipur")</f>
        <v>Raipur</v>
      </c>
      <c r="D60" s="1" t="str">
        <f ca="1">IFERROR(__xludf.DUMMYFUNCTION("""COMPUTED_VALUE"""),"Chhattisgarh")</f>
        <v>Chhattisgarh</v>
      </c>
      <c r="E60" s="1">
        <f ca="1">IFERROR(__xludf.DUMMYFUNCTION("""COMPUTED_VALUE"""),40.6)</f>
        <v>40.6</v>
      </c>
      <c r="F60" s="1">
        <f ca="1">IFERROR(__xludf.DUMMYFUNCTION("""COMPUTED_VALUE"""),59)</f>
        <v>59</v>
      </c>
    </row>
    <row r="61" spans="1:6">
      <c r="A61" s="1" t="str">
        <f ca="1">IFERROR(__xludf.DUMMYFUNCTION("""COMPUTED_VALUE"""),"IR-P-C-10250")</f>
        <v>IR-P-C-10250</v>
      </c>
      <c r="B61" s="1" t="str">
        <f ca="1">IFERROR(__xludf.DUMMYFUNCTION("""COMPUTED_VALUE"""),"Amar Shaheed Baba Ajit Singh Jujhar Singh Memorial College of Pharmacy
More DetailsClose | 
[TABLE]")</f>
        <v>Amar Shaheed Baba Ajit Singh Jujhar Singh Memorial College of Pharmacy
More DetailsClose | 
[TABLE]</v>
      </c>
      <c r="C61" s="1" t="str">
        <f ca="1">IFERROR(__xludf.DUMMYFUNCTION("""COMPUTED_VALUE"""),"Bela")</f>
        <v>Bela</v>
      </c>
      <c r="D61" s="1" t="str">
        <f ca="1">IFERROR(__xludf.DUMMYFUNCTION("""COMPUTED_VALUE"""),"Punjab")</f>
        <v>Punjab</v>
      </c>
      <c r="E61" s="1">
        <f ca="1">IFERROR(__xludf.DUMMYFUNCTION("""COMPUTED_VALUE"""),40.45)</f>
        <v>40.450000000000003</v>
      </c>
      <c r="F61" s="1">
        <f ca="1">IFERROR(__xludf.DUMMYFUNCTION("""COMPUTED_VALUE"""),60)</f>
        <v>60</v>
      </c>
    </row>
    <row r="62" spans="1:6">
      <c r="A62" s="1" t="str">
        <f ca="1">IFERROR(__xludf.DUMMYFUNCTION("""COMPUTED_VALUE"""),"IR-P-C-6269")</f>
        <v>IR-P-C-6269</v>
      </c>
      <c r="B62" s="1" t="str">
        <f ca="1">IFERROR(__xludf.DUMMYFUNCTION("""COMPUTED_VALUE"""),"NSHM Knowledge Campus
More DetailsClose | 
[TABLE]")</f>
        <v>NSHM Knowledge Campus
More DetailsClose | 
[TABLE]</v>
      </c>
      <c r="C62" s="1" t="str">
        <f ca="1">IFERROR(__xludf.DUMMYFUNCTION("""COMPUTED_VALUE"""),"Kolkata")</f>
        <v>Kolkata</v>
      </c>
      <c r="D62" s="1" t="str">
        <f ca="1">IFERROR(__xludf.DUMMYFUNCTION("""COMPUTED_VALUE"""),"West Bengal")</f>
        <v>West Bengal</v>
      </c>
      <c r="E62" s="1">
        <f ca="1">IFERROR(__xludf.DUMMYFUNCTION("""COMPUTED_VALUE"""),39.65)</f>
        <v>39.65</v>
      </c>
      <c r="F62" s="1">
        <f ca="1">IFERROR(__xludf.DUMMYFUNCTION("""COMPUTED_VALUE"""),61)</f>
        <v>61</v>
      </c>
    </row>
    <row r="63" spans="1:6">
      <c r="A63" s="1" t="str">
        <f ca="1">IFERROR(__xludf.DUMMYFUNCTION("""COMPUTED_VALUE"""),"IR-P-C-11091")</f>
        <v>IR-P-C-11091</v>
      </c>
      <c r="B63" s="1" t="str">
        <f ca="1">IFERROR(__xludf.DUMMYFUNCTION("""COMPUTED_VALUE"""),"Bharati Vidyapeeth's College of Pharmacy
More DetailsClose | 
[TABLE]")</f>
        <v>Bharati Vidyapeeth's College of Pharmacy
More DetailsClose | 
[TABLE]</v>
      </c>
      <c r="C63" s="1" t="str">
        <f ca="1">IFERROR(__xludf.DUMMYFUNCTION("""COMPUTED_VALUE"""),"Kolhapur")</f>
        <v>Kolhapur</v>
      </c>
      <c r="D63" s="1" t="str">
        <f ca="1">IFERROR(__xludf.DUMMYFUNCTION("""COMPUTED_VALUE"""),"Maharashtra")</f>
        <v>Maharashtra</v>
      </c>
      <c r="E63" s="1">
        <f ca="1">IFERROR(__xludf.DUMMYFUNCTION("""COMPUTED_VALUE"""),39.59)</f>
        <v>39.590000000000003</v>
      </c>
      <c r="F63" s="1">
        <f ca="1">IFERROR(__xludf.DUMMYFUNCTION("""COMPUTED_VALUE"""),62)</f>
        <v>62</v>
      </c>
    </row>
    <row r="64" spans="1:6">
      <c r="A64" s="1" t="str">
        <f ca="1">IFERROR(__xludf.DUMMYFUNCTION("""COMPUTED_VALUE"""),"IR-P-C-33553")</f>
        <v>IR-P-C-33553</v>
      </c>
      <c r="B64" s="1" t="str">
        <f ca="1">IFERROR(__xludf.DUMMYFUNCTION("""COMPUTED_VALUE"""),"Vivekanand Education Society`s College of Pharmacy
More DetailsClose | 
[TABLE]")</f>
        <v>Vivekanand Education Society`s College of Pharmacy
More DetailsClose | 
[TABLE]</v>
      </c>
      <c r="C64" s="1" t="str">
        <f ca="1">IFERROR(__xludf.DUMMYFUNCTION("""COMPUTED_VALUE"""),"Mumbai")</f>
        <v>Mumbai</v>
      </c>
      <c r="D64" s="1" t="str">
        <f ca="1">IFERROR(__xludf.DUMMYFUNCTION("""COMPUTED_VALUE"""),"Maharashtra")</f>
        <v>Maharashtra</v>
      </c>
      <c r="E64" s="1">
        <f ca="1">IFERROR(__xludf.DUMMYFUNCTION("""COMPUTED_VALUE"""),39.41)</f>
        <v>39.409999999999997</v>
      </c>
      <c r="F64" s="1">
        <f ca="1">IFERROR(__xludf.DUMMYFUNCTION("""COMPUTED_VALUE"""),63)</f>
        <v>63</v>
      </c>
    </row>
    <row r="65" spans="1:6">
      <c r="A65" s="1" t="str">
        <f ca="1">IFERROR(__xludf.DUMMYFUNCTION("""COMPUTED_VALUE"""),"IR-P-I-1289")</f>
        <v>IR-P-I-1289</v>
      </c>
      <c r="B65" s="1" t="str">
        <f ca="1">IFERROR(__xludf.DUMMYFUNCTION("""COMPUTED_VALUE"""),"Acharya Nagarjuna University College of Pharmaceutical Sciences
More DetailsClose | 
[TABLE]")</f>
        <v>Acharya Nagarjuna University College of Pharmaceutical Sciences
More DetailsClose | 
[TABLE]</v>
      </c>
      <c r="C65" s="1" t="str">
        <f ca="1">IFERROR(__xludf.DUMMYFUNCTION("""COMPUTED_VALUE"""),"Guntur")</f>
        <v>Guntur</v>
      </c>
      <c r="D65" s="1" t="str">
        <f ca="1">IFERROR(__xludf.DUMMYFUNCTION("""COMPUTED_VALUE"""),"Andhra Pradesh")</f>
        <v>Andhra Pradesh</v>
      </c>
      <c r="E65" s="1">
        <f ca="1">IFERROR(__xludf.DUMMYFUNCTION("""COMPUTED_VALUE"""),38.73)</f>
        <v>38.729999999999997</v>
      </c>
      <c r="F65" s="1">
        <f ca="1">IFERROR(__xludf.DUMMYFUNCTION("""COMPUTED_VALUE"""),64)</f>
        <v>64</v>
      </c>
    </row>
    <row r="66" spans="1:6">
      <c r="A66" s="1" t="str">
        <f ca="1">IFERROR(__xludf.DUMMYFUNCTION("""COMPUTED_VALUE"""),"IR-P-C-44200")</f>
        <v>IR-P-C-44200</v>
      </c>
      <c r="B66" s="1" t="str">
        <f ca="1">IFERROR(__xludf.DUMMYFUNCTION("""COMPUTED_VALUE"""),"C.U.Shah College of Pharmacy
More DetailsClose | 
[TABLE]")</f>
        <v>C.U.Shah College of Pharmacy
More DetailsClose | 
[TABLE]</v>
      </c>
      <c r="C66" s="1" t="str">
        <f ca="1">IFERROR(__xludf.DUMMYFUNCTION("""COMPUTED_VALUE"""),"Mumbai")</f>
        <v>Mumbai</v>
      </c>
      <c r="D66" s="1" t="str">
        <f ca="1">IFERROR(__xludf.DUMMYFUNCTION("""COMPUTED_VALUE"""),"Maharashtra")</f>
        <v>Maharashtra</v>
      </c>
      <c r="E66" s="1">
        <f ca="1">IFERROR(__xludf.DUMMYFUNCTION("""COMPUTED_VALUE"""),38.46)</f>
        <v>38.46</v>
      </c>
      <c r="F66" s="1">
        <f ca="1">IFERROR(__xludf.DUMMYFUNCTION("""COMPUTED_VALUE"""),65)</f>
        <v>65</v>
      </c>
    </row>
    <row r="67" spans="1:6">
      <c r="A67" s="1" t="str">
        <f ca="1">IFERROR(__xludf.DUMMYFUNCTION("""COMPUTED_VALUE"""),"IR-P-I-1262")</f>
        <v>IR-P-I-1262</v>
      </c>
      <c r="B67" s="1" t="str">
        <f ca="1">IFERROR(__xludf.DUMMYFUNCTION("""COMPUTED_VALUE"""),"Sri Ramakrishna Institute of Paramedical Sciences
More DetailsClose | 
[TABLE]")</f>
        <v>Sri Ramakrishna Institute of Paramedical Sciences
More DetailsClose | 
[TABLE]</v>
      </c>
      <c r="C67" s="1" t="str">
        <f ca="1">IFERROR(__xludf.DUMMYFUNCTION("""COMPUTED_VALUE"""),"Coimbatore")</f>
        <v>Coimbatore</v>
      </c>
      <c r="D67" s="1" t="str">
        <f ca="1">IFERROR(__xludf.DUMMYFUNCTION("""COMPUTED_VALUE"""),"Tamil Nadu")</f>
        <v>Tamil Nadu</v>
      </c>
      <c r="E67" s="1">
        <f ca="1">IFERROR(__xludf.DUMMYFUNCTION("""COMPUTED_VALUE"""),38.17)</f>
        <v>38.17</v>
      </c>
      <c r="F67" s="1">
        <f ca="1">IFERROR(__xludf.DUMMYFUNCTION("""COMPUTED_VALUE"""),66)</f>
        <v>66</v>
      </c>
    </row>
    <row r="68" spans="1:6">
      <c r="A68" s="1" t="str">
        <f ca="1">IFERROR(__xludf.DUMMYFUNCTION("""COMPUTED_VALUE"""),"IR-P-S-10906")</f>
        <v>IR-P-S-10906</v>
      </c>
      <c r="B68" s="1" t="str">
        <f ca="1">IFERROR(__xludf.DUMMYFUNCTION("""COMPUTED_VALUE"""),"Guru Nanak Institute of Pharmaceutical Science &amp; Technology
More DetailsClose | 
[TABLE]")</f>
        <v>Guru Nanak Institute of Pharmaceutical Science &amp; Technology
More DetailsClose | 
[TABLE]</v>
      </c>
      <c r="C68" s="1" t="str">
        <f ca="1">IFERROR(__xludf.DUMMYFUNCTION("""COMPUTED_VALUE"""),"Kolkata")</f>
        <v>Kolkata</v>
      </c>
      <c r="D68" s="1" t="str">
        <f ca="1">IFERROR(__xludf.DUMMYFUNCTION("""COMPUTED_VALUE"""),"West Bengal")</f>
        <v>West Bengal</v>
      </c>
      <c r="E68" s="1">
        <f ca="1">IFERROR(__xludf.DUMMYFUNCTION("""COMPUTED_VALUE"""),37.9)</f>
        <v>37.9</v>
      </c>
      <c r="F68" s="1">
        <f ca="1">IFERROR(__xludf.DUMMYFUNCTION("""COMPUTED_VALUE"""),67)</f>
        <v>67</v>
      </c>
    </row>
    <row r="69" spans="1:6">
      <c r="A69" s="1" t="str">
        <f ca="1">IFERROR(__xludf.DUMMYFUNCTION("""COMPUTED_VALUE"""),"IR-P-C-42167")</f>
        <v>IR-P-C-42167</v>
      </c>
      <c r="B69" s="1" t="str">
        <f ca="1">IFERROR(__xludf.DUMMYFUNCTION("""COMPUTED_VALUE"""),"P. E. Society`s Modern College of Pharmacy
More DetailsClose | 
[TABLE]")</f>
        <v>P. E. Society`s Modern College of Pharmacy
More DetailsClose | 
[TABLE]</v>
      </c>
      <c r="C69" s="1" t="str">
        <f ca="1">IFERROR(__xludf.DUMMYFUNCTION("""COMPUTED_VALUE"""),"Pune")</f>
        <v>Pune</v>
      </c>
      <c r="D69" s="1" t="str">
        <f ca="1">IFERROR(__xludf.DUMMYFUNCTION("""COMPUTED_VALUE"""),"Maharashtra")</f>
        <v>Maharashtra</v>
      </c>
      <c r="E69" s="1">
        <f ca="1">IFERROR(__xludf.DUMMYFUNCTION("""COMPUTED_VALUE"""),37.85)</f>
        <v>37.85</v>
      </c>
      <c r="F69" s="1">
        <f ca="1">IFERROR(__xludf.DUMMYFUNCTION("""COMPUTED_VALUE"""),68)</f>
        <v>68</v>
      </c>
    </row>
    <row r="70" spans="1:6">
      <c r="A70" s="1" t="str">
        <f ca="1">IFERROR(__xludf.DUMMYFUNCTION("""COMPUTED_VALUE"""),"IR-P-C-26904")</f>
        <v>IR-P-C-26904</v>
      </c>
      <c r="B70" s="1" t="str">
        <f ca="1">IFERROR(__xludf.DUMMYFUNCTION("""COMPUTED_VALUE"""),"Sri Venkateshwara College of Pharmacy
More DetailsClose | 
[TABLE]")</f>
        <v>Sri Venkateshwara College of Pharmacy
More DetailsClose | 
[TABLE]</v>
      </c>
      <c r="C70" s="1" t="str">
        <f ca="1">IFERROR(__xludf.DUMMYFUNCTION("""COMPUTED_VALUE"""),"Chittoor")</f>
        <v>Chittoor</v>
      </c>
      <c r="D70" s="1" t="str">
        <f ca="1">IFERROR(__xludf.DUMMYFUNCTION("""COMPUTED_VALUE"""),"Andhra Pradesh")</f>
        <v>Andhra Pradesh</v>
      </c>
      <c r="E70" s="1">
        <f ca="1">IFERROR(__xludf.DUMMYFUNCTION("""COMPUTED_VALUE"""),37.72)</f>
        <v>37.72</v>
      </c>
      <c r="F70" s="1">
        <f ca="1">IFERROR(__xludf.DUMMYFUNCTION("""COMPUTED_VALUE"""),69)</f>
        <v>69</v>
      </c>
    </row>
    <row r="71" spans="1:6">
      <c r="A71" s="1" t="str">
        <f ca="1">IFERROR(__xludf.DUMMYFUNCTION("""COMPUTED_VALUE"""),"IR-P-C-45528")</f>
        <v>IR-P-C-45528</v>
      </c>
      <c r="B71" s="1" t="str">
        <f ca="1">IFERROR(__xludf.DUMMYFUNCTION("""COMPUTED_VALUE"""),"KMCH College of Pharmacy
More DetailsClose | 
[TABLE]")</f>
        <v>KMCH College of Pharmacy
More DetailsClose | 
[TABLE]</v>
      </c>
      <c r="C71" s="1" t="str">
        <f ca="1">IFERROR(__xludf.DUMMYFUNCTION("""COMPUTED_VALUE"""),"Coimbatore")</f>
        <v>Coimbatore</v>
      </c>
      <c r="D71" s="1" t="str">
        <f ca="1">IFERROR(__xludf.DUMMYFUNCTION("""COMPUTED_VALUE"""),"Tamil Nadu")</f>
        <v>Tamil Nadu</v>
      </c>
      <c r="E71" s="1">
        <f ca="1">IFERROR(__xludf.DUMMYFUNCTION("""COMPUTED_VALUE"""),37.7)</f>
        <v>37.700000000000003</v>
      </c>
      <c r="F71" s="1">
        <f ca="1">IFERROR(__xludf.DUMMYFUNCTION("""COMPUTED_VALUE"""),70)</f>
        <v>70</v>
      </c>
    </row>
    <row r="72" spans="1:6">
      <c r="A72" s="1" t="str">
        <f ca="1">IFERROR(__xludf.DUMMYFUNCTION("""COMPUTED_VALUE"""),"IR-P-C-41951")</f>
        <v>IR-P-C-41951</v>
      </c>
      <c r="B72" s="1" t="str">
        <f ca="1">IFERROR(__xludf.DUMMYFUNCTION("""COMPUTED_VALUE"""),"Padamshree Dr. D. Y. Patil College of Pharmacy
More DetailsClose | 
[TABLE]")</f>
        <v>Padamshree Dr. D. Y. Patil College of Pharmacy
More DetailsClose | 
[TABLE]</v>
      </c>
      <c r="C72" s="1" t="str">
        <f ca="1">IFERROR(__xludf.DUMMYFUNCTION("""COMPUTED_VALUE"""),"Pune")</f>
        <v>Pune</v>
      </c>
      <c r="D72" s="1" t="str">
        <f ca="1">IFERROR(__xludf.DUMMYFUNCTION("""COMPUTED_VALUE"""),"Maharashtra")</f>
        <v>Maharashtra</v>
      </c>
      <c r="E72" s="1">
        <f ca="1">IFERROR(__xludf.DUMMYFUNCTION("""COMPUTED_VALUE"""),37.49)</f>
        <v>37.49</v>
      </c>
      <c r="F72" s="1">
        <f ca="1">IFERROR(__xludf.DUMMYFUNCTION("""COMPUTED_VALUE"""),71)</f>
        <v>71</v>
      </c>
    </row>
    <row r="73" spans="1:6">
      <c r="A73" s="1" t="str">
        <f ca="1">IFERROR(__xludf.DUMMYFUNCTION("""COMPUTED_VALUE"""),"IR-P-C-54626")</f>
        <v>IR-P-C-54626</v>
      </c>
      <c r="B73" s="1" t="str">
        <f ca="1">IFERROR(__xludf.DUMMYFUNCTION("""COMPUTED_VALUE"""),"Girijananda Chowdhury Institute of Pharmaceutical Science
More DetailsClose | 
[TABLE]")</f>
        <v>Girijananda Chowdhury Institute of Pharmaceutical Science
More DetailsClose | 
[TABLE]</v>
      </c>
      <c r="C73" s="1" t="str">
        <f ca="1">IFERROR(__xludf.DUMMYFUNCTION("""COMPUTED_VALUE"""),"Guwahati")</f>
        <v>Guwahati</v>
      </c>
      <c r="D73" s="1" t="str">
        <f ca="1">IFERROR(__xludf.DUMMYFUNCTION("""COMPUTED_VALUE"""),"Assam")</f>
        <v>Assam</v>
      </c>
      <c r="E73" s="1">
        <f ca="1">IFERROR(__xludf.DUMMYFUNCTION("""COMPUTED_VALUE"""),37.31)</f>
        <v>37.31</v>
      </c>
      <c r="F73" s="1">
        <f ca="1">IFERROR(__xludf.DUMMYFUNCTION("""COMPUTED_VALUE"""),72)</f>
        <v>72</v>
      </c>
    </row>
    <row r="74" spans="1:6">
      <c r="A74" s="1" t="str">
        <f ca="1">IFERROR(__xludf.DUMMYFUNCTION("""COMPUTED_VALUE"""),"IR-P-C-33635")</f>
        <v>IR-P-C-33635</v>
      </c>
      <c r="B74" s="1" t="str">
        <f ca="1">IFERROR(__xludf.DUMMYFUNCTION("""COMPUTED_VALUE"""),"Principal K.M. Kundnani College of Pharmacy
More DetailsClose | 
[TABLE]")</f>
        <v>Principal K.M. Kundnani College of Pharmacy
More DetailsClose | 
[TABLE]</v>
      </c>
      <c r="C74" s="1" t="str">
        <f ca="1">IFERROR(__xludf.DUMMYFUNCTION("""COMPUTED_VALUE"""),"Mumbai")</f>
        <v>Mumbai</v>
      </c>
      <c r="D74" s="1" t="str">
        <f ca="1">IFERROR(__xludf.DUMMYFUNCTION("""COMPUTED_VALUE"""),"Maharashtra")</f>
        <v>Maharashtra</v>
      </c>
      <c r="E74" s="1">
        <f ca="1">IFERROR(__xludf.DUMMYFUNCTION("""COMPUTED_VALUE"""),37.29)</f>
        <v>37.29</v>
      </c>
      <c r="F74" s="1">
        <f ca="1">IFERROR(__xludf.DUMMYFUNCTION("""COMPUTED_VALUE"""),73)</f>
        <v>73</v>
      </c>
    </row>
    <row r="75" spans="1:6">
      <c r="A75" s="1" t="str">
        <f ca="1">IFERROR(__xludf.DUMMYFUNCTION("""COMPUTED_VALUE"""),"IR-P-U-0938")</f>
        <v>IR-P-U-0938</v>
      </c>
      <c r="B75" s="1" t="str">
        <f ca="1">IFERROR(__xludf.DUMMYFUNCTION("""COMPUTED_VALUE"""),"Dr. Vishwanath Karad MIT World Peace University
More DetailsClose | 
[TABLE]")</f>
        <v>Dr. Vishwanath Karad MIT World Peace University
More DetailsClose | 
[TABLE]</v>
      </c>
      <c r="C75" s="1" t="str">
        <f ca="1">IFERROR(__xludf.DUMMYFUNCTION("""COMPUTED_VALUE"""),"Pune")</f>
        <v>Pune</v>
      </c>
      <c r="D75" s="1" t="str">
        <f ca="1">IFERROR(__xludf.DUMMYFUNCTION("""COMPUTED_VALUE"""),"Maharashtra")</f>
        <v>Maharashtra</v>
      </c>
      <c r="E75" s="1">
        <f ca="1">IFERROR(__xludf.DUMMYFUNCTION("""COMPUTED_VALUE"""),37.29)</f>
        <v>37.29</v>
      </c>
      <c r="F75" s="1">
        <f ca="1">IFERROR(__xludf.DUMMYFUNCTION("""COMPUTED_VALUE"""),73)</f>
        <v>73</v>
      </c>
    </row>
    <row r="76" spans="1:6">
      <c r="A76" s="1" t="str">
        <f ca="1">IFERROR(__xludf.DUMMYFUNCTION("""COMPUTED_VALUE"""),"IR-P-U-0562")</f>
        <v>IR-P-U-0562</v>
      </c>
      <c r="B76" s="1" t="str">
        <f ca="1">IFERROR(__xludf.DUMMYFUNCTION("""COMPUTED_VALUE"""),"Kumaun University, Nainital
More DetailsClose | 
[TABLE]")</f>
        <v>Kumaun University, Nainital
More DetailsClose | 
[TABLE]</v>
      </c>
      <c r="C76" s="1" t="str">
        <f ca="1">IFERROR(__xludf.DUMMYFUNCTION("""COMPUTED_VALUE"""),"Nainital")</f>
        <v>Nainital</v>
      </c>
      <c r="D76" s="1" t="str">
        <f ca="1">IFERROR(__xludf.DUMMYFUNCTION("""COMPUTED_VALUE"""),"Uttarakhand")</f>
        <v>Uttarakhand</v>
      </c>
      <c r="E76" s="1">
        <f ca="1">IFERROR(__xludf.DUMMYFUNCTION("""COMPUTED_VALUE"""),37.23)</f>
        <v>37.229999999999997</v>
      </c>
      <c r="F76" s="1">
        <f ca="1">IFERROR(__xludf.DUMMYFUNCTION("""COMPUTED_VALUE"""),75)</f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1"/>
  <sheetViews>
    <sheetView workbookViewId="0"/>
  </sheetViews>
  <sheetFormatPr defaultColWidth="14.42578125" defaultRowHeight="15.75" customHeight="1"/>
  <sheetData>
    <row r="1" spans="1:6">
      <c r="A1" s="1" t="str">
        <f ca="1">IFERROR(__xludf.DUMMYFUNCTION("IMPORTHTML(""https://www.nirfindia.org/2020/CollegeRanking.html"",""table"",1)"),"Institute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IFERROR(__xludf.DUMMYFUNCTION("""COMPUTED_VALUE"""),"IR-C-C-6355")</f>
        <v>IR-C-C-6355</v>
      </c>
      <c r="B2" s="1" t="str">
        <f ca="1">IFERROR(__xludf.DUMMYFUNCTION("""COMPUTED_VALUE"""),"Miranda House
More DetailsClose | 
[TABLE]")</f>
        <v>Miranda House
More DetailsClose | 
[TABLE]</v>
      </c>
      <c r="C2" s="1" t="str">
        <f ca="1">IFERROR(__xludf.DUMMYFUNCTION("""COMPUTED_VALUE"""),"Delhi")</f>
        <v>Delhi</v>
      </c>
      <c r="D2" s="1" t="str">
        <f ca="1">IFERROR(__xludf.DUMMYFUNCTION("""COMPUTED_VALUE"""),"Delhi")</f>
        <v>Delhi</v>
      </c>
      <c r="E2" s="1">
        <f ca="1">IFERROR(__xludf.DUMMYFUNCTION("""COMPUTED_VALUE"""),77.23)</f>
        <v>77.23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IFERROR(__xludf.DUMMYFUNCTION("""COMPUTED_VALUE"""),"IR-C-C-6415")</f>
        <v>IR-C-C-6415</v>
      </c>
      <c r="B3" s="1" t="str">
        <f ca="1">IFERROR(__xludf.DUMMYFUNCTION("""COMPUTED_VALUE"""),"Lady Shri Ram College For Women
More DetailsClose | 
[TABLE]")</f>
        <v>Lady Shri Ram College For Women
More DetailsClose | 
[TABLE]</v>
      </c>
      <c r="C3" s="1" t="str">
        <f ca="1">IFERROR(__xludf.DUMMYFUNCTION("""COMPUTED_VALUE"""),"New Delhi")</f>
        <v>New Delhi</v>
      </c>
      <c r="D3" s="1" t="str">
        <f ca="1">IFERROR(__xludf.DUMMYFUNCTION("""COMPUTED_VALUE"""),"Delhi")</f>
        <v>Delhi</v>
      </c>
      <c r="E3" s="1">
        <f ca="1">IFERROR(__xludf.DUMMYFUNCTION("""COMPUTED_VALUE"""),72.08)</f>
        <v>72.08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IFERROR(__xludf.DUMMYFUNCTION("""COMPUTED_VALUE"""),"IR-C-C-6377")</f>
        <v>IR-C-C-6377</v>
      </c>
      <c r="B4" s="1" t="str">
        <f ca="1">IFERROR(__xludf.DUMMYFUNCTION("""COMPUTED_VALUE"""),"Hindu College
More DetailsClose | 
[TABLE]")</f>
        <v>Hindu College
More DetailsClose | 
[TABLE]</v>
      </c>
      <c r="C4" s="1" t="str">
        <f ca="1">IFERROR(__xludf.DUMMYFUNCTION("""COMPUTED_VALUE"""),"Delhi")</f>
        <v>Delhi</v>
      </c>
      <c r="D4" s="1" t="str">
        <f ca="1">IFERROR(__xludf.DUMMYFUNCTION("""COMPUTED_VALUE"""),"Delhi")</f>
        <v>Delhi</v>
      </c>
      <c r="E4" s="1">
        <f ca="1">IFERROR(__xludf.DUMMYFUNCTION("""COMPUTED_VALUE"""),70.44)</f>
        <v>70.44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IFERROR(__xludf.DUMMYFUNCTION("""COMPUTED_VALUE"""),"IR-C-C-22470")</f>
        <v>IR-C-C-22470</v>
      </c>
      <c r="B5" s="1" t="str">
        <f ca="1">IFERROR(__xludf.DUMMYFUNCTION("""COMPUTED_VALUE"""),"St. Stephen`s College
More DetailsClose | 
[TABLE]")</f>
        <v>St. Stephen`s College
More DetailsClose | 
[TABLE]</v>
      </c>
      <c r="C5" s="1" t="str">
        <f ca="1">IFERROR(__xludf.DUMMYFUNCTION("""COMPUTED_VALUE"""),"Delhi")</f>
        <v>Delhi</v>
      </c>
      <c r="D5" s="1" t="str">
        <f ca="1">IFERROR(__xludf.DUMMYFUNCTION("""COMPUTED_VALUE"""),"Delhi")</f>
        <v>Delhi</v>
      </c>
      <c r="E5" s="1">
        <f ca="1">IFERROR(__xludf.DUMMYFUNCTION("""COMPUTED_VALUE"""),69.67)</f>
        <v>69.67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IFERROR(__xludf.DUMMYFUNCTION("""COMPUTED_VALUE"""),"IR-C-C-43921")</f>
        <v>IR-C-C-43921</v>
      </c>
      <c r="B6" s="1" t="str">
        <f ca="1">IFERROR(__xludf.DUMMYFUNCTION("""COMPUTED_VALUE"""),"Presidency College
More DetailsClose | 
[TABLE]")</f>
        <v>Presidency College
More DetailsClose | 
[TABLE]</v>
      </c>
      <c r="C6" s="1" t="str">
        <f ca="1">IFERROR(__xludf.DUMMYFUNCTION("""COMPUTED_VALUE"""),"Chennai")</f>
        <v>Chennai</v>
      </c>
      <c r="D6" s="1" t="str">
        <f ca="1">IFERROR(__xludf.DUMMYFUNCTION("""COMPUTED_VALUE"""),"Tamil Nadu")</f>
        <v>Tamil Nadu</v>
      </c>
      <c r="E6" s="1">
        <f ca="1">IFERROR(__xludf.DUMMYFUNCTION("""COMPUTED_VALUE"""),68.89)</f>
        <v>68.89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IFERROR(__xludf.DUMMYFUNCTION("""COMPUTED_VALUE"""),"IR-C-C-44006")</f>
        <v>IR-C-C-44006</v>
      </c>
      <c r="B7" s="1" t="str">
        <f ca="1">IFERROR(__xludf.DUMMYFUNCTION("""COMPUTED_VALUE"""),"Loyola College
More DetailsClose | 
[TABLE]")</f>
        <v>Loyola College
More DetailsClose | 
[TABLE]</v>
      </c>
      <c r="C7" s="1" t="str">
        <f ca="1">IFERROR(__xludf.DUMMYFUNCTION("""COMPUTED_VALUE"""),"Chennai")</f>
        <v>Chennai</v>
      </c>
      <c r="D7" s="1" t="str">
        <f ca="1">IFERROR(__xludf.DUMMYFUNCTION("""COMPUTED_VALUE"""),"Tamil Nadu")</f>
        <v>Tamil Nadu</v>
      </c>
      <c r="E7" s="1">
        <f ca="1">IFERROR(__xludf.DUMMYFUNCTION("""COMPUTED_VALUE"""),68.03)</f>
        <v>68.03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IFERROR(__xludf.DUMMYFUNCTION("""COMPUTED_VALUE"""),"IR-C-C-11881")</f>
        <v>IR-C-C-11881</v>
      </c>
      <c r="B8" s="1" t="str">
        <f ca="1">IFERROR(__xludf.DUMMYFUNCTION("""COMPUTED_VALUE"""),"St. Xavier`s College
More DetailsClose | 
[TABLE]")</f>
        <v>St. Xavier`s College
More DetailsClose | 
[TABLE]</v>
      </c>
      <c r="C8" s="1" t="str">
        <f ca="1">IFERROR(__xludf.DUMMYFUNCTION("""COMPUTED_VALUE"""),"Kolkata")</f>
        <v>Kolkata</v>
      </c>
      <c r="D8" s="1" t="str">
        <f ca="1">IFERROR(__xludf.DUMMYFUNCTION("""COMPUTED_VALUE"""),"West Bengal")</f>
        <v>West Bengal</v>
      </c>
      <c r="E8" s="1">
        <f ca="1">IFERROR(__xludf.DUMMYFUNCTION("""COMPUTED_VALUE"""),67.59)</f>
        <v>67.59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IFERROR(__xludf.DUMMYFUNCTION("""COMPUTED_VALUE"""),"IR-C-C-11926")</f>
        <v>IR-C-C-11926</v>
      </c>
      <c r="B9" s="1" t="str">
        <f ca="1">IFERROR(__xludf.DUMMYFUNCTION("""COMPUTED_VALUE"""),"Ramakrishna Mission Vidyamandira
More DetailsClose | 
[TABLE]")</f>
        <v>Ramakrishna Mission Vidyamandira
More DetailsClose | 
[TABLE]</v>
      </c>
      <c r="C9" s="1" t="str">
        <f ca="1">IFERROR(__xludf.DUMMYFUNCTION("""COMPUTED_VALUE"""),"Howrah")</f>
        <v>Howrah</v>
      </c>
      <c r="D9" s="1" t="str">
        <f ca="1">IFERROR(__xludf.DUMMYFUNCTION("""COMPUTED_VALUE"""),"West Bengal")</f>
        <v>West Bengal</v>
      </c>
      <c r="E9" s="1">
        <f ca="1">IFERROR(__xludf.DUMMYFUNCTION("""COMPUTED_VALUE"""),67.59)</f>
        <v>67.59</v>
      </c>
      <c r="F9" s="1">
        <f ca="1">IFERROR(__xludf.DUMMYFUNCTION("""COMPUTED_VALUE"""),7)</f>
        <v>7</v>
      </c>
    </row>
    <row r="10" spans="1:6">
      <c r="A10" s="1" t="str">
        <f ca="1">IFERROR(__xludf.DUMMYFUNCTION("""COMPUTED_VALUE"""),"IR-C-C-6425")</f>
        <v>IR-C-C-6425</v>
      </c>
      <c r="B10" s="1" t="str">
        <f ca="1">IFERROR(__xludf.DUMMYFUNCTION("""COMPUTED_VALUE"""),"Hans Raj College
More DetailsClose | 
[TABLE]")</f>
        <v>Hans Raj College
More DetailsClose | 
[TABLE]</v>
      </c>
      <c r="C10" s="1" t="str">
        <f ca="1">IFERROR(__xludf.DUMMYFUNCTION("""COMPUTED_VALUE"""),"Delhi")</f>
        <v>Delhi</v>
      </c>
      <c r="D10" s="1" t="str">
        <f ca="1">IFERROR(__xludf.DUMMYFUNCTION("""COMPUTED_VALUE"""),"Delhi")</f>
        <v>Delhi</v>
      </c>
      <c r="E10" s="1">
        <f ca="1">IFERROR(__xludf.DUMMYFUNCTION("""COMPUTED_VALUE"""),67.23)</f>
        <v>67.23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IFERROR(__xludf.DUMMYFUNCTION("""COMPUTED_VALUE"""),"IR-C-C-41046")</f>
        <v>IR-C-C-41046</v>
      </c>
      <c r="B11" s="1" t="str">
        <f ca="1">IFERROR(__xludf.DUMMYFUNCTION("""COMPUTED_VALUE"""),"PSGR Krishnammal College for Women
More DetailsClose | 
[TABLE]")</f>
        <v>PSGR Krishnammal College for Women
More DetailsClose | 
[TABLE]</v>
      </c>
      <c r="C11" s="1" t="str">
        <f ca="1">IFERROR(__xludf.DUMMYFUNCTION("""COMPUTED_VALUE"""),"Coimbatore")</f>
        <v>Coimbatore</v>
      </c>
      <c r="D11" s="1" t="str">
        <f ca="1">IFERROR(__xludf.DUMMYFUNCTION("""COMPUTED_VALUE"""),"Tamil Nadu")</f>
        <v>Tamil Nadu</v>
      </c>
      <c r="E11" s="1">
        <f ca="1">IFERROR(__xludf.DUMMYFUNCTION("""COMPUTED_VALUE"""),66.63)</f>
        <v>66.63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IFERROR(__xludf.DUMMYFUNCTION("""COMPUTED_VALUE"""),"IR-C-I-1317")</f>
        <v>IR-C-I-1317</v>
      </c>
      <c r="B12" s="1" t="str">
        <f ca="1">IFERROR(__xludf.DUMMYFUNCTION("""COMPUTED_VALUE"""),"Rama Krishna Mission Vivekananda Centenary College
More DetailsClose | 
[TABLE]")</f>
        <v>Rama Krishna Mission Vivekananda Centenary College
More DetailsClose | 
[TABLE]</v>
      </c>
      <c r="C12" s="1" t="str">
        <f ca="1">IFERROR(__xludf.DUMMYFUNCTION("""COMPUTED_VALUE"""),"Rahara")</f>
        <v>Rahara</v>
      </c>
      <c r="D12" s="1" t="str">
        <f ca="1">IFERROR(__xludf.DUMMYFUNCTION("""COMPUTED_VALUE"""),"West Bengal")</f>
        <v>West Bengal</v>
      </c>
      <c r="E12" s="1">
        <f ca="1">IFERROR(__xludf.DUMMYFUNCTION("""COMPUTED_VALUE"""),66.58)</f>
        <v>66.58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IFERROR(__xludf.DUMMYFUNCTION("""COMPUTED_VALUE"""),"IR-C-C-6419")</f>
        <v>IR-C-C-6419</v>
      </c>
      <c r="B13" s="1" t="str">
        <f ca="1">IFERROR(__xludf.DUMMYFUNCTION("""COMPUTED_VALUE"""),"Shri Ram College of Commerce
More DetailsClose | 
[TABLE]")</f>
        <v>Shri Ram College of Commerce
More DetailsClose | 
[TABLE]</v>
      </c>
      <c r="C13" s="1" t="str">
        <f ca="1">IFERROR(__xludf.DUMMYFUNCTION("""COMPUTED_VALUE"""),"Delhi")</f>
        <v>Delhi</v>
      </c>
      <c r="D13" s="1" t="str">
        <f ca="1">IFERROR(__xludf.DUMMYFUNCTION("""COMPUTED_VALUE"""),"Delhi")</f>
        <v>Delhi</v>
      </c>
      <c r="E13" s="1">
        <f ca="1">IFERROR(__xludf.DUMMYFUNCTION("""COMPUTED_VALUE"""),66.29)</f>
        <v>66.290000000000006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IFERROR(__xludf.DUMMYFUNCTION("""COMPUTED_VALUE"""),"IR-C-C-22462")</f>
        <v>IR-C-C-22462</v>
      </c>
      <c r="B14" s="1" t="str">
        <f ca="1">IFERROR(__xludf.DUMMYFUNCTION("""COMPUTED_VALUE"""),"Atma Ram Sanatan Dharm College
More DetailsClose | 
[TABLE]")</f>
        <v>Atma Ram Sanatan Dharm College
More DetailsClose | 
[TABLE]</v>
      </c>
      <c r="C14" s="1" t="str">
        <f ca="1">IFERROR(__xludf.DUMMYFUNCTION("""COMPUTED_VALUE"""),"New Delhi")</f>
        <v>New Delhi</v>
      </c>
      <c r="D14" s="1" t="str">
        <f ca="1">IFERROR(__xludf.DUMMYFUNCTION("""COMPUTED_VALUE"""),"Delhi")</f>
        <v>Delhi</v>
      </c>
      <c r="E14" s="1">
        <f ca="1">IFERROR(__xludf.DUMMYFUNCTION("""COMPUTED_VALUE"""),66.15)</f>
        <v>66.150000000000006</v>
      </c>
      <c r="F14" s="1">
        <f ca="1">IFERROR(__xludf.DUMMYFUNCTION("""COMPUTED_VALUE"""),13)</f>
        <v>13</v>
      </c>
    </row>
    <row r="15" spans="1:6">
      <c r="A15" s="1" t="str">
        <f ca="1">IFERROR(__xludf.DUMMYFUNCTION("""COMPUTED_VALUE"""),"IR-C-C-6369")</f>
        <v>IR-C-C-6369</v>
      </c>
      <c r="B15" s="1" t="str">
        <f ca="1">IFERROR(__xludf.DUMMYFUNCTION("""COMPUTED_VALUE"""),"Sri Venkateswara College
More DetailsClose | 
[TABLE]")</f>
        <v>Sri Venkateswara College
More DetailsClose | 
[TABLE]</v>
      </c>
      <c r="C15" s="1" t="str">
        <f ca="1">IFERROR(__xludf.DUMMYFUNCTION("""COMPUTED_VALUE"""),"Delhi")</f>
        <v>Delhi</v>
      </c>
      <c r="D15" s="1" t="str">
        <f ca="1">IFERROR(__xludf.DUMMYFUNCTION("""COMPUTED_VALUE"""),"Delhi")</f>
        <v>Delhi</v>
      </c>
      <c r="E15" s="1">
        <f ca="1">IFERROR(__xludf.DUMMYFUNCTION("""COMPUTED_VALUE"""),66.04)</f>
        <v>66.040000000000006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IFERROR(__xludf.DUMMYFUNCTION("""COMPUTED_VALUE"""),"IR-C-C-6361")</f>
        <v>IR-C-C-6361</v>
      </c>
      <c r="B16" s="1" t="str">
        <f ca="1">IFERROR(__xludf.DUMMYFUNCTION("""COMPUTED_VALUE"""),"Deen Dayal Upadhyaya College
More DetailsClose | 
[TABLE]")</f>
        <v>Deen Dayal Upadhyaya College
More DetailsClose | 
[TABLE]</v>
      </c>
      <c r="C16" s="1" t="str">
        <f ca="1">IFERROR(__xludf.DUMMYFUNCTION("""COMPUTED_VALUE"""),"New Delhi")</f>
        <v>New Delhi</v>
      </c>
      <c r="D16" s="1" t="str">
        <f ca="1">IFERROR(__xludf.DUMMYFUNCTION("""COMPUTED_VALUE"""),"Delhi")</f>
        <v>Delhi</v>
      </c>
      <c r="E16" s="1">
        <f ca="1">IFERROR(__xludf.DUMMYFUNCTION("""COMPUTED_VALUE"""),65.32)</f>
        <v>65.319999999999993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IFERROR(__xludf.DUMMYFUNCTION("""COMPUTED_VALUE"""),"IR-C-C-6429")</f>
        <v>IR-C-C-6429</v>
      </c>
      <c r="B17" s="1" t="str">
        <f ca="1">IFERROR(__xludf.DUMMYFUNCTION("""COMPUTED_VALUE"""),"Gargi College
More DetailsClose | 
[TABLE]")</f>
        <v>Gargi College
More DetailsClose | 
[TABLE]</v>
      </c>
      <c r="C17" s="1" t="str">
        <f ca="1">IFERROR(__xludf.DUMMYFUNCTION("""COMPUTED_VALUE"""),"Delhi")</f>
        <v>Delhi</v>
      </c>
      <c r="D17" s="1" t="str">
        <f ca="1">IFERROR(__xludf.DUMMYFUNCTION("""COMPUTED_VALUE"""),"Delhi")</f>
        <v>Delhi</v>
      </c>
      <c r="E17" s="1">
        <f ca="1">IFERROR(__xludf.DUMMYFUNCTION("""COMPUTED_VALUE"""),64.53)</f>
        <v>64.53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IFERROR(__xludf.DUMMYFUNCTION("""COMPUTED_VALUE"""),"IR-C-C-43965")</f>
        <v>IR-C-C-43965</v>
      </c>
      <c r="B18" s="1" t="str">
        <f ca="1">IFERROR(__xludf.DUMMYFUNCTION("""COMPUTED_VALUE"""),"Madras Christian College
More DetailsClose | 
[TABLE]")</f>
        <v>Madras Christian College
More DetailsClose | 
[TABLE]</v>
      </c>
      <c r="C18" s="1" t="str">
        <f ca="1">IFERROR(__xludf.DUMMYFUNCTION("""COMPUTED_VALUE"""),"Chennai")</f>
        <v>Chennai</v>
      </c>
      <c r="D18" s="1" t="str">
        <f ca="1">IFERROR(__xludf.DUMMYFUNCTION("""COMPUTED_VALUE"""),"Tamil Nadu")</f>
        <v>Tamil Nadu</v>
      </c>
      <c r="E18" s="1">
        <f ca="1">IFERROR(__xludf.DUMMYFUNCTION("""COMPUTED_VALUE"""),64.36)</f>
        <v>64.36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IFERROR(__xludf.DUMMYFUNCTION("""COMPUTED_VALUE"""),"IR-C-C-6380")</f>
        <v>IR-C-C-6380</v>
      </c>
      <c r="B19" s="1" t="str">
        <f ca="1">IFERROR(__xludf.DUMMYFUNCTION("""COMPUTED_VALUE"""),"Acharya Narendra Dev College
More DetailsClose | 
[TABLE]")</f>
        <v>Acharya Narendra Dev College
More DetailsClose | 
[TABLE]</v>
      </c>
      <c r="C19" s="1" t="str">
        <f ca="1">IFERROR(__xludf.DUMMYFUNCTION("""COMPUTED_VALUE"""),"New Delhi")</f>
        <v>New Delhi</v>
      </c>
      <c r="D19" s="1" t="str">
        <f ca="1">IFERROR(__xludf.DUMMYFUNCTION("""COMPUTED_VALUE"""),"Delhi")</f>
        <v>Delhi</v>
      </c>
      <c r="E19" s="1">
        <f ca="1">IFERROR(__xludf.DUMMYFUNCTION("""COMPUTED_VALUE"""),63.1)</f>
        <v>63.1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IFERROR(__xludf.DUMMYFUNCTION("""COMPUTED_VALUE"""),"IR-C-C-6385")</f>
        <v>IR-C-C-6385</v>
      </c>
      <c r="B20" s="1" t="str">
        <f ca="1">IFERROR(__xludf.DUMMYFUNCTION("""COMPUTED_VALUE"""),"Kirori Mal College
More DetailsClose | 
[TABLE]")</f>
        <v>Kirori Mal College
More DetailsClose | 
[TABLE]</v>
      </c>
      <c r="C20" s="1" t="str">
        <f ca="1">IFERROR(__xludf.DUMMYFUNCTION("""COMPUTED_VALUE"""),"Delhi")</f>
        <v>Delhi</v>
      </c>
      <c r="D20" s="1" t="str">
        <f ca="1">IFERROR(__xludf.DUMMYFUNCTION("""COMPUTED_VALUE"""),"Delhi")</f>
        <v>Delhi</v>
      </c>
      <c r="E20" s="1">
        <f ca="1">IFERROR(__xludf.DUMMYFUNCTION("""COMPUTED_VALUE"""),62.58)</f>
        <v>62.58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IFERROR(__xludf.DUMMYFUNCTION("""COMPUTED_VALUE"""),"IR-C-C-42814")</f>
        <v>IR-C-C-42814</v>
      </c>
      <c r="B21" s="1" t="str">
        <f ca="1">IFERROR(__xludf.DUMMYFUNCTION("""COMPUTED_VALUE"""),"Ramakrishna Mission Residential College
More DetailsClose | 
[TABLE]")</f>
        <v>Ramakrishna Mission Residential College
More DetailsClose | 
[TABLE]</v>
      </c>
      <c r="C21" s="1" t="str">
        <f ca="1">IFERROR(__xludf.DUMMYFUNCTION("""COMPUTED_VALUE"""),"Kolkata")</f>
        <v>Kolkata</v>
      </c>
      <c r="D21" s="1" t="str">
        <f ca="1">IFERROR(__xludf.DUMMYFUNCTION("""COMPUTED_VALUE"""),"West Bengal")</f>
        <v>West Bengal</v>
      </c>
      <c r="E21" s="1">
        <f ca="1">IFERROR(__xludf.DUMMYFUNCTION("""COMPUTED_VALUE"""),62.36)</f>
        <v>62.36</v>
      </c>
      <c r="F21" s="1">
        <f ca="1">IFERROR(__xludf.DUMMYFUNCTION("""COMPUTED_VALUE"""),20)</f>
        <v>20</v>
      </c>
    </row>
    <row r="22" spans="1:6">
      <c r="A22" s="1" t="str">
        <f ca="1">IFERROR(__xludf.DUMMYFUNCTION("""COMPUTED_VALUE"""),"IR-C-C-6432")</f>
        <v>IR-C-C-6432</v>
      </c>
      <c r="B22" s="1" t="str">
        <f ca="1">IFERROR(__xludf.DUMMYFUNCTION("""COMPUTED_VALUE"""),"Dyal Singh College
More DetailsClose | 
[TABLE]")</f>
        <v>Dyal Singh College
More DetailsClose | 
[TABLE]</v>
      </c>
      <c r="C22" s="1" t="str">
        <f ca="1">IFERROR(__xludf.DUMMYFUNCTION("""COMPUTED_VALUE"""),"New Delhi")</f>
        <v>New Delhi</v>
      </c>
      <c r="D22" s="1" t="str">
        <f ca="1">IFERROR(__xludf.DUMMYFUNCTION("""COMPUTED_VALUE"""),"Delhi")</f>
        <v>Delhi</v>
      </c>
      <c r="E22" s="1">
        <f ca="1">IFERROR(__xludf.DUMMYFUNCTION("""COMPUTED_VALUE"""),62.2)</f>
        <v>62.2</v>
      </c>
      <c r="F22" s="1">
        <f ca="1">IFERROR(__xludf.DUMMYFUNCTION("""COMPUTED_VALUE"""),21)</f>
        <v>21</v>
      </c>
    </row>
    <row r="23" spans="1:6">
      <c r="A23" s="1" t="str">
        <f ca="1">IFERROR(__xludf.DUMMYFUNCTION("""COMPUTED_VALUE"""),"IR-C-C-36513")</f>
        <v>IR-C-C-36513</v>
      </c>
      <c r="B23" s="1" t="str">
        <f ca="1">IFERROR(__xludf.DUMMYFUNCTION("""COMPUTED_VALUE"""),"Thiagarajar College
More DetailsClose | 
[TABLE]")</f>
        <v>Thiagarajar College
More DetailsClose | 
[TABLE]</v>
      </c>
      <c r="C23" s="1" t="str">
        <f ca="1">IFERROR(__xludf.DUMMYFUNCTION("""COMPUTED_VALUE"""),"Madurai")</f>
        <v>Madurai</v>
      </c>
      <c r="D23" s="1" t="str">
        <f ca="1">IFERROR(__xludf.DUMMYFUNCTION("""COMPUTED_VALUE"""),"Tamil Nadu")</f>
        <v>Tamil Nadu</v>
      </c>
      <c r="E23" s="1">
        <f ca="1">IFERROR(__xludf.DUMMYFUNCTION("""COMPUTED_VALUE"""),61.29)</f>
        <v>61.29</v>
      </c>
      <c r="F23" s="1">
        <f ca="1">IFERROR(__xludf.DUMMYFUNCTION("""COMPUTED_VALUE"""),22)</f>
        <v>22</v>
      </c>
    </row>
    <row r="24" spans="1:6">
      <c r="A24" s="1" t="str">
        <f ca="1">IFERROR(__xludf.DUMMYFUNCTION("""COMPUTED_VALUE"""),"IR-C-C-43671")</f>
        <v>IR-C-C-43671</v>
      </c>
      <c r="B24" s="1" t="str">
        <f ca="1">IFERROR(__xludf.DUMMYFUNCTION("""COMPUTED_VALUE"""),"University College
More DetailsClose | 
[TABLE]")</f>
        <v>University College
More DetailsClose | 
[TABLE]</v>
      </c>
      <c r="C24" s="1" t="str">
        <f ca="1">IFERROR(__xludf.DUMMYFUNCTION("""COMPUTED_VALUE"""),"Thiruvananthapuram")</f>
        <v>Thiruvananthapuram</v>
      </c>
      <c r="D24" s="1" t="str">
        <f ca="1">IFERROR(__xludf.DUMMYFUNCTION("""COMPUTED_VALUE"""),"Kerala")</f>
        <v>Kerala</v>
      </c>
      <c r="E24" s="1">
        <f ca="1">IFERROR(__xludf.DUMMYFUNCTION("""COMPUTED_VALUE"""),61.08)</f>
        <v>61.08</v>
      </c>
      <c r="F24" s="1">
        <f ca="1">IFERROR(__xludf.DUMMYFUNCTION("""COMPUTED_VALUE"""),23)</f>
        <v>23</v>
      </c>
    </row>
    <row r="25" spans="1:6">
      <c r="A25" s="1" t="str">
        <f ca="1">IFERROR(__xludf.DUMMYFUNCTION("""COMPUTED_VALUE"""),"IR-C-C-16178")</f>
        <v>IR-C-C-16178</v>
      </c>
      <c r="B25" s="1" t="str">
        <f ca="1">IFERROR(__xludf.DUMMYFUNCTION("""COMPUTED_VALUE"""),"P. D. Patel Institute of Applied Sciences
More DetailsClose | 
[TABLE]")</f>
        <v>P. D. Patel Institute of Applied Sciences
More DetailsClose | 
[TABLE]</v>
      </c>
      <c r="C25" s="1" t="str">
        <f ca="1">IFERROR(__xludf.DUMMYFUNCTION("""COMPUTED_VALUE"""),"Changa")</f>
        <v>Changa</v>
      </c>
      <c r="D25" s="1" t="str">
        <f ca="1">IFERROR(__xludf.DUMMYFUNCTION("""COMPUTED_VALUE"""),"Gujarat")</f>
        <v>Gujarat</v>
      </c>
      <c r="E25" s="1">
        <f ca="1">IFERROR(__xludf.DUMMYFUNCTION("""COMPUTED_VALUE"""),61.01)</f>
        <v>61.01</v>
      </c>
      <c r="F25" s="1">
        <f ca="1">IFERROR(__xludf.DUMMYFUNCTION("""COMPUTED_VALUE"""),24)</f>
        <v>24</v>
      </c>
    </row>
    <row r="26" spans="1:6">
      <c r="A26" s="1" t="str">
        <f ca="1">IFERROR(__xludf.DUMMYFUNCTION("""COMPUTED_VALUE"""),"IR-C-C-41124")</f>
        <v>IR-C-C-41124</v>
      </c>
      <c r="B26" s="1" t="str">
        <f ca="1">IFERROR(__xludf.DUMMYFUNCTION("""COMPUTED_VALUE"""),"PSG College of Arts and Science
More DetailsClose | 
[TABLE]")</f>
        <v>PSG College of Arts and Science
More DetailsClose | 
[TABLE]</v>
      </c>
      <c r="C26" s="1" t="str">
        <f ca="1">IFERROR(__xludf.DUMMYFUNCTION("""COMPUTED_VALUE"""),"Coimbatore")</f>
        <v>Coimbatore</v>
      </c>
      <c r="D26" s="1" t="str">
        <f ca="1">IFERROR(__xludf.DUMMYFUNCTION("""COMPUTED_VALUE"""),"Tamil Nadu")</f>
        <v>Tamil Nadu</v>
      </c>
      <c r="E26" s="1">
        <f ca="1">IFERROR(__xludf.DUMMYFUNCTION("""COMPUTED_VALUE"""),60.74)</f>
        <v>60.74</v>
      </c>
      <c r="F26" s="1">
        <f ca="1">IFERROR(__xludf.DUMMYFUNCTION("""COMPUTED_VALUE"""),25)</f>
        <v>25</v>
      </c>
    </row>
    <row r="27" spans="1:6">
      <c r="A27" s="1" t="str">
        <f ca="1">IFERROR(__xludf.DUMMYFUNCTION("""COMPUTED_VALUE"""),"IR-C-C-6367")</f>
        <v>IR-C-C-6367</v>
      </c>
      <c r="B27" s="1" t="str">
        <f ca="1">IFERROR(__xludf.DUMMYFUNCTION("""COMPUTED_VALUE"""),"Daulat Ram College
More DetailsClose | 
[TABLE]")</f>
        <v>Daulat Ram College
More DetailsClose | 
[TABLE]</v>
      </c>
      <c r="C27" s="1" t="str">
        <f ca="1">IFERROR(__xludf.DUMMYFUNCTION("""COMPUTED_VALUE"""),"Delhi")</f>
        <v>Delhi</v>
      </c>
      <c r="D27" s="1" t="str">
        <f ca="1">IFERROR(__xludf.DUMMYFUNCTION("""COMPUTED_VALUE"""),"Delhi")</f>
        <v>Delhi</v>
      </c>
      <c r="E27" s="1">
        <f ca="1">IFERROR(__xludf.DUMMYFUNCTION("""COMPUTED_VALUE"""),60.4)</f>
        <v>60.4</v>
      </c>
      <c r="F27" s="1">
        <f ca="1">IFERROR(__xludf.DUMMYFUNCTION("""COMPUTED_VALUE"""),26)</f>
        <v>26</v>
      </c>
    </row>
    <row r="28" spans="1:6">
      <c r="A28" s="1" t="str">
        <f ca="1">IFERROR(__xludf.DUMMYFUNCTION("""COMPUTED_VALUE"""),"IR-C-C-41189")</f>
        <v>IR-C-C-41189</v>
      </c>
      <c r="B28" s="1" t="str">
        <f ca="1">IFERROR(__xludf.DUMMYFUNCTION("""COMPUTED_VALUE"""),"Scott Christian College
More DetailsClose | 
[TABLE]")</f>
        <v>Scott Christian College
More DetailsClose | 
[TABLE]</v>
      </c>
      <c r="C28" s="1" t="str">
        <f ca="1">IFERROR(__xludf.DUMMYFUNCTION("""COMPUTED_VALUE"""),"Nagercoil")</f>
        <v>Nagercoil</v>
      </c>
      <c r="D28" s="1" t="str">
        <f ca="1">IFERROR(__xludf.DUMMYFUNCTION("""COMPUTED_VALUE"""),"Tamil Nadu")</f>
        <v>Tamil Nadu</v>
      </c>
      <c r="E28" s="1">
        <f ca="1">IFERROR(__xludf.DUMMYFUNCTION("""COMPUTED_VALUE"""),59.98)</f>
        <v>59.98</v>
      </c>
      <c r="F28" s="1">
        <f ca="1">IFERROR(__xludf.DUMMYFUNCTION("""COMPUTED_VALUE"""),27)</f>
        <v>27</v>
      </c>
    </row>
    <row r="29" spans="1:6">
      <c r="A29" s="1" t="str">
        <f ca="1">IFERROR(__xludf.DUMMYFUNCTION("""COMPUTED_VALUE"""),"IR-C-C-11691")</f>
        <v>IR-C-C-11691</v>
      </c>
      <c r="B29" s="1" t="str">
        <f ca="1">IFERROR(__xludf.DUMMYFUNCTION("""COMPUTED_VALUE"""),"Rajagiri College of Social Sciences
More DetailsClose | 
[TABLE]")</f>
        <v>Rajagiri College of Social Sciences
More DetailsClose | 
[TABLE]</v>
      </c>
      <c r="C29" s="1" t="str">
        <f ca="1">IFERROR(__xludf.DUMMYFUNCTION("""COMPUTED_VALUE"""),"Ernakulam")</f>
        <v>Ernakulam</v>
      </c>
      <c r="D29" s="1" t="str">
        <f ca="1">IFERROR(__xludf.DUMMYFUNCTION("""COMPUTED_VALUE"""),"Kerala")</f>
        <v>Kerala</v>
      </c>
      <c r="E29" s="1">
        <f ca="1">IFERROR(__xludf.DUMMYFUNCTION("""COMPUTED_VALUE"""),59.36)</f>
        <v>59.36</v>
      </c>
      <c r="F29" s="1">
        <f ca="1">IFERROR(__xludf.DUMMYFUNCTION("""COMPUTED_VALUE"""),28)</f>
        <v>28</v>
      </c>
    </row>
    <row r="30" spans="1:6">
      <c r="A30" s="1" t="str">
        <f ca="1">IFERROR(__xludf.DUMMYFUNCTION("""COMPUTED_VALUE"""),"IR-C-C-41126")</f>
        <v>IR-C-C-41126</v>
      </c>
      <c r="B30" s="1" t="str">
        <f ca="1">IFERROR(__xludf.DUMMYFUNCTION("""COMPUTED_VALUE"""),"Sri Krishna Arts and Science College
More DetailsClose | 
[TABLE]")</f>
        <v>Sri Krishna Arts and Science College
More DetailsClose | 
[TABLE]</v>
      </c>
      <c r="C30" s="1" t="str">
        <f ca="1">IFERROR(__xludf.DUMMYFUNCTION("""COMPUTED_VALUE"""),"Coimbatore")</f>
        <v>Coimbatore</v>
      </c>
      <c r="D30" s="1" t="str">
        <f ca="1">IFERROR(__xludf.DUMMYFUNCTION("""COMPUTED_VALUE"""),"Tamil Nadu")</f>
        <v>Tamil Nadu</v>
      </c>
      <c r="E30" s="1">
        <f ca="1">IFERROR(__xludf.DUMMYFUNCTION("""COMPUTED_VALUE"""),58.56)</f>
        <v>58.56</v>
      </c>
      <c r="F30" s="1">
        <f ca="1">IFERROR(__xludf.DUMMYFUNCTION("""COMPUTED_VALUE"""),29)</f>
        <v>29</v>
      </c>
    </row>
    <row r="31" spans="1:6">
      <c r="A31" s="1" t="str">
        <f ca="1">IFERROR(__xludf.DUMMYFUNCTION("""COMPUTED_VALUE"""),"IR-C-C-6353")</f>
        <v>IR-C-C-6353</v>
      </c>
      <c r="B31" s="1" t="str">
        <f ca="1">IFERROR(__xludf.DUMMYFUNCTION("""COMPUTED_VALUE"""),"Sri Guru Tegh Bahadur Khalsa College
More DetailsClose | 
[TABLE]")</f>
        <v>Sri Guru Tegh Bahadur Khalsa College
More DetailsClose | 
[TABLE]</v>
      </c>
      <c r="C31" s="1" t="str">
        <f ca="1">IFERROR(__xludf.DUMMYFUNCTION("""COMPUTED_VALUE"""),"Delhi")</f>
        <v>Delhi</v>
      </c>
      <c r="D31" s="1" t="str">
        <f ca="1">IFERROR(__xludf.DUMMYFUNCTION("""COMPUTED_VALUE"""),"Delhi")</f>
        <v>Delhi</v>
      </c>
      <c r="E31" s="1">
        <f ca="1">IFERROR(__xludf.DUMMYFUNCTION("""COMPUTED_VALUE"""),58.35)</f>
        <v>58.35</v>
      </c>
      <c r="F31" s="1">
        <f ca="1">IFERROR(__xludf.DUMMYFUNCTION("""COMPUTED_VALUE"""),30)</f>
        <v>30</v>
      </c>
    </row>
    <row r="32" spans="1:6">
      <c r="A32" s="1" t="str">
        <f ca="1">IFERROR(__xludf.DUMMYFUNCTION("""COMPUTED_VALUE"""),"IR-C-C-35860")</f>
        <v>IR-C-C-35860</v>
      </c>
      <c r="B32" s="1" t="str">
        <f ca="1">IFERROR(__xludf.DUMMYFUNCTION("""COMPUTED_VALUE"""),"St. Joseph's College
More DetailsClose | 
[TABLE]")</f>
        <v>St. Joseph's College
More DetailsClose | 
[TABLE]</v>
      </c>
      <c r="C32" s="1" t="str">
        <f ca="1">IFERROR(__xludf.DUMMYFUNCTION("""COMPUTED_VALUE"""),"Tiruchirappalli")</f>
        <v>Tiruchirappalli</v>
      </c>
      <c r="D32" s="1" t="str">
        <f ca="1">IFERROR(__xludf.DUMMYFUNCTION("""COMPUTED_VALUE"""),"Tamil Nadu")</f>
        <v>Tamil Nadu</v>
      </c>
      <c r="E32" s="1">
        <f ca="1">IFERROR(__xludf.DUMMYFUNCTION("""COMPUTED_VALUE"""),58.27)</f>
        <v>58.27</v>
      </c>
      <c r="F32" s="1">
        <f ca="1">IFERROR(__xludf.DUMMYFUNCTION("""COMPUTED_VALUE"""),31)</f>
        <v>31</v>
      </c>
    </row>
    <row r="33" spans="1:6">
      <c r="A33" s="1" t="str">
        <f ca="1">IFERROR(__xludf.DUMMYFUNCTION("""COMPUTED_VALUE"""),"IR-C-C-27608")</f>
        <v>IR-C-C-27608</v>
      </c>
      <c r="B33" s="1" t="str">
        <f ca="1">IFERROR(__xludf.DUMMYFUNCTION("""COMPUTED_VALUE"""),"Lady Irwin College
More DetailsClose | 
[TABLE]")</f>
        <v>Lady Irwin College
More DetailsClose | 
[TABLE]</v>
      </c>
      <c r="C33" s="1" t="str">
        <f ca="1">IFERROR(__xludf.DUMMYFUNCTION("""COMPUTED_VALUE"""),"Delhi")</f>
        <v>Delhi</v>
      </c>
      <c r="D33" s="1" t="str">
        <f ca="1">IFERROR(__xludf.DUMMYFUNCTION("""COMPUTED_VALUE"""),"Delhi")</f>
        <v>Delhi</v>
      </c>
      <c r="E33" s="1">
        <f ca="1">IFERROR(__xludf.DUMMYFUNCTION("""COMPUTED_VALUE"""),58.25)</f>
        <v>58.25</v>
      </c>
      <c r="F33" s="1">
        <f ca="1">IFERROR(__xludf.DUMMYFUNCTION("""COMPUTED_VALUE"""),32)</f>
        <v>32</v>
      </c>
    </row>
    <row r="34" spans="1:6">
      <c r="A34" s="1" t="str">
        <f ca="1">IFERROR(__xludf.DUMMYFUNCTION("""COMPUTED_VALUE"""),"IR-C-C-43964")</f>
        <v>IR-C-C-43964</v>
      </c>
      <c r="B34" s="1" t="str">
        <f ca="1">IFERROR(__xludf.DUMMYFUNCTION("""COMPUTED_VALUE"""),"Madras School of Social Work
More DetailsClose | 
[TABLE]")</f>
        <v>Madras School of Social Work
More DetailsClose | 
[TABLE]</v>
      </c>
      <c r="C34" s="1" t="str">
        <f ca="1">IFERROR(__xludf.DUMMYFUNCTION("""COMPUTED_VALUE"""),"Chennai")</f>
        <v>Chennai</v>
      </c>
      <c r="D34" s="1" t="str">
        <f ca="1">IFERROR(__xludf.DUMMYFUNCTION("""COMPUTED_VALUE"""),"Tamil Nadu")</f>
        <v>Tamil Nadu</v>
      </c>
      <c r="E34" s="1">
        <f ca="1">IFERROR(__xludf.DUMMYFUNCTION("""COMPUTED_VALUE"""),57.99)</f>
        <v>57.99</v>
      </c>
      <c r="F34" s="1">
        <f ca="1">IFERROR(__xludf.DUMMYFUNCTION("""COMPUTED_VALUE"""),33)</f>
        <v>33</v>
      </c>
    </row>
    <row r="35" spans="1:6">
      <c r="A35" s="1" t="str">
        <f ca="1">IFERROR(__xludf.DUMMYFUNCTION("""COMPUTED_VALUE"""),"IR-C-C-41035")</f>
        <v>IR-C-C-41035</v>
      </c>
      <c r="B35" s="1" t="str">
        <f ca="1">IFERROR(__xludf.DUMMYFUNCTION("""COMPUTED_VALUE"""),"Government Arts College
More DetailsClose | 
[TABLE]")</f>
        <v>Government Arts College
More DetailsClose | 
[TABLE]</v>
      </c>
      <c r="C35" s="1" t="str">
        <f ca="1">IFERROR(__xludf.DUMMYFUNCTION("""COMPUTED_VALUE"""),"Coimbatore")</f>
        <v>Coimbatore</v>
      </c>
      <c r="D35" s="1" t="str">
        <f ca="1">IFERROR(__xludf.DUMMYFUNCTION("""COMPUTED_VALUE"""),"Tamil Nadu")</f>
        <v>Tamil Nadu</v>
      </c>
      <c r="E35" s="1">
        <f ca="1">IFERROR(__xludf.DUMMYFUNCTION("""COMPUTED_VALUE"""),57.81)</f>
        <v>57.81</v>
      </c>
      <c r="F35" s="1">
        <f ca="1">IFERROR(__xludf.DUMMYFUNCTION("""COMPUTED_VALUE"""),34)</f>
        <v>34</v>
      </c>
    </row>
    <row r="36" spans="1:6">
      <c r="A36" s="1" t="str">
        <f ca="1">IFERROR(__xludf.DUMMYFUNCTION("""COMPUTED_VALUE"""),"IR-C-C-6391")</f>
        <v>IR-C-C-6391</v>
      </c>
      <c r="B36" s="1" t="str">
        <f ca="1">IFERROR(__xludf.DUMMYFUNCTION("""COMPUTED_VALUE"""),"Maitreyi College
More DetailsClose | 
[TABLE]")</f>
        <v>Maitreyi College
More DetailsClose | 
[TABLE]</v>
      </c>
      <c r="C36" s="1" t="str">
        <f ca="1">IFERROR(__xludf.DUMMYFUNCTION("""COMPUTED_VALUE"""),"New Delhi")</f>
        <v>New Delhi</v>
      </c>
      <c r="D36" s="1" t="str">
        <f ca="1">IFERROR(__xludf.DUMMYFUNCTION("""COMPUTED_VALUE"""),"Delhi")</f>
        <v>Delhi</v>
      </c>
      <c r="E36" s="1">
        <f ca="1">IFERROR(__xludf.DUMMYFUNCTION("""COMPUTED_VALUE"""),57.7)</f>
        <v>57.7</v>
      </c>
      <c r="F36" s="1">
        <f ca="1">IFERROR(__xludf.DUMMYFUNCTION("""COMPUTED_VALUE"""),35)</f>
        <v>35</v>
      </c>
    </row>
    <row r="37" spans="1:6">
      <c r="A37" s="1" t="str">
        <f ca="1">IFERROR(__xludf.DUMMYFUNCTION("""COMPUTED_VALUE"""),"IR-C-C-25376")</f>
        <v>IR-C-C-25376</v>
      </c>
      <c r="B37" s="1" t="str">
        <f ca="1">IFERROR(__xludf.DUMMYFUNCTION("""COMPUTED_VALUE"""),"Andhra Loyola College
More DetailsClose | 
[TABLE]")</f>
        <v>Andhra Loyola College
More DetailsClose | 
[TABLE]</v>
      </c>
      <c r="C37" s="1" t="str">
        <f ca="1">IFERROR(__xludf.DUMMYFUNCTION("""COMPUTED_VALUE"""),"Vijayawada")</f>
        <v>Vijayawada</v>
      </c>
      <c r="D37" s="1" t="str">
        <f ca="1">IFERROR(__xludf.DUMMYFUNCTION("""COMPUTED_VALUE"""),"Andhra Pradesh")</f>
        <v>Andhra Pradesh</v>
      </c>
      <c r="E37" s="1">
        <f ca="1">IFERROR(__xludf.DUMMYFUNCTION("""COMPUTED_VALUE"""),57.64)</f>
        <v>57.64</v>
      </c>
      <c r="F37" s="1">
        <f ca="1">IFERROR(__xludf.DUMMYFUNCTION("""COMPUTED_VALUE"""),36)</f>
        <v>36</v>
      </c>
    </row>
    <row r="38" spans="1:6">
      <c r="A38" s="1" t="str">
        <f ca="1">IFERROR(__xludf.DUMMYFUNCTION("""COMPUTED_VALUE"""),"IR-C-C-6420")</f>
        <v>IR-C-C-6420</v>
      </c>
      <c r="B38" s="1" t="str">
        <f ca="1">IFERROR(__xludf.DUMMYFUNCTION("""COMPUTED_VALUE"""),"Jesus &amp; Mary College
More DetailsClose | 
[TABLE]")</f>
        <v>Jesus &amp; Mary College
More DetailsClose | 
[TABLE]</v>
      </c>
      <c r="C38" s="1" t="str">
        <f ca="1">IFERROR(__xludf.DUMMYFUNCTION("""COMPUTED_VALUE"""),"New Delhi")</f>
        <v>New Delhi</v>
      </c>
      <c r="D38" s="1" t="str">
        <f ca="1">IFERROR(__xludf.DUMMYFUNCTION("""COMPUTED_VALUE"""),"Delhi")</f>
        <v>Delhi</v>
      </c>
      <c r="E38" s="1">
        <f ca="1">IFERROR(__xludf.DUMMYFUNCTION("""COMPUTED_VALUE"""),57.29)</f>
        <v>57.29</v>
      </c>
      <c r="F38" s="1">
        <f ca="1">IFERROR(__xludf.DUMMYFUNCTION("""COMPUTED_VALUE"""),37)</f>
        <v>37</v>
      </c>
    </row>
    <row r="39" spans="1:6">
      <c r="A39" s="1" t="str">
        <f ca="1">IFERROR(__xludf.DUMMYFUNCTION("""COMPUTED_VALUE"""),"IR-C-C-43946")</f>
        <v>IR-C-C-43946</v>
      </c>
      <c r="B39" s="1" t="str">
        <f ca="1">IFERROR(__xludf.DUMMYFUNCTION("""COMPUTED_VALUE"""),"Women`s Christian College
More DetailsClose | 
[TABLE]")</f>
        <v>Women`s Christian College
More DetailsClose | 
[TABLE]</v>
      </c>
      <c r="C39" s="1" t="str">
        <f ca="1">IFERROR(__xludf.DUMMYFUNCTION("""COMPUTED_VALUE"""),"Chennai")</f>
        <v>Chennai</v>
      </c>
      <c r="D39" s="1" t="str">
        <f ca="1">IFERROR(__xludf.DUMMYFUNCTION("""COMPUTED_VALUE"""),"Tamil Nadu")</f>
        <v>Tamil Nadu</v>
      </c>
      <c r="E39" s="1">
        <f ca="1">IFERROR(__xludf.DUMMYFUNCTION("""COMPUTED_VALUE"""),56.78)</f>
        <v>56.78</v>
      </c>
      <c r="F39" s="1">
        <f ca="1">IFERROR(__xludf.DUMMYFUNCTION("""COMPUTED_VALUE"""),38)</f>
        <v>38</v>
      </c>
    </row>
    <row r="40" spans="1:6">
      <c r="A40" s="1" t="str">
        <f ca="1">IFERROR(__xludf.DUMMYFUNCTION("""COMPUTED_VALUE"""),"IR-C-C-35825")</f>
        <v>IR-C-C-35825</v>
      </c>
      <c r="B40" s="1" t="str">
        <f ca="1">IFERROR(__xludf.DUMMYFUNCTION("""COMPUTED_VALUE"""),"Bishop Heber College
More DetailsClose | 
[TABLE]")</f>
        <v>Bishop Heber College
More DetailsClose | 
[TABLE]</v>
      </c>
      <c r="C40" s="1" t="str">
        <f ca="1">IFERROR(__xludf.DUMMYFUNCTION("""COMPUTED_VALUE"""),"Tiruchirappalli")</f>
        <v>Tiruchirappalli</v>
      </c>
      <c r="D40" s="1" t="str">
        <f ca="1">IFERROR(__xludf.DUMMYFUNCTION("""COMPUTED_VALUE"""),"Tamil Nadu")</f>
        <v>Tamil Nadu</v>
      </c>
      <c r="E40" s="1">
        <f ca="1">IFERROR(__xludf.DUMMYFUNCTION("""COMPUTED_VALUE"""),56.65)</f>
        <v>56.65</v>
      </c>
      <c r="F40" s="1">
        <f ca="1">IFERROR(__xludf.DUMMYFUNCTION("""COMPUTED_VALUE"""),39)</f>
        <v>39</v>
      </c>
    </row>
    <row r="41" spans="1:6">
      <c r="A41" s="1" t="str">
        <f ca="1">IFERROR(__xludf.DUMMYFUNCTION("""COMPUTED_VALUE"""),"IR-C-C-43705")</f>
        <v>IR-C-C-43705</v>
      </c>
      <c r="B41" s="1" t="str">
        <f ca="1">IFERROR(__xludf.DUMMYFUNCTION("""COMPUTED_VALUE"""),"Government College for Women
More DetailsClose | 
[TABLE]")</f>
        <v>Government College for Women
More DetailsClose | 
[TABLE]</v>
      </c>
      <c r="C41" s="1" t="str">
        <f ca="1">IFERROR(__xludf.DUMMYFUNCTION("""COMPUTED_VALUE"""),"Thiruvananthapuram")</f>
        <v>Thiruvananthapuram</v>
      </c>
      <c r="D41" s="1" t="str">
        <f ca="1">IFERROR(__xludf.DUMMYFUNCTION("""COMPUTED_VALUE"""),"Kerala")</f>
        <v>Kerala</v>
      </c>
      <c r="E41" s="1">
        <f ca="1">IFERROR(__xludf.DUMMYFUNCTION("""COMPUTED_VALUE"""),56.56)</f>
        <v>56.56</v>
      </c>
      <c r="F41" s="1">
        <f ca="1">IFERROR(__xludf.DUMMYFUNCTION("""COMPUTED_VALUE"""),40)</f>
        <v>40</v>
      </c>
    </row>
    <row r="42" spans="1:6">
      <c r="A42" s="1" t="str">
        <f ca="1">IFERROR(__xludf.DUMMYFUNCTION("""COMPUTED_VALUE"""),"IR-C-N-6")</f>
        <v>IR-C-N-6</v>
      </c>
      <c r="B42" s="1" t="str">
        <f ca="1">IFERROR(__xludf.DUMMYFUNCTION("""COMPUTED_VALUE"""),"Queen Mary`s College
More DetailsClose | 
[TABLE]")</f>
        <v>Queen Mary`s College
More DetailsClose | 
[TABLE]</v>
      </c>
      <c r="C42" s="1" t="str">
        <f ca="1">IFERROR(__xludf.DUMMYFUNCTION("""COMPUTED_VALUE"""),"Chennai")</f>
        <v>Chennai</v>
      </c>
      <c r="D42" s="1" t="str">
        <f ca="1">IFERROR(__xludf.DUMMYFUNCTION("""COMPUTED_VALUE"""),"Tamil Nadu")</f>
        <v>Tamil Nadu</v>
      </c>
      <c r="E42" s="1">
        <f ca="1">IFERROR(__xludf.DUMMYFUNCTION("""COMPUTED_VALUE"""),56.28)</f>
        <v>56.28</v>
      </c>
      <c r="F42" s="1">
        <f ca="1">IFERROR(__xludf.DUMMYFUNCTION("""COMPUTED_VALUE"""),41)</f>
        <v>41</v>
      </c>
    </row>
    <row r="43" spans="1:6">
      <c r="A43" s="1" t="str">
        <f ca="1">IFERROR(__xludf.DUMMYFUNCTION("""COMPUTED_VALUE"""),"IR-C-I-1385")</f>
        <v>IR-C-I-1385</v>
      </c>
      <c r="B43" s="1" t="str">
        <f ca="1">IFERROR(__xludf.DUMMYFUNCTION("""COMPUTED_VALUE"""),"Fergusson College
More DetailsClose | 
[TABLE]")</f>
        <v>Fergusson College
More DetailsClose | 
[TABLE]</v>
      </c>
      <c r="C43" s="1" t="str">
        <f ca="1">IFERROR(__xludf.DUMMYFUNCTION("""COMPUTED_VALUE"""),"Pune")</f>
        <v>Pune</v>
      </c>
      <c r="D43" s="1" t="str">
        <f ca="1">IFERROR(__xludf.DUMMYFUNCTION("""COMPUTED_VALUE"""),"Maharashtra")</f>
        <v>Maharashtra</v>
      </c>
      <c r="E43" s="1">
        <f ca="1">IFERROR(__xludf.DUMMYFUNCTION("""COMPUTED_VALUE"""),56.04)</f>
        <v>56.04</v>
      </c>
      <c r="F43" s="1">
        <f ca="1">IFERROR(__xludf.DUMMYFUNCTION("""COMPUTED_VALUE"""),42)</f>
        <v>42</v>
      </c>
    </row>
    <row r="44" spans="1:6">
      <c r="A44" s="1" t="str">
        <f ca="1">IFERROR(__xludf.DUMMYFUNCTION("""COMPUTED_VALUE"""),"IR-C-C-6365")</f>
        <v>IR-C-C-6365</v>
      </c>
      <c r="B44" s="1" t="str">
        <f ca="1">IFERROR(__xludf.DUMMYFUNCTION("""COMPUTED_VALUE"""),"Indraprastha College for Women
More DetailsClose | 
[TABLE]")</f>
        <v>Indraprastha College for Women
More DetailsClose | 
[TABLE]</v>
      </c>
      <c r="C44" s="1" t="str">
        <f ca="1">IFERROR(__xludf.DUMMYFUNCTION("""COMPUTED_VALUE"""),"Delhi")</f>
        <v>Delhi</v>
      </c>
      <c r="D44" s="1" t="str">
        <f ca="1">IFERROR(__xludf.DUMMYFUNCTION("""COMPUTED_VALUE"""),"Delhi")</f>
        <v>Delhi</v>
      </c>
      <c r="E44" s="1">
        <f ca="1">IFERROR(__xludf.DUMMYFUNCTION("""COMPUTED_VALUE"""),55.9)</f>
        <v>55.9</v>
      </c>
      <c r="F44" s="1">
        <f ca="1">IFERROR(__xludf.DUMMYFUNCTION("""COMPUTED_VALUE"""),43)</f>
        <v>43</v>
      </c>
    </row>
    <row r="45" spans="1:6">
      <c r="A45" s="1" t="str">
        <f ca="1">IFERROR(__xludf.DUMMYFUNCTION("""COMPUTED_VALUE"""),"IR-C-C-6417")</f>
        <v>IR-C-C-6417</v>
      </c>
      <c r="B45" s="1" t="str">
        <f ca="1">IFERROR(__xludf.DUMMYFUNCTION("""COMPUTED_VALUE"""),"Kamala Nehru College
More DetailsClose | 
[TABLE]")</f>
        <v>Kamala Nehru College
More DetailsClose | 
[TABLE]</v>
      </c>
      <c r="C45" s="1" t="str">
        <f ca="1">IFERROR(__xludf.DUMMYFUNCTION("""COMPUTED_VALUE"""),"Delhi")</f>
        <v>Delhi</v>
      </c>
      <c r="D45" s="1" t="str">
        <f ca="1">IFERROR(__xludf.DUMMYFUNCTION("""COMPUTED_VALUE"""),"Delhi")</f>
        <v>Delhi</v>
      </c>
      <c r="E45" s="1">
        <f ca="1">IFERROR(__xludf.DUMMYFUNCTION("""COMPUTED_VALUE"""),55.9)</f>
        <v>55.9</v>
      </c>
      <c r="F45" s="1">
        <f ca="1">IFERROR(__xludf.DUMMYFUNCTION("""COMPUTED_VALUE"""),43)</f>
        <v>43</v>
      </c>
    </row>
    <row r="46" spans="1:6">
      <c r="A46" s="1" t="str">
        <f ca="1">IFERROR(__xludf.DUMMYFUNCTION("""COMPUTED_VALUE"""),"IR-C-C-6412")</f>
        <v>IR-C-C-6412</v>
      </c>
      <c r="B46" s="1" t="str">
        <f ca="1">IFERROR(__xludf.DUMMYFUNCTION("""COMPUTED_VALUE"""),"Maharaja Agrasen College
More DetailsClose | 
[TABLE]")</f>
        <v>Maharaja Agrasen College
More DetailsClose | 
[TABLE]</v>
      </c>
      <c r="C46" s="1" t="str">
        <f ca="1">IFERROR(__xludf.DUMMYFUNCTION("""COMPUTED_VALUE"""),"Delhi")</f>
        <v>Delhi</v>
      </c>
      <c r="D46" s="1" t="str">
        <f ca="1">IFERROR(__xludf.DUMMYFUNCTION("""COMPUTED_VALUE"""),"Delhi")</f>
        <v>Delhi</v>
      </c>
      <c r="E46" s="1">
        <f ca="1">IFERROR(__xludf.DUMMYFUNCTION("""COMPUTED_VALUE"""),55.88)</f>
        <v>55.88</v>
      </c>
      <c r="F46" s="1">
        <f ca="1">IFERROR(__xludf.DUMMYFUNCTION("""COMPUTED_VALUE"""),45)</f>
        <v>45</v>
      </c>
    </row>
    <row r="47" spans="1:6">
      <c r="A47" s="1" t="str">
        <f ca="1">IFERROR(__xludf.DUMMYFUNCTION("""COMPUTED_VALUE"""),"IR-C-C-43902")</f>
        <v>IR-C-C-43902</v>
      </c>
      <c r="B47" s="1" t="str">
        <f ca="1">IFERROR(__xludf.DUMMYFUNCTION("""COMPUTED_VALUE"""),"Ethiraj College for Women
More DetailsClose | 
[TABLE]")</f>
        <v>Ethiraj College for Women
More DetailsClose | 
[TABLE]</v>
      </c>
      <c r="C47" s="1" t="str">
        <f ca="1">IFERROR(__xludf.DUMMYFUNCTION("""COMPUTED_VALUE"""),"Chennai")</f>
        <v>Chennai</v>
      </c>
      <c r="D47" s="1" t="str">
        <f ca="1">IFERROR(__xludf.DUMMYFUNCTION("""COMPUTED_VALUE"""),"Tamil Nadu")</f>
        <v>Tamil Nadu</v>
      </c>
      <c r="E47" s="1">
        <f ca="1">IFERROR(__xludf.DUMMYFUNCTION("""COMPUTED_VALUE"""),55.76)</f>
        <v>55.76</v>
      </c>
      <c r="F47" s="1">
        <f ca="1">IFERROR(__xludf.DUMMYFUNCTION("""COMPUTED_VALUE"""),46)</f>
        <v>46</v>
      </c>
    </row>
    <row r="48" spans="1:6">
      <c r="A48" s="1" t="str">
        <f ca="1">IFERROR(__xludf.DUMMYFUNCTION("""COMPUTED_VALUE"""),"IR-C-C-11582")</f>
        <v>IR-C-C-11582</v>
      </c>
      <c r="B48" s="1" t="str">
        <f ca="1">IFERROR(__xludf.DUMMYFUNCTION("""COMPUTED_VALUE"""),"St. Teresa's College
More DetailsClose | 
[TABLE]")</f>
        <v>St. Teresa's College
More DetailsClose | 
[TABLE]</v>
      </c>
      <c r="C48" s="1" t="str">
        <f ca="1">IFERROR(__xludf.DUMMYFUNCTION("""COMPUTED_VALUE"""),"Ernakulam")</f>
        <v>Ernakulam</v>
      </c>
      <c r="D48" s="1" t="str">
        <f ca="1">IFERROR(__xludf.DUMMYFUNCTION("""COMPUTED_VALUE"""),"Kerala")</f>
        <v>Kerala</v>
      </c>
      <c r="E48" s="1">
        <f ca="1">IFERROR(__xludf.DUMMYFUNCTION("""COMPUTED_VALUE"""),55.6)</f>
        <v>55.6</v>
      </c>
      <c r="F48" s="1">
        <f ca="1">IFERROR(__xludf.DUMMYFUNCTION("""COMPUTED_VALUE"""),47)</f>
        <v>47</v>
      </c>
    </row>
    <row r="49" spans="1:6">
      <c r="A49" s="1" t="str">
        <f ca="1">IFERROR(__xludf.DUMMYFUNCTION("""COMPUTED_VALUE"""),"IR-C-C-43767")</f>
        <v>IR-C-C-43767</v>
      </c>
      <c r="B49" s="1" t="str">
        <f ca="1">IFERROR(__xludf.DUMMYFUNCTION("""COMPUTED_VALUE"""),"Mar Ivanios College
More DetailsClose | 
[TABLE]")</f>
        <v>Mar Ivanios College
More DetailsClose | 
[TABLE]</v>
      </c>
      <c r="C49" s="1" t="str">
        <f ca="1">IFERROR(__xludf.DUMMYFUNCTION("""COMPUTED_VALUE"""),"Thiruvananthapuram")</f>
        <v>Thiruvananthapuram</v>
      </c>
      <c r="D49" s="1" t="str">
        <f ca="1">IFERROR(__xludf.DUMMYFUNCTION("""COMPUTED_VALUE"""),"Kerala")</f>
        <v>Kerala</v>
      </c>
      <c r="E49" s="1">
        <f ca="1">IFERROR(__xludf.DUMMYFUNCTION("""COMPUTED_VALUE"""),55.51)</f>
        <v>55.51</v>
      </c>
      <c r="F49" s="1">
        <f ca="1">IFERROR(__xludf.DUMMYFUNCTION("""COMPUTED_VALUE"""),48)</f>
        <v>48</v>
      </c>
    </row>
    <row r="50" spans="1:6">
      <c r="A50" s="1" t="str">
        <f ca="1">IFERROR(__xludf.DUMMYFUNCTION("""COMPUTED_VALUE"""),"IR-C-C-29454")</f>
        <v>IR-C-C-29454</v>
      </c>
      <c r="B50" s="1" t="str">
        <f ca="1">IFERROR(__xludf.DUMMYFUNCTION("""COMPUTED_VALUE"""),"IC College of Home Science
More DetailsClose | 
[TABLE]")</f>
        <v>IC College of Home Science
More DetailsClose | 
[TABLE]</v>
      </c>
      <c r="C50" s="1" t="str">
        <f ca="1">IFERROR(__xludf.DUMMYFUNCTION("""COMPUTED_VALUE"""),"Hisar")</f>
        <v>Hisar</v>
      </c>
      <c r="D50" s="1" t="str">
        <f ca="1">IFERROR(__xludf.DUMMYFUNCTION("""COMPUTED_VALUE"""),"Haryana")</f>
        <v>Haryana</v>
      </c>
      <c r="E50" s="1">
        <f ca="1">IFERROR(__xludf.DUMMYFUNCTION("""COMPUTED_VALUE"""),54.93)</f>
        <v>54.93</v>
      </c>
      <c r="F50" s="1">
        <f ca="1">IFERROR(__xludf.DUMMYFUNCTION("""COMPUTED_VALUE"""),49)</f>
        <v>49</v>
      </c>
    </row>
    <row r="51" spans="1:6">
      <c r="A51" s="1" t="str">
        <f ca="1">IFERROR(__xludf.DUMMYFUNCTION("""COMPUTED_VALUE"""),"IR-C-C-41173")</f>
        <v>IR-C-C-41173</v>
      </c>
      <c r="B51" s="1" t="str">
        <f ca="1">IFERROR(__xludf.DUMMYFUNCTION("""COMPUTED_VALUE"""),"St. Xavier's College
More DetailsClose | 
[TABLE]")</f>
        <v>St. Xavier's College
More DetailsClose | 
[TABLE]</v>
      </c>
      <c r="C51" s="1" t="str">
        <f ca="1">IFERROR(__xludf.DUMMYFUNCTION("""COMPUTED_VALUE"""),"Palayamkottai")</f>
        <v>Palayamkottai</v>
      </c>
      <c r="D51" s="1" t="str">
        <f ca="1">IFERROR(__xludf.DUMMYFUNCTION("""COMPUTED_VALUE"""),"Tamil Nadu")</f>
        <v>Tamil Nadu</v>
      </c>
      <c r="E51" s="1">
        <f ca="1">IFERROR(__xludf.DUMMYFUNCTION("""COMPUTED_VALUE"""),54.91)</f>
        <v>54.91</v>
      </c>
      <c r="F51" s="1">
        <f ca="1">IFERROR(__xludf.DUMMYFUNCTION("""COMPUTED_VALUE"""),50)</f>
        <v>50</v>
      </c>
    </row>
    <row r="52" spans="1:6">
      <c r="A52" s="1" t="str">
        <f ca="1">IFERROR(__xludf.DUMMYFUNCTION("""COMPUTED_VALUE"""),"IR-C-C-6366")</f>
        <v>IR-C-C-6366</v>
      </c>
      <c r="B52" s="1" t="str">
        <f ca="1">IFERROR(__xludf.DUMMYFUNCTION("""COMPUTED_VALUE"""),"Shivaji College
More DetailsClose | 
[TABLE]")</f>
        <v>Shivaji College
More DetailsClose | 
[TABLE]</v>
      </c>
      <c r="C52" s="1" t="str">
        <f ca="1">IFERROR(__xludf.DUMMYFUNCTION("""COMPUTED_VALUE"""),"Delhi")</f>
        <v>Delhi</v>
      </c>
      <c r="D52" s="1" t="str">
        <f ca="1">IFERROR(__xludf.DUMMYFUNCTION("""COMPUTED_VALUE"""),"Delhi")</f>
        <v>Delhi</v>
      </c>
      <c r="E52" s="1">
        <f ca="1">IFERROR(__xludf.DUMMYFUNCTION("""COMPUTED_VALUE"""),54.76)</f>
        <v>54.76</v>
      </c>
      <c r="F52" s="1">
        <f ca="1">IFERROR(__xludf.DUMMYFUNCTION("""COMPUTED_VALUE"""),51)</f>
        <v>51</v>
      </c>
    </row>
    <row r="53" spans="1:6">
      <c r="A53" s="1" t="str">
        <f ca="1">IFERROR(__xludf.DUMMYFUNCTION("""COMPUTED_VALUE"""),"IR-C-C-36578")</f>
        <v>IR-C-C-36578</v>
      </c>
      <c r="B53" s="1" t="str">
        <f ca="1">IFERROR(__xludf.DUMMYFUNCTION("""COMPUTED_VALUE"""),"Lady Doak College
More DetailsClose | 
[TABLE]")</f>
        <v>Lady Doak College
More DetailsClose | 
[TABLE]</v>
      </c>
      <c r="C53" s="1" t="str">
        <f ca="1">IFERROR(__xludf.DUMMYFUNCTION("""COMPUTED_VALUE"""),"Madurai")</f>
        <v>Madurai</v>
      </c>
      <c r="D53" s="1" t="str">
        <f ca="1">IFERROR(__xludf.DUMMYFUNCTION("""COMPUTED_VALUE"""),"Tamil Nadu")</f>
        <v>Tamil Nadu</v>
      </c>
      <c r="E53" s="1">
        <f ca="1">IFERROR(__xludf.DUMMYFUNCTION("""COMPUTED_VALUE"""),54.67)</f>
        <v>54.67</v>
      </c>
      <c r="F53" s="1">
        <f ca="1">IFERROR(__xludf.DUMMYFUNCTION("""COMPUTED_VALUE"""),52)</f>
        <v>52</v>
      </c>
    </row>
    <row r="54" spans="1:6">
      <c r="A54" s="1" t="str">
        <f ca="1">IFERROR(__xludf.DUMMYFUNCTION("""COMPUTED_VALUE"""),"IR-C-C-36502")</f>
        <v>IR-C-C-36502</v>
      </c>
      <c r="B54" s="1" t="str">
        <f ca="1">IFERROR(__xludf.DUMMYFUNCTION("""COMPUTED_VALUE"""),"Virudhunagar Hindu Nadars' Senthikumara Nadar College
More DetailsClose | 
[TABLE]")</f>
        <v>Virudhunagar Hindu Nadars' Senthikumara Nadar College
More DetailsClose | 
[TABLE]</v>
      </c>
      <c r="C54" s="1" t="str">
        <f ca="1">IFERROR(__xludf.DUMMYFUNCTION("""COMPUTED_VALUE"""),"Virudhunagar")</f>
        <v>Virudhunagar</v>
      </c>
      <c r="D54" s="1" t="str">
        <f ca="1">IFERROR(__xludf.DUMMYFUNCTION("""COMPUTED_VALUE"""),"Tamil Nadu")</f>
        <v>Tamil Nadu</v>
      </c>
      <c r="E54" s="1">
        <f ca="1">IFERROR(__xludf.DUMMYFUNCTION("""COMPUTED_VALUE"""),54.63)</f>
        <v>54.63</v>
      </c>
      <c r="F54" s="1">
        <f ca="1">IFERROR(__xludf.DUMMYFUNCTION("""COMPUTED_VALUE"""),53)</f>
        <v>53</v>
      </c>
    </row>
    <row r="55" spans="1:6">
      <c r="A55" s="1" t="str">
        <f ca="1">IFERROR(__xludf.DUMMYFUNCTION("""COMPUTED_VALUE"""),"IR-C-C-35832")</f>
        <v>IR-C-C-35832</v>
      </c>
      <c r="B55" s="1" t="str">
        <f ca="1">IFERROR(__xludf.DUMMYFUNCTION("""COMPUTED_VALUE"""),"Jamal Mohamed College
More DetailsClose | 
[TABLE]")</f>
        <v>Jamal Mohamed College
More DetailsClose | 
[TABLE]</v>
      </c>
      <c r="C55" s="1" t="str">
        <f ca="1">IFERROR(__xludf.DUMMYFUNCTION("""COMPUTED_VALUE"""),"Tiruchirappalli")</f>
        <v>Tiruchirappalli</v>
      </c>
      <c r="D55" s="1" t="str">
        <f ca="1">IFERROR(__xludf.DUMMYFUNCTION("""COMPUTED_VALUE"""),"Tamil Nadu")</f>
        <v>Tamil Nadu</v>
      </c>
      <c r="E55" s="1">
        <f ca="1">IFERROR(__xludf.DUMMYFUNCTION("""COMPUTED_VALUE"""),54.53)</f>
        <v>54.53</v>
      </c>
      <c r="F55" s="1">
        <f ca="1">IFERROR(__xludf.DUMMYFUNCTION("""COMPUTED_VALUE"""),54)</f>
        <v>54</v>
      </c>
    </row>
    <row r="56" spans="1:6">
      <c r="A56" s="1" t="str">
        <f ca="1">IFERROR(__xludf.DUMMYFUNCTION("""COMPUTED_VALUE"""),"IR-C-C-11708")</f>
        <v>IR-C-C-11708</v>
      </c>
      <c r="B56" s="1" t="str">
        <f ca="1">IFERROR(__xludf.DUMMYFUNCTION("""COMPUTED_VALUE"""),"Sacred Heart College
More DetailsClose | 
[TABLE]")</f>
        <v>Sacred Heart College
More DetailsClose | 
[TABLE]</v>
      </c>
      <c r="C56" s="1" t="str">
        <f ca="1">IFERROR(__xludf.DUMMYFUNCTION("""COMPUTED_VALUE"""),"Ernakulam")</f>
        <v>Ernakulam</v>
      </c>
      <c r="D56" s="1" t="str">
        <f ca="1">IFERROR(__xludf.DUMMYFUNCTION("""COMPUTED_VALUE"""),"Kerala")</f>
        <v>Kerala</v>
      </c>
      <c r="E56" s="1">
        <f ca="1">IFERROR(__xludf.DUMMYFUNCTION("""COMPUTED_VALUE"""),54.52)</f>
        <v>54.52</v>
      </c>
      <c r="F56" s="1">
        <f ca="1">IFERROR(__xludf.DUMMYFUNCTION("""COMPUTED_VALUE"""),55)</f>
        <v>55</v>
      </c>
    </row>
    <row r="57" spans="1:6">
      <c r="A57" s="1" t="str">
        <f ca="1">IFERROR(__xludf.DUMMYFUNCTION("""COMPUTED_VALUE"""),"IR-C-C-6502")</f>
        <v>IR-C-C-6502</v>
      </c>
      <c r="B57" s="1" t="str">
        <f ca="1">IFERROR(__xludf.DUMMYFUNCTION("""COMPUTED_VALUE"""),"Kanchi Mamunivar Centre for Post Graduate Studies
More DetailsClose | 
[TABLE]")</f>
        <v>Kanchi Mamunivar Centre for Post Graduate Studies
More DetailsClose | 
[TABLE]</v>
      </c>
      <c r="C57" s="1" t="str">
        <f ca="1">IFERROR(__xludf.DUMMYFUNCTION("""COMPUTED_VALUE"""),"Puducherry")</f>
        <v>Puducherry</v>
      </c>
      <c r="D57" s="1" t="str">
        <f ca="1">IFERROR(__xludf.DUMMYFUNCTION("""COMPUTED_VALUE"""),"Pondicherry")</f>
        <v>Pondicherry</v>
      </c>
      <c r="E57" s="1">
        <f ca="1">IFERROR(__xludf.DUMMYFUNCTION("""COMPUTED_VALUE"""),54.38)</f>
        <v>54.38</v>
      </c>
      <c r="F57" s="1">
        <f ca="1">IFERROR(__xludf.DUMMYFUNCTION("""COMPUTED_VALUE"""),56)</f>
        <v>56</v>
      </c>
    </row>
    <row r="58" spans="1:6">
      <c r="A58" s="1" t="str">
        <f ca="1">IFERROR(__xludf.DUMMYFUNCTION("""COMPUTED_VALUE"""),"IR-C-C-6411")</f>
        <v>IR-C-C-6411</v>
      </c>
      <c r="B58" s="1" t="str">
        <f ca="1">IFERROR(__xludf.DUMMYFUNCTION("""COMPUTED_VALUE"""),"Shaheed Sukhdev College of Business Studies
More DetailsClose | 
[TABLE]")</f>
        <v>Shaheed Sukhdev College of Business Studies
More DetailsClose | 
[TABLE]</v>
      </c>
      <c r="C58" s="1" t="str">
        <f ca="1">IFERROR(__xludf.DUMMYFUNCTION("""COMPUTED_VALUE"""),"New Delhi")</f>
        <v>New Delhi</v>
      </c>
      <c r="D58" s="1" t="str">
        <f ca="1">IFERROR(__xludf.DUMMYFUNCTION("""COMPUTED_VALUE"""),"Delhi")</f>
        <v>Delhi</v>
      </c>
      <c r="E58" s="1">
        <f ca="1">IFERROR(__xludf.DUMMYFUNCTION("""COMPUTED_VALUE"""),54.11)</f>
        <v>54.11</v>
      </c>
      <c r="F58" s="1">
        <f ca="1">IFERROR(__xludf.DUMMYFUNCTION("""COMPUTED_VALUE"""),57)</f>
        <v>57</v>
      </c>
    </row>
    <row r="59" spans="1:6">
      <c r="A59" s="1" t="str">
        <f ca="1">IFERROR(__xludf.DUMMYFUNCTION("""COMPUTED_VALUE"""),"IR-C-C-36579")</f>
        <v>IR-C-C-36579</v>
      </c>
      <c r="B59" s="1" t="str">
        <f ca="1">IFERROR(__xludf.DUMMYFUNCTION("""COMPUTED_VALUE"""),"Ayya Nadar Janaki Ammal College
More DetailsClose | 
[TABLE]")</f>
        <v>Ayya Nadar Janaki Ammal College
More DetailsClose | 
[TABLE]</v>
      </c>
      <c r="C59" s="1" t="str">
        <f ca="1">IFERROR(__xludf.DUMMYFUNCTION("""COMPUTED_VALUE"""),"Sivakasi")</f>
        <v>Sivakasi</v>
      </c>
      <c r="D59" s="1" t="str">
        <f ca="1">IFERROR(__xludf.DUMMYFUNCTION("""COMPUTED_VALUE"""),"Tamil Nadu")</f>
        <v>Tamil Nadu</v>
      </c>
      <c r="E59" s="1">
        <f ca="1">IFERROR(__xludf.DUMMYFUNCTION("""COMPUTED_VALUE"""),53.94)</f>
        <v>53.94</v>
      </c>
      <c r="F59" s="1">
        <f ca="1">IFERROR(__xludf.DUMMYFUNCTION("""COMPUTED_VALUE"""),58)</f>
        <v>58</v>
      </c>
    </row>
    <row r="60" spans="1:6">
      <c r="A60" s="1" t="str">
        <f ca="1">IFERROR(__xludf.DUMMYFUNCTION("""COMPUTED_VALUE"""),"IR-C-C-5855")</f>
        <v>IR-C-C-5855</v>
      </c>
      <c r="B60" s="1" t="str">
        <f ca="1">IFERROR(__xludf.DUMMYFUNCTION("""COMPUTED_VALUE"""),"St. Xavier's College
More DetailsClose | 
[TABLE]")</f>
        <v>St. Xavier's College
More DetailsClose | 
[TABLE]</v>
      </c>
      <c r="C60" s="1" t="str">
        <f ca="1">IFERROR(__xludf.DUMMYFUNCTION("""COMPUTED_VALUE"""),"Ahmedabad")</f>
        <v>Ahmedabad</v>
      </c>
      <c r="D60" s="1" t="str">
        <f ca="1">IFERROR(__xludf.DUMMYFUNCTION("""COMPUTED_VALUE"""),"Gujarat")</f>
        <v>Gujarat</v>
      </c>
      <c r="E60" s="1">
        <f ca="1">IFERROR(__xludf.DUMMYFUNCTION("""COMPUTED_VALUE"""),53.93)</f>
        <v>53.93</v>
      </c>
      <c r="F60" s="1">
        <f ca="1">IFERROR(__xludf.DUMMYFUNCTION("""COMPUTED_VALUE"""),59)</f>
        <v>59</v>
      </c>
    </row>
    <row r="61" spans="1:6">
      <c r="A61" s="1" t="str">
        <f ca="1">IFERROR(__xludf.DUMMYFUNCTION("""COMPUTED_VALUE"""),"IR-C-I-1323")</f>
        <v>IR-C-I-1323</v>
      </c>
      <c r="B61" s="1" t="str">
        <f ca="1">IFERROR(__xludf.DUMMYFUNCTION("""COMPUTED_VALUE"""),"St. Joseph's College
More DetailsClose | 
[TABLE]")</f>
        <v>St. Joseph's College
More DetailsClose | 
[TABLE]</v>
      </c>
      <c r="C61" s="1" t="str">
        <f ca="1">IFERROR(__xludf.DUMMYFUNCTION("""COMPUTED_VALUE"""),"Kozhikode")</f>
        <v>Kozhikode</v>
      </c>
      <c r="D61" s="1" t="str">
        <f ca="1">IFERROR(__xludf.DUMMYFUNCTION("""COMPUTED_VALUE"""),"Kerala")</f>
        <v>Kerala</v>
      </c>
      <c r="E61" s="1">
        <f ca="1">IFERROR(__xludf.DUMMYFUNCTION("""COMPUTED_VALUE"""),53.82)</f>
        <v>53.82</v>
      </c>
      <c r="F61" s="1">
        <f ca="1">IFERROR(__xludf.DUMMYFUNCTION("""COMPUTED_VALUE"""),60)</f>
        <v>60</v>
      </c>
    </row>
    <row r="62" spans="1:6">
      <c r="A62" s="1" t="str">
        <f ca="1">IFERROR(__xludf.DUMMYFUNCTION("""COMPUTED_VALUE"""),"IR-C-C-6431")</f>
        <v>IR-C-C-6431</v>
      </c>
      <c r="B62" s="1" t="str">
        <f ca="1">IFERROR(__xludf.DUMMYFUNCTION("""COMPUTED_VALUE"""),"Ramanujan College
More DetailsClose | 
[TABLE]")</f>
        <v>Ramanujan College
More DetailsClose | 
[TABLE]</v>
      </c>
      <c r="C62" s="1" t="str">
        <f ca="1">IFERROR(__xludf.DUMMYFUNCTION("""COMPUTED_VALUE"""),"New Delhi")</f>
        <v>New Delhi</v>
      </c>
      <c r="D62" s="1" t="str">
        <f ca="1">IFERROR(__xludf.DUMMYFUNCTION("""COMPUTED_VALUE"""),"Delhi")</f>
        <v>Delhi</v>
      </c>
      <c r="E62" s="1">
        <f ca="1">IFERROR(__xludf.DUMMYFUNCTION("""COMPUTED_VALUE"""),53.73)</f>
        <v>53.73</v>
      </c>
      <c r="F62" s="1">
        <f ca="1">IFERROR(__xludf.DUMMYFUNCTION("""COMPUTED_VALUE"""),61)</f>
        <v>61</v>
      </c>
    </row>
    <row r="63" spans="1:6">
      <c r="A63" s="1" t="str">
        <f ca="1">IFERROR(__xludf.DUMMYFUNCTION("""COMPUTED_VALUE"""),"IR-C-C-33688")</f>
        <v>IR-C-C-33688</v>
      </c>
      <c r="B63" s="1" t="str">
        <f ca="1">IFERROR(__xludf.DUMMYFUNCTION("""COMPUTED_VALUE"""),"College of Social Work Nirmala Niketan
More DetailsClose | 
[TABLE]")</f>
        <v>College of Social Work Nirmala Niketan
More DetailsClose | 
[TABLE]</v>
      </c>
      <c r="C63" s="1" t="str">
        <f ca="1">IFERROR(__xludf.DUMMYFUNCTION("""COMPUTED_VALUE"""),"Mumbai")</f>
        <v>Mumbai</v>
      </c>
      <c r="D63" s="1" t="str">
        <f ca="1">IFERROR(__xludf.DUMMYFUNCTION("""COMPUTED_VALUE"""),"Maharashtra")</f>
        <v>Maharashtra</v>
      </c>
      <c r="E63" s="1">
        <f ca="1">IFERROR(__xludf.DUMMYFUNCTION("""COMPUTED_VALUE"""),53.66)</f>
        <v>53.66</v>
      </c>
      <c r="F63" s="1">
        <f ca="1">IFERROR(__xludf.DUMMYFUNCTION("""COMPUTED_VALUE"""),62)</f>
        <v>62</v>
      </c>
    </row>
    <row r="64" spans="1:6">
      <c r="A64" s="1" t="str">
        <f ca="1">IFERROR(__xludf.DUMMYFUNCTION("""COMPUTED_VALUE"""),"IR-C-C-8169")</f>
        <v>IR-C-C-8169</v>
      </c>
      <c r="B64" s="1" t="str">
        <f ca="1">IFERROR(__xludf.DUMMYFUNCTION("""COMPUTED_VALUE"""),"St. Thomas College
More DetailsClose | 
[TABLE]")</f>
        <v>St. Thomas College
More DetailsClose | 
[TABLE]</v>
      </c>
      <c r="C64" s="1" t="str">
        <f ca="1">IFERROR(__xludf.DUMMYFUNCTION("""COMPUTED_VALUE"""),"Thrissur")</f>
        <v>Thrissur</v>
      </c>
      <c r="D64" s="1" t="str">
        <f ca="1">IFERROR(__xludf.DUMMYFUNCTION("""COMPUTED_VALUE"""),"Kerala")</f>
        <v>Kerala</v>
      </c>
      <c r="E64" s="1">
        <f ca="1">IFERROR(__xludf.DUMMYFUNCTION("""COMPUTED_VALUE"""),53.42)</f>
        <v>53.42</v>
      </c>
      <c r="F64" s="1">
        <f ca="1">IFERROR(__xludf.DUMMYFUNCTION("""COMPUTED_VALUE"""),63)</f>
        <v>63</v>
      </c>
    </row>
    <row r="65" spans="1:6">
      <c r="A65" s="1" t="str">
        <f ca="1">IFERROR(__xludf.DUMMYFUNCTION("""COMPUTED_VALUE"""),"IR-C-C-43931")</f>
        <v>IR-C-C-43931</v>
      </c>
      <c r="B65" s="1" t="str">
        <f ca="1">IFERROR(__xludf.DUMMYFUNCTION("""COMPUTED_VALUE"""),"Stella Maris College
More DetailsClose | 
[TABLE]")</f>
        <v>Stella Maris College
More DetailsClose | 
[TABLE]</v>
      </c>
      <c r="C65" s="1" t="str">
        <f ca="1">IFERROR(__xludf.DUMMYFUNCTION("""COMPUTED_VALUE"""),"Chennai")</f>
        <v>Chennai</v>
      </c>
      <c r="D65" s="1" t="str">
        <f ca="1">IFERROR(__xludf.DUMMYFUNCTION("""COMPUTED_VALUE"""),"Tamil Nadu")</f>
        <v>Tamil Nadu</v>
      </c>
      <c r="E65" s="1">
        <f ca="1">IFERROR(__xludf.DUMMYFUNCTION("""COMPUTED_VALUE"""),53.36)</f>
        <v>53.36</v>
      </c>
      <c r="F65" s="1">
        <f ca="1">IFERROR(__xludf.DUMMYFUNCTION("""COMPUTED_VALUE"""),64)</f>
        <v>64</v>
      </c>
    </row>
    <row r="66" spans="1:6">
      <c r="A66" s="1" t="str">
        <f ca="1">IFERROR(__xludf.DUMMYFUNCTION("""COMPUTED_VALUE"""),"IR-C-I-1293")</f>
        <v>IR-C-I-1293</v>
      </c>
      <c r="B66" s="1" t="str">
        <f ca="1">IFERROR(__xludf.DUMMYFUNCTION("""COMPUTED_VALUE"""),"Sri Ramakrishna Mission Vidyalaya College of Arts and Science
More DetailsClose | 
[TABLE]")</f>
        <v>Sri Ramakrishna Mission Vidyalaya College of Arts and Science
More DetailsClose | 
[TABLE]</v>
      </c>
      <c r="C66" s="1" t="str">
        <f ca="1">IFERROR(__xludf.DUMMYFUNCTION("""COMPUTED_VALUE"""),"Coimbatore")</f>
        <v>Coimbatore</v>
      </c>
      <c r="D66" s="1" t="str">
        <f ca="1">IFERROR(__xludf.DUMMYFUNCTION("""COMPUTED_VALUE"""),"Tamil Nadu")</f>
        <v>Tamil Nadu</v>
      </c>
      <c r="E66" s="1">
        <f ca="1">IFERROR(__xludf.DUMMYFUNCTION("""COMPUTED_VALUE"""),53.32)</f>
        <v>53.32</v>
      </c>
      <c r="F66" s="1">
        <f ca="1">IFERROR(__xludf.DUMMYFUNCTION("""COMPUTED_VALUE"""),65)</f>
        <v>65</v>
      </c>
    </row>
    <row r="67" spans="1:6">
      <c r="A67" s="1" t="str">
        <f ca="1">IFERROR(__xludf.DUMMYFUNCTION("""COMPUTED_VALUE"""),"IR-C-C-35787")</f>
        <v>IR-C-C-35787</v>
      </c>
      <c r="B67" s="1" t="str">
        <f ca="1">IFERROR(__xludf.DUMMYFUNCTION("""COMPUTED_VALUE"""),"Holy Cross College
More DetailsClose | 
[TABLE]")</f>
        <v>Holy Cross College
More DetailsClose | 
[TABLE]</v>
      </c>
      <c r="C67" s="1" t="str">
        <f ca="1">IFERROR(__xludf.DUMMYFUNCTION("""COMPUTED_VALUE"""),"Tiruchirappalli")</f>
        <v>Tiruchirappalli</v>
      </c>
      <c r="D67" s="1" t="str">
        <f ca="1">IFERROR(__xludf.DUMMYFUNCTION("""COMPUTED_VALUE"""),"Tamil Nadu")</f>
        <v>Tamil Nadu</v>
      </c>
      <c r="E67" s="1">
        <f ca="1">IFERROR(__xludf.DUMMYFUNCTION("""COMPUTED_VALUE"""),53.27)</f>
        <v>53.27</v>
      </c>
      <c r="F67" s="1">
        <f ca="1">IFERROR(__xludf.DUMMYFUNCTION("""COMPUTED_VALUE"""),66)</f>
        <v>66</v>
      </c>
    </row>
    <row r="68" spans="1:6">
      <c r="A68" s="1" t="str">
        <f ca="1">IFERROR(__xludf.DUMMYFUNCTION("""COMPUTED_VALUE"""),"IR-C-C-6426")</f>
        <v>IR-C-C-6426</v>
      </c>
      <c r="B68" s="1" t="str">
        <f ca="1">IFERROR(__xludf.DUMMYFUNCTION("""COMPUTED_VALUE"""),"Shaheed Rajguru College of Applied Sciences for Women
More DetailsClose | 
[TABLE]")</f>
        <v>Shaheed Rajguru College of Applied Sciences for Women
More DetailsClose | 
[TABLE]</v>
      </c>
      <c r="C68" s="1" t="str">
        <f ca="1">IFERROR(__xludf.DUMMYFUNCTION("""COMPUTED_VALUE"""),"Delhi")</f>
        <v>Delhi</v>
      </c>
      <c r="D68" s="1" t="str">
        <f ca="1">IFERROR(__xludf.DUMMYFUNCTION("""COMPUTED_VALUE"""),"Delhi")</f>
        <v>Delhi</v>
      </c>
      <c r="E68" s="1">
        <f ca="1">IFERROR(__xludf.DUMMYFUNCTION("""COMPUTED_VALUE"""),53.22)</f>
        <v>53.22</v>
      </c>
      <c r="F68" s="1">
        <f ca="1">IFERROR(__xludf.DUMMYFUNCTION("""COMPUTED_VALUE"""),67)</f>
        <v>67</v>
      </c>
    </row>
    <row r="69" spans="1:6">
      <c r="A69" s="1" t="str">
        <f ca="1">IFERROR(__xludf.DUMMYFUNCTION("""COMPUTED_VALUE"""),"IR-C-C-41157")</f>
        <v>IR-C-C-41157</v>
      </c>
      <c r="B69" s="1" t="str">
        <f ca="1">IFERROR(__xludf.DUMMYFUNCTION("""COMPUTED_VALUE"""),"V.O. Chidambaram College
More DetailsClose | 
[TABLE]")</f>
        <v>V.O. Chidambaram College
More DetailsClose | 
[TABLE]</v>
      </c>
      <c r="C69" s="1" t="str">
        <f ca="1">IFERROR(__xludf.DUMMYFUNCTION("""COMPUTED_VALUE"""),"Tuticorin")</f>
        <v>Tuticorin</v>
      </c>
      <c r="D69" s="1" t="str">
        <f ca="1">IFERROR(__xludf.DUMMYFUNCTION("""COMPUTED_VALUE"""),"Tamil Nadu")</f>
        <v>Tamil Nadu</v>
      </c>
      <c r="E69" s="1">
        <f ca="1">IFERROR(__xludf.DUMMYFUNCTION("""COMPUTED_VALUE"""),53.08)</f>
        <v>53.08</v>
      </c>
      <c r="F69" s="1">
        <f ca="1">IFERROR(__xludf.DUMMYFUNCTION("""COMPUTED_VALUE"""),68)</f>
        <v>68</v>
      </c>
    </row>
    <row r="70" spans="1:6">
      <c r="A70" s="1" t="str">
        <f ca="1">IFERROR(__xludf.DUMMYFUNCTION("""COMPUTED_VALUE"""),"IR-C-C-6357")</f>
        <v>IR-C-C-6357</v>
      </c>
      <c r="B70" s="1" t="str">
        <f ca="1">IFERROR(__xludf.DUMMYFUNCTION("""COMPUTED_VALUE"""),"Shyam Lal College
More DetailsClose | 
[TABLE]")</f>
        <v>Shyam Lal College
More DetailsClose | 
[TABLE]</v>
      </c>
      <c r="C70" s="1" t="str">
        <f ca="1">IFERROR(__xludf.DUMMYFUNCTION("""COMPUTED_VALUE"""),"Delhi")</f>
        <v>Delhi</v>
      </c>
      <c r="D70" s="1" t="str">
        <f ca="1">IFERROR(__xludf.DUMMYFUNCTION("""COMPUTED_VALUE"""),"Delhi")</f>
        <v>Delhi</v>
      </c>
      <c r="E70" s="1">
        <f ca="1">IFERROR(__xludf.DUMMYFUNCTION("""COMPUTED_VALUE"""),52.7)</f>
        <v>52.7</v>
      </c>
      <c r="F70" s="1">
        <f ca="1">IFERROR(__xludf.DUMMYFUNCTION("""COMPUTED_VALUE"""),69)</f>
        <v>69</v>
      </c>
    </row>
    <row r="71" spans="1:6">
      <c r="A71" s="1" t="str">
        <f ca="1">IFERROR(__xludf.DUMMYFUNCTION("""COMPUTED_VALUE"""),"IR-C-C-41106")</f>
        <v>IR-C-C-41106</v>
      </c>
      <c r="B71" s="1" t="str">
        <f ca="1">IFERROR(__xludf.DUMMYFUNCTION("""COMPUTED_VALUE"""),"Kongunadu Arts &amp; Science College
More DetailsClose | 
[TABLE]")</f>
        <v>Kongunadu Arts &amp; Science College
More DetailsClose | 
[TABLE]</v>
      </c>
      <c r="C71" s="1" t="str">
        <f ca="1">IFERROR(__xludf.DUMMYFUNCTION("""COMPUTED_VALUE"""),"Coimbatore")</f>
        <v>Coimbatore</v>
      </c>
      <c r="D71" s="1" t="str">
        <f ca="1">IFERROR(__xludf.DUMMYFUNCTION("""COMPUTED_VALUE"""),"Tamil Nadu")</f>
        <v>Tamil Nadu</v>
      </c>
      <c r="E71" s="1">
        <f ca="1">IFERROR(__xludf.DUMMYFUNCTION("""COMPUTED_VALUE"""),52.68)</f>
        <v>52.68</v>
      </c>
      <c r="F71" s="1">
        <f ca="1">IFERROR(__xludf.DUMMYFUNCTION("""COMPUTED_VALUE"""),70)</f>
        <v>70</v>
      </c>
    </row>
    <row r="72" spans="1:6">
      <c r="A72" s="1" t="str">
        <f ca="1">IFERROR(__xludf.DUMMYFUNCTION("""COMPUTED_VALUE"""),"IR-C-C-6413")</f>
        <v>IR-C-C-6413</v>
      </c>
      <c r="B72" s="1" t="str">
        <f ca="1">IFERROR(__xludf.DUMMYFUNCTION("""COMPUTED_VALUE"""),"Sri Guru Gobind Singh College of Commerce
More DetailsClose | 
[TABLE]")</f>
        <v>Sri Guru Gobind Singh College of Commerce
More DetailsClose | 
[TABLE]</v>
      </c>
      <c r="C72" s="1" t="str">
        <f ca="1">IFERROR(__xludf.DUMMYFUNCTION("""COMPUTED_VALUE"""),"Delhi")</f>
        <v>Delhi</v>
      </c>
      <c r="D72" s="1" t="str">
        <f ca="1">IFERROR(__xludf.DUMMYFUNCTION("""COMPUTED_VALUE"""),"Delhi")</f>
        <v>Delhi</v>
      </c>
      <c r="E72" s="1">
        <f ca="1">IFERROR(__xludf.DUMMYFUNCTION("""COMPUTED_VALUE"""),52.4)</f>
        <v>52.4</v>
      </c>
      <c r="F72" s="1">
        <f ca="1">IFERROR(__xludf.DUMMYFUNCTION("""COMPUTED_VALUE"""),71)</f>
        <v>71</v>
      </c>
    </row>
    <row r="73" spans="1:6">
      <c r="A73" s="1" t="str">
        <f ca="1">IFERROR(__xludf.DUMMYFUNCTION("""COMPUTED_VALUE"""),"IR-C-C-20830")</f>
        <v>IR-C-C-20830</v>
      </c>
      <c r="B73" s="1" t="str">
        <f ca="1">IFERROR(__xludf.DUMMYFUNCTION("""COMPUTED_VALUE"""),"St. Joseph`s College of Commerce
More DetailsClose | 
[TABLE]")</f>
        <v>St. Joseph`s College of Commerce
More DetailsClose | 
[TABLE]</v>
      </c>
      <c r="C73" s="1" t="str">
        <f ca="1">IFERROR(__xludf.DUMMYFUNCTION("""COMPUTED_VALUE"""),"Bengaluru")</f>
        <v>Bengaluru</v>
      </c>
      <c r="D73" s="1" t="str">
        <f ca="1">IFERROR(__xludf.DUMMYFUNCTION("""COMPUTED_VALUE"""),"Karnataka")</f>
        <v>Karnataka</v>
      </c>
      <c r="E73" s="1">
        <f ca="1">IFERROR(__xludf.DUMMYFUNCTION("""COMPUTED_VALUE"""),52.37)</f>
        <v>52.37</v>
      </c>
      <c r="F73" s="1">
        <f ca="1">IFERROR(__xludf.DUMMYFUNCTION("""COMPUTED_VALUE"""),72)</f>
        <v>72</v>
      </c>
    </row>
    <row r="74" spans="1:6">
      <c r="A74" s="1" t="str">
        <f ca="1">IFERROR(__xludf.DUMMYFUNCTION("""COMPUTED_VALUE"""),"IR-C-C-25990")</f>
        <v>IR-C-C-25990</v>
      </c>
      <c r="B74" s="1" t="str">
        <f ca="1">IFERROR(__xludf.DUMMYFUNCTION("""COMPUTED_VALUE"""),"St. Francis College for Women
More DetailsClose | 
[TABLE]")</f>
        <v>St. Francis College for Women
More DetailsClose | 
[TABLE]</v>
      </c>
      <c r="C74" s="1" t="str">
        <f ca="1">IFERROR(__xludf.DUMMYFUNCTION("""COMPUTED_VALUE"""),"Hyderabad")</f>
        <v>Hyderabad</v>
      </c>
      <c r="D74" s="1" t="str">
        <f ca="1">IFERROR(__xludf.DUMMYFUNCTION("""COMPUTED_VALUE"""),"Telangana")</f>
        <v>Telangana</v>
      </c>
      <c r="E74" s="1">
        <f ca="1">IFERROR(__xludf.DUMMYFUNCTION("""COMPUTED_VALUE"""),52.28)</f>
        <v>52.28</v>
      </c>
      <c r="F74" s="1">
        <f ca="1">IFERROR(__xludf.DUMMYFUNCTION("""COMPUTED_VALUE"""),73)</f>
        <v>73</v>
      </c>
    </row>
    <row r="75" spans="1:6">
      <c r="A75" s="1" t="str">
        <f ca="1">IFERROR(__xludf.DUMMYFUNCTION("""COMPUTED_VALUE"""),"IR-C-C-36529")</f>
        <v>IR-C-C-36529</v>
      </c>
      <c r="B75" s="1" t="str">
        <f ca="1">IFERROR(__xludf.DUMMYFUNCTION("""COMPUTED_VALUE"""),"Fatima College
More DetailsClose | 
[TABLE]")</f>
        <v>Fatima College
More DetailsClose | 
[TABLE]</v>
      </c>
      <c r="C75" s="1" t="str">
        <f ca="1">IFERROR(__xludf.DUMMYFUNCTION("""COMPUTED_VALUE"""),"Madurai")</f>
        <v>Madurai</v>
      </c>
      <c r="D75" s="1" t="str">
        <f ca="1">IFERROR(__xludf.DUMMYFUNCTION("""COMPUTED_VALUE"""),"Tamil Nadu")</f>
        <v>Tamil Nadu</v>
      </c>
      <c r="E75" s="1">
        <f ca="1">IFERROR(__xludf.DUMMYFUNCTION("""COMPUTED_VALUE"""),52.2)</f>
        <v>52.2</v>
      </c>
      <c r="F75" s="1">
        <f ca="1">IFERROR(__xludf.DUMMYFUNCTION("""COMPUTED_VALUE"""),74)</f>
        <v>74</v>
      </c>
    </row>
    <row r="76" spans="1:6">
      <c r="A76" s="1" t="str">
        <f ca="1">IFERROR(__xludf.DUMMYFUNCTION("""COMPUTED_VALUE"""),"IR-C-C-11986")</f>
        <v>IR-C-C-11986</v>
      </c>
      <c r="B76" s="1" t="str">
        <f ca="1">IFERROR(__xludf.DUMMYFUNCTION("""COMPUTED_VALUE"""),"Loreto College
More DetailsClose | 
[TABLE]")</f>
        <v>Loreto College
More DetailsClose | 
[TABLE]</v>
      </c>
      <c r="C76" s="1" t="str">
        <f ca="1">IFERROR(__xludf.DUMMYFUNCTION("""COMPUTED_VALUE"""),"Kolkata")</f>
        <v>Kolkata</v>
      </c>
      <c r="D76" s="1" t="str">
        <f ca="1">IFERROR(__xludf.DUMMYFUNCTION("""COMPUTED_VALUE"""),"West Bengal")</f>
        <v>West Bengal</v>
      </c>
      <c r="E76" s="1">
        <f ca="1">IFERROR(__xludf.DUMMYFUNCTION("""COMPUTED_VALUE"""),52.17)</f>
        <v>52.17</v>
      </c>
      <c r="F76" s="1">
        <f ca="1">IFERROR(__xludf.DUMMYFUNCTION("""COMPUTED_VALUE"""),75)</f>
        <v>75</v>
      </c>
    </row>
    <row r="77" spans="1:6">
      <c r="A77" s="1" t="str">
        <f ca="1">IFERROR(__xludf.DUMMYFUNCTION("""COMPUTED_VALUE"""),"IR-C-C-43711")</f>
        <v>IR-C-C-43711</v>
      </c>
      <c r="B77" s="1" t="str">
        <f ca="1">IFERROR(__xludf.DUMMYFUNCTION("""COMPUTED_VALUE"""),"Bishop Moore College
More DetailsClose | 
[TABLE]")</f>
        <v>Bishop Moore College
More DetailsClose | 
[TABLE]</v>
      </c>
      <c r="C77" s="1" t="str">
        <f ca="1">IFERROR(__xludf.DUMMYFUNCTION("""COMPUTED_VALUE"""),"Alappuzha")</f>
        <v>Alappuzha</v>
      </c>
      <c r="D77" s="1" t="str">
        <f ca="1">IFERROR(__xludf.DUMMYFUNCTION("""COMPUTED_VALUE"""),"Kerala")</f>
        <v>Kerala</v>
      </c>
      <c r="E77" s="1">
        <f ca="1">IFERROR(__xludf.DUMMYFUNCTION("""COMPUTED_VALUE"""),52.04)</f>
        <v>52.04</v>
      </c>
      <c r="F77" s="1">
        <f ca="1">IFERROR(__xludf.DUMMYFUNCTION("""COMPUTED_VALUE"""),76)</f>
        <v>76</v>
      </c>
    </row>
    <row r="78" spans="1:6">
      <c r="A78" s="1" t="str">
        <f ca="1">IFERROR(__xludf.DUMMYFUNCTION("""COMPUTED_VALUE"""),"IR-C-C-6381")</f>
        <v>IR-C-C-6381</v>
      </c>
      <c r="B78" s="1" t="str">
        <f ca="1">IFERROR(__xludf.DUMMYFUNCTION("""COMPUTED_VALUE"""),"Keshav Mahavidyalya
More DetailsClose | 
[TABLE]")</f>
        <v>Keshav Mahavidyalya
More DetailsClose | 
[TABLE]</v>
      </c>
      <c r="C78" s="1" t="str">
        <f ca="1">IFERROR(__xludf.DUMMYFUNCTION("""COMPUTED_VALUE"""),"Delhi")</f>
        <v>Delhi</v>
      </c>
      <c r="D78" s="1" t="str">
        <f ca="1">IFERROR(__xludf.DUMMYFUNCTION("""COMPUTED_VALUE"""),"Delhi")</f>
        <v>Delhi</v>
      </c>
      <c r="E78" s="1">
        <f ca="1">IFERROR(__xludf.DUMMYFUNCTION("""COMPUTED_VALUE"""),51.92)</f>
        <v>51.92</v>
      </c>
      <c r="F78" s="1">
        <f ca="1">IFERROR(__xludf.DUMMYFUNCTION("""COMPUTED_VALUE"""),77)</f>
        <v>77</v>
      </c>
    </row>
    <row r="79" spans="1:6">
      <c r="A79" s="1" t="str">
        <f ca="1">IFERROR(__xludf.DUMMYFUNCTION("""COMPUTED_VALUE"""),"IR-C-C-41184")</f>
        <v>IR-C-C-41184</v>
      </c>
      <c r="B79" s="1" t="str">
        <f ca="1">IFERROR(__xludf.DUMMYFUNCTION("""COMPUTED_VALUE"""),"Women's Christian College
More DetailsClose | 
[TABLE]")</f>
        <v>Women's Christian College
More DetailsClose | 
[TABLE]</v>
      </c>
      <c r="C79" s="1" t="str">
        <f ca="1">IFERROR(__xludf.DUMMYFUNCTION("""COMPUTED_VALUE"""),"Nagercoil")</f>
        <v>Nagercoil</v>
      </c>
      <c r="D79" s="1" t="str">
        <f ca="1">IFERROR(__xludf.DUMMYFUNCTION("""COMPUTED_VALUE"""),"Tamil Nadu")</f>
        <v>Tamil Nadu</v>
      </c>
      <c r="E79" s="1">
        <f ca="1">IFERROR(__xludf.DUMMYFUNCTION("""COMPUTED_VALUE"""),51.75)</f>
        <v>51.75</v>
      </c>
      <c r="F79" s="1">
        <f ca="1">IFERROR(__xludf.DUMMYFUNCTION("""COMPUTED_VALUE"""),78)</f>
        <v>78</v>
      </c>
    </row>
    <row r="80" spans="1:6">
      <c r="A80" s="1" t="str">
        <f ca="1">IFERROR(__xludf.DUMMYFUNCTION("""COMPUTED_VALUE"""),"IR-C-C-11831")</f>
        <v>IR-C-C-11831</v>
      </c>
      <c r="B80" s="1" t="str">
        <f ca="1">IFERROR(__xludf.DUMMYFUNCTION("""COMPUTED_VALUE"""),"St. Berchmans College
More DetailsClose | 
[TABLE]")</f>
        <v>St. Berchmans College
More DetailsClose | 
[TABLE]</v>
      </c>
      <c r="C80" s="1" t="str">
        <f ca="1">IFERROR(__xludf.DUMMYFUNCTION("""COMPUTED_VALUE"""),"Kottayam")</f>
        <v>Kottayam</v>
      </c>
      <c r="D80" s="1" t="str">
        <f ca="1">IFERROR(__xludf.DUMMYFUNCTION("""COMPUTED_VALUE"""),"Kerala")</f>
        <v>Kerala</v>
      </c>
      <c r="E80" s="1">
        <f ca="1">IFERROR(__xludf.DUMMYFUNCTION("""COMPUTED_VALUE"""),51.6)</f>
        <v>51.6</v>
      </c>
      <c r="F80" s="1">
        <f ca="1">IFERROR(__xludf.DUMMYFUNCTION("""COMPUTED_VALUE"""),79)</f>
        <v>79</v>
      </c>
    </row>
    <row r="81" spans="1:6">
      <c r="A81" s="1" t="str">
        <f ca="1">IFERROR(__xludf.DUMMYFUNCTION("""COMPUTED_VALUE"""),"IR-C-C-11616")</f>
        <v>IR-C-C-11616</v>
      </c>
      <c r="B81" s="1" t="str">
        <f ca="1">IFERROR(__xludf.DUMMYFUNCTION("""COMPUTED_VALUE"""),"Bishop Kurialacherry College For Women
More DetailsClose | 
[TABLE]")</f>
        <v>Bishop Kurialacherry College For Women
More DetailsClose | 
[TABLE]</v>
      </c>
      <c r="C81" s="1" t="str">
        <f ca="1">IFERROR(__xludf.DUMMYFUNCTION("""COMPUTED_VALUE"""),"Kottayam")</f>
        <v>Kottayam</v>
      </c>
      <c r="D81" s="1" t="str">
        <f ca="1">IFERROR(__xludf.DUMMYFUNCTION("""COMPUTED_VALUE"""),"Kerala")</f>
        <v>Kerala</v>
      </c>
      <c r="E81" s="1">
        <f ca="1">IFERROR(__xludf.DUMMYFUNCTION("""COMPUTED_VALUE"""),51.55)</f>
        <v>51.55</v>
      </c>
      <c r="F81" s="1">
        <f ca="1">IFERROR(__xludf.DUMMYFUNCTION("""COMPUTED_VALUE"""),80)</f>
        <v>80</v>
      </c>
    </row>
    <row r="82" spans="1:6">
      <c r="A82" s="1" t="str">
        <f ca="1">IFERROR(__xludf.DUMMYFUNCTION("""COMPUTED_VALUE"""),"IR-C-C-28526")</f>
        <v>IR-C-C-28526</v>
      </c>
      <c r="B82" s="1" t="str">
        <f ca="1">IFERROR(__xludf.DUMMYFUNCTION("""COMPUTED_VALUE"""),"Alagappa Government Arts College
More DetailsClose | 
[TABLE]")</f>
        <v>Alagappa Government Arts College
More DetailsClose | 
[TABLE]</v>
      </c>
      <c r="C82" s="1" t="str">
        <f ca="1">IFERROR(__xludf.DUMMYFUNCTION("""COMPUTED_VALUE"""),"Karaikudi")</f>
        <v>Karaikudi</v>
      </c>
      <c r="D82" s="1" t="str">
        <f ca="1">IFERROR(__xludf.DUMMYFUNCTION("""COMPUTED_VALUE"""),"Tamil Nadu")</f>
        <v>Tamil Nadu</v>
      </c>
      <c r="E82" s="1">
        <f ca="1">IFERROR(__xludf.DUMMYFUNCTION("""COMPUTED_VALUE"""),51.55)</f>
        <v>51.55</v>
      </c>
      <c r="F82" s="1">
        <f ca="1">IFERROR(__xludf.DUMMYFUNCTION("""COMPUTED_VALUE"""),80)</f>
        <v>80</v>
      </c>
    </row>
    <row r="83" spans="1:6">
      <c r="A83" s="1" t="str">
        <f ca="1">IFERROR(__xludf.DUMMYFUNCTION("""COMPUTED_VALUE"""),"IR-C-C-41096")</f>
        <v>IR-C-C-41096</v>
      </c>
      <c r="B83" s="1" t="str">
        <f ca="1">IFERROR(__xludf.DUMMYFUNCTION("""COMPUTED_VALUE"""),"CMS College of Science and Commerce
More DetailsClose | 
[TABLE]")</f>
        <v>CMS College of Science and Commerce
More DetailsClose | 
[TABLE]</v>
      </c>
      <c r="C83" s="1" t="str">
        <f ca="1">IFERROR(__xludf.DUMMYFUNCTION("""COMPUTED_VALUE"""),"Coimbatore")</f>
        <v>Coimbatore</v>
      </c>
      <c r="D83" s="1" t="str">
        <f ca="1">IFERROR(__xludf.DUMMYFUNCTION("""COMPUTED_VALUE"""),"Tamil Nadu")</f>
        <v>Tamil Nadu</v>
      </c>
      <c r="E83" s="1">
        <f ca="1">IFERROR(__xludf.DUMMYFUNCTION("""COMPUTED_VALUE"""),51.49)</f>
        <v>51.49</v>
      </c>
      <c r="F83" s="1">
        <f ca="1">IFERROR(__xludf.DUMMYFUNCTION("""COMPUTED_VALUE"""),82)</f>
        <v>82</v>
      </c>
    </row>
    <row r="84" spans="1:6">
      <c r="A84" s="1" t="str">
        <f ca="1">IFERROR(__xludf.DUMMYFUNCTION("""COMPUTED_VALUE"""),"IR-C-C-43874")</f>
        <v>IR-C-C-43874</v>
      </c>
      <c r="B84" s="1" t="str">
        <f ca="1">IFERROR(__xludf.DUMMYFUNCTION("""COMPUTED_VALUE"""),"Government College
More DetailsClose | 
[TABLE]")</f>
        <v>Government College
More DetailsClose | 
[TABLE]</v>
      </c>
      <c r="C84" s="1" t="str">
        <f ca="1">IFERROR(__xludf.DUMMYFUNCTION("""COMPUTED_VALUE"""),"Kasaragod")</f>
        <v>Kasaragod</v>
      </c>
      <c r="D84" s="1" t="str">
        <f ca="1">IFERROR(__xludf.DUMMYFUNCTION("""COMPUTED_VALUE"""),"Kerala")</f>
        <v>Kerala</v>
      </c>
      <c r="E84" s="1">
        <f ca="1">IFERROR(__xludf.DUMMYFUNCTION("""COMPUTED_VALUE"""),51.39)</f>
        <v>51.39</v>
      </c>
      <c r="F84" s="1">
        <f ca="1">IFERROR(__xludf.DUMMYFUNCTION("""COMPUTED_VALUE"""),83)</f>
        <v>83</v>
      </c>
    </row>
    <row r="85" spans="1:6">
      <c r="A85" s="1" t="str">
        <f ca="1">IFERROR(__xludf.DUMMYFUNCTION("""COMPUTED_VALUE"""),"IR-C-C-11615")</f>
        <v>IR-C-C-11615</v>
      </c>
      <c r="B85" s="1" t="str">
        <f ca="1">IFERROR(__xludf.DUMMYFUNCTION("""COMPUTED_VALUE"""),"Marthoma College
More DetailsClose | 
[TABLE]")</f>
        <v>Marthoma College
More DetailsClose | 
[TABLE]</v>
      </c>
      <c r="C85" s="1" t="str">
        <f ca="1">IFERROR(__xludf.DUMMYFUNCTION("""COMPUTED_VALUE"""),"Thiruvalla")</f>
        <v>Thiruvalla</v>
      </c>
      <c r="D85" s="1" t="str">
        <f ca="1">IFERROR(__xludf.DUMMYFUNCTION("""COMPUTED_VALUE"""),"Kerala")</f>
        <v>Kerala</v>
      </c>
      <c r="E85" s="1">
        <f ca="1">IFERROR(__xludf.DUMMYFUNCTION("""COMPUTED_VALUE"""),51.37)</f>
        <v>51.37</v>
      </c>
      <c r="F85" s="1">
        <f ca="1">IFERROR(__xludf.DUMMYFUNCTION("""COMPUTED_VALUE"""),84)</f>
        <v>84</v>
      </c>
    </row>
    <row r="86" spans="1:6">
      <c r="A86" s="1" t="str">
        <f ca="1">IFERROR(__xludf.DUMMYFUNCTION("""COMPUTED_VALUE"""),"IR-C-C-41054")</f>
        <v>IR-C-C-41054</v>
      </c>
      <c r="B86" s="1" t="str">
        <f ca="1">IFERROR(__xludf.DUMMYFUNCTION("""COMPUTED_VALUE"""),"Dr. N. G. P. Arts and Science College
More DetailsClose | 
[TABLE]")</f>
        <v>Dr. N. G. P. Arts and Science College
More DetailsClose | 
[TABLE]</v>
      </c>
      <c r="C86" s="1" t="str">
        <f ca="1">IFERROR(__xludf.DUMMYFUNCTION("""COMPUTED_VALUE"""),"Coimbatore")</f>
        <v>Coimbatore</v>
      </c>
      <c r="D86" s="1" t="str">
        <f ca="1">IFERROR(__xludf.DUMMYFUNCTION("""COMPUTED_VALUE"""),"Tamil Nadu")</f>
        <v>Tamil Nadu</v>
      </c>
      <c r="E86" s="1">
        <f ca="1">IFERROR(__xludf.DUMMYFUNCTION("""COMPUTED_VALUE"""),51.33)</f>
        <v>51.33</v>
      </c>
      <c r="F86" s="1">
        <f ca="1">IFERROR(__xludf.DUMMYFUNCTION("""COMPUTED_VALUE"""),85)</f>
        <v>85</v>
      </c>
    </row>
    <row r="87" spans="1:6">
      <c r="A87" s="1" t="str">
        <f ca="1">IFERROR(__xludf.DUMMYFUNCTION("""COMPUTED_VALUE"""),"IR-C-C-29284")</f>
        <v>IR-C-C-29284</v>
      </c>
      <c r="B87" s="1" t="str">
        <f ca="1">IFERROR(__xludf.DUMMYFUNCTION("""COMPUTED_VALUE"""),"Government Home Science College
More DetailsClose | 
[TABLE]")</f>
        <v>Government Home Science College
More DetailsClose | 
[TABLE]</v>
      </c>
      <c r="C87" s="1" t="str">
        <f ca="1">IFERROR(__xludf.DUMMYFUNCTION("""COMPUTED_VALUE"""),"Chandigarh")</f>
        <v>Chandigarh</v>
      </c>
      <c r="D87" s="1" t="str">
        <f ca="1">IFERROR(__xludf.DUMMYFUNCTION("""COMPUTED_VALUE"""),"Chandigarh")</f>
        <v>Chandigarh</v>
      </c>
      <c r="E87" s="1">
        <f ca="1">IFERROR(__xludf.DUMMYFUNCTION("""COMPUTED_VALUE"""),51.28)</f>
        <v>51.28</v>
      </c>
      <c r="F87" s="1">
        <f ca="1">IFERROR(__xludf.DUMMYFUNCTION("""COMPUTED_VALUE"""),86)</f>
        <v>86</v>
      </c>
    </row>
    <row r="88" spans="1:6">
      <c r="A88" s="1" t="str">
        <f ca="1">IFERROR(__xludf.DUMMYFUNCTION("""COMPUTED_VALUE"""),"IR-C-C-41068")</f>
        <v>IR-C-C-41068</v>
      </c>
      <c r="B88" s="1" t="str">
        <f ca="1">IFERROR(__xludf.DUMMYFUNCTION("""COMPUTED_VALUE"""),"Vellalar College for Women
More DetailsClose | 
[TABLE]")</f>
        <v>Vellalar College for Women
More DetailsClose | 
[TABLE]</v>
      </c>
      <c r="C88" s="1" t="str">
        <f ca="1">IFERROR(__xludf.DUMMYFUNCTION("""COMPUTED_VALUE"""),"Erode")</f>
        <v>Erode</v>
      </c>
      <c r="D88" s="1" t="str">
        <f ca="1">IFERROR(__xludf.DUMMYFUNCTION("""COMPUTED_VALUE"""),"Tamil Nadu")</f>
        <v>Tamil Nadu</v>
      </c>
      <c r="E88" s="1">
        <f ca="1">IFERROR(__xludf.DUMMYFUNCTION("""COMPUTED_VALUE"""),51.25)</f>
        <v>51.25</v>
      </c>
      <c r="F88" s="1">
        <f ca="1">IFERROR(__xludf.DUMMYFUNCTION("""COMPUTED_VALUE"""),87)</f>
        <v>87</v>
      </c>
    </row>
    <row r="89" spans="1:6">
      <c r="A89" s="1" t="str">
        <f ca="1">IFERROR(__xludf.DUMMYFUNCTION("""COMPUTED_VALUE"""),"IR-C-C-11991")</f>
        <v>IR-C-C-11991</v>
      </c>
      <c r="B89" s="1" t="str">
        <f ca="1">IFERROR(__xludf.DUMMYFUNCTION("""COMPUTED_VALUE"""),"Bethune College
More DetailsClose | 
[TABLE]")</f>
        <v>Bethune College
More DetailsClose | 
[TABLE]</v>
      </c>
      <c r="C89" s="1" t="str">
        <f ca="1">IFERROR(__xludf.DUMMYFUNCTION("""COMPUTED_VALUE"""),"Kolkata")</f>
        <v>Kolkata</v>
      </c>
      <c r="D89" s="1" t="str">
        <f ca="1">IFERROR(__xludf.DUMMYFUNCTION("""COMPUTED_VALUE"""),"West Bengal")</f>
        <v>West Bengal</v>
      </c>
      <c r="E89" s="1">
        <f ca="1">IFERROR(__xludf.DUMMYFUNCTION("""COMPUTED_VALUE"""),51.23)</f>
        <v>51.23</v>
      </c>
      <c r="F89" s="1">
        <f ca="1">IFERROR(__xludf.DUMMYFUNCTION("""COMPUTED_VALUE"""),88)</f>
        <v>88</v>
      </c>
    </row>
    <row r="90" spans="1:6">
      <c r="A90" s="1" t="str">
        <f ca="1">IFERROR(__xludf.DUMMYFUNCTION("""COMPUTED_VALUE"""),"IR-C-C-8023")</f>
        <v>IR-C-C-8023</v>
      </c>
      <c r="B90" s="1" t="str">
        <f ca="1">IFERROR(__xludf.DUMMYFUNCTION("""COMPUTED_VALUE"""),"Farook College
More DetailsClose | 
[TABLE]")</f>
        <v>Farook College
More DetailsClose | 
[TABLE]</v>
      </c>
      <c r="C90" s="1" t="str">
        <f ca="1">IFERROR(__xludf.DUMMYFUNCTION("""COMPUTED_VALUE"""),"Kozhikode")</f>
        <v>Kozhikode</v>
      </c>
      <c r="D90" s="1" t="str">
        <f ca="1">IFERROR(__xludf.DUMMYFUNCTION("""COMPUTED_VALUE"""),"Kerala")</f>
        <v>Kerala</v>
      </c>
      <c r="E90" s="1">
        <f ca="1">IFERROR(__xludf.DUMMYFUNCTION("""COMPUTED_VALUE"""),51.23)</f>
        <v>51.23</v>
      </c>
      <c r="F90" s="1">
        <f ca="1">IFERROR(__xludf.DUMMYFUNCTION("""COMPUTED_VALUE"""),88)</f>
        <v>88</v>
      </c>
    </row>
    <row r="91" spans="1:6">
      <c r="A91" s="1" t="str">
        <f ca="1">IFERROR(__xludf.DUMMYFUNCTION("""COMPUTED_VALUE"""),"IR-C-C-9562")</f>
        <v>IR-C-C-9562</v>
      </c>
      <c r="B91" s="1" t="str">
        <f ca="1">IFERROR(__xludf.DUMMYFUNCTION("""COMPUTED_VALUE"""),"Mahendra Arts &amp; Science College
More DetailsClose | 
[TABLE]")</f>
        <v>Mahendra Arts &amp; Science College
More DetailsClose | 
[TABLE]</v>
      </c>
      <c r="C91" s="1" t="str">
        <f ca="1">IFERROR(__xludf.DUMMYFUNCTION("""COMPUTED_VALUE"""),"Namakkal")</f>
        <v>Namakkal</v>
      </c>
      <c r="D91" s="1" t="str">
        <f ca="1">IFERROR(__xludf.DUMMYFUNCTION("""COMPUTED_VALUE"""),"Tamil Nadu")</f>
        <v>Tamil Nadu</v>
      </c>
      <c r="E91" s="1">
        <f ca="1">IFERROR(__xludf.DUMMYFUNCTION("""COMPUTED_VALUE"""),51.14)</f>
        <v>51.14</v>
      </c>
      <c r="F91" s="1">
        <f ca="1">IFERROR(__xludf.DUMMYFUNCTION("""COMPUTED_VALUE"""),90)</f>
        <v>90</v>
      </c>
    </row>
    <row r="92" spans="1:6">
      <c r="A92" s="1" t="str">
        <f ca="1">IFERROR(__xludf.DUMMYFUNCTION("""COMPUTED_VALUE"""),"IR-C-C-33555")</f>
        <v>IR-C-C-33555</v>
      </c>
      <c r="B92" s="1" t="str">
        <f ca="1">IFERROR(__xludf.DUMMYFUNCTION("""COMPUTED_VALUE"""),"St. Xavier`s College
More DetailsClose | 
[TABLE]")</f>
        <v>St. Xavier`s College
More DetailsClose | 
[TABLE]</v>
      </c>
      <c r="C92" s="1" t="str">
        <f ca="1">IFERROR(__xludf.DUMMYFUNCTION("""COMPUTED_VALUE"""),"Mumbai")</f>
        <v>Mumbai</v>
      </c>
      <c r="D92" s="1" t="str">
        <f ca="1">IFERROR(__xludf.DUMMYFUNCTION("""COMPUTED_VALUE"""),"Maharashtra")</f>
        <v>Maharashtra</v>
      </c>
      <c r="E92" s="1">
        <f ca="1">IFERROR(__xludf.DUMMYFUNCTION("""COMPUTED_VALUE"""),51.14)</f>
        <v>51.14</v>
      </c>
      <c r="F92" s="1">
        <f ca="1">IFERROR(__xludf.DUMMYFUNCTION("""COMPUTED_VALUE"""),90)</f>
        <v>90</v>
      </c>
    </row>
    <row r="93" spans="1:6">
      <c r="A93" s="1" t="str">
        <f ca="1">IFERROR(__xludf.DUMMYFUNCTION("""COMPUTED_VALUE"""),"IR-C-C-6566")</f>
        <v>IR-C-C-6566</v>
      </c>
      <c r="B93" s="1" t="str">
        <f ca="1">IFERROR(__xludf.DUMMYFUNCTION("""COMPUTED_VALUE"""),"Mahatma Gandhi Government Arts College
More DetailsClose | 
[TABLE]")</f>
        <v>Mahatma Gandhi Government Arts College
More DetailsClose | 
[TABLE]</v>
      </c>
      <c r="C93" s="1" t="str">
        <f ca="1">IFERROR(__xludf.DUMMYFUNCTION("""COMPUTED_VALUE"""),"Mahe")</f>
        <v>Mahe</v>
      </c>
      <c r="D93" s="1" t="str">
        <f ca="1">IFERROR(__xludf.DUMMYFUNCTION("""COMPUTED_VALUE"""),"Pondicherry")</f>
        <v>Pondicherry</v>
      </c>
      <c r="E93" s="1">
        <f ca="1">IFERROR(__xludf.DUMMYFUNCTION("""COMPUTED_VALUE"""),50.89)</f>
        <v>50.89</v>
      </c>
      <c r="F93" s="1">
        <f ca="1">IFERROR(__xludf.DUMMYFUNCTION("""COMPUTED_VALUE"""),92)</f>
        <v>92</v>
      </c>
    </row>
    <row r="94" spans="1:6">
      <c r="A94" s="1" t="str">
        <f ca="1">IFERROR(__xludf.DUMMYFUNCTION("""COMPUTED_VALUE"""),"IR-C-C-43760")</f>
        <v>IR-C-C-43760</v>
      </c>
      <c r="B94" s="1" t="str">
        <f ca="1">IFERROR(__xludf.DUMMYFUNCTION("""COMPUTED_VALUE"""),"Mahatma Gandhi College
More DetailsClose | 
[TABLE]")</f>
        <v>Mahatma Gandhi College
More DetailsClose | 
[TABLE]</v>
      </c>
      <c r="C94" s="1" t="str">
        <f ca="1">IFERROR(__xludf.DUMMYFUNCTION("""COMPUTED_VALUE"""),"Thiruvananthapuram")</f>
        <v>Thiruvananthapuram</v>
      </c>
      <c r="D94" s="1" t="str">
        <f ca="1">IFERROR(__xludf.DUMMYFUNCTION("""COMPUTED_VALUE"""),"Kerala")</f>
        <v>Kerala</v>
      </c>
      <c r="E94" s="1">
        <f ca="1">IFERROR(__xludf.DUMMYFUNCTION("""COMPUTED_VALUE"""),50.59)</f>
        <v>50.59</v>
      </c>
      <c r="F94" s="1">
        <f ca="1">IFERROR(__xludf.DUMMYFUNCTION("""COMPUTED_VALUE"""),93)</f>
        <v>93</v>
      </c>
    </row>
    <row r="95" spans="1:6">
      <c r="A95" s="1" t="str">
        <f ca="1">IFERROR(__xludf.DUMMYFUNCTION("""COMPUTED_VALUE"""),"IR-C-C-11971")</f>
        <v>IR-C-C-11971</v>
      </c>
      <c r="B95" s="1" t="str">
        <f ca="1">IFERROR(__xludf.DUMMYFUNCTION("""COMPUTED_VALUE"""),"Lady Brabourne College
More DetailsClose | 
[TABLE]")</f>
        <v>Lady Brabourne College
More DetailsClose | 
[TABLE]</v>
      </c>
      <c r="C95" s="1" t="str">
        <f ca="1">IFERROR(__xludf.DUMMYFUNCTION("""COMPUTED_VALUE"""),"Kolkata")</f>
        <v>Kolkata</v>
      </c>
      <c r="D95" s="1" t="str">
        <f ca="1">IFERROR(__xludf.DUMMYFUNCTION("""COMPUTED_VALUE"""),"West Bengal")</f>
        <v>West Bengal</v>
      </c>
      <c r="E95" s="1">
        <f ca="1">IFERROR(__xludf.DUMMYFUNCTION("""COMPUTED_VALUE"""),50.47)</f>
        <v>50.47</v>
      </c>
      <c r="F95" s="1">
        <f ca="1">IFERROR(__xludf.DUMMYFUNCTION("""COMPUTED_VALUE"""),94)</f>
        <v>94</v>
      </c>
    </row>
    <row r="96" spans="1:6">
      <c r="A96" s="1" t="str">
        <f ca="1">IFERROR(__xludf.DUMMYFUNCTION("""COMPUTED_VALUE"""),"IR-C-C-43806")</f>
        <v>IR-C-C-43806</v>
      </c>
      <c r="B96" s="1" t="str">
        <f ca="1">IFERROR(__xludf.DUMMYFUNCTION("""COMPUTED_VALUE"""),"Nehru Arts and Science College
More DetailsClose | 
[TABLE]")</f>
        <v>Nehru Arts and Science College
More DetailsClose | 
[TABLE]</v>
      </c>
      <c r="C96" s="1" t="str">
        <f ca="1">IFERROR(__xludf.DUMMYFUNCTION("""COMPUTED_VALUE"""),"Kasaragod")</f>
        <v>Kasaragod</v>
      </c>
      <c r="D96" s="1" t="str">
        <f ca="1">IFERROR(__xludf.DUMMYFUNCTION("""COMPUTED_VALUE"""),"Kerala")</f>
        <v>Kerala</v>
      </c>
      <c r="E96" s="1">
        <f ca="1">IFERROR(__xludf.DUMMYFUNCTION("""COMPUTED_VALUE"""),50.46)</f>
        <v>50.46</v>
      </c>
      <c r="F96" s="1">
        <f ca="1">IFERROR(__xludf.DUMMYFUNCTION("""COMPUTED_VALUE"""),95)</f>
        <v>95</v>
      </c>
    </row>
    <row r="97" spans="1:6">
      <c r="A97" s="1" t="str">
        <f ca="1">IFERROR(__xludf.DUMMYFUNCTION("""COMPUTED_VALUE"""),"IR-C-C-6409")</f>
        <v>IR-C-C-6409</v>
      </c>
      <c r="B97" s="1" t="str">
        <f ca="1">IFERROR(__xludf.DUMMYFUNCTION("""COMPUTED_VALUE"""),"Deshbandhu College
More DetailsClose | 
[TABLE]")</f>
        <v>Deshbandhu College
More DetailsClose | 
[TABLE]</v>
      </c>
      <c r="C97" s="1" t="str">
        <f ca="1">IFERROR(__xludf.DUMMYFUNCTION("""COMPUTED_VALUE"""),"New Delhi")</f>
        <v>New Delhi</v>
      </c>
      <c r="D97" s="1" t="str">
        <f ca="1">IFERROR(__xludf.DUMMYFUNCTION("""COMPUTED_VALUE"""),"Delhi")</f>
        <v>Delhi</v>
      </c>
      <c r="E97" s="1">
        <f ca="1">IFERROR(__xludf.DUMMYFUNCTION("""COMPUTED_VALUE"""),50.38)</f>
        <v>50.38</v>
      </c>
      <c r="F97" s="1">
        <f ca="1">IFERROR(__xludf.DUMMYFUNCTION("""COMPUTED_VALUE"""),96)</f>
        <v>96</v>
      </c>
    </row>
    <row r="98" spans="1:6">
      <c r="A98" s="1" t="str">
        <f ca="1">IFERROR(__xludf.DUMMYFUNCTION("""COMPUTED_VALUE"""),"IR-C-C-11660")</f>
        <v>IR-C-C-11660</v>
      </c>
      <c r="B98" s="1" t="str">
        <f ca="1">IFERROR(__xludf.DUMMYFUNCTION("""COMPUTED_VALUE"""),"St. Alberts College
More DetailsClose | 
[TABLE]")</f>
        <v>St. Alberts College
More DetailsClose | 
[TABLE]</v>
      </c>
      <c r="C98" s="1" t="str">
        <f ca="1">IFERROR(__xludf.DUMMYFUNCTION("""COMPUTED_VALUE"""),"Ernakulam")</f>
        <v>Ernakulam</v>
      </c>
      <c r="D98" s="1" t="str">
        <f ca="1">IFERROR(__xludf.DUMMYFUNCTION("""COMPUTED_VALUE"""),"Kerala")</f>
        <v>Kerala</v>
      </c>
      <c r="E98" s="1">
        <f ca="1">IFERROR(__xludf.DUMMYFUNCTION("""COMPUTED_VALUE"""),50.34)</f>
        <v>50.34</v>
      </c>
      <c r="F98" s="1">
        <f ca="1">IFERROR(__xludf.DUMMYFUNCTION("""COMPUTED_VALUE"""),97)</f>
        <v>97</v>
      </c>
    </row>
    <row r="99" spans="1:6">
      <c r="A99" s="1" t="str">
        <f ca="1">IFERROR(__xludf.DUMMYFUNCTION("""COMPUTED_VALUE"""),"IR-C-C-43600")</f>
        <v>IR-C-C-43600</v>
      </c>
      <c r="B99" s="1" t="str">
        <f ca="1">IFERROR(__xludf.DUMMYFUNCTION("""COMPUTED_VALUE"""),"Government Arts College
More DetailsClose | 
[TABLE]")</f>
        <v>Government Arts College
More DetailsClose | 
[TABLE]</v>
      </c>
      <c r="C99" s="1" t="str">
        <f ca="1">IFERROR(__xludf.DUMMYFUNCTION("""COMPUTED_VALUE"""),"Thiruvananthapuram")</f>
        <v>Thiruvananthapuram</v>
      </c>
      <c r="D99" s="1" t="str">
        <f ca="1">IFERROR(__xludf.DUMMYFUNCTION("""COMPUTED_VALUE"""),"Kerala")</f>
        <v>Kerala</v>
      </c>
      <c r="E99" s="1">
        <f ca="1">IFERROR(__xludf.DUMMYFUNCTION("""COMPUTED_VALUE"""),50.22)</f>
        <v>50.22</v>
      </c>
      <c r="F99" s="1">
        <f ca="1">IFERROR(__xludf.DUMMYFUNCTION("""COMPUTED_VALUE"""),98)</f>
        <v>98</v>
      </c>
    </row>
    <row r="100" spans="1:6">
      <c r="A100" s="1" t="str">
        <f ca="1">IFERROR(__xludf.DUMMYFUNCTION("""COMPUTED_VALUE"""),"IR-C-C-8008")</f>
        <v>IR-C-C-8008</v>
      </c>
      <c r="B100" s="1" t="str">
        <f ca="1">IFERROR(__xludf.DUMMYFUNCTION("""COMPUTED_VALUE"""),"Vimala College
More DetailsClose | 
[TABLE]")</f>
        <v>Vimala College
More DetailsClose | 
[TABLE]</v>
      </c>
      <c r="C100" s="1" t="str">
        <f ca="1">IFERROR(__xludf.DUMMYFUNCTION("""COMPUTED_VALUE"""),"Thrissur")</f>
        <v>Thrissur</v>
      </c>
      <c r="D100" s="1" t="str">
        <f ca="1">IFERROR(__xludf.DUMMYFUNCTION("""COMPUTED_VALUE"""),"Kerala")</f>
        <v>Kerala</v>
      </c>
      <c r="E100" s="1">
        <f ca="1">IFERROR(__xludf.DUMMYFUNCTION("""COMPUTED_VALUE"""),50.2)</f>
        <v>50.2</v>
      </c>
      <c r="F100" s="1">
        <f ca="1">IFERROR(__xludf.DUMMYFUNCTION("""COMPUTED_VALUE"""),99)</f>
        <v>99</v>
      </c>
    </row>
    <row r="101" spans="1:6">
      <c r="A101" s="1" t="str">
        <f ca="1">IFERROR(__xludf.DUMMYFUNCTION("""COMPUTED_VALUE"""),"IR-C-C-43649")</f>
        <v>IR-C-C-43649</v>
      </c>
      <c r="B101" s="1" t="str">
        <f ca="1">IFERROR(__xludf.DUMMYFUNCTION("""COMPUTED_VALUE"""),"Fatima Mata National College
More DetailsClose | 
[TABLE]")</f>
        <v>Fatima Mata National College
More DetailsClose | 
[TABLE]</v>
      </c>
      <c r="C101" s="1" t="str">
        <f ca="1">IFERROR(__xludf.DUMMYFUNCTION("""COMPUTED_VALUE"""),"Kollam")</f>
        <v>Kollam</v>
      </c>
      <c r="D101" s="1" t="str">
        <f ca="1">IFERROR(__xludf.DUMMYFUNCTION("""COMPUTED_VALUE"""),"Kerala")</f>
        <v>Kerala</v>
      </c>
      <c r="E101" s="1">
        <f ca="1">IFERROR(__xludf.DUMMYFUNCTION("""COMPUTED_VALUE"""),50.13)</f>
        <v>50.13</v>
      </c>
      <c r="F101" s="1">
        <f ca="1">IFERROR(__xludf.DUMMYFUNCTION("""COMPUTED_VALUE"""),100)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41"/>
  <sheetViews>
    <sheetView workbookViewId="0"/>
  </sheetViews>
  <sheetFormatPr defaultColWidth="14.42578125" defaultRowHeight="15.75" customHeight="1"/>
  <sheetData>
    <row r="1" spans="1:6">
      <c r="A1" s="1" t="str">
        <f ca="1">IFERROR(__xludf.DUMMYFUNCTION("IMPORTHTML(""https://www.nirfindia.org/2020/MedicalRanking.html"",""table"",1)"),"Institute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IFERROR(__xludf.DUMMYFUNCTION("""COMPUTED_VALUE"""),"IR-D-N-15")</f>
        <v>IR-D-N-15</v>
      </c>
      <c r="B2" s="1" t="str">
        <f ca="1">IFERROR(__xludf.DUMMYFUNCTION("""COMPUTED_VALUE"""),"All India Institute of Medical Sciences
More DetailsClose | 
[TABLE]")</f>
        <v>All India Institute of Medical Sciences
More DetailsClose | 
[TABLE]</v>
      </c>
      <c r="C2" s="1" t="str">
        <f ca="1">IFERROR(__xludf.DUMMYFUNCTION("""COMPUTED_VALUE"""),"New Delhi")</f>
        <v>New Delhi</v>
      </c>
      <c r="D2" s="1" t="str">
        <f ca="1">IFERROR(__xludf.DUMMYFUNCTION("""COMPUTED_VALUE"""),"Delhi")</f>
        <v>Delhi</v>
      </c>
      <c r="E2" s="1">
        <f ca="1">IFERROR(__xludf.DUMMYFUNCTION("""COMPUTED_VALUE"""),90.69)</f>
        <v>90.69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IFERROR(__xludf.DUMMYFUNCTION("""COMPUTED_VALUE"""),"IR-D-U-0079")</f>
        <v>IR-D-U-0079</v>
      </c>
      <c r="B3" s="1" t="str">
        <f ca="1">IFERROR(__xludf.DUMMYFUNCTION("""COMPUTED_VALUE"""),"Post Graduate Institute of Medical Education and Research
More DetailsClose | 
[TABLE]")</f>
        <v>Post Graduate Institute of Medical Education and Research
More DetailsClose | 
[TABLE]</v>
      </c>
      <c r="C3" s="1" t="str">
        <f ca="1">IFERROR(__xludf.DUMMYFUNCTION("""COMPUTED_VALUE"""),"Chandigarh")</f>
        <v>Chandigarh</v>
      </c>
      <c r="D3" s="1" t="str">
        <f ca="1">IFERROR(__xludf.DUMMYFUNCTION("""COMPUTED_VALUE"""),"Chandigarh")</f>
        <v>Chandigarh</v>
      </c>
      <c r="E3" s="1">
        <f ca="1">IFERROR(__xludf.DUMMYFUNCTION("""COMPUTED_VALUE"""),80.06)</f>
        <v>80.06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IFERROR(__xludf.DUMMYFUNCTION("""COMPUTED_VALUE"""),"IR-D-C-45654")</f>
        <v>IR-D-C-45654</v>
      </c>
      <c r="B4" s="1" t="str">
        <f ca="1">IFERROR(__xludf.DUMMYFUNCTION("""COMPUTED_VALUE"""),"Christian Medical College
More DetailsClose | 
[TABLE]")</f>
        <v>Christian Medical College
More DetailsClose | 
[TABLE]</v>
      </c>
      <c r="C4" s="1" t="str">
        <f ca="1">IFERROR(__xludf.DUMMYFUNCTION("""COMPUTED_VALUE"""),"Vellore")</f>
        <v>Vellore</v>
      </c>
      <c r="D4" s="1" t="str">
        <f ca="1">IFERROR(__xludf.DUMMYFUNCTION("""COMPUTED_VALUE"""),"Tamil Nadu")</f>
        <v>Tamil Nadu</v>
      </c>
      <c r="E4" s="1">
        <f ca="1">IFERROR(__xludf.DUMMYFUNCTION("""COMPUTED_VALUE"""),73.56)</f>
        <v>73.56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IFERROR(__xludf.DUMMYFUNCTION("""COMPUTED_VALUE"""),"IR-D-U-0236")</f>
        <v>IR-D-U-0236</v>
      </c>
      <c r="B5" s="1" t="str">
        <f ca="1">IFERROR(__xludf.DUMMYFUNCTION("""COMPUTED_VALUE"""),"National Institute of Mental Health &amp; Neuro Sciences
More DetailsClose | 
[TABLE]")</f>
        <v>National Institute of Mental Health &amp; Neuro Sciences
More DetailsClose | 
[TABLE]</v>
      </c>
      <c r="C5" s="1" t="str">
        <f ca="1">IFERROR(__xludf.DUMMYFUNCTION("""COMPUTED_VALUE"""),"Bangalore")</f>
        <v>Bangalore</v>
      </c>
      <c r="D5" s="1" t="str">
        <f ca="1">IFERROR(__xludf.DUMMYFUNCTION("""COMPUTED_VALUE"""),"Karnataka")</f>
        <v>Karnataka</v>
      </c>
      <c r="E5" s="1">
        <f ca="1">IFERROR(__xludf.DUMMYFUNCTION("""COMPUTED_VALUE"""),71.35)</f>
        <v>71.349999999999994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IFERROR(__xludf.DUMMYFUNCTION("""COMPUTED_VALUE"""),"IR-D-N-33")</f>
        <v>IR-D-N-33</v>
      </c>
      <c r="B6" s="1" t="str">
        <f ca="1">IFERROR(__xludf.DUMMYFUNCTION("""COMPUTED_VALUE"""),"Sanjay Gandhi Postgraduate Institute of Medical Sciences
More DetailsClose | 
[TABLE]")</f>
        <v>Sanjay Gandhi Postgraduate Institute of Medical Sciences
More DetailsClose | 
[TABLE]</v>
      </c>
      <c r="C6" s="1" t="str">
        <f ca="1">IFERROR(__xludf.DUMMYFUNCTION("""COMPUTED_VALUE"""),"Lucknow")</f>
        <v>Lucknow</v>
      </c>
      <c r="D6" s="1" t="str">
        <f ca="1">IFERROR(__xludf.DUMMYFUNCTION("""COMPUTED_VALUE"""),"Uttar Pradesh")</f>
        <v>Uttar Pradesh</v>
      </c>
      <c r="E6" s="1">
        <f ca="1">IFERROR(__xludf.DUMMYFUNCTION("""COMPUTED_VALUE"""),70.21)</f>
        <v>70.209999999999994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IFERROR(__xludf.DUMMYFUNCTION("""COMPUTED_VALUE"""),"IR-D-U-0500")</f>
        <v>IR-D-U-0500</v>
      </c>
      <c r="B7" s="1" t="str">
        <f ca="1">IFERROR(__xludf.DUMMYFUNCTION("""COMPUTED_VALUE"""),"Banaras Hindu University
More DetailsClose | 
[TABLE]")</f>
        <v>Banaras Hindu University
More DetailsClose | 
[TABLE]</v>
      </c>
      <c r="C7" s="1" t="str">
        <f ca="1">IFERROR(__xludf.DUMMYFUNCTION("""COMPUTED_VALUE"""),"Varanasi")</f>
        <v>Varanasi</v>
      </c>
      <c r="D7" s="1" t="str">
        <f ca="1">IFERROR(__xludf.DUMMYFUNCTION("""COMPUTED_VALUE"""),"Uttar Pradesh")</f>
        <v>Uttar Pradesh</v>
      </c>
      <c r="E7" s="1">
        <f ca="1">IFERROR(__xludf.DUMMYFUNCTION("""COMPUTED_VALUE"""),64.72)</f>
        <v>64.72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IFERROR(__xludf.DUMMYFUNCTION("""COMPUTED_VALUE"""),"IR-D-U-0436")</f>
        <v>IR-D-U-0436</v>
      </c>
      <c r="B8" s="1" t="str">
        <f ca="1">IFERROR(__xludf.DUMMYFUNCTION("""COMPUTED_VALUE"""),"Amrita Vishwa Vidyapeetham
More DetailsClose | 
[TABLE]")</f>
        <v>Amrita Vishwa Vidyapeetham
More DetailsClose | 
[TABLE]</v>
      </c>
      <c r="C8" s="1" t="str">
        <f ca="1">IFERROR(__xludf.DUMMYFUNCTION("""COMPUTED_VALUE"""),"Coimbatore")</f>
        <v>Coimbatore</v>
      </c>
      <c r="D8" s="1" t="str">
        <f ca="1">IFERROR(__xludf.DUMMYFUNCTION("""COMPUTED_VALUE"""),"Tamil Nadu")</f>
        <v>Tamil Nadu</v>
      </c>
      <c r="E8" s="1">
        <f ca="1">IFERROR(__xludf.DUMMYFUNCTION("""COMPUTED_VALUE"""),64.39)</f>
        <v>64.39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IFERROR(__xludf.DUMMYFUNCTION("""COMPUTED_VALUE"""),"IR-D-U-0368")</f>
        <v>IR-D-U-0368</v>
      </c>
      <c r="B9" s="1" t="str">
        <f ca="1">IFERROR(__xludf.DUMMYFUNCTION("""COMPUTED_VALUE"""),"Jawaharlal Institute of Post Graduate Medical Education &amp; Research
More DetailsClose | 
[TABLE]")</f>
        <v>Jawaharlal Institute of Post Graduate Medical Education &amp; Research
More DetailsClose | 
[TABLE]</v>
      </c>
      <c r="C9" s="1" t="str">
        <f ca="1">IFERROR(__xludf.DUMMYFUNCTION("""COMPUTED_VALUE"""),"Puducherry")</f>
        <v>Puducherry</v>
      </c>
      <c r="D9" s="1" t="str">
        <f ca="1">IFERROR(__xludf.DUMMYFUNCTION("""COMPUTED_VALUE"""),"Pondicherry")</f>
        <v>Pondicherry</v>
      </c>
      <c r="E9" s="1">
        <f ca="1">IFERROR(__xludf.DUMMYFUNCTION("""COMPUTED_VALUE"""),63.17)</f>
        <v>63.17</v>
      </c>
      <c r="F9" s="1">
        <f ca="1">IFERROR(__xludf.DUMMYFUNCTION("""COMPUTED_VALUE"""),8)</f>
        <v>8</v>
      </c>
    </row>
    <row r="10" spans="1:6">
      <c r="A10" s="1" t="str">
        <f ca="1">IFERROR(__xludf.DUMMYFUNCTION("""COMPUTED_VALUE"""),"IR-D-C-7242")</f>
        <v>IR-D-C-7242</v>
      </c>
      <c r="B10" s="1" t="str">
        <f ca="1">IFERROR(__xludf.DUMMYFUNCTION("""COMPUTED_VALUE"""),"Kasturba Medical College
More DetailsClose | 
[TABLE]")</f>
        <v>Kasturba Medical College
More DetailsClose | 
[TABLE]</v>
      </c>
      <c r="C10" s="1" t="str">
        <f ca="1">IFERROR(__xludf.DUMMYFUNCTION("""COMPUTED_VALUE"""),"Manipal")</f>
        <v>Manipal</v>
      </c>
      <c r="D10" s="1" t="str">
        <f ca="1">IFERROR(__xludf.DUMMYFUNCTION("""COMPUTED_VALUE"""),"Karnataka")</f>
        <v>Karnataka</v>
      </c>
      <c r="E10" s="1">
        <f ca="1">IFERROR(__xludf.DUMMYFUNCTION("""COMPUTED_VALUE"""),62.84)</f>
        <v>62.84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IFERROR(__xludf.DUMMYFUNCTION("""COMPUTED_VALUE"""),"IR-D-U-0523")</f>
        <v>IR-D-U-0523</v>
      </c>
      <c r="B11" s="1" t="str">
        <f ca="1">IFERROR(__xludf.DUMMYFUNCTION("""COMPUTED_VALUE"""),"King George`s Medical University
More DetailsClose | 
[TABLE]")</f>
        <v>King George`s Medical University
More DetailsClose | 
[TABLE]</v>
      </c>
      <c r="C11" s="1" t="str">
        <f ca="1">IFERROR(__xludf.DUMMYFUNCTION("""COMPUTED_VALUE"""),"Lucknow")</f>
        <v>Lucknow</v>
      </c>
      <c r="D11" s="1" t="str">
        <f ca="1">IFERROR(__xludf.DUMMYFUNCTION("""COMPUTED_VALUE"""),"Uttar Pradesh")</f>
        <v>Uttar Pradesh</v>
      </c>
      <c r="E11" s="1">
        <f ca="1">IFERROR(__xludf.DUMMYFUNCTION("""COMPUTED_VALUE"""),62.2)</f>
        <v>62.2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IFERROR(__xludf.DUMMYFUNCTION("""COMPUTED_VALUE"""),"IR-D-U-0106")</f>
        <v>IR-D-U-0106</v>
      </c>
      <c r="B12" s="1" t="str">
        <f ca="1">IFERROR(__xludf.DUMMYFUNCTION("""COMPUTED_VALUE"""),"Institute of Liver and Biliary Sciences
More DetailsClose | 
[TABLE]")</f>
        <v>Institute of Liver and Biliary Sciences
More DetailsClose | 
[TABLE]</v>
      </c>
      <c r="C12" s="1" t="str">
        <f ca="1">IFERROR(__xludf.DUMMYFUNCTION("""COMPUTED_VALUE"""),"New Delhi")</f>
        <v>New Delhi</v>
      </c>
      <c r="D12" s="1" t="str">
        <f ca="1">IFERROR(__xludf.DUMMYFUNCTION("""COMPUTED_VALUE"""),"Delhi")</f>
        <v>Delhi</v>
      </c>
      <c r="E12" s="1">
        <f ca="1">IFERROR(__xludf.DUMMYFUNCTION("""COMPUTED_VALUE"""),61.58)</f>
        <v>61.58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IFERROR(__xludf.DUMMYFUNCTION("""COMPUTED_VALUE"""),"IR-D-C-49008")</f>
        <v>IR-D-C-49008</v>
      </c>
      <c r="B13" s="1" t="str">
        <f ca="1">IFERROR(__xludf.DUMMYFUNCTION("""COMPUTED_VALUE"""),"Madras Medical College and Government General Hospital
More DetailsClose | 
[TABLE]")</f>
        <v>Madras Medical College and Government General Hospital
More DetailsClose | 
[TABLE]</v>
      </c>
      <c r="C13" s="1" t="str">
        <f ca="1">IFERROR(__xludf.DUMMYFUNCTION("""COMPUTED_VALUE"""),"Chennai")</f>
        <v>Chennai</v>
      </c>
      <c r="D13" s="1" t="str">
        <f ca="1">IFERROR(__xludf.DUMMYFUNCTION("""COMPUTED_VALUE"""),"Tamil Nadu")</f>
        <v>Tamil Nadu</v>
      </c>
      <c r="E13" s="1">
        <f ca="1">IFERROR(__xludf.DUMMYFUNCTION("""COMPUTED_VALUE"""),58.84)</f>
        <v>58.84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IFERROR(__xludf.DUMMYFUNCTION("""COMPUTED_VALUE"""),"IR-D-I-1486")</f>
        <v>IR-D-I-1486</v>
      </c>
      <c r="B14" s="1" t="str">
        <f ca="1">IFERROR(__xludf.DUMMYFUNCTION("""COMPUTED_VALUE"""),"Sri Ramachandra Institute of Higher Education And Research
More DetailsClose | 
[TABLE]")</f>
        <v>Sri Ramachandra Institute of Higher Education And Research
More DetailsClose | 
[TABLE]</v>
      </c>
      <c r="C14" s="1" t="str">
        <f ca="1">IFERROR(__xludf.DUMMYFUNCTION("""COMPUTED_VALUE"""),"Chennai")</f>
        <v>Chennai</v>
      </c>
      <c r="D14" s="1" t="str">
        <f ca="1">IFERROR(__xludf.DUMMYFUNCTION("""COMPUTED_VALUE"""),"Tamil Nadu")</f>
        <v>Tamil Nadu</v>
      </c>
      <c r="E14" s="1">
        <f ca="1">IFERROR(__xludf.DUMMYFUNCTION("""COMPUTED_VALUE"""),57.9)</f>
        <v>57.9</v>
      </c>
      <c r="F14" s="1">
        <f ca="1">IFERROR(__xludf.DUMMYFUNCTION("""COMPUTED_VALUE"""),13)</f>
        <v>13</v>
      </c>
    </row>
    <row r="15" spans="1:6">
      <c r="A15" s="1" t="str">
        <f ca="1">IFERROR(__xludf.DUMMYFUNCTION("""COMPUTED_VALUE"""),"IR-D-C-40453")</f>
        <v>IR-D-C-40453</v>
      </c>
      <c r="B15" s="1" t="str">
        <f ca="1">IFERROR(__xludf.DUMMYFUNCTION("""COMPUTED_VALUE"""),"St. John's Medical College
More DetailsClose | 
[TABLE]")</f>
        <v>St. John's Medical College
More DetailsClose | 
[TABLE]</v>
      </c>
      <c r="C15" s="1" t="str">
        <f ca="1">IFERROR(__xludf.DUMMYFUNCTION("""COMPUTED_VALUE"""),"Bengaluru")</f>
        <v>Bengaluru</v>
      </c>
      <c r="D15" s="1" t="str">
        <f ca="1">IFERROR(__xludf.DUMMYFUNCTION("""COMPUTED_VALUE"""),"Karnataka")</f>
        <v>Karnataka</v>
      </c>
      <c r="E15" s="1">
        <f ca="1">IFERROR(__xludf.DUMMYFUNCTION("""COMPUTED_VALUE"""),57.83)</f>
        <v>57.83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IFERROR(__xludf.DUMMYFUNCTION("""COMPUTED_VALUE"""),"IR-D-U-0496")</f>
        <v>IR-D-U-0496</v>
      </c>
      <c r="B16" s="1" t="str">
        <f ca="1">IFERROR(__xludf.DUMMYFUNCTION("""COMPUTED_VALUE"""),"Aligarh Muslim University
More DetailsClose | 
[TABLE]")</f>
        <v>Aligarh Muslim University
More DetailsClose | 
[TABLE]</v>
      </c>
      <c r="C16" s="1" t="str">
        <f ca="1">IFERROR(__xludf.DUMMYFUNCTION("""COMPUTED_VALUE"""),"Aligarh")</f>
        <v>Aligarh</v>
      </c>
      <c r="D16" s="1" t="str">
        <f ca="1">IFERROR(__xludf.DUMMYFUNCTION("""COMPUTED_VALUE"""),"Uttar Pradesh")</f>
        <v>Uttar Pradesh</v>
      </c>
      <c r="E16" s="1">
        <f ca="1">IFERROR(__xludf.DUMMYFUNCTION("""COMPUTED_VALUE"""),56.22)</f>
        <v>56.22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IFERROR(__xludf.DUMMYFUNCTION("""COMPUTED_VALUE"""),"IR-D-C-32922")</f>
        <v>IR-D-C-32922</v>
      </c>
      <c r="B17" s="1" t="str">
        <f ca="1">IFERROR(__xludf.DUMMYFUNCTION("""COMPUTED_VALUE"""),"Vardhman Mahavir Medical College &amp; Safdarjung Hospital
More DetailsClose | 
[TABLE]")</f>
        <v>Vardhman Mahavir Medical College &amp; Safdarjung Hospital
More DetailsClose | 
[TABLE]</v>
      </c>
      <c r="C17" s="1" t="str">
        <f ca="1">IFERROR(__xludf.DUMMYFUNCTION("""COMPUTED_VALUE"""),"New Delhi")</f>
        <v>New Delhi</v>
      </c>
      <c r="D17" s="1" t="str">
        <f ca="1">IFERROR(__xludf.DUMMYFUNCTION("""COMPUTED_VALUE"""),"Delhi")</f>
        <v>Delhi</v>
      </c>
      <c r="E17" s="1">
        <f ca="1">IFERROR(__xludf.DUMMYFUNCTION("""COMPUTED_VALUE"""),56.12)</f>
        <v>56.12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IFERROR(__xludf.DUMMYFUNCTION("""COMPUTED_VALUE"""),"IR-D-C-6414")</f>
        <v>IR-D-C-6414</v>
      </c>
      <c r="B18" s="1" t="str">
        <f ca="1">IFERROR(__xludf.DUMMYFUNCTION("""COMPUTED_VALUE"""),"Maulana Azad Medical College
More DetailsClose | 
[TABLE]")</f>
        <v>Maulana Azad Medical College
More DetailsClose | 
[TABLE]</v>
      </c>
      <c r="C18" s="1" t="str">
        <f ca="1">IFERROR(__xludf.DUMMYFUNCTION("""COMPUTED_VALUE"""),"Delhi")</f>
        <v>Delhi</v>
      </c>
      <c r="D18" s="1" t="str">
        <f ca="1">IFERROR(__xludf.DUMMYFUNCTION("""COMPUTED_VALUE"""),"Delhi")</f>
        <v>Delhi</v>
      </c>
      <c r="E18" s="1">
        <f ca="1">IFERROR(__xludf.DUMMYFUNCTION("""COMPUTED_VALUE"""),55.31)</f>
        <v>55.31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IFERROR(__xludf.DUMMYFUNCTION("""COMPUTED_VALUE"""),"IR-D-C-29209")</f>
        <v>IR-D-C-29209</v>
      </c>
      <c r="B19" s="1" t="str">
        <f ca="1">IFERROR(__xludf.DUMMYFUNCTION("""COMPUTED_VALUE"""),"Christian Medical College
More DetailsClose | 
[TABLE]")</f>
        <v>Christian Medical College
More DetailsClose | 
[TABLE]</v>
      </c>
      <c r="C19" s="1" t="str">
        <f ca="1">IFERROR(__xludf.DUMMYFUNCTION("""COMPUTED_VALUE"""),"Ludhiana")</f>
        <v>Ludhiana</v>
      </c>
      <c r="D19" s="1" t="str">
        <f ca="1">IFERROR(__xludf.DUMMYFUNCTION("""COMPUTED_VALUE"""),"Punjab")</f>
        <v>Punjab</v>
      </c>
      <c r="E19" s="1">
        <f ca="1">IFERROR(__xludf.DUMMYFUNCTION("""COMPUTED_VALUE"""),55.01)</f>
        <v>55.01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IFERROR(__xludf.DUMMYFUNCTION("""COMPUTED_VALUE"""),"IR-D-I-1409")</f>
        <v>IR-D-I-1409</v>
      </c>
      <c r="B20" s="1" t="str">
        <f ca="1">IFERROR(__xludf.DUMMYFUNCTION("""COMPUTED_VALUE"""),"University College of Medical Sciences
More DetailsClose | 
[TABLE]")</f>
        <v>University College of Medical Sciences
More DetailsClose | 
[TABLE]</v>
      </c>
      <c r="C20" s="1" t="str">
        <f ca="1">IFERROR(__xludf.DUMMYFUNCTION("""COMPUTED_VALUE"""),"Delhi")</f>
        <v>Delhi</v>
      </c>
      <c r="D20" s="1" t="str">
        <f ca="1">IFERROR(__xludf.DUMMYFUNCTION("""COMPUTED_VALUE"""),"Delhi")</f>
        <v>Delhi</v>
      </c>
      <c r="E20" s="1">
        <f ca="1">IFERROR(__xludf.DUMMYFUNCTION("""COMPUTED_VALUE"""),55)</f>
        <v>55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IFERROR(__xludf.DUMMYFUNCTION("""COMPUTED_VALUE"""),"IR-D-C-35009")</f>
        <v>IR-D-C-35009</v>
      </c>
      <c r="B21" s="1" t="str">
        <f ca="1">IFERROR(__xludf.DUMMYFUNCTION("""COMPUTED_VALUE"""),"JSS Medical College
More DetailsClose | 
[TABLE]")</f>
        <v>JSS Medical College
More DetailsClose | 
[TABLE]</v>
      </c>
      <c r="C21" s="1" t="str">
        <f ca="1">IFERROR(__xludf.DUMMYFUNCTION("""COMPUTED_VALUE"""),"Mysore")</f>
        <v>Mysore</v>
      </c>
      <c r="D21" s="1" t="str">
        <f ca="1">IFERROR(__xludf.DUMMYFUNCTION("""COMPUTED_VALUE"""),"Karnataka")</f>
        <v>Karnataka</v>
      </c>
      <c r="E21" s="1">
        <f ca="1">IFERROR(__xludf.DUMMYFUNCTION("""COMPUTED_VALUE"""),54.32)</f>
        <v>54.32</v>
      </c>
      <c r="F21" s="1">
        <f ca="1">IFERROR(__xludf.DUMMYFUNCTION("""COMPUTED_VALUE"""),20)</f>
        <v>20</v>
      </c>
    </row>
    <row r="22" spans="1:6">
      <c r="A22" s="1" t="str">
        <f ca="1">IFERROR(__xludf.DUMMYFUNCTION("""COMPUTED_VALUE"""),"IR-D-C-7251")</f>
        <v>IR-D-C-7251</v>
      </c>
      <c r="B22" s="1" t="str">
        <f ca="1">IFERROR(__xludf.DUMMYFUNCTION("""COMPUTED_VALUE"""),"Kasturba Medical College
More DetailsClose | 
[TABLE]")</f>
        <v>Kasturba Medical College
More DetailsClose | 
[TABLE]</v>
      </c>
      <c r="C22" s="1" t="str">
        <f ca="1">IFERROR(__xludf.DUMMYFUNCTION("""COMPUTED_VALUE"""),"Mangaluru")</f>
        <v>Mangaluru</v>
      </c>
      <c r="D22" s="1" t="str">
        <f ca="1">IFERROR(__xludf.DUMMYFUNCTION("""COMPUTED_VALUE"""),"Karnataka")</f>
        <v>Karnataka</v>
      </c>
      <c r="E22" s="1">
        <f ca="1">IFERROR(__xludf.DUMMYFUNCTION("""COMPUTED_VALUE"""),53.83)</f>
        <v>53.83</v>
      </c>
      <c r="F22" s="1">
        <f ca="1">IFERROR(__xludf.DUMMYFUNCTION("""COMPUTED_VALUE"""),21)</f>
        <v>21</v>
      </c>
    </row>
    <row r="23" spans="1:6">
      <c r="A23" s="1" t="str">
        <f ca="1">IFERROR(__xludf.DUMMYFUNCTION("""COMPUTED_VALUE"""),"IR-D-U-0107")</f>
        <v>IR-D-U-0107</v>
      </c>
      <c r="B23" s="1" t="str">
        <f ca="1">IFERROR(__xludf.DUMMYFUNCTION("""COMPUTED_VALUE"""),"Jamia Hamdard
More DetailsClose | 
[TABLE]")</f>
        <v>Jamia Hamdard
More DetailsClose | 
[TABLE]</v>
      </c>
      <c r="C23" s="1" t="str">
        <f ca="1">IFERROR(__xludf.DUMMYFUNCTION("""COMPUTED_VALUE"""),"New Delhi")</f>
        <v>New Delhi</v>
      </c>
      <c r="D23" s="1" t="str">
        <f ca="1">IFERROR(__xludf.DUMMYFUNCTION("""COMPUTED_VALUE"""),"Delhi")</f>
        <v>Delhi</v>
      </c>
      <c r="E23" s="1">
        <f ca="1">IFERROR(__xludf.DUMMYFUNCTION("""COMPUTED_VALUE"""),52.87)</f>
        <v>52.87</v>
      </c>
      <c r="F23" s="1">
        <f ca="1">IFERROR(__xludf.DUMMYFUNCTION("""COMPUTED_VALUE"""),22)</f>
        <v>22</v>
      </c>
    </row>
    <row r="24" spans="1:6">
      <c r="A24" s="1" t="str">
        <f ca="1">IFERROR(__xludf.DUMMYFUNCTION("""COMPUTED_VALUE"""),"IR-D-U-0363")</f>
        <v>IR-D-U-0363</v>
      </c>
      <c r="B24" s="1" t="str">
        <f ca="1">IFERROR(__xludf.DUMMYFUNCTION("""COMPUTED_VALUE"""),"Siksha `O` Anusandhan
More DetailsClose | 
[TABLE]")</f>
        <v>Siksha `O` Anusandhan
More DetailsClose | 
[TABLE]</v>
      </c>
      <c r="C24" s="1" t="str">
        <f ca="1">IFERROR(__xludf.DUMMYFUNCTION("""COMPUTED_VALUE"""),"Bhubaneswar")</f>
        <v>Bhubaneswar</v>
      </c>
      <c r="D24" s="1" t="str">
        <f ca="1">IFERROR(__xludf.DUMMYFUNCTION("""COMPUTED_VALUE"""),"Odisha")</f>
        <v>Odisha</v>
      </c>
      <c r="E24" s="1">
        <f ca="1">IFERROR(__xludf.DUMMYFUNCTION("""COMPUTED_VALUE"""),52.72)</f>
        <v>52.72</v>
      </c>
      <c r="F24" s="1">
        <f ca="1">IFERROR(__xludf.DUMMYFUNCTION("""COMPUTED_VALUE"""),23)</f>
        <v>23</v>
      </c>
    </row>
    <row r="25" spans="1:6">
      <c r="A25" s="1" t="str">
        <f ca="1">IFERROR(__xludf.DUMMYFUNCTION("""COMPUTED_VALUE"""),"IR-D-I-1110")</f>
        <v>IR-D-I-1110</v>
      </c>
      <c r="B25" s="1" t="str">
        <f ca="1">IFERROR(__xludf.DUMMYFUNCTION("""COMPUTED_VALUE"""),"Dr. D. Y. Patil Vidyapeeth
More DetailsClose | 
[TABLE]")</f>
        <v>Dr. D. Y. Patil Vidyapeeth
More DetailsClose | 
[TABLE]</v>
      </c>
      <c r="C25" s="1" t="str">
        <f ca="1">IFERROR(__xludf.DUMMYFUNCTION("""COMPUTED_VALUE"""),"Pune")</f>
        <v>Pune</v>
      </c>
      <c r="D25" s="1" t="str">
        <f ca="1">IFERROR(__xludf.DUMMYFUNCTION("""COMPUTED_VALUE"""),"Maharashtra")</f>
        <v>Maharashtra</v>
      </c>
      <c r="E25" s="1">
        <f ca="1">IFERROR(__xludf.DUMMYFUNCTION("""COMPUTED_VALUE"""),52.05)</f>
        <v>52.05</v>
      </c>
      <c r="F25" s="1">
        <f ca="1">IFERROR(__xludf.DUMMYFUNCTION("""COMPUTED_VALUE"""),24)</f>
        <v>24</v>
      </c>
    </row>
    <row r="26" spans="1:6">
      <c r="A26" s="1" t="str">
        <f ca="1">IFERROR(__xludf.DUMMYFUNCTION("""COMPUTED_VALUE"""),"IR-D-C-29442")</f>
        <v>IR-D-C-29442</v>
      </c>
      <c r="B26" s="1" t="str">
        <f ca="1">IFERROR(__xludf.DUMMYFUNCTION("""COMPUTED_VALUE"""),"Govt. Medical College &amp; Hospital
More DetailsClose | 
[TABLE]")</f>
        <v>Govt. Medical College &amp; Hospital
More DetailsClose | 
[TABLE]</v>
      </c>
      <c r="C26" s="1" t="str">
        <f ca="1">IFERROR(__xludf.DUMMYFUNCTION("""COMPUTED_VALUE"""),"Chandigarh")</f>
        <v>Chandigarh</v>
      </c>
      <c r="D26" s="1" t="str">
        <f ca="1">IFERROR(__xludf.DUMMYFUNCTION("""COMPUTED_VALUE"""),"Chandigarh")</f>
        <v>Chandigarh</v>
      </c>
      <c r="E26" s="1">
        <f ca="1">IFERROR(__xludf.DUMMYFUNCTION("""COMPUTED_VALUE"""),52.01)</f>
        <v>52.01</v>
      </c>
      <c r="F26" s="1">
        <f ca="1">IFERROR(__xludf.DUMMYFUNCTION("""COMPUTED_VALUE"""),25)</f>
        <v>25</v>
      </c>
    </row>
    <row r="27" spans="1:6">
      <c r="A27" s="1" t="str">
        <f ca="1">IFERROR(__xludf.DUMMYFUNCTION("""COMPUTED_VALUE"""),"IR-D-C-29255")</f>
        <v>IR-D-C-29255</v>
      </c>
      <c r="B27" s="1" t="str">
        <f ca="1">IFERROR(__xludf.DUMMYFUNCTION("""COMPUTED_VALUE"""),"Dayanand Medical College
More DetailsClose | 
[TABLE]")</f>
        <v>Dayanand Medical College
More DetailsClose | 
[TABLE]</v>
      </c>
      <c r="C27" s="1" t="str">
        <f ca="1">IFERROR(__xludf.DUMMYFUNCTION("""COMPUTED_VALUE"""),"Ludhiana")</f>
        <v>Ludhiana</v>
      </c>
      <c r="D27" s="1" t="str">
        <f ca="1">IFERROR(__xludf.DUMMYFUNCTION("""COMPUTED_VALUE"""),"Punjab")</f>
        <v>Punjab</v>
      </c>
      <c r="E27" s="1">
        <f ca="1">IFERROR(__xludf.DUMMYFUNCTION("""COMPUTED_VALUE"""),51.74)</f>
        <v>51.74</v>
      </c>
      <c r="F27" s="1">
        <f ca="1">IFERROR(__xludf.DUMMYFUNCTION("""COMPUTED_VALUE"""),26)</f>
        <v>26</v>
      </c>
    </row>
    <row r="28" spans="1:6">
      <c r="A28" s="1" t="str">
        <f ca="1">IFERROR(__xludf.DUMMYFUNCTION("""COMPUTED_VALUE"""),"IR-D-N-17")</f>
        <v>IR-D-N-17</v>
      </c>
      <c r="B28" s="1" t="str">
        <f ca="1">IFERROR(__xludf.DUMMYFUNCTION("""COMPUTED_VALUE"""),"Sawai Man Singh Medical College
More DetailsClose | 
[TABLE]")</f>
        <v>Sawai Man Singh Medical College
More DetailsClose | 
[TABLE]</v>
      </c>
      <c r="C28" s="1" t="str">
        <f ca="1">IFERROR(__xludf.DUMMYFUNCTION("""COMPUTED_VALUE"""),"Jaipur")</f>
        <v>Jaipur</v>
      </c>
      <c r="D28" s="1" t="str">
        <f ca="1">IFERROR(__xludf.DUMMYFUNCTION("""COMPUTED_VALUE"""),"Rajasthan")</f>
        <v>Rajasthan</v>
      </c>
      <c r="E28" s="1">
        <f ca="1">IFERROR(__xludf.DUMMYFUNCTION("""COMPUTED_VALUE"""),50.44)</f>
        <v>50.44</v>
      </c>
      <c r="F28" s="1">
        <f ca="1">IFERROR(__xludf.DUMMYFUNCTION("""COMPUTED_VALUE"""),27)</f>
        <v>27</v>
      </c>
    </row>
    <row r="29" spans="1:6">
      <c r="A29" s="1" t="str">
        <f ca="1">IFERROR(__xludf.DUMMYFUNCTION("""COMPUTED_VALUE"""),"IR-D-C-45515")</f>
        <v>IR-D-C-45515</v>
      </c>
      <c r="B29" s="1" t="str">
        <f ca="1">IFERROR(__xludf.DUMMYFUNCTION("""COMPUTED_VALUE"""),"PSG Institute of Medical Sciences &amp; Research
More DetailsClose | 
[TABLE]")</f>
        <v>PSG Institute of Medical Sciences &amp; Research
More DetailsClose | 
[TABLE]</v>
      </c>
      <c r="C29" s="1" t="str">
        <f ca="1">IFERROR(__xludf.DUMMYFUNCTION("""COMPUTED_VALUE"""),"Coimbatore")</f>
        <v>Coimbatore</v>
      </c>
      <c r="D29" s="1" t="str">
        <f ca="1">IFERROR(__xludf.DUMMYFUNCTION("""COMPUTED_VALUE"""),"Tamil Nadu")</f>
        <v>Tamil Nadu</v>
      </c>
      <c r="E29" s="1">
        <f ca="1">IFERROR(__xludf.DUMMYFUNCTION("""COMPUTED_VALUE"""),50.44)</f>
        <v>50.44</v>
      </c>
      <c r="F29" s="1">
        <f ca="1">IFERROR(__xludf.DUMMYFUNCTION("""COMPUTED_VALUE"""),27)</f>
        <v>27</v>
      </c>
    </row>
    <row r="30" spans="1:6">
      <c r="A30" s="1" t="str">
        <f ca="1">IFERROR(__xludf.DUMMYFUNCTION("""COMPUTED_VALUE"""),"IR-D-U-0295")</f>
        <v>IR-D-U-0295</v>
      </c>
      <c r="B30" s="1" t="str">
        <f ca="1">IFERROR(__xludf.DUMMYFUNCTION("""COMPUTED_VALUE"""),"Datta Meghe Institute of Medical Sciences
More DetailsClose | 
[TABLE]")</f>
        <v>Datta Meghe Institute of Medical Sciences
More DetailsClose | 
[TABLE]</v>
      </c>
      <c r="C30" s="1" t="str">
        <f ca="1">IFERROR(__xludf.DUMMYFUNCTION("""COMPUTED_VALUE"""),"Wardha")</f>
        <v>Wardha</v>
      </c>
      <c r="D30" s="1" t="str">
        <f ca="1">IFERROR(__xludf.DUMMYFUNCTION("""COMPUTED_VALUE"""),"Maharashtra")</f>
        <v>Maharashtra</v>
      </c>
      <c r="E30" s="1">
        <f ca="1">IFERROR(__xludf.DUMMYFUNCTION("""COMPUTED_VALUE"""),50.21)</f>
        <v>50.21</v>
      </c>
      <c r="F30" s="1">
        <f ca="1">IFERROR(__xludf.DUMMYFUNCTION("""COMPUTED_VALUE"""),29)</f>
        <v>29</v>
      </c>
    </row>
    <row r="31" spans="1:6">
      <c r="A31" s="1" t="str">
        <f ca="1">IFERROR(__xludf.DUMMYFUNCTION("""COMPUTED_VALUE"""),"IR-D-C-40345")</f>
        <v>IR-D-C-40345</v>
      </c>
      <c r="B31" s="1" t="str">
        <f ca="1">IFERROR(__xludf.DUMMYFUNCTION("""COMPUTED_VALUE"""),"M. S. Ramaiah Medical College
More DetailsClose | 
[TABLE]")</f>
        <v>M. S. Ramaiah Medical College
More DetailsClose | 
[TABLE]</v>
      </c>
      <c r="C31" s="1" t="str">
        <f ca="1">IFERROR(__xludf.DUMMYFUNCTION("""COMPUTED_VALUE"""),"Bengaluru")</f>
        <v>Bengaluru</v>
      </c>
      <c r="D31" s="1" t="str">
        <f ca="1">IFERROR(__xludf.DUMMYFUNCTION("""COMPUTED_VALUE"""),"Karnataka")</f>
        <v>Karnataka</v>
      </c>
      <c r="E31" s="1">
        <f ca="1">IFERROR(__xludf.DUMMYFUNCTION("""COMPUTED_VALUE"""),50.02)</f>
        <v>50.02</v>
      </c>
      <c r="F31" s="1">
        <f ca="1">IFERROR(__xludf.DUMMYFUNCTION("""COMPUTED_VALUE"""),30)</f>
        <v>30</v>
      </c>
    </row>
    <row r="32" spans="1:6">
      <c r="A32" s="1" t="str">
        <f ca="1">IFERROR(__xludf.DUMMYFUNCTION("""COMPUTED_VALUE"""),"IR-D-U-0473")</f>
        <v>IR-D-U-0473</v>
      </c>
      <c r="B32" s="1" t="str">
        <f ca="1">IFERROR(__xludf.DUMMYFUNCTION("""COMPUTED_VALUE"""),"S. R. M. Institute of Science and Technology
More DetailsClose | 
[TABLE]")</f>
        <v>S. R. M. Institute of Science and Technology
More DetailsClose | 
[TABLE]</v>
      </c>
      <c r="C32" s="1" t="str">
        <f ca="1">IFERROR(__xludf.DUMMYFUNCTION("""COMPUTED_VALUE"""),"Chennai")</f>
        <v>Chennai</v>
      </c>
      <c r="D32" s="1" t="str">
        <f ca="1">IFERROR(__xludf.DUMMYFUNCTION("""COMPUTED_VALUE"""),"Tamil Nadu")</f>
        <v>Tamil Nadu</v>
      </c>
      <c r="E32" s="1">
        <f ca="1">IFERROR(__xludf.DUMMYFUNCTION("""COMPUTED_VALUE"""),49.06)</f>
        <v>49.06</v>
      </c>
      <c r="F32" s="1">
        <f ca="1">IFERROR(__xludf.DUMMYFUNCTION("""COMPUTED_VALUE"""),31)</f>
        <v>31</v>
      </c>
    </row>
    <row r="33" spans="1:6">
      <c r="A33" s="1" t="str">
        <f ca="1">IFERROR(__xludf.DUMMYFUNCTION("""COMPUTED_VALUE"""),"IR-D-U-0356")</f>
        <v>IR-D-U-0356</v>
      </c>
      <c r="B33" s="1" t="str">
        <f ca="1">IFERROR(__xludf.DUMMYFUNCTION("""COMPUTED_VALUE"""),"Kalinga Institute of Industrial Technology
More DetailsClose | 
[TABLE]")</f>
        <v>Kalinga Institute of Industrial Technology
More DetailsClose | 
[TABLE]</v>
      </c>
      <c r="C33" s="1" t="str">
        <f ca="1">IFERROR(__xludf.DUMMYFUNCTION("""COMPUTED_VALUE"""),"Bhubaneswar")</f>
        <v>Bhubaneswar</v>
      </c>
      <c r="D33" s="1" t="str">
        <f ca="1">IFERROR(__xludf.DUMMYFUNCTION("""COMPUTED_VALUE"""),"Odisha")</f>
        <v>Odisha</v>
      </c>
      <c r="E33" s="1">
        <f ca="1">IFERROR(__xludf.DUMMYFUNCTION("""COMPUTED_VALUE"""),48.18)</f>
        <v>48.18</v>
      </c>
      <c r="F33" s="1">
        <f ca="1">IFERROR(__xludf.DUMMYFUNCTION("""COMPUTED_VALUE"""),32)</f>
        <v>32</v>
      </c>
    </row>
    <row r="34" spans="1:6">
      <c r="A34" s="1" t="str">
        <f ca="1">IFERROR(__xludf.DUMMYFUNCTION("""COMPUTED_VALUE"""),"IR-D-U-0168")</f>
        <v>IR-D-U-0168</v>
      </c>
      <c r="B34" s="1" t="str">
        <f ca="1">IFERROR(__xludf.DUMMYFUNCTION("""COMPUTED_VALUE"""),"Maharishi Markandeshwar
More DetailsClose | 
[TABLE]")</f>
        <v>Maharishi Markandeshwar
More DetailsClose | 
[TABLE]</v>
      </c>
      <c r="C34" s="1" t="str">
        <f ca="1">IFERROR(__xludf.DUMMYFUNCTION("""COMPUTED_VALUE"""),"Ambala")</f>
        <v>Ambala</v>
      </c>
      <c r="D34" s="1" t="str">
        <f ca="1">IFERROR(__xludf.DUMMYFUNCTION("""COMPUTED_VALUE"""),"Haryana")</f>
        <v>Haryana</v>
      </c>
      <c r="E34" s="1">
        <f ca="1">IFERROR(__xludf.DUMMYFUNCTION("""COMPUTED_VALUE"""),48.13)</f>
        <v>48.13</v>
      </c>
      <c r="F34" s="1">
        <f ca="1">IFERROR(__xludf.DUMMYFUNCTION("""COMPUTED_VALUE"""),33)</f>
        <v>33</v>
      </c>
    </row>
    <row r="35" spans="1:6">
      <c r="A35" s="1" t="str">
        <f ca="1">IFERROR(__xludf.DUMMYFUNCTION("""COMPUTED_VALUE"""),"IR-D-I-1441")</f>
        <v>IR-D-I-1441</v>
      </c>
      <c r="B35" s="1" t="str">
        <f ca="1">IFERROR(__xludf.DUMMYFUNCTION("""COMPUTED_VALUE"""),"Saveetha Institute of Medical and Technical Sciences
More DetailsClose | 
[TABLE]")</f>
        <v>Saveetha Institute of Medical and Technical Sciences
More DetailsClose | 
[TABLE]</v>
      </c>
      <c r="C35" s="1" t="str">
        <f ca="1">IFERROR(__xludf.DUMMYFUNCTION("""COMPUTED_VALUE"""),"Chennai")</f>
        <v>Chennai</v>
      </c>
      <c r="D35" s="1" t="str">
        <f ca="1">IFERROR(__xludf.DUMMYFUNCTION("""COMPUTED_VALUE"""),"Tamil Nadu")</f>
        <v>Tamil Nadu</v>
      </c>
      <c r="E35" s="1">
        <f ca="1">IFERROR(__xludf.DUMMYFUNCTION("""COMPUTED_VALUE"""),46.49)</f>
        <v>46.49</v>
      </c>
      <c r="F35" s="1">
        <f ca="1">IFERROR(__xludf.DUMMYFUNCTION("""COMPUTED_VALUE"""),34)</f>
        <v>34</v>
      </c>
    </row>
    <row r="36" spans="1:6">
      <c r="A36" s="1" t="str">
        <f ca="1">IFERROR(__xludf.DUMMYFUNCTION("""COMPUTED_VALUE"""),"IR-D-U-0443")</f>
        <v>IR-D-U-0443</v>
      </c>
      <c r="B36" s="1" t="str">
        <f ca="1">IFERROR(__xludf.DUMMYFUNCTION("""COMPUTED_VALUE"""),"Annamalai University
More DetailsClose | 
[TABLE]")</f>
        <v>Annamalai University
More DetailsClose | 
[TABLE]</v>
      </c>
      <c r="C36" s="1" t="str">
        <f ca="1">IFERROR(__xludf.DUMMYFUNCTION("""COMPUTED_VALUE"""),"Annamalainagar")</f>
        <v>Annamalainagar</v>
      </c>
      <c r="D36" s="1" t="str">
        <f ca="1">IFERROR(__xludf.DUMMYFUNCTION("""COMPUTED_VALUE"""),"Tamil Nadu")</f>
        <v>Tamil Nadu</v>
      </c>
      <c r="E36" s="1">
        <f ca="1">IFERROR(__xludf.DUMMYFUNCTION("""COMPUTED_VALUE"""),46.47)</f>
        <v>46.47</v>
      </c>
      <c r="F36" s="1">
        <f ca="1">IFERROR(__xludf.DUMMYFUNCTION("""COMPUTED_VALUE"""),35)</f>
        <v>35</v>
      </c>
    </row>
    <row r="37" spans="1:6">
      <c r="A37" s="1" t="str">
        <f ca="1">IFERROR(__xludf.DUMMYFUNCTION("""COMPUTED_VALUE"""),"IR-D-C-19319")</f>
        <v>IR-D-C-19319</v>
      </c>
      <c r="B37" s="1" t="str">
        <f ca="1">IFERROR(__xludf.DUMMYFUNCTION("""COMPUTED_VALUE"""),"K. S. Hegde Medical Academy
More DetailsClose | 
[TABLE]")</f>
        <v>K. S. Hegde Medical Academy
More DetailsClose | 
[TABLE]</v>
      </c>
      <c r="C37" s="1" t="str">
        <f ca="1">IFERROR(__xludf.DUMMYFUNCTION("""COMPUTED_VALUE"""),"Mangaluru")</f>
        <v>Mangaluru</v>
      </c>
      <c r="D37" s="1" t="str">
        <f ca="1">IFERROR(__xludf.DUMMYFUNCTION("""COMPUTED_VALUE"""),"Karnataka")</f>
        <v>Karnataka</v>
      </c>
      <c r="E37" s="1">
        <f ca="1">IFERROR(__xludf.DUMMYFUNCTION("""COMPUTED_VALUE"""),46.31)</f>
        <v>46.31</v>
      </c>
      <c r="F37" s="1">
        <f ca="1">IFERROR(__xludf.DUMMYFUNCTION("""COMPUTED_VALUE"""),36)</f>
        <v>36</v>
      </c>
    </row>
    <row r="38" spans="1:6">
      <c r="A38" s="1" t="str">
        <f ca="1">IFERROR(__xludf.DUMMYFUNCTION("""COMPUTED_VALUE"""),"IR-D-C-23033")</f>
        <v>IR-D-C-23033</v>
      </c>
      <c r="B38" s="1" t="str">
        <f ca="1">IFERROR(__xludf.DUMMYFUNCTION("""COMPUTED_VALUE"""),"Krishna Institute of Medical Sciences
More DetailsClose | 
[TABLE]")</f>
        <v>Krishna Institute of Medical Sciences
More DetailsClose | 
[TABLE]</v>
      </c>
      <c r="C38" s="1" t="str">
        <f ca="1">IFERROR(__xludf.DUMMYFUNCTION("""COMPUTED_VALUE"""),"Karad")</f>
        <v>Karad</v>
      </c>
      <c r="D38" s="1" t="str">
        <f ca="1">IFERROR(__xludf.DUMMYFUNCTION("""COMPUTED_VALUE"""),"Maharashtra")</f>
        <v>Maharashtra</v>
      </c>
      <c r="E38" s="1">
        <f ca="1">IFERROR(__xludf.DUMMYFUNCTION("""COMPUTED_VALUE"""),46)</f>
        <v>46</v>
      </c>
      <c r="F38" s="1">
        <f ca="1">IFERROR(__xludf.DUMMYFUNCTION("""COMPUTED_VALUE"""),37)</f>
        <v>37</v>
      </c>
    </row>
    <row r="39" spans="1:6">
      <c r="A39" s="1" t="str">
        <f ca="1">IFERROR(__xludf.DUMMYFUNCTION("""COMPUTED_VALUE"""),"IR-D-U-0036")</f>
        <v>IR-D-U-0036</v>
      </c>
      <c r="B39" s="1" t="str">
        <f ca="1">IFERROR(__xludf.DUMMYFUNCTION("""COMPUTED_VALUE"""),"Sri Venkateswara Institute of Medical Sciences
More DetailsClose | 
[TABLE]")</f>
        <v>Sri Venkateswara Institute of Medical Sciences
More DetailsClose | 
[TABLE]</v>
      </c>
      <c r="C39" s="1" t="str">
        <f ca="1">IFERROR(__xludf.DUMMYFUNCTION("""COMPUTED_VALUE"""),"Tirupati")</f>
        <v>Tirupati</v>
      </c>
      <c r="D39" s="1" t="str">
        <f ca="1">IFERROR(__xludf.DUMMYFUNCTION("""COMPUTED_VALUE"""),"Andhra Pradesh")</f>
        <v>Andhra Pradesh</v>
      </c>
      <c r="E39" s="1">
        <f ca="1">IFERROR(__xludf.DUMMYFUNCTION("""COMPUTED_VALUE"""),45.93)</f>
        <v>45.93</v>
      </c>
      <c r="F39" s="1">
        <f ca="1">IFERROR(__xludf.DUMMYFUNCTION("""COMPUTED_VALUE"""),38)</f>
        <v>38</v>
      </c>
    </row>
    <row r="40" spans="1:6">
      <c r="A40" s="1" t="str">
        <f ca="1">IFERROR(__xludf.DUMMYFUNCTION("""COMPUTED_VALUE"""),"IR-D-C-9435")</f>
        <v>IR-D-C-9435</v>
      </c>
      <c r="B40" s="1" t="str">
        <f ca="1">IFERROR(__xludf.DUMMYFUNCTION("""COMPUTED_VALUE"""),"Regional Institute of Medical Sciences
More DetailsClose | 
[TABLE]")</f>
        <v>Regional Institute of Medical Sciences
More DetailsClose | 
[TABLE]</v>
      </c>
      <c r="C40" s="1" t="str">
        <f ca="1">IFERROR(__xludf.DUMMYFUNCTION("""COMPUTED_VALUE"""),"Imphal West")</f>
        <v>Imphal West</v>
      </c>
      <c r="D40" s="1" t="str">
        <f ca="1">IFERROR(__xludf.DUMMYFUNCTION("""COMPUTED_VALUE"""),"Manipur")</f>
        <v>Manipur</v>
      </c>
      <c r="E40" s="1">
        <f ca="1">IFERROR(__xludf.DUMMYFUNCTION("""COMPUTED_VALUE"""),45.93)</f>
        <v>45.93</v>
      </c>
      <c r="F40" s="1">
        <f ca="1">IFERROR(__xludf.DUMMYFUNCTION("""COMPUTED_VALUE"""),38)</f>
        <v>38</v>
      </c>
    </row>
    <row r="41" spans="1:6">
      <c r="A41" s="1" t="str">
        <f ca="1">IFERROR(__xludf.DUMMYFUNCTION("""COMPUTED_VALUE"""),"IR-D-C-47762")</f>
        <v>IR-D-C-47762</v>
      </c>
      <c r="B41" s="1" t="str">
        <f ca="1">IFERROR(__xludf.DUMMYFUNCTION("""COMPUTED_VALUE"""),"Mahatma Gandhi Medical College and Research Institute
More DetailsClose | 
[TABLE]")</f>
        <v>Mahatma Gandhi Medical College and Research Institute
More DetailsClose | 
[TABLE]</v>
      </c>
      <c r="C41" s="1" t="str">
        <f ca="1">IFERROR(__xludf.DUMMYFUNCTION("""COMPUTED_VALUE"""),"Puducherry")</f>
        <v>Puducherry</v>
      </c>
      <c r="D41" s="1" t="str">
        <f ca="1">IFERROR(__xludf.DUMMYFUNCTION("""COMPUTED_VALUE"""),"Pondicherry")</f>
        <v>Pondicherry</v>
      </c>
      <c r="E41" s="1">
        <f ca="1">IFERROR(__xludf.DUMMYFUNCTION("""COMPUTED_VALUE"""),45.62)</f>
        <v>45.62</v>
      </c>
      <c r="F41" s="1">
        <f ca="1">IFERROR(__xludf.DUMMYFUNCTION("""COMPUTED_VALUE"""),40)</f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1"/>
  <sheetViews>
    <sheetView workbookViewId="0"/>
  </sheetViews>
  <sheetFormatPr defaultColWidth="14.42578125" defaultRowHeight="15.75" customHeight="1"/>
  <sheetData>
    <row r="1" spans="1:6">
      <c r="A1" s="1" t="str">
        <f ca="1">IFERROR(__xludf.DUMMYFUNCTION("IMPORTHTML(""https://www.nirfindia.org/2020/LawRanking.html"",""table"",1)"),"Institute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IFERROR(__xludf.DUMMYFUNCTION("""COMPUTED_VALUE"""),"IR-L-U-0238")</f>
        <v>IR-L-U-0238</v>
      </c>
      <c r="B2" s="1" t="str">
        <f ca="1">IFERROR(__xludf.DUMMYFUNCTION("""COMPUTED_VALUE"""),"National Law School of India University
More DetailsClose | 
[TABLE]")</f>
        <v>National Law School of India University
More DetailsClose | 
[TABLE]</v>
      </c>
      <c r="C2" s="1" t="str">
        <f ca="1">IFERROR(__xludf.DUMMYFUNCTION("""COMPUTED_VALUE"""),"Bengaluru")</f>
        <v>Bengaluru</v>
      </c>
      <c r="D2" s="1" t="str">
        <f ca="1">IFERROR(__xludf.DUMMYFUNCTION("""COMPUTED_VALUE"""),"Karnataka")</f>
        <v>Karnataka</v>
      </c>
      <c r="E2" s="1">
        <f ca="1">IFERROR(__xludf.DUMMYFUNCTION("""COMPUTED_VALUE"""),78.66)</f>
        <v>78.66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IFERROR(__xludf.DUMMYFUNCTION("""COMPUTED_VALUE"""),"IR-L-U-0111")</f>
        <v>IR-L-U-0111</v>
      </c>
      <c r="B3" s="1" t="str">
        <f ca="1">IFERROR(__xludf.DUMMYFUNCTION("""COMPUTED_VALUE"""),"National Law University
More DetailsClose | 
[TABLE]")</f>
        <v>National Law University
More DetailsClose | 
[TABLE]</v>
      </c>
      <c r="C3" s="1" t="str">
        <f ca="1">IFERROR(__xludf.DUMMYFUNCTION("""COMPUTED_VALUE"""),"New Delhi")</f>
        <v>New Delhi</v>
      </c>
      <c r="D3" s="1" t="str">
        <f ca="1">IFERROR(__xludf.DUMMYFUNCTION("""COMPUTED_VALUE"""),"Delhi")</f>
        <v>Delhi</v>
      </c>
      <c r="E3" s="1">
        <f ca="1">IFERROR(__xludf.DUMMYFUNCTION("""COMPUTED_VALUE"""),74.02)</f>
        <v>74.02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IFERROR(__xludf.DUMMYFUNCTION("""COMPUTED_VALUE"""),"IR-L-N-18")</f>
        <v>IR-L-N-18</v>
      </c>
      <c r="B4" s="1" t="str">
        <f ca="1">IFERROR(__xludf.DUMMYFUNCTION("""COMPUTED_VALUE"""),"Nalsar University of Law
More DetailsClose | 
[TABLE]")</f>
        <v>Nalsar University of Law
More DetailsClose | 
[TABLE]</v>
      </c>
      <c r="C4" s="1" t="str">
        <f ca="1">IFERROR(__xludf.DUMMYFUNCTION("""COMPUTED_VALUE"""),"Hyderabad")</f>
        <v>Hyderabad</v>
      </c>
      <c r="D4" s="1" t="str">
        <f ca="1">IFERROR(__xludf.DUMMYFUNCTION("""COMPUTED_VALUE"""),"Telangana")</f>
        <v>Telangana</v>
      </c>
      <c r="E4" s="1">
        <f ca="1">IFERROR(__xludf.DUMMYFUNCTION("""COMPUTED_VALUE"""),73.12)</f>
        <v>73.12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IFERROR(__xludf.DUMMYFUNCTION("""COMPUTED_VALUE"""),"IR-L-U-0573")</f>
        <v>IR-L-U-0573</v>
      </c>
      <c r="B5" s="1" t="str">
        <f ca="1">IFERROR(__xludf.DUMMYFUNCTION("""COMPUTED_VALUE"""),"Indian Institute of Technology Kharagpur
More DetailsClose | 
[TABLE]")</f>
        <v>Indian Institute of Technology Kharagpur
More DetailsClose | 
[TABLE]</v>
      </c>
      <c r="C5" s="1" t="str">
        <f ca="1">IFERROR(__xludf.DUMMYFUNCTION("""COMPUTED_VALUE"""),"Kharagpur")</f>
        <v>Kharagpur</v>
      </c>
      <c r="D5" s="1" t="str">
        <f ca="1">IFERROR(__xludf.DUMMYFUNCTION("""COMPUTED_VALUE"""),"West Bengal")</f>
        <v>West Bengal</v>
      </c>
      <c r="E5" s="1">
        <f ca="1">IFERROR(__xludf.DUMMYFUNCTION("""COMPUTED_VALUE"""),71.44)</f>
        <v>71.44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IFERROR(__xludf.DUMMYFUNCTION("""COMPUTED_VALUE"""),"IR-L-U-0414")</f>
        <v>IR-L-U-0414</v>
      </c>
      <c r="B6" s="1" t="str">
        <f ca="1">IFERROR(__xludf.DUMMYFUNCTION("""COMPUTED_VALUE"""),"National Law University
More DetailsClose | 
[TABLE]")</f>
        <v>National Law University
More DetailsClose | 
[TABLE]</v>
      </c>
      <c r="C6" s="1" t="str">
        <f ca="1">IFERROR(__xludf.DUMMYFUNCTION("""COMPUTED_VALUE"""),"Jodhpur")</f>
        <v>Jodhpur</v>
      </c>
      <c r="D6" s="1" t="str">
        <f ca="1">IFERROR(__xludf.DUMMYFUNCTION("""COMPUTED_VALUE"""),"Rajasthan")</f>
        <v>Rajasthan</v>
      </c>
      <c r="E6" s="1">
        <f ca="1">IFERROR(__xludf.DUMMYFUNCTION("""COMPUTED_VALUE"""),64.29)</f>
        <v>64.290000000000006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IFERROR(__xludf.DUMMYFUNCTION("""COMPUTED_VALUE"""),"IR-L-U-0585")</f>
        <v>IR-L-U-0585</v>
      </c>
      <c r="B7" s="1" t="str">
        <f ca="1">IFERROR(__xludf.DUMMYFUNCTION("""COMPUTED_VALUE"""),"The West Bengal National University of Juridicial Sciences
More DetailsClose | 
[TABLE]")</f>
        <v>The West Bengal National University of Juridicial Sciences
More DetailsClose | 
[TABLE]</v>
      </c>
      <c r="C7" s="1" t="str">
        <f ca="1">IFERROR(__xludf.DUMMYFUNCTION("""COMPUTED_VALUE"""),"Kolkata")</f>
        <v>Kolkata</v>
      </c>
      <c r="D7" s="1" t="str">
        <f ca="1">IFERROR(__xludf.DUMMYFUNCTION("""COMPUTED_VALUE"""),"West Bengal")</f>
        <v>West Bengal</v>
      </c>
      <c r="E7" s="1">
        <f ca="1">IFERROR(__xludf.DUMMYFUNCTION("""COMPUTED_VALUE"""),63.32)</f>
        <v>63.32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IFERROR(__xludf.DUMMYFUNCTION("""COMPUTED_VALUE"""),"IR-L-U-0134")</f>
        <v>IR-L-U-0134</v>
      </c>
      <c r="B8" s="1" t="str">
        <f ca="1">IFERROR(__xludf.DUMMYFUNCTION("""COMPUTED_VALUE"""),"Gujarat National Law University
More DetailsClose | 
[TABLE]")</f>
        <v>Gujarat National Law University
More DetailsClose | 
[TABLE]</v>
      </c>
      <c r="C8" s="1" t="str">
        <f ca="1">IFERROR(__xludf.DUMMYFUNCTION("""COMPUTED_VALUE"""),"Gandhinagar")</f>
        <v>Gandhinagar</v>
      </c>
      <c r="D8" s="1" t="str">
        <f ca="1">IFERROR(__xludf.DUMMYFUNCTION("""COMPUTED_VALUE"""),"Gujarat")</f>
        <v>Gujarat</v>
      </c>
      <c r="E8" s="1">
        <f ca="1">IFERROR(__xludf.DUMMYFUNCTION("""COMPUTED_VALUE"""),60.78)</f>
        <v>60.78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IFERROR(__xludf.DUMMYFUNCTION("""COMPUTED_VALUE"""),"IR-L-C-19328")</f>
        <v>IR-L-C-19328</v>
      </c>
      <c r="B9" s="1" t="str">
        <f ca="1">IFERROR(__xludf.DUMMYFUNCTION("""COMPUTED_VALUE"""),"Symbiosis Law School
More DetailsClose | 
[TABLE]")</f>
        <v>Symbiosis Law School
More DetailsClose | 
[TABLE]</v>
      </c>
      <c r="C9" s="1" t="str">
        <f ca="1">IFERROR(__xludf.DUMMYFUNCTION("""COMPUTED_VALUE"""),"Pune")</f>
        <v>Pune</v>
      </c>
      <c r="D9" s="1" t="str">
        <f ca="1">IFERROR(__xludf.DUMMYFUNCTION("""COMPUTED_VALUE"""),"Maharashtra")</f>
        <v>Maharashtra</v>
      </c>
      <c r="E9" s="1">
        <f ca="1">IFERROR(__xludf.DUMMYFUNCTION("""COMPUTED_VALUE"""),59.54)</f>
        <v>59.54</v>
      </c>
      <c r="F9" s="1">
        <f ca="1">IFERROR(__xludf.DUMMYFUNCTION("""COMPUTED_VALUE"""),8)</f>
        <v>8</v>
      </c>
    </row>
    <row r="10" spans="1:6">
      <c r="A10" s="1" t="str">
        <f ca="1">IFERROR(__xludf.DUMMYFUNCTION("""COMPUTED_VALUE"""),"IR-L-U-0108")</f>
        <v>IR-L-U-0108</v>
      </c>
      <c r="B10" s="1" t="str">
        <f ca="1">IFERROR(__xludf.DUMMYFUNCTION("""COMPUTED_VALUE"""),"Jamia Millia Islamia
More DetailsClose | 
[TABLE]")</f>
        <v>Jamia Millia Islamia
More DetailsClose | 
[TABLE]</v>
      </c>
      <c r="C10" s="1" t="str">
        <f ca="1">IFERROR(__xludf.DUMMYFUNCTION("""COMPUTED_VALUE"""),"New Delhi")</f>
        <v>New Delhi</v>
      </c>
      <c r="D10" s="1" t="str">
        <f ca="1">IFERROR(__xludf.DUMMYFUNCTION("""COMPUTED_VALUE"""),"Delhi")</f>
        <v>Delhi</v>
      </c>
      <c r="E10" s="1">
        <f ca="1">IFERROR(__xludf.DUMMYFUNCTION("""COMPUTED_VALUE"""),57.93)</f>
        <v>57.93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IFERROR(__xludf.DUMMYFUNCTION("""COMPUTED_VALUE"""),"IR-L-U-0386")</f>
        <v>IR-L-U-0386</v>
      </c>
      <c r="B11" s="1" t="str">
        <f ca="1">IFERROR(__xludf.DUMMYFUNCTION("""COMPUTED_VALUE"""),"The Rajiv Gandhi National University of Law
More DetailsClose | 
[TABLE]")</f>
        <v>The Rajiv Gandhi National University of Law
More DetailsClose | 
[TABLE]</v>
      </c>
      <c r="C11" s="1" t="str">
        <f ca="1">IFERROR(__xludf.DUMMYFUNCTION("""COMPUTED_VALUE"""),"Patiala")</f>
        <v>Patiala</v>
      </c>
      <c r="D11" s="1" t="str">
        <f ca="1">IFERROR(__xludf.DUMMYFUNCTION("""COMPUTED_VALUE"""),"Punjab")</f>
        <v>Punjab</v>
      </c>
      <c r="E11" s="1">
        <f ca="1">IFERROR(__xludf.DUMMYFUNCTION("""COMPUTED_VALUE"""),54.19)</f>
        <v>54.19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IFERROR(__xludf.DUMMYFUNCTION("""COMPUTED_VALUE"""),"IR-L-U-0511")</f>
        <v>IR-L-U-0511</v>
      </c>
      <c r="B12" s="1" t="str">
        <f ca="1">IFERROR(__xludf.DUMMYFUNCTION("""COMPUTED_VALUE"""),"Dr. Ram Manohar Lohiya National Law University
More DetailsClose | 
[TABLE]")</f>
        <v>Dr. Ram Manohar Lohiya National Law University
More DetailsClose | 
[TABLE]</v>
      </c>
      <c r="C12" s="1" t="str">
        <f ca="1">IFERROR(__xludf.DUMMYFUNCTION("""COMPUTED_VALUE"""),"Lucknow")</f>
        <v>Lucknow</v>
      </c>
      <c r="D12" s="1" t="str">
        <f ca="1">IFERROR(__xludf.DUMMYFUNCTION("""COMPUTED_VALUE"""),"Uttar Pradesh")</f>
        <v>Uttar Pradesh</v>
      </c>
      <c r="E12" s="1">
        <f ca="1">IFERROR(__xludf.DUMMYFUNCTION("""COMPUTED_VALUE"""),53.57)</f>
        <v>53.57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IFERROR(__xludf.DUMMYFUNCTION("""COMPUTED_VALUE"""),"IR-L-U-0356")</f>
        <v>IR-L-U-0356</v>
      </c>
      <c r="B13" s="1" t="str">
        <f ca="1">IFERROR(__xludf.DUMMYFUNCTION("""COMPUTED_VALUE"""),"Kalinga Institute of Industrial Technology
More DetailsClose | 
[TABLE]")</f>
        <v>Kalinga Institute of Industrial Technology
More DetailsClose | 
[TABLE]</v>
      </c>
      <c r="C13" s="1" t="str">
        <f ca="1">IFERROR(__xludf.DUMMYFUNCTION("""COMPUTED_VALUE"""),"Bhubaneswar")</f>
        <v>Bhubaneswar</v>
      </c>
      <c r="D13" s="1" t="str">
        <f ca="1">IFERROR(__xludf.DUMMYFUNCTION("""COMPUTED_VALUE"""),"Odisha")</f>
        <v>Odisha</v>
      </c>
      <c r="E13" s="1">
        <f ca="1">IFERROR(__xludf.DUMMYFUNCTION("""COMPUTED_VALUE"""),52.83)</f>
        <v>52.83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IFERROR(__xludf.DUMMYFUNCTION("""COMPUTED_VALUE"""),"IR-L-U-0496")</f>
        <v>IR-L-U-0496</v>
      </c>
      <c r="B14" s="1" t="str">
        <f ca="1">IFERROR(__xludf.DUMMYFUNCTION("""COMPUTED_VALUE"""),"Aligarh Muslim University
More DetailsClose | 
[TABLE]")</f>
        <v>Aligarh Muslim University
More DetailsClose | 
[TABLE]</v>
      </c>
      <c r="C14" s="1" t="str">
        <f ca="1">IFERROR(__xludf.DUMMYFUNCTION("""COMPUTED_VALUE"""),"Aligarh")</f>
        <v>Aligarh</v>
      </c>
      <c r="D14" s="1" t="str">
        <f ca="1">IFERROR(__xludf.DUMMYFUNCTION("""COMPUTED_VALUE"""),"Uttar Pradesh")</f>
        <v>Uttar Pradesh</v>
      </c>
      <c r="E14" s="1">
        <f ca="1">IFERROR(__xludf.DUMMYFUNCTION("""COMPUTED_VALUE"""),52.28)</f>
        <v>52.28</v>
      </c>
      <c r="F14" s="1">
        <f ca="1">IFERROR(__xludf.DUMMYFUNCTION("""COMPUTED_VALUE"""),13)</f>
        <v>13</v>
      </c>
    </row>
    <row r="15" spans="1:6">
      <c r="A15" s="1" t="str">
        <f ca="1">IFERROR(__xludf.DUMMYFUNCTION("""COMPUTED_VALUE"""),"IR-L-U-0358")</f>
        <v>IR-L-U-0358</v>
      </c>
      <c r="B15" s="1" t="str">
        <f ca="1">IFERROR(__xludf.DUMMYFUNCTION("""COMPUTED_VALUE"""),"National Law University
More DetailsClose | 
[TABLE]")</f>
        <v>National Law University
More DetailsClose | 
[TABLE]</v>
      </c>
      <c r="C15" s="1" t="str">
        <f ca="1">IFERROR(__xludf.DUMMYFUNCTION("""COMPUTED_VALUE"""),"Cuttack")</f>
        <v>Cuttack</v>
      </c>
      <c r="D15" s="1" t="str">
        <f ca="1">IFERROR(__xludf.DUMMYFUNCTION("""COMPUTED_VALUE"""),"Odisha")</f>
        <v>Odisha</v>
      </c>
      <c r="E15" s="1">
        <f ca="1">IFERROR(__xludf.DUMMYFUNCTION("""COMPUTED_VALUE"""),51.94)</f>
        <v>51.94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IFERROR(__xludf.DUMMYFUNCTION("""COMPUTED_VALUE"""),"IR-L-U-0078")</f>
        <v>IR-L-U-0078</v>
      </c>
      <c r="B16" s="1" t="str">
        <f ca="1">IFERROR(__xludf.DUMMYFUNCTION("""COMPUTED_VALUE"""),"Panjab University
More DetailsClose | 
[TABLE]")</f>
        <v>Panjab University
More DetailsClose | 
[TABLE]</v>
      </c>
      <c r="C16" s="1" t="str">
        <f ca="1">IFERROR(__xludf.DUMMYFUNCTION("""COMPUTED_VALUE"""),"Chandigarh")</f>
        <v>Chandigarh</v>
      </c>
      <c r="D16" s="1" t="str">
        <f ca="1">IFERROR(__xludf.DUMMYFUNCTION("""COMPUTED_VALUE"""),"Chandigarh")</f>
        <v>Chandigarh</v>
      </c>
      <c r="E16" s="1">
        <f ca="1">IFERROR(__xludf.DUMMYFUNCTION("""COMPUTED_VALUE"""),51.11)</f>
        <v>51.11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IFERROR(__xludf.DUMMYFUNCTION("""COMPUTED_VALUE"""),"IR-L-U-0677")</f>
        <v>IR-L-U-0677</v>
      </c>
      <c r="B17" s="1" t="str">
        <f ca="1">IFERROR(__xludf.DUMMYFUNCTION("""COMPUTED_VALUE"""),"National Law University and Judicial Academy
More DetailsClose | 
[TABLE]")</f>
        <v>National Law University and Judicial Academy
More DetailsClose | 
[TABLE]</v>
      </c>
      <c r="C17" s="1" t="str">
        <f ca="1">IFERROR(__xludf.DUMMYFUNCTION("""COMPUTED_VALUE"""),"Kamrup")</f>
        <v>Kamrup</v>
      </c>
      <c r="D17" s="1" t="str">
        <f ca="1">IFERROR(__xludf.DUMMYFUNCTION("""COMPUTED_VALUE"""),"Assam")</f>
        <v>Assam</v>
      </c>
      <c r="E17" s="1">
        <f ca="1">IFERROR(__xludf.DUMMYFUNCTION("""COMPUTED_VALUE"""),49.9)</f>
        <v>49.9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IFERROR(__xludf.DUMMYFUNCTION("""COMPUTED_VALUE"""),"IR-L-U-0285")</f>
        <v>IR-L-U-0285</v>
      </c>
      <c r="B18" s="1" t="str">
        <f ca="1">IFERROR(__xludf.DUMMYFUNCTION("""COMPUTED_VALUE"""),"National Law Institute University, Bhopal
More DetailsClose | 
[TABLE]")</f>
        <v>National Law Institute University, Bhopal
More DetailsClose | 
[TABLE]</v>
      </c>
      <c r="C18" s="1" t="str">
        <f ca="1">IFERROR(__xludf.DUMMYFUNCTION("""COMPUTED_VALUE"""),"Bhopal")</f>
        <v>Bhopal</v>
      </c>
      <c r="D18" s="1" t="str">
        <f ca="1">IFERROR(__xludf.DUMMYFUNCTION("""COMPUTED_VALUE"""),"Madhya Pradesh")</f>
        <v>Madhya Pradesh</v>
      </c>
      <c r="E18" s="1">
        <f ca="1">IFERROR(__xludf.DUMMYFUNCTION("""COMPUTED_VALUE"""),49.6)</f>
        <v>49.6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IFERROR(__xludf.DUMMYFUNCTION("""COMPUTED_VALUE"""),"IR-L-U-0103")</f>
        <v>IR-L-U-0103</v>
      </c>
      <c r="B19" s="1" t="str">
        <f ca="1">IFERROR(__xludf.DUMMYFUNCTION("""COMPUTED_VALUE"""),"Indian Law Institute
More DetailsClose | 
[TABLE]")</f>
        <v>Indian Law Institute
More DetailsClose | 
[TABLE]</v>
      </c>
      <c r="C19" s="1" t="str">
        <f ca="1">IFERROR(__xludf.DUMMYFUNCTION("""COMPUTED_VALUE"""),"New Delhi")</f>
        <v>New Delhi</v>
      </c>
      <c r="D19" s="1" t="str">
        <f ca="1">IFERROR(__xludf.DUMMYFUNCTION("""COMPUTED_VALUE"""),"Delhi")</f>
        <v>Delhi</v>
      </c>
      <c r="E19" s="1">
        <f ca="1">IFERROR(__xludf.DUMMYFUNCTION("""COMPUTED_VALUE"""),49.44)</f>
        <v>49.44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IFERROR(__xludf.DUMMYFUNCTION("""COMPUTED_VALUE"""),"IR-L-U-0500")</f>
        <v>IR-L-U-0500</v>
      </c>
      <c r="B20" s="1" t="str">
        <f ca="1">IFERROR(__xludf.DUMMYFUNCTION("""COMPUTED_VALUE"""),"Banaras Hindu University
More DetailsClose | 
[TABLE]")</f>
        <v>Banaras Hindu University
More DetailsClose | 
[TABLE]</v>
      </c>
      <c r="C20" s="1" t="str">
        <f ca="1">IFERROR(__xludf.DUMMYFUNCTION("""COMPUTED_VALUE"""),"Varanasi")</f>
        <v>Varanasi</v>
      </c>
      <c r="D20" s="1" t="str">
        <f ca="1">IFERROR(__xludf.DUMMYFUNCTION("""COMPUTED_VALUE"""),"Uttar Pradesh")</f>
        <v>Uttar Pradesh</v>
      </c>
      <c r="E20" s="1">
        <f ca="1">IFERROR(__xludf.DUMMYFUNCTION("""COMPUTED_VALUE"""),49.17)</f>
        <v>49.17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IFERROR(__xludf.DUMMYFUNCTION("""COMPUTED_VALUE"""),"IR-L-U-0217")</f>
        <v>IR-L-U-0217</v>
      </c>
      <c r="B21" s="1" t="str">
        <f ca="1">IFERROR(__xludf.DUMMYFUNCTION("""COMPUTED_VALUE"""),"Christ University
More DetailsClose | 
[TABLE]")</f>
        <v>Christ University
More DetailsClose | 
[TABLE]</v>
      </c>
      <c r="C21" s="1" t="str">
        <f ca="1">IFERROR(__xludf.DUMMYFUNCTION("""COMPUTED_VALUE"""),"Bengaluru")</f>
        <v>Bengaluru</v>
      </c>
      <c r="D21" s="1" t="str">
        <f ca="1">IFERROR(__xludf.DUMMYFUNCTION("""COMPUTED_VALUE"""),"Karnataka")</f>
        <v>Karnataka</v>
      </c>
      <c r="E21" s="1">
        <f ca="1">IFERROR(__xludf.DUMMYFUNCTION("""COMPUTED_VALUE"""),48.01)</f>
        <v>48.01</v>
      </c>
      <c r="F21" s="1">
        <f ca="1">IFERROR(__xludf.DUMMYFUNCTION("""COMPUTED_VALUE"""),20)</f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1"/>
  <sheetViews>
    <sheetView workbookViewId="0"/>
  </sheetViews>
  <sheetFormatPr defaultColWidth="14.42578125" defaultRowHeight="15.75" customHeight="1"/>
  <sheetData>
    <row r="1" spans="1:6">
      <c r="A1" s="1" t="str">
        <f ca="1">IFERROR(__xludf.DUMMYFUNCTION("IMPORTHTML(""https://www.nirfindia.org/2020/ArchitectureRanking.html"",""table"",1)"),"Institute ID")</f>
        <v>Institute ID</v>
      </c>
      <c r="B1" s="1" t="str">
        <f ca="1">IFERROR(__xludf.DUMMYFUNCTION("""COMPUTED_VALUE"""),"Name")</f>
        <v>Name</v>
      </c>
      <c r="C1" s="1" t="str">
        <f ca="1">IFERROR(__xludf.DUMMYFUNCTION("""COMPUTED_VALUE"""),"City")</f>
        <v>City</v>
      </c>
      <c r="D1" s="1" t="str">
        <f ca="1">IFERROR(__xludf.DUMMYFUNCTION("""COMPUTED_VALUE"""),"State")</f>
        <v>State</v>
      </c>
      <c r="E1" s="1" t="str">
        <f ca="1">IFERROR(__xludf.DUMMYFUNCTION("""COMPUTED_VALUE"""),"Score")</f>
        <v>Score</v>
      </c>
      <c r="F1" s="1" t="str">
        <f ca="1">IFERROR(__xludf.DUMMYFUNCTION("""COMPUTED_VALUE"""),"Rank")</f>
        <v>Rank</v>
      </c>
    </row>
    <row r="2" spans="1:6">
      <c r="A2" s="1" t="str">
        <f ca="1">IFERROR(__xludf.DUMMYFUNCTION("""COMPUTED_VALUE"""),"IR-A-U-0573")</f>
        <v>IR-A-U-0573</v>
      </c>
      <c r="B2" s="1" t="str">
        <f ca="1">IFERROR(__xludf.DUMMYFUNCTION("""COMPUTED_VALUE"""),"Indian Institute of Technology Kharagpur
More DetailsClose | 
[TABLE]")</f>
        <v>Indian Institute of Technology Kharagpur
More DetailsClose | 
[TABLE]</v>
      </c>
      <c r="C2" s="1" t="str">
        <f ca="1">IFERROR(__xludf.DUMMYFUNCTION("""COMPUTED_VALUE"""),"Kharagpur")</f>
        <v>Kharagpur</v>
      </c>
      <c r="D2" s="1" t="str">
        <f ca="1">IFERROR(__xludf.DUMMYFUNCTION("""COMPUTED_VALUE"""),"West Bengal")</f>
        <v>West Bengal</v>
      </c>
      <c r="E2" s="1">
        <f ca="1">IFERROR(__xludf.DUMMYFUNCTION("""COMPUTED_VALUE"""),80.46)</f>
        <v>80.459999999999994</v>
      </c>
      <c r="F2" s="1">
        <f ca="1">IFERROR(__xludf.DUMMYFUNCTION("""COMPUTED_VALUE"""),1)</f>
        <v>1</v>
      </c>
    </row>
    <row r="3" spans="1:6">
      <c r="A3" s="1" t="str">
        <f ca="1">IFERROR(__xludf.DUMMYFUNCTION("""COMPUTED_VALUE"""),"IR-A-U-0560")</f>
        <v>IR-A-U-0560</v>
      </c>
      <c r="B3" s="1" t="str">
        <f ca="1">IFERROR(__xludf.DUMMYFUNCTION("""COMPUTED_VALUE"""),"Indian Institute of Technology Roorkee
More DetailsClose | 
[TABLE]")</f>
        <v>Indian Institute of Technology Roorkee
More DetailsClose | 
[TABLE]</v>
      </c>
      <c r="C3" s="1" t="str">
        <f ca="1">IFERROR(__xludf.DUMMYFUNCTION("""COMPUTED_VALUE"""),"Roorkee")</f>
        <v>Roorkee</v>
      </c>
      <c r="D3" s="1" t="str">
        <f ca="1">IFERROR(__xludf.DUMMYFUNCTION("""COMPUTED_VALUE"""),"Uttarakhand")</f>
        <v>Uttarakhand</v>
      </c>
      <c r="E3" s="1">
        <f ca="1">IFERROR(__xludf.DUMMYFUNCTION("""COMPUTED_VALUE"""),79.75)</f>
        <v>79.75</v>
      </c>
      <c r="F3" s="1">
        <f ca="1">IFERROR(__xludf.DUMMYFUNCTION("""COMPUTED_VALUE"""),2)</f>
        <v>2</v>
      </c>
    </row>
    <row r="4" spans="1:6">
      <c r="A4" s="1" t="str">
        <f ca="1">IFERROR(__xludf.DUMMYFUNCTION("""COMPUTED_VALUE"""),"IR-A-U-0263")</f>
        <v>IR-A-U-0263</v>
      </c>
      <c r="B4" s="1" t="str">
        <f ca="1">IFERROR(__xludf.DUMMYFUNCTION("""COMPUTED_VALUE"""),"National Institute of Technology Calicut
More DetailsClose | 
[TABLE]")</f>
        <v>National Institute of Technology Calicut
More DetailsClose | 
[TABLE]</v>
      </c>
      <c r="C4" s="1" t="str">
        <f ca="1">IFERROR(__xludf.DUMMYFUNCTION("""COMPUTED_VALUE"""),"Kozhikode")</f>
        <v>Kozhikode</v>
      </c>
      <c r="D4" s="1" t="str">
        <f ca="1">IFERROR(__xludf.DUMMYFUNCTION("""COMPUTED_VALUE"""),"Kerala")</f>
        <v>Kerala</v>
      </c>
      <c r="E4" s="1">
        <f ca="1">IFERROR(__xludf.DUMMYFUNCTION("""COMPUTED_VALUE"""),69.24)</f>
        <v>69.239999999999995</v>
      </c>
      <c r="F4" s="1">
        <f ca="1">IFERROR(__xludf.DUMMYFUNCTION("""COMPUTED_VALUE"""),3)</f>
        <v>3</v>
      </c>
    </row>
    <row r="5" spans="1:6">
      <c r="A5" s="1" t="str">
        <f ca="1">IFERROR(__xludf.DUMMYFUNCTION("""COMPUTED_VALUE"""),"IR-A-U-0127")</f>
        <v>IR-A-U-0127</v>
      </c>
      <c r="B5" s="1" t="str">
        <f ca="1">IFERROR(__xludf.DUMMYFUNCTION("""COMPUTED_VALUE"""),"Centre for Environmental Planning and Technology University
More DetailsClose | 
[TABLE]")</f>
        <v>Centre for Environmental Planning and Technology University
More DetailsClose | 
[TABLE]</v>
      </c>
      <c r="C5" s="1" t="str">
        <f ca="1">IFERROR(__xludf.DUMMYFUNCTION("""COMPUTED_VALUE"""),"Ahmedabad")</f>
        <v>Ahmedabad</v>
      </c>
      <c r="D5" s="1" t="str">
        <f ca="1">IFERROR(__xludf.DUMMYFUNCTION("""COMPUTED_VALUE"""),"Gujarat")</f>
        <v>Gujarat</v>
      </c>
      <c r="E5" s="1">
        <f ca="1">IFERROR(__xludf.DUMMYFUNCTION("""COMPUTED_VALUE"""),66.68)</f>
        <v>66.680000000000007</v>
      </c>
      <c r="F5" s="1">
        <f ca="1">IFERROR(__xludf.DUMMYFUNCTION("""COMPUTED_VALUE"""),4)</f>
        <v>4</v>
      </c>
    </row>
    <row r="6" spans="1:6">
      <c r="A6" s="1" t="str">
        <f ca="1">IFERROR(__xludf.DUMMYFUNCTION("""COMPUTED_VALUE"""),"IR-A-U-0116")</f>
        <v>IR-A-U-0116</v>
      </c>
      <c r="B6" s="1" t="str">
        <f ca="1">IFERROR(__xludf.DUMMYFUNCTION("""COMPUTED_VALUE"""),"School of Planning and Architecture
More DetailsClose | 
[TABLE]")</f>
        <v>School of Planning and Architecture
More DetailsClose | 
[TABLE]</v>
      </c>
      <c r="C6" s="1" t="str">
        <f ca="1">IFERROR(__xludf.DUMMYFUNCTION("""COMPUTED_VALUE"""),"New Delhi")</f>
        <v>New Delhi</v>
      </c>
      <c r="D6" s="1" t="str">
        <f ca="1">IFERROR(__xludf.DUMMYFUNCTION("""COMPUTED_VALUE"""),"Delhi")</f>
        <v>Delhi</v>
      </c>
      <c r="E6" s="1">
        <f ca="1">IFERROR(__xludf.DUMMYFUNCTION("""COMPUTED_VALUE"""),65.63)</f>
        <v>65.63</v>
      </c>
      <c r="F6" s="1">
        <f ca="1">IFERROR(__xludf.DUMMYFUNCTION("""COMPUTED_VALUE"""),5)</f>
        <v>5</v>
      </c>
    </row>
    <row r="7" spans="1:6">
      <c r="A7" s="1" t="str">
        <f ca="1">IFERROR(__xludf.DUMMYFUNCTION("""COMPUTED_VALUE"""),"IR-A-U-0584")</f>
        <v>IR-A-U-0584</v>
      </c>
      <c r="B7" s="1" t="str">
        <f ca="1">IFERROR(__xludf.DUMMYFUNCTION("""COMPUTED_VALUE"""),"Indian Institute of Engineering Science and Technology
More DetailsClose | 
[TABLE]")</f>
        <v>Indian Institute of Engineering Science and Technology
More DetailsClose | 
[TABLE]</v>
      </c>
      <c r="C7" s="1" t="str">
        <f ca="1">IFERROR(__xludf.DUMMYFUNCTION("""COMPUTED_VALUE"""),"Shibpur")</f>
        <v>Shibpur</v>
      </c>
      <c r="D7" s="1" t="str">
        <f ca="1">IFERROR(__xludf.DUMMYFUNCTION("""COMPUTED_VALUE"""),"West Bengal")</f>
        <v>West Bengal</v>
      </c>
      <c r="E7" s="1">
        <f ca="1">IFERROR(__xludf.DUMMYFUNCTION("""COMPUTED_VALUE"""),65.05)</f>
        <v>65.05</v>
      </c>
      <c r="F7" s="1">
        <f ca="1">IFERROR(__xludf.DUMMYFUNCTION("""COMPUTED_VALUE"""),6)</f>
        <v>6</v>
      </c>
    </row>
    <row r="8" spans="1:6">
      <c r="A8" s="1" t="str">
        <f ca="1">IFERROR(__xludf.DUMMYFUNCTION("""COMPUTED_VALUE"""),"IR-A-U-0626")</f>
        <v>IR-A-U-0626</v>
      </c>
      <c r="B8" s="1" t="str">
        <f ca="1">IFERROR(__xludf.DUMMYFUNCTION("""COMPUTED_VALUE"""),"School of Planning and Architecture
More DetailsClose | 
[TABLE]")</f>
        <v>School of Planning and Architecture
More DetailsClose | 
[TABLE]</v>
      </c>
      <c r="C8" s="1" t="str">
        <f ca="1">IFERROR(__xludf.DUMMYFUNCTION("""COMPUTED_VALUE"""),"Bhopal")</f>
        <v>Bhopal</v>
      </c>
      <c r="D8" s="1" t="str">
        <f ca="1">IFERROR(__xludf.DUMMYFUNCTION("""COMPUTED_VALUE"""),"Madhya Pradesh")</f>
        <v>Madhya Pradesh</v>
      </c>
      <c r="E8" s="1">
        <f ca="1">IFERROR(__xludf.DUMMYFUNCTION("""COMPUTED_VALUE"""),63.87)</f>
        <v>63.87</v>
      </c>
      <c r="F8" s="1">
        <f ca="1">IFERROR(__xludf.DUMMYFUNCTION("""COMPUTED_VALUE"""),7)</f>
        <v>7</v>
      </c>
    </row>
    <row r="9" spans="1:6">
      <c r="A9" s="1" t="str">
        <f ca="1">IFERROR(__xludf.DUMMYFUNCTION("""COMPUTED_VALUE"""),"IR-A-U-0467")</f>
        <v>IR-A-U-0467</v>
      </c>
      <c r="B9" s="1" t="str">
        <f ca="1">IFERROR(__xludf.DUMMYFUNCTION("""COMPUTED_VALUE"""),"National Institute of Technology Tiruchirappalli
More DetailsClose | 
[TABLE]")</f>
        <v>National Institute of Technology Tiruchirappalli
More DetailsClose | 
[TABLE]</v>
      </c>
      <c r="C9" s="1" t="str">
        <f ca="1">IFERROR(__xludf.DUMMYFUNCTION("""COMPUTED_VALUE"""),"Tiruchirappalli")</f>
        <v>Tiruchirappalli</v>
      </c>
      <c r="D9" s="1" t="str">
        <f ca="1">IFERROR(__xludf.DUMMYFUNCTION("""COMPUTED_VALUE"""),"Tamil Nadu")</f>
        <v>Tamil Nadu</v>
      </c>
      <c r="E9" s="1">
        <f ca="1">IFERROR(__xludf.DUMMYFUNCTION("""COMPUTED_VALUE"""),60.29)</f>
        <v>60.29</v>
      </c>
      <c r="F9" s="1">
        <f ca="1">IFERROR(__xludf.DUMMYFUNCTION("""COMPUTED_VALUE"""),8)</f>
        <v>8</v>
      </c>
    </row>
    <row r="10" spans="1:6">
      <c r="A10" s="1" t="str">
        <f ca="1">IFERROR(__xludf.DUMMYFUNCTION("""COMPUTED_VALUE"""),"IR-A-U-0627")</f>
        <v>IR-A-U-0627</v>
      </c>
      <c r="B10" s="1" t="str">
        <f ca="1">IFERROR(__xludf.DUMMYFUNCTION("""COMPUTED_VALUE"""),"School of Planning and Architecture
More DetailsClose | 
[TABLE]")</f>
        <v>School of Planning and Architecture
More DetailsClose | 
[TABLE]</v>
      </c>
      <c r="C10" s="1" t="str">
        <f ca="1">IFERROR(__xludf.DUMMYFUNCTION("""COMPUTED_VALUE"""),"Vijayawada")</f>
        <v>Vijayawada</v>
      </c>
      <c r="D10" s="1" t="str">
        <f ca="1">IFERROR(__xludf.DUMMYFUNCTION("""COMPUTED_VALUE"""),"Andhra Pradesh")</f>
        <v>Andhra Pradesh</v>
      </c>
      <c r="E10" s="1">
        <f ca="1">IFERROR(__xludf.DUMMYFUNCTION("""COMPUTED_VALUE"""),59.63)</f>
        <v>59.63</v>
      </c>
      <c r="F10" s="1">
        <f ca="1">IFERROR(__xludf.DUMMYFUNCTION("""COMPUTED_VALUE"""),9)</f>
        <v>9</v>
      </c>
    </row>
    <row r="11" spans="1:6">
      <c r="A11" s="1" t="str">
        <f ca="1">IFERROR(__xludf.DUMMYFUNCTION("""COMPUTED_VALUE"""),"IR-A-U-0108")</f>
        <v>IR-A-U-0108</v>
      </c>
      <c r="B11" s="1" t="str">
        <f ca="1">IFERROR(__xludf.DUMMYFUNCTION("""COMPUTED_VALUE"""),"Jamia Millia Islamia
More DetailsClose | 
[TABLE]")</f>
        <v>Jamia Millia Islamia
More DetailsClose | 
[TABLE]</v>
      </c>
      <c r="C11" s="1" t="str">
        <f ca="1">IFERROR(__xludf.DUMMYFUNCTION("""COMPUTED_VALUE"""),"New Delhi")</f>
        <v>New Delhi</v>
      </c>
      <c r="D11" s="1" t="str">
        <f ca="1">IFERROR(__xludf.DUMMYFUNCTION("""COMPUTED_VALUE"""),"Delhi")</f>
        <v>Delhi</v>
      </c>
      <c r="E11" s="1">
        <f ca="1">IFERROR(__xludf.DUMMYFUNCTION("""COMPUTED_VALUE"""),56.29)</f>
        <v>56.29</v>
      </c>
      <c r="F11" s="1">
        <f ca="1">IFERROR(__xludf.DUMMYFUNCTION("""COMPUTED_VALUE"""),10)</f>
        <v>10</v>
      </c>
    </row>
    <row r="12" spans="1:6">
      <c r="A12" s="1" t="str">
        <f ca="1">IFERROR(__xludf.DUMMYFUNCTION("""COMPUTED_VALUE"""),"IR-A-C-43708")</f>
        <v>IR-A-C-43708</v>
      </c>
      <c r="B12" s="1" t="str">
        <f ca="1">IFERROR(__xludf.DUMMYFUNCTION("""COMPUTED_VALUE"""),"College of Engineering Trivandrum
More DetailsClose | 
[TABLE]")</f>
        <v>College of Engineering Trivandrum
More DetailsClose | 
[TABLE]</v>
      </c>
      <c r="C12" s="1" t="str">
        <f ca="1">IFERROR(__xludf.DUMMYFUNCTION("""COMPUTED_VALUE"""),"Thiruvananthapuram")</f>
        <v>Thiruvananthapuram</v>
      </c>
      <c r="D12" s="1" t="str">
        <f ca="1">IFERROR(__xludf.DUMMYFUNCTION("""COMPUTED_VALUE"""),"Kerala")</f>
        <v>Kerala</v>
      </c>
      <c r="E12" s="1">
        <f ca="1">IFERROR(__xludf.DUMMYFUNCTION("""COMPUTED_VALUE"""),55.75)</f>
        <v>55.75</v>
      </c>
      <c r="F12" s="1">
        <f ca="1">IFERROR(__xludf.DUMMYFUNCTION("""COMPUTED_VALUE"""),11)</f>
        <v>11</v>
      </c>
    </row>
    <row r="13" spans="1:6">
      <c r="A13" s="1" t="str">
        <f ca="1">IFERROR(__xludf.DUMMYFUNCTION("""COMPUTED_VALUE"""),"IR-A-C-46330")</f>
        <v>IR-A-C-46330</v>
      </c>
      <c r="B13" s="1" t="str">
        <f ca="1">IFERROR(__xludf.DUMMYFUNCTION("""COMPUTED_VALUE"""),"Manipal Academy of Higher Education
More DetailsClose | 
[TABLE]")</f>
        <v>Manipal Academy of Higher Education
More DetailsClose | 
[TABLE]</v>
      </c>
      <c r="C13" s="1" t="str">
        <f ca="1">IFERROR(__xludf.DUMMYFUNCTION("""COMPUTED_VALUE"""),"Udupi")</f>
        <v>Udupi</v>
      </c>
      <c r="D13" s="1" t="str">
        <f ca="1">IFERROR(__xludf.DUMMYFUNCTION("""COMPUTED_VALUE"""),"Karnataka")</f>
        <v>Karnataka</v>
      </c>
      <c r="E13" s="1">
        <f ca="1">IFERROR(__xludf.DUMMYFUNCTION("""COMPUTED_VALUE"""),53.11)</f>
        <v>53.11</v>
      </c>
      <c r="F13" s="1">
        <f ca="1">IFERROR(__xludf.DUMMYFUNCTION("""COMPUTED_VALUE"""),12)</f>
        <v>12</v>
      </c>
    </row>
    <row r="14" spans="1:6">
      <c r="A14" s="1" t="str">
        <f ca="1">IFERROR(__xludf.DUMMYFUNCTION("""COMPUTED_VALUE"""),"IR-A-U-0202")</f>
        <v>IR-A-U-0202</v>
      </c>
      <c r="B14" s="1" t="str">
        <f ca="1">IFERROR(__xludf.DUMMYFUNCTION("""COMPUTED_VALUE"""),"Birla Institute of Technology
More DetailsClose | 
[TABLE]")</f>
        <v>Birla Institute of Technology
More DetailsClose | 
[TABLE]</v>
      </c>
      <c r="C14" s="1" t="str">
        <f ca="1">IFERROR(__xludf.DUMMYFUNCTION("""COMPUTED_VALUE"""),"Ranchi")</f>
        <v>Ranchi</v>
      </c>
      <c r="D14" s="1" t="str">
        <f ca="1">IFERROR(__xludf.DUMMYFUNCTION("""COMPUTED_VALUE"""),"Jharkhand")</f>
        <v>Jharkhand</v>
      </c>
      <c r="E14" s="1">
        <f ca="1">IFERROR(__xludf.DUMMYFUNCTION("""COMPUTED_VALUE"""),52.45)</f>
        <v>52.45</v>
      </c>
      <c r="F14" s="1">
        <f ca="1">IFERROR(__xludf.DUMMYFUNCTION("""COMPUTED_VALUE"""),13)</f>
        <v>13</v>
      </c>
    </row>
    <row r="15" spans="1:6">
      <c r="A15" s="1" t="str">
        <f ca="1">IFERROR(__xludf.DUMMYFUNCTION("""COMPUTED_VALUE"""),"IR-A-C-57952")</f>
        <v>IR-A-C-57952</v>
      </c>
      <c r="B15" s="1" t="str">
        <f ca="1">IFERROR(__xludf.DUMMYFUNCTION("""COMPUTED_VALUE"""),"BMS College of Arhitecture
More DetailsClose | 
[TABLE]")</f>
        <v>BMS College of Arhitecture
More DetailsClose | 
[TABLE]</v>
      </c>
      <c r="C15" s="1" t="str">
        <f ca="1">IFERROR(__xludf.DUMMYFUNCTION("""COMPUTED_VALUE"""),"Bengaluru")</f>
        <v>Bengaluru</v>
      </c>
      <c r="D15" s="1" t="str">
        <f ca="1">IFERROR(__xludf.DUMMYFUNCTION("""COMPUTED_VALUE"""),"Karnataka")</f>
        <v>Karnataka</v>
      </c>
      <c r="E15" s="1">
        <f ca="1">IFERROR(__xludf.DUMMYFUNCTION("""COMPUTED_VALUE"""),52.18)</f>
        <v>52.18</v>
      </c>
      <c r="F15" s="1">
        <f ca="1">IFERROR(__xludf.DUMMYFUNCTION("""COMPUTED_VALUE"""),14)</f>
        <v>14</v>
      </c>
    </row>
    <row r="16" spans="1:6">
      <c r="A16" s="1" t="str">
        <f ca="1">IFERROR(__xludf.DUMMYFUNCTION("""COMPUTED_VALUE"""),"IR-A-U-0284")</f>
        <v>IR-A-U-0284</v>
      </c>
      <c r="B16" s="1" t="str">
        <f ca="1">IFERROR(__xludf.DUMMYFUNCTION("""COMPUTED_VALUE"""),"Maulana Azad National Institute of Technology
More DetailsClose | 
[TABLE]")</f>
        <v>Maulana Azad National Institute of Technology
More DetailsClose | 
[TABLE]</v>
      </c>
      <c r="C16" s="1" t="str">
        <f ca="1">IFERROR(__xludf.DUMMYFUNCTION("""COMPUTED_VALUE"""),"Bhopal")</f>
        <v>Bhopal</v>
      </c>
      <c r="D16" s="1" t="str">
        <f ca="1">IFERROR(__xludf.DUMMYFUNCTION("""COMPUTED_VALUE"""),"Madhya Pradesh")</f>
        <v>Madhya Pradesh</v>
      </c>
      <c r="E16" s="1">
        <f ca="1">IFERROR(__xludf.DUMMYFUNCTION("""COMPUTED_VALUE"""),51.7)</f>
        <v>51.7</v>
      </c>
      <c r="F16" s="1">
        <f ca="1">IFERROR(__xludf.DUMMYFUNCTION("""COMPUTED_VALUE"""),15)</f>
        <v>15</v>
      </c>
    </row>
    <row r="17" spans="1:6">
      <c r="A17" s="1" t="str">
        <f ca="1">IFERROR(__xludf.DUMMYFUNCTION("""COMPUTED_VALUE"""),"IR-A-U-0496")</f>
        <v>IR-A-U-0496</v>
      </c>
      <c r="B17" s="1" t="str">
        <f ca="1">IFERROR(__xludf.DUMMYFUNCTION("""COMPUTED_VALUE"""),"Aligarh Muslim University
More DetailsClose | 
[TABLE]")</f>
        <v>Aligarh Muslim University
More DetailsClose | 
[TABLE]</v>
      </c>
      <c r="C17" s="1" t="str">
        <f ca="1">IFERROR(__xludf.DUMMYFUNCTION("""COMPUTED_VALUE"""),"Aligarh")</f>
        <v>Aligarh</v>
      </c>
      <c r="D17" s="1" t="str">
        <f ca="1">IFERROR(__xludf.DUMMYFUNCTION("""COMPUTED_VALUE"""),"Uttar Pradesh")</f>
        <v>Uttar Pradesh</v>
      </c>
      <c r="E17" s="1">
        <f ca="1">IFERROR(__xludf.DUMMYFUNCTION("""COMPUTED_VALUE"""),51.52)</f>
        <v>51.52</v>
      </c>
      <c r="F17" s="1">
        <f ca="1">IFERROR(__xludf.DUMMYFUNCTION("""COMPUTED_VALUE"""),16)</f>
        <v>16</v>
      </c>
    </row>
    <row r="18" spans="1:6">
      <c r="A18" s="1" t="str">
        <f ca="1">IFERROR(__xludf.DUMMYFUNCTION("""COMPUTED_VALUE"""),"IR-A-C-26794")</f>
        <v>IR-A-C-26794</v>
      </c>
      <c r="B18" s="1" t="str">
        <f ca="1">IFERROR(__xludf.DUMMYFUNCTION("""COMPUTED_VALUE"""),"Thiagarajar College of Engineering
More DetailsClose | 
[TABLE]")</f>
        <v>Thiagarajar College of Engineering
More DetailsClose | 
[TABLE]</v>
      </c>
      <c r="C18" s="1" t="str">
        <f ca="1">IFERROR(__xludf.DUMMYFUNCTION("""COMPUTED_VALUE"""),"Madurai")</f>
        <v>Madurai</v>
      </c>
      <c r="D18" s="1" t="str">
        <f ca="1">IFERROR(__xludf.DUMMYFUNCTION("""COMPUTED_VALUE"""),"Tamil Nadu")</f>
        <v>Tamil Nadu</v>
      </c>
      <c r="E18" s="1">
        <f ca="1">IFERROR(__xludf.DUMMYFUNCTION("""COMPUTED_VALUE"""),50.3)</f>
        <v>50.3</v>
      </c>
      <c r="F18" s="1">
        <f ca="1">IFERROR(__xludf.DUMMYFUNCTION("""COMPUTED_VALUE"""),17)</f>
        <v>17</v>
      </c>
    </row>
    <row r="19" spans="1:6">
      <c r="A19" s="1" t="str">
        <f ca="1">IFERROR(__xludf.DUMMYFUNCTION("""COMPUTED_VALUE"""),"IR-A-U-0439")</f>
        <v>IR-A-U-0439</v>
      </c>
      <c r="B19" s="1" t="str">
        <f ca="1">IFERROR(__xludf.DUMMYFUNCTION("""COMPUTED_VALUE"""),"Anna University
More DetailsClose | 
[TABLE]")</f>
        <v>Anna University
More DetailsClose | 
[TABLE]</v>
      </c>
      <c r="C19" s="1" t="str">
        <f ca="1">IFERROR(__xludf.DUMMYFUNCTION("""COMPUTED_VALUE"""),"Chennai")</f>
        <v>Chennai</v>
      </c>
      <c r="D19" s="1" t="str">
        <f ca="1">IFERROR(__xludf.DUMMYFUNCTION("""COMPUTED_VALUE"""),"Tamil Nadu")</f>
        <v>Tamil Nadu</v>
      </c>
      <c r="E19" s="1">
        <f ca="1">IFERROR(__xludf.DUMMYFUNCTION("""COMPUTED_VALUE"""),48.73)</f>
        <v>48.73</v>
      </c>
      <c r="F19" s="1">
        <f ca="1">IFERROR(__xludf.DUMMYFUNCTION("""COMPUTED_VALUE"""),18)</f>
        <v>18</v>
      </c>
    </row>
    <row r="20" spans="1:6">
      <c r="A20" s="1" t="str">
        <f ca="1">IFERROR(__xludf.DUMMYFUNCTION("""COMPUTED_VALUE"""),"IR-A-U-0189")</f>
        <v>IR-A-U-0189</v>
      </c>
      <c r="B20" s="1" t="str">
        <f ca="1">IFERROR(__xludf.DUMMYFUNCTION("""COMPUTED_VALUE"""),"National Institute of Technology Hamirpur
More DetailsClose | 
[TABLE]")</f>
        <v>National Institute of Technology Hamirpur
More DetailsClose | 
[TABLE]</v>
      </c>
      <c r="C20" s="1" t="str">
        <f ca="1">IFERROR(__xludf.DUMMYFUNCTION("""COMPUTED_VALUE"""),"Hamirpur")</f>
        <v>Hamirpur</v>
      </c>
      <c r="D20" s="1" t="str">
        <f ca="1">IFERROR(__xludf.DUMMYFUNCTION("""COMPUTED_VALUE"""),"Himachal Pradesh")</f>
        <v>Himachal Pradesh</v>
      </c>
      <c r="E20" s="1">
        <f ca="1">IFERROR(__xludf.DUMMYFUNCTION("""COMPUTED_VALUE"""),48.59)</f>
        <v>48.59</v>
      </c>
      <c r="F20" s="1">
        <f ca="1">IFERROR(__xludf.DUMMYFUNCTION("""COMPUTED_VALUE"""),19)</f>
        <v>19</v>
      </c>
    </row>
    <row r="21" spans="1:6">
      <c r="A21" s="1" t="str">
        <f ca="1">IFERROR(__xludf.DUMMYFUNCTION("""COMPUTED_VALUE"""),"IR-A-U-0454")</f>
        <v>IR-A-U-0454</v>
      </c>
      <c r="B21" s="1" t="str">
        <f ca="1">IFERROR(__xludf.DUMMYFUNCTION("""COMPUTED_VALUE"""),"Hindustan Institute of Technology and Science (HITS)
More DetailsClose | 
[TABLE]")</f>
        <v>Hindustan Institute of Technology and Science (HITS)
More DetailsClose | 
[TABLE]</v>
      </c>
      <c r="C21" s="1" t="str">
        <f ca="1">IFERROR(__xludf.DUMMYFUNCTION("""COMPUTED_VALUE"""),"Chennai")</f>
        <v>Chennai</v>
      </c>
      <c r="D21" s="1" t="str">
        <f ca="1">IFERROR(__xludf.DUMMYFUNCTION("""COMPUTED_VALUE"""),"Tamil Nadu")</f>
        <v>Tamil Nadu</v>
      </c>
      <c r="E21" s="1">
        <f ca="1">IFERROR(__xludf.DUMMYFUNCTION("""COMPUTED_VALUE"""),48.5)</f>
        <v>48.5</v>
      </c>
      <c r="F21" s="1">
        <f ca="1">IFERROR(__xludf.DUMMYFUNCTION("""COMPUTED_VALUE"""),20)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over20</vt:lpstr>
      <vt:lpstr>univ20</vt:lpstr>
      <vt:lpstr>engg20</vt:lpstr>
      <vt:lpstr>manage20</vt:lpstr>
      <vt:lpstr>pharma20</vt:lpstr>
      <vt:lpstr>college20</vt:lpstr>
      <vt:lpstr>med20</vt:lpstr>
      <vt:lpstr>law20</vt:lpstr>
      <vt:lpstr>arch20</vt:lpstr>
      <vt:lpstr>dent20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2020-06-12T13:21:17Z</dcterms:modified>
</cp:coreProperties>
</file>