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440" yWindow="120" windowWidth="26100" windowHeight="13180" activeTab="2"/>
  </bookViews>
  <sheets>
    <sheet name="Phylogeny" sheetId="1" r:id="rId1"/>
    <sheet name="Morpho" sheetId="2" r:id="rId2"/>
    <sheet name="matrix5" sheetId="3" r:id="rId3"/>
    <sheet name="hummingbirds" sheetId="4" r:id="rId4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5" i="2" l="1"/>
  <c r="E69" i="2"/>
  <c r="F65" i="2"/>
  <c r="F69" i="2"/>
  <c r="G65" i="2"/>
  <c r="G69" i="2"/>
  <c r="H65" i="2"/>
  <c r="H69" i="2"/>
  <c r="D65" i="2"/>
  <c r="D69" i="2"/>
  <c r="E61" i="2"/>
  <c r="E64" i="2"/>
  <c r="F61" i="2"/>
  <c r="F64" i="2"/>
  <c r="G61" i="2"/>
  <c r="G64" i="2"/>
  <c r="H64" i="2"/>
  <c r="D61" i="2"/>
  <c r="D64" i="2"/>
  <c r="E58" i="2"/>
  <c r="E60" i="2"/>
  <c r="F58" i="2"/>
  <c r="F60" i="2"/>
  <c r="G58" i="2"/>
  <c r="G60" i="2"/>
  <c r="H60" i="2"/>
  <c r="D58" i="2"/>
  <c r="D60" i="2"/>
  <c r="E56" i="2"/>
  <c r="F56" i="2"/>
  <c r="G56" i="2"/>
  <c r="H56" i="2"/>
  <c r="D56" i="2"/>
  <c r="E53" i="2"/>
  <c r="F53" i="2"/>
  <c r="G53" i="2"/>
  <c r="H53" i="2"/>
  <c r="D53" i="2"/>
  <c r="I30" i="2"/>
  <c r="E5" i="2"/>
  <c r="F5" i="2"/>
  <c r="G5" i="2"/>
  <c r="H5" i="2"/>
  <c r="D5" i="2"/>
  <c r="E50" i="2"/>
  <c r="F50" i="2"/>
  <c r="G50" i="2"/>
  <c r="H50" i="2"/>
  <c r="D50" i="2"/>
  <c r="E44" i="2"/>
  <c r="F44" i="2"/>
  <c r="G44" i="2"/>
  <c r="H44" i="2"/>
  <c r="D44" i="2"/>
  <c r="E38" i="2"/>
  <c r="E39" i="2"/>
  <c r="F38" i="2"/>
  <c r="F39" i="2"/>
  <c r="G38" i="2"/>
  <c r="G39" i="2"/>
  <c r="H38" i="2"/>
  <c r="H39" i="2"/>
  <c r="D38" i="2"/>
  <c r="D39" i="2"/>
  <c r="E36" i="2"/>
  <c r="F36" i="2"/>
  <c r="G36" i="2"/>
  <c r="H36" i="2"/>
  <c r="D36" i="2"/>
  <c r="H27" i="2"/>
  <c r="E31" i="2"/>
  <c r="F31" i="2"/>
  <c r="G27" i="2"/>
  <c r="G31" i="2"/>
  <c r="H31" i="2"/>
  <c r="D27" i="2"/>
  <c r="D31" i="2"/>
  <c r="E23" i="2"/>
  <c r="E26" i="2"/>
  <c r="F23" i="2"/>
  <c r="F26" i="2"/>
  <c r="G23" i="2"/>
  <c r="G26" i="2"/>
  <c r="H23" i="2"/>
  <c r="H26" i="2"/>
  <c r="D23" i="2"/>
  <c r="D26" i="2"/>
  <c r="E18" i="2"/>
  <c r="E20" i="2"/>
  <c r="F18" i="2"/>
  <c r="F20" i="2"/>
  <c r="G18" i="2"/>
  <c r="G20" i="2"/>
  <c r="H20" i="2"/>
  <c r="D18" i="2"/>
  <c r="D20" i="2"/>
  <c r="E16" i="2"/>
  <c r="F16" i="2"/>
  <c r="G16" i="2"/>
  <c r="H16" i="2"/>
  <c r="D16" i="2"/>
  <c r="E6" i="2"/>
  <c r="E10" i="2"/>
  <c r="F6" i="2"/>
  <c r="F10" i="2"/>
  <c r="G6" i="2"/>
  <c r="G10" i="2"/>
  <c r="H6" i="2"/>
  <c r="H10" i="2"/>
  <c r="D6" i="2"/>
  <c r="D10" i="2"/>
</calcChain>
</file>

<file path=xl/sharedStrings.xml><?xml version="1.0" encoding="utf-8"?>
<sst xmlns="http://schemas.openxmlformats.org/spreadsheetml/2006/main" count="392" uniqueCount="226">
  <si>
    <t>Glossoloma</t>
  </si>
  <si>
    <t>oblongicalyx</t>
  </si>
  <si>
    <t>J.L. Clark 4489 (US) and T. Croat 94373 (MO)</t>
  </si>
  <si>
    <t>AF543215.1</t>
  </si>
  <si>
    <t>JQ953920</t>
  </si>
  <si>
    <t>JQ954163</t>
  </si>
  <si>
    <t>NA</t>
  </si>
  <si>
    <t>ID</t>
  </si>
  <si>
    <t>Genus</t>
  </si>
  <si>
    <t>species</t>
  </si>
  <si>
    <t>specimen_voucher</t>
  </si>
  <si>
    <t>ITS_genbank</t>
  </si>
  <si>
    <t>TrnL-F_genbank</t>
  </si>
  <si>
    <t>rps16 genbank</t>
  </si>
  <si>
    <t>matK genbank</t>
  </si>
  <si>
    <t>purpureum</t>
  </si>
  <si>
    <t>J.L. Clark 6100 (US)</t>
  </si>
  <si>
    <t>AF543222.1</t>
  </si>
  <si>
    <t>Kohleria</t>
  </si>
  <si>
    <t>affinis</t>
  </si>
  <si>
    <t>J.L. Clark 5790 (US)</t>
  </si>
  <si>
    <t>AY702351.1</t>
  </si>
  <si>
    <t>AY702395.1</t>
  </si>
  <si>
    <t>Columnea</t>
  </si>
  <si>
    <t>ciliata</t>
  </si>
  <si>
    <t>J.L. Clark et al. 7508 (UNA)</t>
  </si>
  <si>
    <t>KF005740</t>
  </si>
  <si>
    <t>KF005938</t>
  </si>
  <si>
    <t>medicinalis</t>
  </si>
  <si>
    <t>J.L. Clark 4482 (US); J. Smith 1972 (WIS)</t>
  </si>
  <si>
    <t>AF543235.1</t>
  </si>
  <si>
    <t>KF005972</t>
  </si>
  <si>
    <t>strigosa</t>
  </si>
  <si>
    <t>A. Chautems &amp; M. Perret 11-105 (G)</t>
  </si>
  <si>
    <t>KY858309</t>
  </si>
  <si>
    <t>KY858601</t>
  </si>
  <si>
    <t>KY858531</t>
  </si>
  <si>
    <t>KY858674</t>
  </si>
  <si>
    <t>mastersonii (cinerea?)</t>
  </si>
  <si>
    <t>?</t>
  </si>
  <si>
    <t>picta</t>
  </si>
  <si>
    <t>J.L. Clark 4513 (US); T. Croat 94956 (MO)</t>
  </si>
  <si>
    <t>AF543245.1</t>
  </si>
  <si>
    <t>KF005988</t>
  </si>
  <si>
    <t>kucyniakii</t>
  </si>
  <si>
    <t>T. Croat 94640 (MO)</t>
  </si>
  <si>
    <t>JQ953795</t>
  </si>
  <si>
    <t>JQ953913</t>
  </si>
  <si>
    <t>JQ954155</t>
  </si>
  <si>
    <t>Besleria</t>
  </si>
  <si>
    <t>solanoides</t>
  </si>
  <si>
    <t>J.L.Clark 6113</t>
  </si>
  <si>
    <t>DQ070499.1</t>
  </si>
  <si>
    <t>Gasteranthus</t>
  </si>
  <si>
    <t>lateralis</t>
  </si>
  <si>
    <t>J.L.Clark 4494 (US); J.L.Clark 7619 (US)</t>
  </si>
  <si>
    <t>DQ070520.1</t>
  </si>
  <si>
    <t>GQ166806.1</t>
  </si>
  <si>
    <t>quitensis</t>
  </si>
  <si>
    <t>Mendoza-T. et al. 525 (US)</t>
  </si>
  <si>
    <t>AY047042.1</t>
  </si>
  <si>
    <t>AY047101.1</t>
  </si>
  <si>
    <t>Drymonia</t>
  </si>
  <si>
    <t>J.L. Clark 4592 (US)</t>
  </si>
  <si>
    <t>AF543255.1</t>
  </si>
  <si>
    <t>tenuis</t>
  </si>
  <si>
    <t>J.L. Clark 4597 (US)</t>
  </si>
  <si>
    <t>AF543258.1</t>
  </si>
  <si>
    <t>teuscheri</t>
  </si>
  <si>
    <t>J.L. Clark 5911 (US)</t>
  </si>
  <si>
    <t>AF543252.1</t>
  </si>
  <si>
    <t>P556</t>
  </si>
  <si>
    <t>M.Perret 152</t>
  </si>
  <si>
    <t>To submit</t>
  </si>
  <si>
    <t>P591</t>
  </si>
  <si>
    <t>M.Perret 187</t>
  </si>
  <si>
    <t>P574</t>
  </si>
  <si>
    <t>M.Perret 170</t>
  </si>
  <si>
    <t xml:space="preserve"> lateralis</t>
  </si>
  <si>
    <t>P551</t>
  </si>
  <si>
    <t>M.Perret 147</t>
  </si>
  <si>
    <t>collegarum (=sp. Nov.4)</t>
  </si>
  <si>
    <t>Columnea ciliata</t>
  </si>
  <si>
    <t>Kohleria affinis</t>
  </si>
  <si>
    <t>Drymonia teuscheri</t>
  </si>
  <si>
    <t>Columnea strigosa</t>
  </si>
  <si>
    <t>Columnea picta</t>
  </si>
  <si>
    <t>Gasteranthus lateralis</t>
  </si>
  <si>
    <t>Drymonia tenuis</t>
  </si>
  <si>
    <t>Species</t>
  </si>
  <si>
    <t>Columnea mastersonii (cinerea?)</t>
  </si>
  <si>
    <t xml:space="preserve">Columnea medicinalis </t>
  </si>
  <si>
    <t>Glossoloma purpureum</t>
  </si>
  <si>
    <t>Glossoloma oblongicalyx</t>
  </si>
  <si>
    <t>Columnea kucyniakii</t>
  </si>
  <si>
    <t>Gasteranthus quitensis</t>
  </si>
  <si>
    <t>Drymonia collegarum</t>
  </si>
  <si>
    <t>Besleria solanoides</t>
  </si>
  <si>
    <t>Stamen length</t>
  </si>
  <si>
    <t>voucher</t>
  </si>
  <si>
    <t>J. L. Clark 7084</t>
  </si>
  <si>
    <t>J. L. Clark 7508</t>
  </si>
  <si>
    <t>J. L. Clark 7086</t>
  </si>
  <si>
    <t>J. L. Clark 8407</t>
  </si>
  <si>
    <t>scale</t>
  </si>
  <si>
    <t>yes</t>
  </si>
  <si>
    <t>J. L. Clark 3830</t>
  </si>
  <si>
    <t>J. L. Clark 3911</t>
  </si>
  <si>
    <t>J. L. Clark 6254</t>
  </si>
  <si>
    <t>J. L. Clark 7616</t>
  </si>
  <si>
    <t>J. L. Clark 2679</t>
  </si>
  <si>
    <t>no</t>
  </si>
  <si>
    <t>M. Perret 158</t>
  </si>
  <si>
    <t>M. Perret 169</t>
  </si>
  <si>
    <t>M. Perret 201</t>
  </si>
  <si>
    <t>J. L. Clark 7083</t>
  </si>
  <si>
    <t>M. Perret 147</t>
  </si>
  <si>
    <t>J. L. Clark 9837</t>
  </si>
  <si>
    <t>J. L. Clark 6232</t>
  </si>
  <si>
    <t>J. L. Clark 5896</t>
  </si>
  <si>
    <t>J. L. Clark 7414</t>
  </si>
  <si>
    <t>J. L. Clark 7655</t>
  </si>
  <si>
    <t>J. L. Clark 2449</t>
  </si>
  <si>
    <t>J. L. Clark10979</t>
  </si>
  <si>
    <t>J. L. Clark 7385</t>
  </si>
  <si>
    <t>J. L. Clark 7931</t>
  </si>
  <si>
    <t>J. L. Clark 10304</t>
  </si>
  <si>
    <t>J. L. Clark 9042</t>
  </si>
  <si>
    <t>J. L. Clark 7619</t>
  </si>
  <si>
    <t>J. L. Clark10910</t>
  </si>
  <si>
    <t>J. L. Clark7410</t>
  </si>
  <si>
    <t>J. L. Clark7654</t>
  </si>
  <si>
    <t>J. L. Clark7698</t>
  </si>
  <si>
    <t>J. L. Clark11897</t>
  </si>
  <si>
    <t>M. Perret 152</t>
  </si>
  <si>
    <t>G.E. Ferreira 342</t>
  </si>
  <si>
    <t>J. L. Clark 10975</t>
  </si>
  <si>
    <t>Corolla length, dorsal (Lc)</t>
  </si>
  <si>
    <t>Minimum length of the corolla tube, ventral (Lt)</t>
  </si>
  <si>
    <t>verticall diameter at mouth (D)</t>
  </si>
  <si>
    <t>Fig.29 Syst. Bot. Monogr. 88</t>
  </si>
  <si>
    <t>Lt</t>
  </si>
  <si>
    <t>Lc</t>
  </si>
  <si>
    <t>D</t>
  </si>
  <si>
    <t>S</t>
  </si>
  <si>
    <t>E</t>
  </si>
  <si>
    <t>Phaethornis yaruqui</t>
  </si>
  <si>
    <t>common name</t>
  </si>
  <si>
    <t>White-whiskered Hermit</t>
  </si>
  <si>
    <t>Diglossa albilatera</t>
  </si>
  <si>
    <t>White-sided Flowerpiercer</t>
  </si>
  <si>
    <t>Aglaiocercus coelestis</t>
  </si>
  <si>
    <t>Violet-tailed Sylph</t>
  </si>
  <si>
    <t>Phaethornis syrmatophorus</t>
  </si>
  <si>
    <t>Tawny-bellied Hermit</t>
  </si>
  <si>
    <t>Phaethornis striigularis</t>
  </si>
  <si>
    <t>Stripe-throated Hermit</t>
  </si>
  <si>
    <t>Adelomyia melanogenys</t>
  </si>
  <si>
    <t>Speckled Hummingbird</t>
  </si>
  <si>
    <t>Urosticte benjamini</t>
  </si>
  <si>
    <t>Purple-bibbed Whitetip</t>
  </si>
  <si>
    <t>Haplophaedia lugens</t>
  </si>
  <si>
    <t>Hoary Puffleg</t>
  </si>
  <si>
    <t>Heliangelus strophianus</t>
  </si>
  <si>
    <t>Gorgeted Sunangel</t>
  </si>
  <si>
    <t>Heliodoxa rubinoides</t>
  </si>
  <si>
    <t>Fawn-breasted Brilliant</t>
  </si>
  <si>
    <t>Thalurania colombica</t>
  </si>
  <si>
    <t>Crowned Woodnymph</t>
  </si>
  <si>
    <t>Coeligena torquata</t>
  </si>
  <si>
    <t>Collared Inca</t>
  </si>
  <si>
    <t>Coeligena wilsoni</t>
  </si>
  <si>
    <t>Brown Inca</t>
  </si>
  <si>
    <t>Ocreatus underwoodii</t>
  </si>
  <si>
    <t>Booted Racket-tail</t>
  </si>
  <si>
    <t>not in phylogeny</t>
  </si>
  <si>
    <t>comments</t>
  </si>
  <si>
    <t>20150225-SantaLucia-Bild0182-ColumneaMedicinalis-Transect5.JPG</t>
  </si>
  <si>
    <t>20150212-SantaLucia-Bild0120-KohleriaAffinis.JPG</t>
  </si>
  <si>
    <t>20150120-SantaLucia-Bild0041-GasteranthusLateralis - Transect 6.JPG</t>
  </si>
  <si>
    <t>20150119-SantaLucia-Bild0031-ColumneaKucyniakii - Transect 4.JPG</t>
  </si>
  <si>
    <t>20150119-SantaLucia-Bild0028-ColumneaCiliata - Transect 3.JPG</t>
  </si>
  <si>
    <t>stigma exertion (from the end of the tube, minus when inserted, positive when exerted)</t>
  </si>
  <si>
    <t>20150113-SantaLucia-Bild0011-DrymoniaTenuis - Transect 3.JPG</t>
  </si>
  <si>
    <t>P1110139 - Columnea ciliata - Transect 1.JPG</t>
  </si>
  <si>
    <t>P1100967 - Glossoloma oblongicalyx - transect 6.JPG</t>
  </si>
  <si>
    <t>P1100963 - Columnea picta - Transect 4.JPG</t>
  </si>
  <si>
    <t>P1100862 - Glossoloma purpureum - Upper Maqui.JPG</t>
  </si>
  <si>
    <t>P1100856 - Columnea picta - lower Maqui.JPG</t>
  </si>
  <si>
    <t>P1100849 - Columnea mastersonii - lower Maqui.JPG</t>
  </si>
  <si>
    <t>20141027-Marianitas-Bild3607-GlossolomaPurpureum.JPG</t>
  </si>
  <si>
    <t>P1050944 - Drymonia tenuis.JPG</t>
  </si>
  <si>
    <t>DSC01201 - Columnea strigosa.JPG</t>
  </si>
  <si>
    <t>Columnea kucyniakii 2.JPG</t>
  </si>
  <si>
    <t>Besleria solanoides Mean</t>
  </si>
  <si>
    <t>Columnea ciliata Mean</t>
  </si>
  <si>
    <t>Columnea kucyniakii Mean</t>
  </si>
  <si>
    <t>Columnea mastersonii (cinerea?) Mean</t>
  </si>
  <si>
    <t>Columnea medicinalis Mean</t>
  </si>
  <si>
    <t>Columnea picta Mean</t>
  </si>
  <si>
    <t>Columnea strigosa Mean</t>
  </si>
  <si>
    <t>Drymonia collegarum Mean</t>
  </si>
  <si>
    <t>Drymonia tenuis Mean</t>
  </si>
  <si>
    <t>Drymonia teuscheri Mean</t>
  </si>
  <si>
    <t>Gasteranthus lateralis Mean</t>
  </si>
  <si>
    <t>Gasteranthus quitensis Mean</t>
  </si>
  <si>
    <t>Glossoloma oblongicalyx Mean</t>
  </si>
  <si>
    <t>Glossoloma purpureum Mean</t>
  </si>
  <si>
    <t>Kohleria affinis Mean</t>
  </si>
  <si>
    <t>stamen/stigma exertion (from the end of the tube, minus when inserted, positive when exerted)</t>
  </si>
  <si>
    <t>JLC_13395_08.dng</t>
  </si>
  <si>
    <t>Bes_solanoides</t>
  </si>
  <si>
    <t>Col_ciliata</t>
  </si>
  <si>
    <t>Col_kucyniakii</t>
  </si>
  <si>
    <t>Col_mastersonii</t>
  </si>
  <si>
    <t>Col_medicinalis</t>
  </si>
  <si>
    <t>Col_picta</t>
  </si>
  <si>
    <t>Col_strigosa</t>
  </si>
  <si>
    <t>Dry_collegarum</t>
  </si>
  <si>
    <t>Dry_tenuis</t>
  </si>
  <si>
    <t>Dry_teuscheri</t>
  </si>
  <si>
    <t>Gas_lateralis</t>
  </si>
  <si>
    <t>Gas_quitensis</t>
  </si>
  <si>
    <t>Glo_oblongicalyx</t>
  </si>
  <si>
    <t>Glo_purpureum</t>
  </si>
  <si>
    <t>Koh_affinis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</si>
</sst>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Ubuntu Mono"/>
      <charset val="1"/>
    </font>
    <font>
      <b/>
      <sz val="11"/>
      <name val="Ubuntu Mono"/>
      <charset val="1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i/>
      <sz val="12"/>
      <name val="Calibri"/>
      <scheme val="minor"/>
    </font>
    <font>
      <sz val="12"/>
      <color rgb="FF00000A"/>
      <name val="Times New Roman"/>
    </font>
    <font>
      <i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Fill="1" applyAlignment="1">
      <alignment horizontal="center" wrapText="1"/>
    </xf>
    <xf numFmtId="0" fontId="7" fillId="0" borderId="0" xfId="0" applyFont="1"/>
    <xf numFmtId="0" fontId="1" fillId="0" borderId="0" xfId="0" applyFont="1" applyFill="1" applyAlignment="1">
      <alignment horizontal="center"/>
    </xf>
    <xf numFmtId="0" fontId="1" fillId="0" borderId="0" xfId="0" applyFont="1"/>
    <xf numFmtId="0" fontId="8" fillId="0" borderId="0" xfId="0" applyFont="1" applyFill="1" applyAlignment="1">
      <alignment horizontal="center" wrapText="1"/>
    </xf>
    <xf numFmtId="49" fontId="8" fillId="0" borderId="0" xfId="0" applyNumberFormat="1" applyFont="1" applyFill="1" applyAlignment="1">
      <alignment horizontal="center" wrapText="1"/>
    </xf>
    <xf numFmtId="0" fontId="8" fillId="0" borderId="0" xfId="0" applyFont="1" applyFill="1" applyBorder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left" wrapText="1"/>
    </xf>
    <xf numFmtId="0" fontId="9" fillId="0" borderId="0" xfId="0" applyFont="1"/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164" fontId="13" fillId="0" borderId="0" xfId="0" applyNumberFormat="1" applyFont="1"/>
    <xf numFmtId="164" fontId="14" fillId="0" borderId="0" xfId="0" applyNumberFormat="1" applyFont="1"/>
    <xf numFmtId="0" fontId="15" fillId="0" borderId="0" xfId="0" applyFont="1"/>
  </cellXfs>
  <cellStyles count="6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K5" sqref="K5"/>
    </sheetView>
  </sheetViews>
  <sheetFormatPr baseColWidth="10" defaultRowHeight="15" x14ac:dyDescent="0"/>
  <cols>
    <col min="1" max="1" width="10.83203125" style="5"/>
    <col min="2" max="2" width="10.83203125" style="6"/>
    <col min="3" max="3" width="17.6640625" style="6" customWidth="1"/>
    <col min="4" max="4" width="21.83203125" style="6" customWidth="1"/>
    <col min="5" max="5" width="18.5" style="6" customWidth="1"/>
    <col min="6" max="6" width="15.6640625" style="6" customWidth="1"/>
    <col min="7" max="7" width="12" style="6" customWidth="1"/>
    <col min="8" max="8" width="10.83203125" style="6"/>
  </cols>
  <sheetData>
    <row r="1" spans="1:9" s="2" customFormat="1" ht="30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8" t="s">
        <v>12</v>
      </c>
      <c r="G1" s="7" t="s">
        <v>13</v>
      </c>
      <c r="H1" s="9" t="s">
        <v>14</v>
      </c>
      <c r="I1" s="3"/>
    </row>
    <row r="2" spans="1:9" s="2" customFormat="1">
      <c r="A2" s="10">
        <v>54</v>
      </c>
      <c r="B2" s="11" t="s">
        <v>49</v>
      </c>
      <c r="C2" s="11" t="s">
        <v>50</v>
      </c>
      <c r="D2" s="10" t="s">
        <v>51</v>
      </c>
      <c r="E2" s="10" t="s">
        <v>52</v>
      </c>
      <c r="F2" s="17" t="s">
        <v>73</v>
      </c>
      <c r="G2" s="17" t="s">
        <v>73</v>
      </c>
      <c r="H2" s="17" t="s">
        <v>73</v>
      </c>
      <c r="I2" s="1"/>
    </row>
    <row r="3" spans="1:9" s="2" customFormat="1" ht="30">
      <c r="A3" s="10">
        <v>103</v>
      </c>
      <c r="B3" s="11" t="s">
        <v>23</v>
      </c>
      <c r="C3" s="11" t="s">
        <v>24</v>
      </c>
      <c r="D3" s="10" t="s">
        <v>25</v>
      </c>
      <c r="E3" s="10" t="s">
        <v>26</v>
      </c>
      <c r="F3" s="13" t="s">
        <v>6</v>
      </c>
      <c r="G3" s="10" t="s">
        <v>27</v>
      </c>
      <c r="H3" s="12" t="s">
        <v>6</v>
      </c>
      <c r="I3" s="1"/>
    </row>
    <row r="4" spans="1:9" s="2" customFormat="1">
      <c r="A4" s="10">
        <v>136</v>
      </c>
      <c r="B4" s="11" t="s">
        <v>23</v>
      </c>
      <c r="C4" s="11" t="s">
        <v>44</v>
      </c>
      <c r="D4" s="10" t="s">
        <v>45</v>
      </c>
      <c r="E4" s="10" t="s">
        <v>46</v>
      </c>
      <c r="F4" s="10" t="s">
        <v>47</v>
      </c>
      <c r="G4" s="10" t="s">
        <v>48</v>
      </c>
      <c r="H4" s="12" t="s">
        <v>6</v>
      </c>
      <c r="I4" s="1"/>
    </row>
    <row r="5" spans="1:9" s="2" customFormat="1" ht="30">
      <c r="A5" s="5"/>
      <c r="B5" s="11" t="s">
        <v>23</v>
      </c>
      <c r="C5" s="11" t="s">
        <v>38</v>
      </c>
      <c r="D5" s="13" t="s">
        <v>39</v>
      </c>
      <c r="E5" s="13" t="s">
        <v>39</v>
      </c>
      <c r="F5" s="13" t="s">
        <v>39</v>
      </c>
      <c r="G5" s="13" t="s">
        <v>39</v>
      </c>
      <c r="H5" s="12" t="s">
        <v>39</v>
      </c>
      <c r="I5" s="1"/>
    </row>
    <row r="6" spans="1:9" s="2" customFormat="1" ht="30">
      <c r="A6" s="10">
        <v>140</v>
      </c>
      <c r="B6" s="11" t="s">
        <v>23</v>
      </c>
      <c r="C6" s="11" t="s">
        <v>28</v>
      </c>
      <c r="D6" s="10" t="s">
        <v>29</v>
      </c>
      <c r="E6" s="10" t="s">
        <v>30</v>
      </c>
      <c r="F6" s="13" t="s">
        <v>6</v>
      </c>
      <c r="G6" s="10" t="s">
        <v>31</v>
      </c>
      <c r="H6" s="12" t="s">
        <v>6</v>
      </c>
      <c r="I6" s="1"/>
    </row>
    <row r="7" spans="1:9" s="2" customFormat="1">
      <c r="A7" s="14" t="s">
        <v>74</v>
      </c>
      <c r="B7" s="4" t="s">
        <v>23</v>
      </c>
      <c r="C7" s="15" t="s">
        <v>40</v>
      </c>
      <c r="D7" s="16" t="s">
        <v>75</v>
      </c>
      <c r="E7" s="17" t="s">
        <v>73</v>
      </c>
      <c r="F7" s="17" t="s">
        <v>73</v>
      </c>
      <c r="G7" s="17" t="s">
        <v>73</v>
      </c>
      <c r="H7" s="17" t="s">
        <v>73</v>
      </c>
      <c r="I7" s="1"/>
    </row>
    <row r="8" spans="1:9" s="2" customFormat="1" ht="30">
      <c r="A8" s="10">
        <v>151</v>
      </c>
      <c r="B8" s="11" t="s">
        <v>23</v>
      </c>
      <c r="C8" s="11" t="s">
        <v>40</v>
      </c>
      <c r="D8" s="10" t="s">
        <v>41</v>
      </c>
      <c r="E8" s="10" t="s">
        <v>42</v>
      </c>
      <c r="F8" s="13" t="s">
        <v>6</v>
      </c>
      <c r="G8" s="10" t="s">
        <v>43</v>
      </c>
      <c r="H8" s="12" t="s">
        <v>6</v>
      </c>
      <c r="I8" s="1"/>
    </row>
    <row r="9" spans="1:9" ht="30">
      <c r="A9" s="10">
        <v>168</v>
      </c>
      <c r="B9" s="11" t="s">
        <v>23</v>
      </c>
      <c r="C9" s="11" t="s">
        <v>32</v>
      </c>
      <c r="D9" s="10" t="s">
        <v>33</v>
      </c>
      <c r="E9" s="18" t="s">
        <v>34</v>
      </c>
      <c r="F9" s="19" t="s">
        <v>35</v>
      </c>
      <c r="G9" s="19" t="s">
        <v>36</v>
      </c>
      <c r="H9" s="19" t="s">
        <v>37</v>
      </c>
    </row>
    <row r="10" spans="1:9" ht="30">
      <c r="A10" s="10">
        <v>220</v>
      </c>
      <c r="B10" s="11" t="s">
        <v>62</v>
      </c>
      <c r="C10" s="11" t="s">
        <v>81</v>
      </c>
      <c r="D10" s="10" t="s">
        <v>63</v>
      </c>
      <c r="E10" s="10" t="s">
        <v>64</v>
      </c>
      <c r="F10" s="13" t="s">
        <v>6</v>
      </c>
      <c r="G10" s="13" t="s">
        <v>6</v>
      </c>
      <c r="H10" s="12" t="s">
        <v>6</v>
      </c>
    </row>
    <row r="11" spans="1:9" s="2" customFormat="1">
      <c r="A11" s="10">
        <v>245</v>
      </c>
      <c r="B11" s="11" t="s">
        <v>62</v>
      </c>
      <c r="C11" s="11" t="s">
        <v>65</v>
      </c>
      <c r="D11" s="10" t="s">
        <v>66</v>
      </c>
      <c r="E11" s="10" t="s">
        <v>67</v>
      </c>
      <c r="F11" s="13" t="s">
        <v>6</v>
      </c>
      <c r="G11" s="13" t="s">
        <v>6</v>
      </c>
      <c r="H11" s="12" t="s">
        <v>6</v>
      </c>
      <c r="I11" s="1"/>
    </row>
    <row r="12" spans="1:9" s="2" customFormat="1">
      <c r="A12" s="10">
        <v>246</v>
      </c>
      <c r="B12" s="11" t="s">
        <v>62</v>
      </c>
      <c r="C12" s="11" t="s">
        <v>68</v>
      </c>
      <c r="D12" s="10" t="s">
        <v>69</v>
      </c>
      <c r="E12" s="10" t="s">
        <v>70</v>
      </c>
      <c r="F12" s="13" t="s">
        <v>6</v>
      </c>
      <c r="G12" s="13" t="s">
        <v>6</v>
      </c>
      <c r="H12" s="12" t="s">
        <v>6</v>
      </c>
      <c r="I12" s="1"/>
    </row>
    <row r="13" spans="1:9" s="2" customFormat="1">
      <c r="A13" s="5" t="s">
        <v>79</v>
      </c>
      <c r="B13" s="4" t="s">
        <v>62</v>
      </c>
      <c r="C13" s="11" t="s">
        <v>68</v>
      </c>
      <c r="D13" s="6" t="s">
        <v>80</v>
      </c>
      <c r="E13" s="10" t="s">
        <v>73</v>
      </c>
      <c r="F13" s="10" t="s">
        <v>73</v>
      </c>
      <c r="G13" s="10" t="s">
        <v>73</v>
      </c>
      <c r="H13" s="10" t="s">
        <v>73</v>
      </c>
      <c r="I13" s="1"/>
    </row>
    <row r="14" spans="1:9" s="2" customFormat="1">
      <c r="A14" s="14" t="s">
        <v>76</v>
      </c>
      <c r="B14" s="4" t="s">
        <v>53</v>
      </c>
      <c r="C14" s="15" t="s">
        <v>78</v>
      </c>
      <c r="D14" s="16" t="s">
        <v>77</v>
      </c>
      <c r="E14" s="17" t="s">
        <v>73</v>
      </c>
      <c r="F14" s="17" t="s">
        <v>73</v>
      </c>
      <c r="G14" s="17" t="s">
        <v>73</v>
      </c>
      <c r="H14" s="17" t="s">
        <v>73</v>
      </c>
      <c r="I14" s="1"/>
    </row>
    <row r="15" spans="1:9" s="2" customFormat="1" ht="30">
      <c r="A15" s="10">
        <v>267</v>
      </c>
      <c r="B15" s="11" t="s">
        <v>53</v>
      </c>
      <c r="C15" s="11" t="s">
        <v>54</v>
      </c>
      <c r="D15" s="10" t="s">
        <v>55</v>
      </c>
      <c r="E15" s="10" t="s">
        <v>56</v>
      </c>
      <c r="F15" s="10" t="s">
        <v>57</v>
      </c>
      <c r="G15" s="13" t="s">
        <v>6</v>
      </c>
      <c r="H15" s="12" t="s">
        <v>6</v>
      </c>
      <c r="I15" s="1"/>
    </row>
    <row r="16" spans="1:9" s="2" customFormat="1" ht="30">
      <c r="A16" s="10">
        <v>272</v>
      </c>
      <c r="B16" s="11" t="s">
        <v>53</v>
      </c>
      <c r="C16" s="11" t="s">
        <v>58</v>
      </c>
      <c r="D16" s="10" t="s">
        <v>59</v>
      </c>
      <c r="E16" s="10" t="s">
        <v>60</v>
      </c>
      <c r="F16" s="10" t="s">
        <v>61</v>
      </c>
      <c r="G16" s="13" t="s">
        <v>6</v>
      </c>
      <c r="H16" s="12" t="s">
        <v>6</v>
      </c>
      <c r="I16" s="1"/>
    </row>
    <row r="17" spans="1:9" s="2" customFormat="1" ht="30">
      <c r="A17" s="10">
        <v>310</v>
      </c>
      <c r="B17" s="11" t="s">
        <v>0</v>
      </c>
      <c r="C17" s="11" t="s">
        <v>1</v>
      </c>
      <c r="D17" s="10" t="s">
        <v>2</v>
      </c>
      <c r="E17" s="10" t="s">
        <v>3</v>
      </c>
      <c r="F17" s="10" t="s">
        <v>4</v>
      </c>
      <c r="G17" s="10" t="s">
        <v>5</v>
      </c>
      <c r="H17" s="12" t="s">
        <v>6</v>
      </c>
      <c r="I17" s="1"/>
    </row>
    <row r="18" spans="1:9" s="2" customFormat="1">
      <c r="A18" s="10">
        <v>313</v>
      </c>
      <c r="B18" s="11" t="s">
        <v>0</v>
      </c>
      <c r="C18" s="11" t="s">
        <v>15</v>
      </c>
      <c r="D18" s="10" t="s">
        <v>16</v>
      </c>
      <c r="E18" s="10" t="s">
        <v>17</v>
      </c>
      <c r="F18" s="13" t="s">
        <v>6</v>
      </c>
      <c r="G18" s="13" t="s">
        <v>6</v>
      </c>
      <c r="H18" s="12" t="s">
        <v>6</v>
      </c>
      <c r="I18" s="1"/>
    </row>
    <row r="19" spans="1:9" s="2" customFormat="1">
      <c r="A19" s="10">
        <v>336</v>
      </c>
      <c r="B19" s="11" t="s">
        <v>18</v>
      </c>
      <c r="C19" s="11" t="s">
        <v>19</v>
      </c>
      <c r="D19" s="10" t="s">
        <v>20</v>
      </c>
      <c r="E19" s="10" t="s">
        <v>21</v>
      </c>
      <c r="F19" s="10" t="s">
        <v>22</v>
      </c>
      <c r="G19" s="13" t="s">
        <v>6</v>
      </c>
      <c r="H19" s="12" t="s">
        <v>6</v>
      </c>
      <c r="I19" s="1"/>
    </row>
    <row r="20" spans="1:9" s="2" customFormat="1">
      <c r="A20" s="14" t="s">
        <v>71</v>
      </c>
      <c r="B20" s="4" t="s">
        <v>18</v>
      </c>
      <c r="C20" s="15" t="s">
        <v>19</v>
      </c>
      <c r="D20" s="16" t="s">
        <v>72</v>
      </c>
      <c r="E20" s="17" t="s">
        <v>73</v>
      </c>
      <c r="F20" s="17" t="s">
        <v>73</v>
      </c>
      <c r="G20" s="17" t="s">
        <v>73</v>
      </c>
      <c r="H20" s="17" t="s">
        <v>73</v>
      </c>
    </row>
  </sheetData>
  <sortState ref="A2:H20">
    <sortCondition ref="B2:B20"/>
    <sortCondition ref="C2:C2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>
      <pane ySplit="1" topLeftCell="A34" activePane="bottomLeft" state="frozenSplit"/>
      <selection pane="bottomLeft" activeCell="B27" sqref="B27"/>
    </sheetView>
  </sheetViews>
  <sheetFormatPr baseColWidth="10" defaultRowHeight="14" x14ac:dyDescent="0"/>
  <cols>
    <col min="1" max="1" width="31" customWidth="1"/>
    <col min="2" max="2" width="54.1640625" customWidth="1"/>
    <col min="3" max="3" width="8.1640625" customWidth="1"/>
    <col min="4" max="4" width="17.6640625" customWidth="1"/>
    <col min="6" max="7" width="17.83203125" customWidth="1"/>
    <col min="8" max="8" width="15.33203125" customWidth="1"/>
  </cols>
  <sheetData>
    <row r="1" spans="1:10" s="20" customFormat="1" ht="150">
      <c r="A1" s="20" t="s">
        <v>89</v>
      </c>
      <c r="B1" s="20" t="s">
        <v>99</v>
      </c>
      <c r="C1" s="20" t="s">
        <v>104</v>
      </c>
      <c r="D1" s="21" t="s">
        <v>138</v>
      </c>
      <c r="E1" s="20" t="s">
        <v>137</v>
      </c>
      <c r="F1" s="21" t="s">
        <v>139</v>
      </c>
      <c r="G1" s="20" t="s">
        <v>98</v>
      </c>
      <c r="H1" s="21" t="s">
        <v>209</v>
      </c>
      <c r="I1" s="21" t="s">
        <v>182</v>
      </c>
      <c r="J1" s="21"/>
    </row>
    <row r="2" spans="1:10">
      <c r="A2" t="s">
        <v>97</v>
      </c>
      <c r="B2" t="s">
        <v>135</v>
      </c>
      <c r="C2" t="s">
        <v>111</v>
      </c>
    </row>
    <row r="3" spans="1:10">
      <c r="A3" t="s">
        <v>97</v>
      </c>
      <c r="B3" t="s">
        <v>210</v>
      </c>
      <c r="C3" t="s">
        <v>105</v>
      </c>
      <c r="D3">
        <v>10.5</v>
      </c>
      <c r="E3">
        <v>12</v>
      </c>
      <c r="F3">
        <v>3.5</v>
      </c>
      <c r="G3">
        <v>9.5</v>
      </c>
      <c r="H3">
        <v>-1</v>
      </c>
    </row>
    <row r="4" spans="1:10">
      <c r="A4" t="s">
        <v>97</v>
      </c>
      <c r="B4" t="s">
        <v>136</v>
      </c>
      <c r="C4" t="s">
        <v>111</v>
      </c>
    </row>
    <row r="5" spans="1:10" s="23" customFormat="1">
      <c r="A5" s="26" t="s">
        <v>194</v>
      </c>
      <c r="D5" s="23">
        <f>AVERAGE(D2:D4)</f>
        <v>10.5</v>
      </c>
      <c r="E5" s="23">
        <f t="shared" ref="E5:H5" si="0">AVERAGE(E2:E4)</f>
        <v>12</v>
      </c>
      <c r="F5" s="23">
        <f t="shared" si="0"/>
        <v>3.5</v>
      </c>
      <c r="G5" s="23">
        <f t="shared" si="0"/>
        <v>9.5</v>
      </c>
      <c r="H5" s="23">
        <f t="shared" si="0"/>
        <v>-1</v>
      </c>
    </row>
    <row r="6" spans="1:10">
      <c r="A6" t="s">
        <v>82</v>
      </c>
      <c r="B6" t="s">
        <v>100</v>
      </c>
      <c r="C6" t="s">
        <v>105</v>
      </c>
      <c r="D6">
        <f>153/3.2</f>
        <v>47.8125</v>
      </c>
      <c r="E6">
        <f>205/3.2</f>
        <v>64.0625</v>
      </c>
      <c r="F6">
        <f>43/3.2</f>
        <v>13.4375</v>
      </c>
      <c r="G6">
        <f>200/3.2</f>
        <v>62.5</v>
      </c>
      <c r="H6">
        <f>26/3.2</f>
        <v>8.125</v>
      </c>
    </row>
    <row r="7" spans="1:10">
      <c r="A7" t="s">
        <v>82</v>
      </c>
      <c r="B7" t="s">
        <v>101</v>
      </c>
      <c r="C7" t="s">
        <v>105</v>
      </c>
    </row>
    <row r="8" spans="1:10">
      <c r="A8" t="s">
        <v>82</v>
      </c>
      <c r="B8" t="s">
        <v>181</v>
      </c>
      <c r="C8" t="s">
        <v>105</v>
      </c>
      <c r="D8">
        <v>43</v>
      </c>
      <c r="E8">
        <v>59</v>
      </c>
      <c r="F8">
        <v>12</v>
      </c>
      <c r="G8">
        <v>60</v>
      </c>
      <c r="I8">
        <v>17</v>
      </c>
    </row>
    <row r="9" spans="1:10">
      <c r="A9" t="s">
        <v>82</v>
      </c>
      <c r="B9" t="s">
        <v>184</v>
      </c>
      <c r="C9" t="s">
        <v>105</v>
      </c>
      <c r="D9">
        <v>49</v>
      </c>
      <c r="E9">
        <v>63</v>
      </c>
      <c r="F9">
        <v>14</v>
      </c>
      <c r="G9">
        <v>58</v>
      </c>
      <c r="H9">
        <v>8</v>
      </c>
    </row>
    <row r="10" spans="1:10" s="23" customFormat="1">
      <c r="A10" s="23" t="s">
        <v>195</v>
      </c>
      <c r="D10" s="24">
        <f>AVERAGE(D6:D9)</f>
        <v>46.604166666666664</v>
      </c>
      <c r="E10" s="24">
        <f t="shared" ref="E10:H10" si="1">AVERAGE(E6:E9)</f>
        <v>62.020833333333336</v>
      </c>
      <c r="F10" s="24">
        <f t="shared" si="1"/>
        <v>13.145833333333334</v>
      </c>
      <c r="G10" s="24">
        <f t="shared" si="1"/>
        <v>60.166666666666664</v>
      </c>
      <c r="H10" s="24">
        <f t="shared" si="1"/>
        <v>8.0625</v>
      </c>
    </row>
    <row r="11" spans="1:10">
      <c r="A11" t="s">
        <v>94</v>
      </c>
      <c r="B11" t="s">
        <v>106</v>
      </c>
      <c r="C11" t="s">
        <v>111</v>
      </c>
    </row>
    <row r="12" spans="1:10">
      <c r="A12" t="s">
        <v>94</v>
      </c>
      <c r="B12" t="s">
        <v>107</v>
      </c>
      <c r="C12" t="s">
        <v>111</v>
      </c>
    </row>
    <row r="13" spans="1:10">
      <c r="A13" t="s">
        <v>94</v>
      </c>
      <c r="B13" t="s">
        <v>108</v>
      </c>
      <c r="C13" t="s">
        <v>111</v>
      </c>
    </row>
    <row r="14" spans="1:10">
      <c r="A14" t="s">
        <v>94</v>
      </c>
      <c r="B14" t="s">
        <v>180</v>
      </c>
      <c r="C14" t="s">
        <v>105</v>
      </c>
      <c r="D14">
        <v>32</v>
      </c>
      <c r="E14">
        <v>47</v>
      </c>
      <c r="F14">
        <v>7</v>
      </c>
      <c r="G14">
        <v>45</v>
      </c>
      <c r="H14">
        <v>13</v>
      </c>
    </row>
    <row r="15" spans="1:10">
      <c r="A15" t="s">
        <v>94</v>
      </c>
      <c r="B15" t="s">
        <v>193</v>
      </c>
      <c r="C15" t="s">
        <v>105</v>
      </c>
      <c r="D15">
        <v>27</v>
      </c>
      <c r="E15">
        <v>45</v>
      </c>
      <c r="F15">
        <v>8</v>
      </c>
      <c r="G15">
        <v>45</v>
      </c>
      <c r="H15">
        <v>17</v>
      </c>
    </row>
    <row r="16" spans="1:10" s="23" customFormat="1">
      <c r="A16" s="23" t="s">
        <v>196</v>
      </c>
      <c r="D16" s="24">
        <f>AVERAGE(D14:D15)</f>
        <v>29.5</v>
      </c>
      <c r="E16" s="24">
        <f>AVERAGE(E14:E15)</f>
        <v>46</v>
      </c>
      <c r="F16" s="24">
        <f>AVERAGE(F14:F15)</f>
        <v>7.5</v>
      </c>
      <c r="G16" s="24">
        <f>AVERAGE(G14:G15)</f>
        <v>45</v>
      </c>
      <c r="H16" s="24">
        <f>AVERAGE(H14:H15)</f>
        <v>15</v>
      </c>
    </row>
    <row r="17" spans="1:9">
      <c r="A17" t="s">
        <v>90</v>
      </c>
      <c r="B17" t="s">
        <v>103</v>
      </c>
      <c r="C17" t="s">
        <v>105</v>
      </c>
    </row>
    <row r="18" spans="1:9">
      <c r="A18" t="s">
        <v>90</v>
      </c>
      <c r="B18" t="s">
        <v>102</v>
      </c>
      <c r="C18" t="s">
        <v>105</v>
      </c>
      <c r="D18">
        <f>165/4</f>
        <v>41.25</v>
      </c>
      <c r="E18">
        <f>204/4</f>
        <v>51</v>
      </c>
      <c r="F18">
        <f>28/4</f>
        <v>7</v>
      </c>
      <c r="G18">
        <f>155/4</f>
        <v>38.75</v>
      </c>
      <c r="H18">
        <v>-2</v>
      </c>
    </row>
    <row r="19" spans="1:9">
      <c r="A19" t="s">
        <v>90</v>
      </c>
      <c r="B19" t="s">
        <v>189</v>
      </c>
      <c r="C19" t="s">
        <v>105</v>
      </c>
      <c r="D19">
        <v>40</v>
      </c>
      <c r="E19">
        <v>47</v>
      </c>
      <c r="F19">
        <v>8</v>
      </c>
      <c r="G19" t="s">
        <v>39</v>
      </c>
      <c r="H19" t="s">
        <v>39</v>
      </c>
    </row>
    <row r="20" spans="1:9" s="23" customFormat="1">
      <c r="A20" s="23" t="s">
        <v>197</v>
      </c>
      <c r="D20" s="24">
        <f>AVERAGE(D18:D19)</f>
        <v>40.625</v>
      </c>
      <c r="E20" s="24">
        <f t="shared" ref="E20:H20" si="2">AVERAGE(E18:E19)</f>
        <v>49</v>
      </c>
      <c r="F20" s="24">
        <f t="shared" si="2"/>
        <v>7.5</v>
      </c>
      <c r="G20" s="24">
        <f t="shared" si="2"/>
        <v>38.75</v>
      </c>
      <c r="H20" s="24">
        <f t="shared" si="2"/>
        <v>-2</v>
      </c>
    </row>
    <row r="21" spans="1:9">
      <c r="A21" t="s">
        <v>91</v>
      </c>
      <c r="B21" t="s">
        <v>109</v>
      </c>
      <c r="C21" t="s">
        <v>111</v>
      </c>
    </row>
    <row r="22" spans="1:9">
      <c r="A22" t="s">
        <v>91</v>
      </c>
      <c r="B22" t="s">
        <v>110</v>
      </c>
      <c r="C22" t="s">
        <v>111</v>
      </c>
    </row>
    <row r="23" spans="1:9">
      <c r="A23" t="s">
        <v>91</v>
      </c>
      <c r="B23" t="s">
        <v>112</v>
      </c>
      <c r="C23" t="s">
        <v>105</v>
      </c>
      <c r="D23">
        <f>118/3.15</f>
        <v>37.460317460317462</v>
      </c>
      <c r="E23">
        <f>205/3.15</f>
        <v>65.079365079365076</v>
      </c>
      <c r="F23">
        <f>53/3.15</f>
        <v>16.825396825396826</v>
      </c>
      <c r="G23">
        <f>210/3.15</f>
        <v>66.666666666666671</v>
      </c>
      <c r="H23">
        <f>90/3.15</f>
        <v>28.571428571428573</v>
      </c>
    </row>
    <row r="24" spans="1:9">
      <c r="A24" t="s">
        <v>91</v>
      </c>
      <c r="B24" t="s">
        <v>177</v>
      </c>
      <c r="C24" t="s">
        <v>105</v>
      </c>
      <c r="D24">
        <v>34</v>
      </c>
      <c r="E24">
        <v>64</v>
      </c>
      <c r="F24" t="s">
        <v>39</v>
      </c>
      <c r="G24" t="s">
        <v>39</v>
      </c>
      <c r="H24" t="s">
        <v>39</v>
      </c>
    </row>
    <row r="25" spans="1:9">
      <c r="A25" t="s">
        <v>91</v>
      </c>
      <c r="B25" t="s">
        <v>113</v>
      </c>
      <c r="C25" t="s">
        <v>105</v>
      </c>
    </row>
    <row r="26" spans="1:9" s="23" customFormat="1">
      <c r="A26" s="23" t="s">
        <v>198</v>
      </c>
      <c r="D26" s="24">
        <f>AVERAGE(D23:D24)</f>
        <v>35.730158730158735</v>
      </c>
      <c r="E26" s="24">
        <f t="shared" ref="E26:H26" si="3">AVERAGE(E23:E24)</f>
        <v>64.539682539682531</v>
      </c>
      <c r="F26" s="24">
        <f t="shared" si="3"/>
        <v>16.825396825396826</v>
      </c>
      <c r="G26" s="24">
        <f t="shared" si="3"/>
        <v>66.666666666666671</v>
      </c>
      <c r="H26" s="24">
        <f t="shared" si="3"/>
        <v>28.571428571428573</v>
      </c>
    </row>
    <row r="27" spans="1:9">
      <c r="A27" t="s">
        <v>86</v>
      </c>
      <c r="B27" t="s">
        <v>114</v>
      </c>
      <c r="C27" t="s">
        <v>105</v>
      </c>
      <c r="D27">
        <f>0.2564*100</f>
        <v>25.64</v>
      </c>
      <c r="E27" s="20">
        <v>50</v>
      </c>
      <c r="F27">
        <v>6</v>
      </c>
      <c r="G27">
        <f>0.2564*176</f>
        <v>45.126400000000004</v>
      </c>
      <c r="H27">
        <f>0.2564*75</f>
        <v>19.23</v>
      </c>
    </row>
    <row r="28" spans="1:9">
      <c r="A28" t="s">
        <v>86</v>
      </c>
      <c r="B28" t="s">
        <v>115</v>
      </c>
      <c r="C28" t="s">
        <v>105</v>
      </c>
    </row>
    <row r="29" spans="1:9">
      <c r="A29" t="s">
        <v>86</v>
      </c>
      <c r="B29" t="s">
        <v>186</v>
      </c>
      <c r="C29" t="s">
        <v>105</v>
      </c>
      <c r="D29">
        <v>27</v>
      </c>
      <c r="F29">
        <v>7</v>
      </c>
      <c r="G29" t="s">
        <v>39</v>
      </c>
      <c r="H29" t="s">
        <v>39</v>
      </c>
    </row>
    <row r="30" spans="1:9">
      <c r="A30" t="s">
        <v>86</v>
      </c>
      <c r="B30" t="s">
        <v>188</v>
      </c>
      <c r="C30" t="s">
        <v>105</v>
      </c>
      <c r="D30">
        <v>26</v>
      </c>
      <c r="E30">
        <v>57</v>
      </c>
      <c r="F30">
        <v>8</v>
      </c>
      <c r="I30">
        <f>54-D30</f>
        <v>28</v>
      </c>
    </row>
    <row r="31" spans="1:9" s="23" customFormat="1">
      <c r="A31" s="23" t="s">
        <v>199</v>
      </c>
      <c r="D31" s="24">
        <f>AVERAGE(D27:D30)</f>
        <v>26.213333333333335</v>
      </c>
      <c r="E31" s="24">
        <f t="shared" ref="E31:H31" si="4">AVERAGE(E27:E30)</f>
        <v>53.5</v>
      </c>
      <c r="F31" s="24">
        <f t="shared" si="4"/>
        <v>7</v>
      </c>
      <c r="G31" s="24">
        <f t="shared" si="4"/>
        <v>45.126400000000004</v>
      </c>
      <c r="H31" s="25">
        <f t="shared" si="4"/>
        <v>19.23</v>
      </c>
    </row>
    <row r="32" spans="1:9">
      <c r="A32" t="s">
        <v>85</v>
      </c>
      <c r="B32" t="s">
        <v>117</v>
      </c>
      <c r="C32" t="s">
        <v>111</v>
      </c>
    </row>
    <row r="33" spans="1:8">
      <c r="A33" t="s">
        <v>85</v>
      </c>
      <c r="B33" t="s">
        <v>118</v>
      </c>
      <c r="C33" t="s">
        <v>111</v>
      </c>
    </row>
    <row r="34" spans="1:8">
      <c r="A34" t="s">
        <v>85</v>
      </c>
      <c r="B34" t="s">
        <v>119</v>
      </c>
      <c r="C34" t="s">
        <v>111</v>
      </c>
    </row>
    <row r="35" spans="1:8">
      <c r="A35" t="s">
        <v>85</v>
      </c>
      <c r="B35" t="s">
        <v>192</v>
      </c>
      <c r="C35" t="s">
        <v>105</v>
      </c>
      <c r="D35">
        <v>40</v>
      </c>
      <c r="E35">
        <v>70</v>
      </c>
      <c r="F35">
        <v>13</v>
      </c>
      <c r="G35">
        <v>66</v>
      </c>
      <c r="H35">
        <v>26</v>
      </c>
    </row>
    <row r="36" spans="1:8" s="23" customFormat="1">
      <c r="A36" s="23" t="s">
        <v>200</v>
      </c>
      <c r="D36" s="24">
        <f>AVERAGE(D33:D35)</f>
        <v>40</v>
      </c>
      <c r="E36" s="24">
        <f t="shared" ref="E36:H36" si="5">AVERAGE(E33:E35)</f>
        <v>70</v>
      </c>
      <c r="F36" s="24">
        <f t="shared" si="5"/>
        <v>13</v>
      </c>
      <c r="G36" s="24">
        <f t="shared" si="5"/>
        <v>66</v>
      </c>
      <c r="H36" s="24">
        <f t="shared" si="5"/>
        <v>26</v>
      </c>
    </row>
    <row r="37" spans="1:8">
      <c r="A37" t="s">
        <v>96</v>
      </c>
      <c r="B37" t="s">
        <v>121</v>
      </c>
      <c r="C37" t="s">
        <v>105</v>
      </c>
    </row>
    <row r="38" spans="1:8">
      <c r="A38" t="s">
        <v>96</v>
      </c>
      <c r="B38" t="s">
        <v>120</v>
      </c>
      <c r="C38" t="s">
        <v>105</v>
      </c>
      <c r="D38">
        <f>125/4.2</f>
        <v>29.761904761904759</v>
      </c>
      <c r="E38">
        <f>135/4.2</f>
        <v>32.142857142857139</v>
      </c>
      <c r="F38">
        <f>30/4.2</f>
        <v>7.1428571428571423</v>
      </c>
      <c r="G38">
        <f>115/4.2</f>
        <v>27.38095238095238</v>
      </c>
      <c r="H38">
        <f>-15/4.2</f>
        <v>-3.5714285714285712</v>
      </c>
    </row>
    <row r="39" spans="1:8" s="23" customFormat="1">
      <c r="A39" s="23" t="s">
        <v>201</v>
      </c>
      <c r="D39" s="24">
        <f>AVERAGE(D37:D38)</f>
        <v>29.761904761904759</v>
      </c>
      <c r="E39" s="24">
        <f t="shared" ref="E39:H39" si="6">AVERAGE(E37:E38)</f>
        <v>32.142857142857139</v>
      </c>
      <c r="F39" s="24">
        <f t="shared" si="6"/>
        <v>7.1428571428571423</v>
      </c>
      <c r="G39" s="24">
        <f t="shared" si="6"/>
        <v>27.38095238095238</v>
      </c>
      <c r="H39" s="24">
        <f t="shared" si="6"/>
        <v>-3.5714285714285712</v>
      </c>
    </row>
    <row r="40" spans="1:8" ht="16.5" customHeight="1">
      <c r="A40" t="s">
        <v>88</v>
      </c>
      <c r="B40" t="s">
        <v>122</v>
      </c>
      <c r="C40" t="s">
        <v>111</v>
      </c>
    </row>
    <row r="41" spans="1:8">
      <c r="A41" t="s">
        <v>88</v>
      </c>
      <c r="B41" t="s">
        <v>123</v>
      </c>
      <c r="C41" t="s">
        <v>111</v>
      </c>
    </row>
    <row r="42" spans="1:8">
      <c r="A42" t="s">
        <v>88</v>
      </c>
      <c r="B42" t="s">
        <v>183</v>
      </c>
      <c r="C42" t="s">
        <v>105</v>
      </c>
      <c r="D42">
        <v>22</v>
      </c>
      <c r="E42">
        <v>26</v>
      </c>
      <c r="F42">
        <v>4</v>
      </c>
      <c r="G42">
        <v>21</v>
      </c>
      <c r="H42">
        <v>-1</v>
      </c>
    </row>
    <row r="43" spans="1:8">
      <c r="A43" t="s">
        <v>88</v>
      </c>
      <c r="B43" t="s">
        <v>191</v>
      </c>
      <c r="C43" t="s">
        <v>105</v>
      </c>
      <c r="D43">
        <v>20</v>
      </c>
      <c r="E43">
        <v>22</v>
      </c>
      <c r="F43">
        <v>5</v>
      </c>
      <c r="G43" t="s">
        <v>39</v>
      </c>
      <c r="H43" t="s">
        <v>39</v>
      </c>
    </row>
    <row r="44" spans="1:8" s="23" customFormat="1">
      <c r="A44" s="23" t="s">
        <v>202</v>
      </c>
      <c r="D44" s="24">
        <f>AVERAGE(D42:D43)</f>
        <v>21</v>
      </c>
      <c r="E44" s="24">
        <f t="shared" ref="E44:H44" si="7">AVERAGE(E42:E43)</f>
        <v>24</v>
      </c>
      <c r="F44" s="24">
        <f t="shared" si="7"/>
        <v>4.5</v>
      </c>
      <c r="G44" s="24">
        <f t="shared" si="7"/>
        <v>21</v>
      </c>
      <c r="H44" s="24">
        <f t="shared" si="7"/>
        <v>-1</v>
      </c>
    </row>
    <row r="45" spans="1:8">
      <c r="A45" t="s">
        <v>84</v>
      </c>
      <c r="B45" t="s">
        <v>116</v>
      </c>
      <c r="C45" t="s">
        <v>105</v>
      </c>
      <c r="D45">
        <v>32</v>
      </c>
      <c r="E45">
        <v>34</v>
      </c>
      <c r="F45">
        <v>4.5</v>
      </c>
      <c r="G45">
        <v>28</v>
      </c>
      <c r="H45">
        <v>-4</v>
      </c>
    </row>
    <row r="46" spans="1:8">
      <c r="A46" t="s">
        <v>84</v>
      </c>
      <c r="B46" t="s">
        <v>124</v>
      </c>
      <c r="C46" t="s">
        <v>105</v>
      </c>
    </row>
    <row r="47" spans="1:8">
      <c r="A47" t="s">
        <v>84</v>
      </c>
      <c r="B47" t="s">
        <v>125</v>
      </c>
      <c r="C47" t="s">
        <v>105</v>
      </c>
    </row>
    <row r="48" spans="1:8">
      <c r="A48" t="s">
        <v>84</v>
      </c>
      <c r="B48" t="s">
        <v>126</v>
      </c>
      <c r="C48" t="s">
        <v>111</v>
      </c>
    </row>
    <row r="49" spans="1:8">
      <c r="A49" t="s">
        <v>84</v>
      </c>
      <c r="B49" t="s">
        <v>127</v>
      </c>
      <c r="C49" t="s">
        <v>105</v>
      </c>
    </row>
    <row r="50" spans="1:8" s="23" customFormat="1">
      <c r="A50" s="23" t="s">
        <v>203</v>
      </c>
      <c r="D50" s="23">
        <f>AVERAGE(D45:D49)</f>
        <v>32</v>
      </c>
      <c r="E50" s="23">
        <f t="shared" ref="E50:H50" si="8">AVERAGE(E45:E49)</f>
        <v>34</v>
      </c>
      <c r="F50" s="23">
        <f t="shared" si="8"/>
        <v>4.5</v>
      </c>
      <c r="G50" s="23">
        <f t="shared" si="8"/>
        <v>28</v>
      </c>
      <c r="H50" s="23">
        <f t="shared" si="8"/>
        <v>-4</v>
      </c>
    </row>
    <row r="51" spans="1:8">
      <c r="A51" t="s">
        <v>87</v>
      </c>
      <c r="B51" t="s">
        <v>128</v>
      </c>
      <c r="C51" t="s">
        <v>111</v>
      </c>
    </row>
    <row r="52" spans="1:8">
      <c r="A52" t="s">
        <v>87</v>
      </c>
      <c r="B52" t="s">
        <v>179</v>
      </c>
      <c r="C52" t="s">
        <v>105</v>
      </c>
      <c r="D52">
        <v>20</v>
      </c>
      <c r="E52">
        <v>23</v>
      </c>
      <c r="F52">
        <v>7</v>
      </c>
      <c r="G52">
        <v>19</v>
      </c>
      <c r="H52">
        <v>-1</v>
      </c>
    </row>
    <row r="53" spans="1:8" s="23" customFormat="1">
      <c r="A53" s="23" t="s">
        <v>204</v>
      </c>
      <c r="D53" s="23">
        <f>AVERAGE(D52)</f>
        <v>20</v>
      </c>
      <c r="E53" s="23">
        <f t="shared" ref="E53:H53" si="9">AVERAGE(E52)</f>
        <v>23</v>
      </c>
      <c r="F53" s="23">
        <f t="shared" si="9"/>
        <v>7</v>
      </c>
      <c r="G53" s="23">
        <f t="shared" si="9"/>
        <v>19</v>
      </c>
      <c r="H53" s="23">
        <f t="shared" si="9"/>
        <v>-1</v>
      </c>
    </row>
    <row r="54" spans="1:8">
      <c r="A54" t="s">
        <v>95</v>
      </c>
      <c r="B54" t="s">
        <v>129</v>
      </c>
      <c r="C54" t="s">
        <v>111</v>
      </c>
    </row>
    <row r="55" spans="1:8">
      <c r="A55" t="s">
        <v>95</v>
      </c>
      <c r="B55" t="s">
        <v>179</v>
      </c>
      <c r="C55" t="s">
        <v>105</v>
      </c>
      <c r="D55">
        <v>7</v>
      </c>
      <c r="E55">
        <v>7</v>
      </c>
      <c r="F55">
        <v>5</v>
      </c>
      <c r="G55">
        <v>8</v>
      </c>
      <c r="H55">
        <v>1</v>
      </c>
    </row>
    <row r="56" spans="1:8" s="23" customFormat="1">
      <c r="A56" s="23" t="s">
        <v>205</v>
      </c>
      <c r="D56" s="23">
        <f>AVERAGE(D55)</f>
        <v>7</v>
      </c>
      <c r="E56" s="23">
        <f t="shared" ref="E56:H56" si="10">AVERAGE(E55)</f>
        <v>7</v>
      </c>
      <c r="F56" s="23">
        <f t="shared" si="10"/>
        <v>5</v>
      </c>
      <c r="G56" s="23">
        <f t="shared" si="10"/>
        <v>8</v>
      </c>
      <c r="H56" s="23">
        <f t="shared" si="10"/>
        <v>1</v>
      </c>
    </row>
    <row r="57" spans="1:8">
      <c r="A57" t="s">
        <v>93</v>
      </c>
      <c r="B57" t="s">
        <v>130</v>
      </c>
      <c r="C57" t="s">
        <v>105</v>
      </c>
    </row>
    <row r="58" spans="1:8">
      <c r="A58" t="s">
        <v>93</v>
      </c>
      <c r="B58" t="s">
        <v>131</v>
      </c>
      <c r="C58" t="s">
        <v>105</v>
      </c>
      <c r="D58">
        <f>89/1.9</f>
        <v>46.842105263157897</v>
      </c>
      <c r="E58">
        <f>101/1.9</f>
        <v>53.15789473684211</v>
      </c>
      <c r="F58">
        <f>30/1.9</f>
        <v>15.789473684210527</v>
      </c>
      <c r="G58">
        <f>93/1.9</f>
        <v>48.947368421052637</v>
      </c>
      <c r="H58">
        <v>3</v>
      </c>
    </row>
    <row r="59" spans="1:8">
      <c r="A59" t="s">
        <v>93</v>
      </c>
      <c r="B59" t="s">
        <v>185</v>
      </c>
      <c r="C59" t="s">
        <v>105</v>
      </c>
      <c r="D59">
        <v>45</v>
      </c>
      <c r="E59">
        <v>54</v>
      </c>
      <c r="F59">
        <v>13</v>
      </c>
      <c r="G59">
        <v>44</v>
      </c>
      <c r="H59" t="s">
        <v>39</v>
      </c>
    </row>
    <row r="60" spans="1:8" s="23" customFormat="1">
      <c r="A60" s="23" t="s">
        <v>206</v>
      </c>
      <c r="D60" s="24">
        <f>AVERAGE(D58:D59)</f>
        <v>45.921052631578945</v>
      </c>
      <c r="E60" s="24">
        <f t="shared" ref="E60:H60" si="11">AVERAGE(E58:E59)</f>
        <v>53.578947368421055</v>
      </c>
      <c r="F60" s="24">
        <f t="shared" si="11"/>
        <v>14.394736842105264</v>
      </c>
      <c r="G60" s="24">
        <f t="shared" si="11"/>
        <v>46.473684210526315</v>
      </c>
      <c r="H60" s="24">
        <f t="shared" si="11"/>
        <v>3</v>
      </c>
    </row>
    <row r="61" spans="1:8">
      <c r="A61" t="s">
        <v>92</v>
      </c>
      <c r="B61" t="s">
        <v>140</v>
      </c>
      <c r="D61">
        <f>50/1.2</f>
        <v>41.666666666666671</v>
      </c>
      <c r="E61">
        <f>60/1.2</f>
        <v>50</v>
      </c>
      <c r="F61">
        <f>18/1.2</f>
        <v>15</v>
      </c>
      <c r="G61">
        <f>45/1.2</f>
        <v>37.5</v>
      </c>
      <c r="H61">
        <v>-3</v>
      </c>
    </row>
    <row r="62" spans="1:8">
      <c r="A62" t="s">
        <v>92</v>
      </c>
      <c r="B62" t="s">
        <v>187</v>
      </c>
      <c r="C62" t="s">
        <v>105</v>
      </c>
      <c r="D62">
        <v>47</v>
      </c>
      <c r="E62">
        <v>55</v>
      </c>
      <c r="F62">
        <v>13</v>
      </c>
      <c r="G62">
        <v>45</v>
      </c>
      <c r="H62">
        <v>-2</v>
      </c>
    </row>
    <row r="63" spans="1:8">
      <c r="A63" t="s">
        <v>92</v>
      </c>
      <c r="B63" t="s">
        <v>190</v>
      </c>
      <c r="C63" t="s">
        <v>105</v>
      </c>
      <c r="D63">
        <v>43</v>
      </c>
      <c r="E63">
        <v>53</v>
      </c>
      <c r="F63">
        <v>13</v>
      </c>
      <c r="G63">
        <v>40</v>
      </c>
      <c r="H63">
        <v>-3</v>
      </c>
    </row>
    <row r="64" spans="1:8" s="23" customFormat="1">
      <c r="A64" s="23" t="s">
        <v>207</v>
      </c>
      <c r="D64" s="24">
        <f>AVERAGE(D61:D63)</f>
        <v>43.888888888888893</v>
      </c>
      <c r="E64" s="24">
        <f t="shared" ref="E64:H64" si="12">AVERAGE(E61:E63)</f>
        <v>52.666666666666664</v>
      </c>
      <c r="F64" s="24">
        <f t="shared" si="12"/>
        <v>13.666666666666666</v>
      </c>
      <c r="G64" s="24">
        <f t="shared" si="12"/>
        <v>40.833333333333336</v>
      </c>
      <c r="H64" s="24">
        <f t="shared" si="12"/>
        <v>-2.6666666666666665</v>
      </c>
    </row>
    <row r="65" spans="1:8">
      <c r="A65" t="s">
        <v>83</v>
      </c>
      <c r="B65" t="s">
        <v>132</v>
      </c>
      <c r="C65" t="s">
        <v>105</v>
      </c>
      <c r="D65">
        <f>155/3.8</f>
        <v>40.789473684210527</v>
      </c>
      <c r="E65">
        <f>170/3.8</f>
        <v>44.736842105263158</v>
      </c>
      <c r="F65">
        <f>30/3.8</f>
        <v>7.8947368421052637</v>
      </c>
      <c r="G65">
        <f>202/3.8</f>
        <v>53.15789473684211</v>
      </c>
      <c r="H65">
        <f>44/3.8</f>
        <v>11.578947368421053</v>
      </c>
    </row>
    <row r="66" spans="1:8">
      <c r="A66" t="s">
        <v>83</v>
      </c>
      <c r="B66" t="s">
        <v>133</v>
      </c>
      <c r="C66" t="s">
        <v>111</v>
      </c>
    </row>
    <row r="67" spans="1:8">
      <c r="A67" t="s">
        <v>83</v>
      </c>
      <c r="B67" t="s">
        <v>134</v>
      </c>
      <c r="C67" t="s">
        <v>105</v>
      </c>
    </row>
    <row r="68" spans="1:8">
      <c r="A68" t="s">
        <v>83</v>
      </c>
      <c r="B68" t="s">
        <v>178</v>
      </c>
      <c r="C68" t="s">
        <v>105</v>
      </c>
      <c r="D68">
        <v>40</v>
      </c>
      <c r="E68">
        <v>45</v>
      </c>
      <c r="F68">
        <v>7</v>
      </c>
      <c r="G68" t="s">
        <v>39</v>
      </c>
      <c r="H68" t="s">
        <v>39</v>
      </c>
    </row>
    <row r="69" spans="1:8" s="23" customFormat="1">
      <c r="A69" s="23" t="s">
        <v>208</v>
      </c>
      <c r="D69" s="24">
        <f>AVERAGE(D65:D68)</f>
        <v>40.39473684210526</v>
      </c>
      <c r="E69" s="24">
        <f t="shared" ref="E69:H69" si="13">AVERAGE(E65:E68)</f>
        <v>44.868421052631575</v>
      </c>
      <c r="F69" s="24">
        <f t="shared" si="13"/>
        <v>7.4473684210526319</v>
      </c>
      <c r="G69" s="24">
        <f t="shared" si="13"/>
        <v>53.15789473684211</v>
      </c>
      <c r="H69" s="24">
        <f t="shared" si="13"/>
        <v>11.578947368421053</v>
      </c>
    </row>
  </sheetData>
  <sortState ref="A2:A16">
    <sortCondition ref="A2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125" zoomScaleNormal="125" zoomScalePageLayoutView="125" workbookViewId="0">
      <selection activeCell="A16" sqref="A16"/>
    </sheetView>
  </sheetViews>
  <sheetFormatPr baseColWidth="10" defaultRowHeight="14" x14ac:dyDescent="0"/>
  <cols>
    <col min="1" max="1" width="30.1640625" customWidth="1"/>
  </cols>
  <sheetData>
    <row r="1" spans="1:6">
      <c r="A1" t="s">
        <v>89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</row>
    <row r="2" spans="1:6">
      <c r="A2" t="s">
        <v>211</v>
      </c>
      <c r="B2">
        <v>10.5</v>
      </c>
      <c r="C2">
        <v>12</v>
      </c>
      <c r="D2">
        <v>3.5</v>
      </c>
      <c r="E2">
        <v>9.5</v>
      </c>
      <c r="F2">
        <v>-1</v>
      </c>
    </row>
    <row r="3" spans="1:6">
      <c r="A3" t="s">
        <v>212</v>
      </c>
      <c r="B3">
        <v>46.604166666666664</v>
      </c>
      <c r="C3">
        <v>62.020833333333336</v>
      </c>
      <c r="D3">
        <v>13.145833333333334</v>
      </c>
      <c r="E3">
        <v>60.166666666666664</v>
      </c>
      <c r="F3">
        <v>8.0625</v>
      </c>
    </row>
    <row r="4" spans="1:6">
      <c r="A4" t="s">
        <v>213</v>
      </c>
      <c r="B4">
        <v>29.5</v>
      </c>
      <c r="C4">
        <v>46</v>
      </c>
      <c r="D4">
        <v>7.5</v>
      </c>
      <c r="E4">
        <v>45</v>
      </c>
      <c r="F4">
        <v>15</v>
      </c>
    </row>
    <row r="5" spans="1:6">
      <c r="A5" t="s">
        <v>214</v>
      </c>
      <c r="B5">
        <v>40.625</v>
      </c>
      <c r="C5">
        <v>49</v>
      </c>
      <c r="D5">
        <v>7.5</v>
      </c>
      <c r="E5">
        <v>38.75</v>
      </c>
      <c r="F5">
        <v>-2</v>
      </c>
    </row>
    <row r="6" spans="1:6">
      <c r="A6" t="s">
        <v>215</v>
      </c>
      <c r="B6">
        <v>35.730158730158735</v>
      </c>
      <c r="C6">
        <v>64.539682539682531</v>
      </c>
      <c r="D6">
        <v>16.825396825396826</v>
      </c>
      <c r="E6">
        <v>66.666666666666671</v>
      </c>
      <c r="F6">
        <v>28.571428571428573</v>
      </c>
    </row>
    <row r="7" spans="1:6">
      <c r="A7" t="s">
        <v>216</v>
      </c>
      <c r="B7">
        <v>26.213333333333335</v>
      </c>
      <c r="C7">
        <v>53.5</v>
      </c>
      <c r="D7">
        <v>7</v>
      </c>
      <c r="E7">
        <v>45.126400000000004</v>
      </c>
      <c r="F7">
        <v>19.23</v>
      </c>
    </row>
    <row r="8" spans="1:6">
      <c r="A8" t="s">
        <v>217</v>
      </c>
      <c r="B8">
        <v>40</v>
      </c>
      <c r="C8">
        <v>70</v>
      </c>
      <c r="D8">
        <v>13</v>
      </c>
      <c r="E8">
        <v>66</v>
      </c>
      <c r="F8">
        <v>26</v>
      </c>
    </row>
    <row r="9" spans="1:6">
      <c r="A9" t="s">
        <v>218</v>
      </c>
      <c r="B9">
        <v>29.761904761904759</v>
      </c>
      <c r="C9">
        <v>32.142857142857139</v>
      </c>
      <c r="D9">
        <v>7.1428571428571423</v>
      </c>
      <c r="E9">
        <v>27.38095238095238</v>
      </c>
      <c r="F9">
        <v>-3.5714285714285712</v>
      </c>
    </row>
    <row r="10" spans="1:6">
      <c r="A10" t="s">
        <v>219</v>
      </c>
      <c r="B10">
        <v>21</v>
      </c>
      <c r="C10">
        <v>24</v>
      </c>
      <c r="D10">
        <v>4.5</v>
      </c>
      <c r="E10">
        <v>21</v>
      </c>
      <c r="F10">
        <v>-1</v>
      </c>
    </row>
    <row r="11" spans="1:6">
      <c r="A11" t="s">
        <v>220</v>
      </c>
      <c r="B11">
        <v>32</v>
      </c>
      <c r="C11">
        <v>34</v>
      </c>
      <c r="D11">
        <v>4.5</v>
      </c>
      <c r="E11">
        <v>28</v>
      </c>
      <c r="F11">
        <v>-4</v>
      </c>
    </row>
    <row r="12" spans="1:6">
      <c r="A12" t="s">
        <v>221</v>
      </c>
      <c r="B12">
        <v>20</v>
      </c>
      <c r="C12">
        <v>23</v>
      </c>
      <c r="D12">
        <v>7</v>
      </c>
      <c r="E12">
        <v>19</v>
      </c>
      <c r="F12">
        <v>-1</v>
      </c>
    </row>
    <row r="13" spans="1:6">
      <c r="A13" t="s">
        <v>222</v>
      </c>
      <c r="B13">
        <v>7</v>
      </c>
      <c r="C13">
        <v>7</v>
      </c>
      <c r="D13">
        <v>5</v>
      </c>
      <c r="E13">
        <v>8</v>
      </c>
      <c r="F13">
        <v>1</v>
      </c>
    </row>
    <row r="14" spans="1:6">
      <c r="A14" t="s">
        <v>223</v>
      </c>
      <c r="B14">
        <v>45.921052631578945</v>
      </c>
      <c r="C14">
        <v>53.578947368421055</v>
      </c>
      <c r="D14">
        <v>14.394736842105264</v>
      </c>
      <c r="E14">
        <v>46.473684210526315</v>
      </c>
      <c r="F14">
        <v>3</v>
      </c>
    </row>
    <row r="15" spans="1:6">
      <c r="A15" t="s">
        <v>224</v>
      </c>
      <c r="B15">
        <v>43.888888888888893</v>
      </c>
      <c r="C15">
        <v>52.666666666666664</v>
      </c>
      <c r="D15">
        <v>13.666666666666666</v>
      </c>
      <c r="E15">
        <v>40.833333333333336</v>
      </c>
      <c r="F15">
        <v>-2.6666666666666665</v>
      </c>
    </row>
    <row r="16" spans="1:6">
      <c r="A16" t="s">
        <v>225</v>
      </c>
      <c r="B16">
        <v>40.39473684210526</v>
      </c>
      <c r="C16">
        <v>44.868421052631575</v>
      </c>
      <c r="D16">
        <v>7.4473684210526319</v>
      </c>
      <c r="E16">
        <v>53.15789473684211</v>
      </c>
      <c r="F16">
        <v>11.578947368421053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8" sqref="A18"/>
    </sheetView>
  </sheetViews>
  <sheetFormatPr baseColWidth="10" defaultRowHeight="14" x14ac:dyDescent="0"/>
  <cols>
    <col min="1" max="1" width="32.5" customWidth="1"/>
    <col min="2" max="2" width="21.6640625" customWidth="1"/>
    <col min="3" max="3" width="19.6640625" customWidth="1"/>
  </cols>
  <sheetData>
    <row r="1" spans="1:3">
      <c r="A1" t="s">
        <v>147</v>
      </c>
      <c r="B1" t="s">
        <v>9</v>
      </c>
      <c r="C1" t="s">
        <v>176</v>
      </c>
    </row>
    <row r="2" spans="1:3">
      <c r="A2" t="s">
        <v>158</v>
      </c>
      <c r="B2" s="22" t="s">
        <v>157</v>
      </c>
    </row>
    <row r="3" spans="1:3">
      <c r="A3" t="s">
        <v>152</v>
      </c>
      <c r="B3" s="22" t="s">
        <v>151</v>
      </c>
    </row>
    <row r="4" spans="1:3">
      <c r="A4" t="s">
        <v>170</v>
      </c>
      <c r="B4" s="22" t="s">
        <v>169</v>
      </c>
    </row>
    <row r="5" spans="1:3">
      <c r="A5" t="s">
        <v>172</v>
      </c>
      <c r="B5" s="22" t="s">
        <v>171</v>
      </c>
    </row>
    <row r="6" spans="1:3">
      <c r="A6" t="s">
        <v>150</v>
      </c>
      <c r="B6" s="22" t="s">
        <v>149</v>
      </c>
      <c r="C6" t="s">
        <v>175</v>
      </c>
    </row>
    <row r="7" spans="1:3">
      <c r="A7" t="s">
        <v>162</v>
      </c>
      <c r="B7" s="22" t="s">
        <v>161</v>
      </c>
    </row>
    <row r="8" spans="1:3">
      <c r="A8" t="s">
        <v>164</v>
      </c>
      <c r="B8" s="22" t="s">
        <v>163</v>
      </c>
    </row>
    <row r="9" spans="1:3">
      <c r="A9" t="s">
        <v>166</v>
      </c>
      <c r="B9" s="22" t="s">
        <v>165</v>
      </c>
    </row>
    <row r="10" spans="1:3">
      <c r="A10" t="s">
        <v>174</v>
      </c>
      <c r="B10" s="22" t="s">
        <v>173</v>
      </c>
    </row>
    <row r="11" spans="1:3">
      <c r="A11" t="s">
        <v>156</v>
      </c>
      <c r="B11" s="22" t="s">
        <v>155</v>
      </c>
    </row>
    <row r="12" spans="1:3">
      <c r="A12" t="s">
        <v>154</v>
      </c>
      <c r="B12" s="22" t="s">
        <v>153</v>
      </c>
    </row>
    <row r="13" spans="1:3">
      <c r="A13" t="s">
        <v>148</v>
      </c>
      <c r="B13" s="22" t="s">
        <v>146</v>
      </c>
    </row>
    <row r="14" spans="1:3">
      <c r="A14" t="s">
        <v>168</v>
      </c>
      <c r="B14" s="22" t="s">
        <v>167</v>
      </c>
    </row>
    <row r="15" spans="1:3">
      <c r="A15" t="s">
        <v>160</v>
      </c>
      <c r="B15" s="22" t="s">
        <v>159</v>
      </c>
    </row>
  </sheetData>
  <sortState ref="A2:B15">
    <sortCondition ref="B2:B1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Phylogeny</vt:lpstr>
      <vt:lpstr>Morpho</vt:lpstr>
      <vt:lpstr>matrix5</vt:lpstr>
      <vt:lpstr>hummingbirds</vt:lpstr>
    </vt:vector>
  </TitlesOfParts>
  <Company>Ville de Geneve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Perret</dc:creator>
  <cp:lastModifiedBy>Mathieu Perret</cp:lastModifiedBy>
  <dcterms:created xsi:type="dcterms:W3CDTF">2017-08-15T14:36:54Z</dcterms:created>
  <dcterms:modified xsi:type="dcterms:W3CDTF">2017-12-06T20:11:22Z</dcterms:modified>
</cp:coreProperties>
</file>