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brookewainwright/Library/CloudStorage/Box-Box/USDA Grasslands Drought/Data/2023/"/>
    </mc:Choice>
  </mc:AlternateContent>
  <xr:revisionPtr revIDLastSave="0" documentId="13_ncr:1_{20B1C955-AB21-EA42-A8C1-49FFE37C8792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Active Sheet" sheetId="1" r:id="rId1"/>
    <sheet name="Old 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57h2Fm1vGR789+Unm2gUcGMjM+lAII3m3wmpko3Wzk="/>
    </ext>
  </extLst>
</workbook>
</file>

<file path=xl/calcChain.xml><?xml version="1.0" encoding="utf-8"?>
<calcChain xmlns="http://schemas.openxmlformats.org/spreadsheetml/2006/main">
  <c r="O455" i="1" l="1"/>
  <c r="N455" i="1"/>
  <c r="M455" i="1"/>
  <c r="L455" i="1"/>
  <c r="K455" i="1"/>
  <c r="J455" i="1"/>
  <c r="I455" i="1"/>
  <c r="H455" i="1"/>
  <c r="G455" i="1"/>
  <c r="F455" i="1"/>
  <c r="O466" i="1"/>
  <c r="M466" i="1"/>
  <c r="L466" i="1"/>
  <c r="K466" i="1"/>
  <c r="J466" i="1"/>
  <c r="I466" i="1"/>
  <c r="H466" i="1"/>
  <c r="G466" i="1"/>
  <c r="F466" i="1"/>
  <c r="I485" i="1"/>
  <c r="H485" i="1"/>
  <c r="G485" i="1"/>
  <c r="F485" i="1"/>
  <c r="O623" i="1"/>
  <c r="N623" i="1"/>
  <c r="M623" i="1"/>
  <c r="L623" i="1"/>
  <c r="K623" i="1"/>
  <c r="J623" i="1"/>
  <c r="I623" i="1"/>
  <c r="H623" i="1"/>
  <c r="G623" i="1"/>
  <c r="F623" i="1"/>
  <c r="O624" i="1"/>
  <c r="N624" i="1"/>
  <c r="M624" i="1"/>
  <c r="L624" i="1"/>
  <c r="K624" i="1"/>
  <c r="J624" i="1"/>
  <c r="I624" i="1"/>
  <c r="H624" i="1"/>
  <c r="G624" i="1"/>
  <c r="F624" i="1"/>
  <c r="O626" i="1"/>
  <c r="N626" i="1"/>
  <c r="M626" i="1"/>
  <c r="L626" i="1"/>
  <c r="K626" i="1"/>
  <c r="J626" i="1"/>
  <c r="I626" i="1"/>
  <c r="H626" i="1"/>
  <c r="G626" i="1"/>
  <c r="F626" i="1"/>
  <c r="O631" i="1"/>
  <c r="N631" i="1"/>
  <c r="M631" i="1"/>
  <c r="L631" i="1"/>
  <c r="K631" i="1"/>
  <c r="J631" i="1"/>
  <c r="I631" i="1"/>
  <c r="H631" i="1"/>
  <c r="G631" i="1"/>
  <c r="F631" i="1"/>
  <c r="O622" i="1"/>
  <c r="N622" i="1"/>
  <c r="M622" i="1"/>
  <c r="L622" i="1"/>
  <c r="K622" i="1"/>
  <c r="J622" i="1"/>
  <c r="I622" i="1"/>
  <c r="H622" i="1"/>
  <c r="G622" i="1"/>
  <c r="F622" i="1"/>
  <c r="O618" i="1"/>
  <c r="N618" i="1"/>
  <c r="M618" i="1"/>
  <c r="L618" i="1"/>
  <c r="K618" i="1"/>
  <c r="J618" i="1"/>
  <c r="I618" i="1"/>
  <c r="H618" i="1"/>
  <c r="G618" i="1"/>
  <c r="F618" i="1"/>
  <c r="O629" i="1"/>
  <c r="N629" i="1"/>
  <c r="M629" i="1"/>
  <c r="L629" i="1"/>
  <c r="K629" i="1"/>
  <c r="J629" i="1"/>
  <c r="I629" i="1"/>
  <c r="H629" i="1"/>
  <c r="G629" i="1"/>
  <c r="F629" i="1"/>
  <c r="O616" i="1"/>
  <c r="N616" i="1"/>
  <c r="M616" i="1"/>
  <c r="L616" i="1"/>
  <c r="K616" i="1"/>
  <c r="J616" i="1"/>
  <c r="I616" i="1"/>
  <c r="H616" i="1"/>
  <c r="G616" i="1"/>
  <c r="F616" i="1"/>
  <c r="O617" i="1"/>
  <c r="N617" i="1"/>
  <c r="M617" i="1"/>
  <c r="L617" i="1"/>
  <c r="K617" i="1"/>
  <c r="J617" i="1"/>
  <c r="I617" i="1"/>
  <c r="H617" i="1"/>
  <c r="G617" i="1"/>
  <c r="F617" i="1"/>
  <c r="O627" i="1"/>
  <c r="N627" i="1"/>
  <c r="M627" i="1"/>
  <c r="L627" i="1"/>
  <c r="K627" i="1"/>
  <c r="J627" i="1"/>
  <c r="I627" i="1"/>
  <c r="H627" i="1"/>
  <c r="G627" i="1"/>
  <c r="F627" i="1"/>
  <c r="O628" i="1"/>
  <c r="N628" i="1"/>
  <c r="M628" i="1"/>
  <c r="L628" i="1"/>
  <c r="K628" i="1"/>
  <c r="J628" i="1"/>
  <c r="I628" i="1"/>
  <c r="H628" i="1"/>
  <c r="G628" i="1"/>
  <c r="F628" i="1"/>
  <c r="O625" i="1"/>
  <c r="N625" i="1"/>
  <c r="M625" i="1"/>
  <c r="L625" i="1"/>
  <c r="K625" i="1"/>
  <c r="J625" i="1"/>
  <c r="I625" i="1"/>
  <c r="H625" i="1"/>
  <c r="G625" i="1"/>
  <c r="F625" i="1"/>
  <c r="P512" i="1"/>
  <c r="E512" i="1"/>
  <c r="E508" i="1"/>
  <c r="P372" i="1"/>
  <c r="O359" i="1"/>
  <c r="H359" i="1"/>
  <c r="B323" i="1"/>
  <c r="N325" i="1"/>
  <c r="M325" i="1"/>
  <c r="K325" i="1"/>
  <c r="J325" i="1"/>
  <c r="H325" i="1"/>
  <c r="O298" i="1"/>
  <c r="N298" i="1"/>
  <c r="L298" i="1"/>
  <c r="K298" i="1"/>
  <c r="J298" i="1"/>
  <c r="I298" i="1"/>
  <c r="H298" i="1"/>
  <c r="G298" i="1"/>
  <c r="F298" i="1"/>
  <c r="O297" i="1"/>
  <c r="L297" i="1"/>
  <c r="J297" i="1"/>
  <c r="H297" i="1"/>
  <c r="G297" i="1"/>
  <c r="F297" i="1"/>
  <c r="B554" i="1"/>
  <c r="B555" i="1"/>
  <c r="N301" i="1"/>
  <c r="J301" i="1"/>
  <c r="G301" i="1"/>
  <c r="O242" i="1"/>
  <c r="N242" i="1"/>
  <c r="M242" i="1"/>
  <c r="L242" i="1"/>
  <c r="K242" i="1"/>
  <c r="J242" i="1"/>
  <c r="I242" i="1"/>
  <c r="G242" i="1"/>
  <c r="F242" i="1"/>
  <c r="O262" i="1"/>
  <c r="N262" i="1"/>
  <c r="M262" i="1"/>
  <c r="L262" i="1"/>
  <c r="K262" i="1"/>
  <c r="I262" i="1"/>
  <c r="H262" i="1"/>
  <c r="F262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5" i="1"/>
  <c r="B204" i="1"/>
  <c r="B203" i="1"/>
  <c r="B202" i="1"/>
  <c r="B201" i="1"/>
  <c r="B200" i="1"/>
  <c r="B199" i="1"/>
  <c r="N198" i="1"/>
  <c r="L198" i="1"/>
  <c r="K198" i="1"/>
  <c r="J198" i="1"/>
  <c r="I198" i="1"/>
  <c r="H198" i="1"/>
  <c r="F198" i="1"/>
  <c r="B198" i="1"/>
  <c r="B197" i="1"/>
  <c r="B196" i="1"/>
  <c r="B195" i="1"/>
  <c r="B194" i="1"/>
  <c r="B193" i="1"/>
  <c r="B192" i="1"/>
  <c r="B191" i="1"/>
  <c r="B190" i="1"/>
  <c r="B189" i="1"/>
  <c r="O188" i="1"/>
  <c r="N188" i="1"/>
  <c r="M188" i="1"/>
  <c r="L188" i="1"/>
  <c r="K188" i="1"/>
  <c r="J188" i="1"/>
  <c r="I188" i="1"/>
  <c r="H188" i="1"/>
  <c r="G188" i="1"/>
  <c r="B188" i="1"/>
  <c r="B187" i="1"/>
  <c r="B186" i="1"/>
  <c r="B185" i="1"/>
  <c r="O184" i="1"/>
  <c r="N184" i="1"/>
  <c r="L184" i="1"/>
  <c r="K184" i="1"/>
  <c r="I184" i="1"/>
  <c r="G184" i="1"/>
  <c r="F184" i="1"/>
  <c r="B184" i="1"/>
  <c r="B183" i="1"/>
  <c r="B182" i="1"/>
  <c r="B181" i="1"/>
  <c r="B180" i="1"/>
  <c r="B179" i="1"/>
  <c r="B178" i="1"/>
  <c r="B177" i="1"/>
  <c r="B176" i="1"/>
  <c r="B175" i="1"/>
  <c r="B173" i="1"/>
  <c r="B172" i="1"/>
  <c r="M171" i="1"/>
  <c r="K171" i="1"/>
  <c r="I171" i="1"/>
  <c r="G171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O158" i="1"/>
  <c r="L158" i="1"/>
  <c r="I158" i="1"/>
  <c r="H158" i="1"/>
  <c r="G158" i="1"/>
  <c r="F158" i="1"/>
  <c r="B158" i="1"/>
  <c r="B157" i="1"/>
  <c r="B156" i="1"/>
  <c r="B155" i="1"/>
  <c r="B154" i="1"/>
  <c r="B153" i="1"/>
  <c r="B152" i="1"/>
  <c r="B151" i="1"/>
  <c r="B150" i="1"/>
  <c r="B149" i="1"/>
  <c r="N148" i="1"/>
  <c r="M148" i="1"/>
  <c r="K148" i="1"/>
  <c r="I148" i="1"/>
  <c r="G148" i="1"/>
  <c r="F148" i="1"/>
  <c r="B148" i="1"/>
  <c r="B147" i="1"/>
  <c r="B146" i="1"/>
  <c r="N145" i="1"/>
  <c r="M145" i="1"/>
  <c r="L145" i="1"/>
  <c r="K145" i="1"/>
  <c r="J145" i="1"/>
  <c r="H145" i="1"/>
  <c r="F145" i="1"/>
  <c r="B145" i="1"/>
  <c r="B144" i="1"/>
  <c r="J143" i="1"/>
  <c r="H143" i="1"/>
  <c r="B143" i="1"/>
  <c r="B142" i="1"/>
  <c r="N141" i="1"/>
  <c r="B141" i="1"/>
  <c r="B140" i="1"/>
  <c r="O139" i="1"/>
  <c r="L139" i="1"/>
  <c r="K139" i="1"/>
  <c r="I139" i="1"/>
  <c r="H139" i="1"/>
  <c r="F139" i="1"/>
  <c r="B139" i="1"/>
  <c r="B138" i="1"/>
  <c r="B137" i="1"/>
  <c r="O136" i="1"/>
  <c r="M136" i="1"/>
  <c r="I136" i="1"/>
  <c r="B136" i="1"/>
  <c r="B135" i="1"/>
  <c r="N134" i="1"/>
  <c r="M134" i="1"/>
  <c r="J134" i="1"/>
  <c r="I134" i="1"/>
  <c r="H134" i="1"/>
  <c r="G134" i="1"/>
  <c r="B134" i="1"/>
  <c r="B133" i="1"/>
  <c r="B132" i="1"/>
  <c r="M131" i="1"/>
  <c r="L131" i="1"/>
  <c r="I131" i="1"/>
  <c r="H131" i="1"/>
  <c r="G131" i="1"/>
  <c r="B131" i="1"/>
  <c r="N130" i="1"/>
  <c r="K130" i="1"/>
  <c r="F130" i="1"/>
  <c r="B130" i="1"/>
  <c r="L129" i="1"/>
  <c r="I129" i="1"/>
  <c r="B129" i="1"/>
  <c r="L128" i="1"/>
  <c r="K128" i="1"/>
  <c r="B128" i="1"/>
  <c r="B127" i="1"/>
  <c r="N126" i="1"/>
  <c r="J126" i="1"/>
  <c r="I126" i="1"/>
  <c r="F126" i="1"/>
  <c r="B126" i="1"/>
  <c r="L125" i="1"/>
  <c r="J125" i="1"/>
  <c r="I125" i="1"/>
  <c r="G125" i="1"/>
  <c r="F125" i="1"/>
  <c r="B125" i="1"/>
  <c r="O124" i="1"/>
  <c r="N124" i="1"/>
  <c r="I124" i="1"/>
  <c r="G124" i="1"/>
  <c r="F124" i="1"/>
  <c r="B124" i="1"/>
  <c r="B123" i="1"/>
  <c r="K122" i="1"/>
  <c r="J122" i="1"/>
  <c r="G122" i="1"/>
  <c r="F122" i="1"/>
  <c r="B122" i="1"/>
  <c r="O121" i="1"/>
  <c r="N121" i="1"/>
  <c r="M121" i="1"/>
  <c r="L121" i="1"/>
  <c r="K121" i="1"/>
  <c r="J121" i="1"/>
  <c r="I121" i="1"/>
  <c r="H121" i="1"/>
  <c r="G121" i="1"/>
  <c r="F121" i="1"/>
  <c r="B121" i="1"/>
  <c r="F120" i="1"/>
  <c r="B120" i="1"/>
  <c r="N119" i="1"/>
  <c r="M119" i="1"/>
  <c r="L119" i="1"/>
  <c r="K119" i="1"/>
  <c r="I119" i="1"/>
  <c r="H119" i="1"/>
  <c r="G119" i="1"/>
  <c r="F119" i="1"/>
  <c r="E119" i="1"/>
  <c r="B119" i="1"/>
  <c r="N118" i="1"/>
  <c r="H118" i="1"/>
  <c r="G118" i="1"/>
  <c r="B118" i="1"/>
  <c r="B117" i="1"/>
  <c r="N116" i="1"/>
  <c r="M116" i="1"/>
  <c r="L116" i="1"/>
  <c r="K116" i="1"/>
  <c r="J116" i="1"/>
  <c r="I116" i="1"/>
  <c r="H116" i="1"/>
  <c r="G116" i="1"/>
  <c r="F116" i="1"/>
  <c r="B116" i="1"/>
  <c r="B112" i="1"/>
  <c r="P111" i="1"/>
  <c r="E111" i="1"/>
  <c r="B111" i="1"/>
  <c r="P110" i="1"/>
  <c r="E110" i="1"/>
  <c r="B110" i="1"/>
  <c r="B109" i="1"/>
  <c r="P108" i="1"/>
  <c r="E108" i="1"/>
  <c r="B108" i="1"/>
  <c r="P107" i="1"/>
  <c r="E107" i="1"/>
  <c r="B107" i="1"/>
  <c r="B106" i="1"/>
  <c r="B105" i="1"/>
  <c r="B104" i="1"/>
  <c r="B103" i="1"/>
  <c r="B102" i="1"/>
  <c r="B101" i="1"/>
  <c r="B100" i="1"/>
  <c r="B99" i="1"/>
  <c r="B98" i="1"/>
  <c r="B97" i="1"/>
  <c r="P96" i="1"/>
  <c r="E96" i="1"/>
  <c r="B96" i="1"/>
  <c r="B95" i="1"/>
  <c r="B94" i="1"/>
  <c r="B93" i="1"/>
  <c r="B92" i="1"/>
  <c r="B91" i="1"/>
  <c r="B90" i="1"/>
  <c r="B89" i="1"/>
  <c r="P88" i="1"/>
  <c r="E88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P66" i="1"/>
  <c r="E66" i="1"/>
  <c r="B66" i="1"/>
  <c r="P65" i="1"/>
  <c r="E65" i="1"/>
  <c r="B65" i="1"/>
  <c r="B64" i="1"/>
  <c r="P63" i="1"/>
  <c r="E63" i="1"/>
  <c r="B63" i="1"/>
  <c r="B62" i="1"/>
  <c r="B61" i="1"/>
  <c r="B60" i="1"/>
  <c r="B59" i="1"/>
  <c r="B58" i="1"/>
  <c r="B57" i="1"/>
  <c r="B56" i="1"/>
  <c r="P55" i="1"/>
  <c r="E55" i="1"/>
  <c r="B55" i="1"/>
  <c r="B54" i="1"/>
  <c r="P53" i="1"/>
  <c r="E53" i="1"/>
  <c r="B53" i="1"/>
  <c r="B52" i="1"/>
  <c r="P51" i="1"/>
  <c r="E51" i="1"/>
  <c r="B51" i="1"/>
  <c r="B50" i="1"/>
  <c r="P49" i="1"/>
  <c r="E49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O33" i="1"/>
  <c r="N33" i="1"/>
  <c r="M33" i="1"/>
  <c r="L33" i="1"/>
  <c r="K33" i="1"/>
  <c r="J33" i="1"/>
  <c r="I33" i="1"/>
  <c r="H33" i="1"/>
  <c r="G33" i="1"/>
  <c r="B33" i="1"/>
  <c r="O32" i="1"/>
  <c r="N32" i="1"/>
  <c r="M32" i="1"/>
  <c r="L32" i="1"/>
  <c r="K32" i="1"/>
  <c r="I32" i="1"/>
  <c r="H32" i="1"/>
  <c r="G32" i="1"/>
  <c r="F32" i="1"/>
  <c r="B32" i="1"/>
  <c r="O31" i="1"/>
  <c r="N31" i="1"/>
  <c r="M31" i="1"/>
  <c r="L31" i="1"/>
  <c r="K31" i="1"/>
  <c r="J31" i="1"/>
  <c r="I31" i="1"/>
  <c r="H31" i="1"/>
  <c r="G31" i="1"/>
  <c r="F31" i="1"/>
  <c r="B31" i="1"/>
  <c r="O30" i="1"/>
  <c r="N30" i="1"/>
  <c r="M30" i="1"/>
  <c r="L30" i="1"/>
  <c r="K30" i="1"/>
  <c r="J30" i="1"/>
  <c r="I30" i="1"/>
  <c r="H30" i="1"/>
  <c r="G30" i="1"/>
  <c r="F30" i="1"/>
  <c r="B30" i="1"/>
  <c r="O29" i="1"/>
  <c r="N29" i="1"/>
  <c r="M29" i="1"/>
  <c r="L29" i="1"/>
  <c r="K29" i="1"/>
  <c r="J29" i="1"/>
  <c r="I29" i="1"/>
  <c r="H29" i="1"/>
  <c r="G29" i="1"/>
  <c r="F29" i="1"/>
  <c r="B29" i="1"/>
  <c r="B28" i="1"/>
  <c r="O27" i="1"/>
  <c r="N27" i="1"/>
  <c r="M27" i="1"/>
  <c r="L27" i="1"/>
  <c r="K27" i="1"/>
  <c r="J27" i="1"/>
  <c r="I27" i="1"/>
  <c r="H27" i="1"/>
  <c r="G27" i="1"/>
  <c r="F27" i="1"/>
  <c r="B27" i="1"/>
  <c r="B26" i="1"/>
  <c r="O25" i="1"/>
  <c r="N25" i="1"/>
  <c r="M25" i="1"/>
  <c r="L25" i="1"/>
  <c r="K25" i="1"/>
  <c r="J25" i="1"/>
  <c r="I25" i="1"/>
  <c r="H25" i="1"/>
  <c r="G25" i="1"/>
  <c r="F25" i="1"/>
  <c r="B25" i="1"/>
  <c r="O24" i="1"/>
  <c r="N24" i="1"/>
  <c r="M24" i="1"/>
  <c r="L24" i="1"/>
  <c r="K24" i="1"/>
  <c r="J24" i="1"/>
  <c r="I24" i="1"/>
  <c r="H24" i="1"/>
  <c r="G24" i="1"/>
  <c r="F24" i="1"/>
  <c r="B24" i="1"/>
  <c r="O23" i="1"/>
  <c r="N23" i="1"/>
  <c r="M23" i="1"/>
  <c r="L23" i="1"/>
  <c r="K23" i="1"/>
  <c r="J23" i="1"/>
  <c r="I23" i="1"/>
  <c r="H23" i="1"/>
  <c r="G23" i="1"/>
  <c r="F23" i="1"/>
  <c r="B23" i="1"/>
  <c r="O22" i="1"/>
  <c r="N22" i="1"/>
  <c r="M22" i="1"/>
  <c r="L22" i="1"/>
  <c r="K22" i="1"/>
  <c r="J22" i="1"/>
  <c r="I22" i="1"/>
  <c r="H22" i="1"/>
  <c r="G22" i="1"/>
  <c r="F22" i="1"/>
  <c r="B22" i="1"/>
  <c r="O21" i="1"/>
  <c r="N21" i="1"/>
  <c r="M21" i="1"/>
  <c r="L21" i="1"/>
  <c r="K21" i="1"/>
  <c r="J21" i="1"/>
  <c r="I21" i="1"/>
  <c r="H21" i="1"/>
  <c r="G21" i="1"/>
  <c r="F21" i="1"/>
  <c r="B21" i="1"/>
  <c r="O20" i="1"/>
  <c r="N20" i="1"/>
  <c r="L20" i="1"/>
  <c r="K20" i="1"/>
  <c r="J20" i="1"/>
  <c r="I20" i="1"/>
  <c r="H20" i="1"/>
  <c r="G20" i="1"/>
  <c r="F20" i="1"/>
  <c r="B20" i="1"/>
  <c r="O19" i="1"/>
  <c r="N19" i="1"/>
  <c r="M19" i="1"/>
  <c r="J19" i="1"/>
  <c r="I19" i="1"/>
  <c r="H19" i="1"/>
  <c r="G19" i="1"/>
  <c r="B19" i="1"/>
  <c r="O18" i="1"/>
  <c r="N18" i="1"/>
  <c r="M18" i="1"/>
  <c r="L18" i="1"/>
  <c r="K18" i="1"/>
  <c r="J18" i="1"/>
  <c r="I18" i="1"/>
  <c r="H18" i="1"/>
  <c r="G18" i="1"/>
  <c r="F18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<sst xmlns="http://schemas.openxmlformats.org/spreadsheetml/2006/main" count="3619" uniqueCount="1093">
  <si>
    <t>Plant_ID</t>
  </si>
  <si>
    <t>Species</t>
  </si>
  <si>
    <t>Recorder</t>
  </si>
  <si>
    <t>Collection_Date</t>
  </si>
  <si>
    <t>Flower_Count</t>
  </si>
  <si>
    <t>Flower_1_g</t>
  </si>
  <si>
    <t>Flower_2_g</t>
  </si>
  <si>
    <t>Flower_3_g</t>
  </si>
  <si>
    <t>Flower_4_g</t>
  </si>
  <si>
    <t>Flower_5_g</t>
  </si>
  <si>
    <t>Flower_6_g</t>
  </si>
  <si>
    <t>Flower_7_g</t>
  </si>
  <si>
    <t>Flower_8_g</t>
  </si>
  <si>
    <t>Flower_9_g</t>
  </si>
  <si>
    <t>Flower_10_g</t>
  </si>
  <si>
    <t>Veg_Mass</t>
  </si>
  <si>
    <t>NOTES</t>
  </si>
  <si>
    <t>A1.ACMPAR.1</t>
  </si>
  <si>
    <t>LS</t>
  </si>
  <si>
    <t>B4.ACMPAR.1</t>
  </si>
  <si>
    <t>C3.ACMPAR.1</t>
  </si>
  <si>
    <t>C8.ACMPAR.1</t>
  </si>
  <si>
    <t>D1.ACMPAR.1</t>
  </si>
  <si>
    <t>E1.ACMPAR.1</t>
  </si>
  <si>
    <t>E3.ACMPAR.1</t>
  </si>
  <si>
    <t>F1.ACMPAR.1</t>
  </si>
  <si>
    <t>G6.ACMPAR.1</t>
  </si>
  <si>
    <t>G7.ACMPAR.1</t>
  </si>
  <si>
    <t>H2.ACMPAR.1</t>
  </si>
  <si>
    <t>H6.ACMPAR.1</t>
  </si>
  <si>
    <t>I5.ACMPAR.1</t>
  </si>
  <si>
    <t>I6.ACMPAR.1</t>
  </si>
  <si>
    <t>I8.ACMPAR.1</t>
  </si>
  <si>
    <t>eaten 6/6/2023</t>
  </si>
  <si>
    <t>J2.ACMPAR.1</t>
  </si>
  <si>
    <t>A1.AIRCAR.1</t>
  </si>
  <si>
    <t>B4.AIRCAR.1</t>
  </si>
  <si>
    <t>C3.AIRCAR.1</t>
  </si>
  <si>
    <t>AT</t>
  </si>
  <si>
    <t>C8.AIRCAR.1</t>
  </si>
  <si>
    <t>D1.AIRCAR.1</t>
  </si>
  <si>
    <t>E1.AIRCAR.1</t>
  </si>
  <si>
    <t>MR</t>
  </si>
  <si>
    <t>E3.AIRCAR.1</t>
  </si>
  <si>
    <t>AC</t>
  </si>
  <si>
    <t>F1.AIRCAR.1</t>
  </si>
  <si>
    <t>G6.AIRCAR.1</t>
  </si>
  <si>
    <t>not found 5//17/23</t>
  </si>
  <si>
    <t>G7.AIRCAR.1</t>
  </si>
  <si>
    <t>H2.AIRCAR.1</t>
  </si>
  <si>
    <t>H6.AIRCAR.1</t>
  </si>
  <si>
    <t>I5.AIRCAR.1</t>
  </si>
  <si>
    <t>I6.AIRCAR.1</t>
  </si>
  <si>
    <t>I8.AIRCAR.1</t>
  </si>
  <si>
    <t>J2.AIRCAR.1</t>
  </si>
  <si>
    <t>A2.AMSMEN.1</t>
  </si>
  <si>
    <t>A4.AMSMEN.1</t>
  </si>
  <si>
    <t>B8.AMSMEN.1</t>
  </si>
  <si>
    <t>only 5 full flowers</t>
  </si>
  <si>
    <t>C6.AMSMEN.1</t>
  </si>
  <si>
    <t>died on 4/8, died before flowering</t>
  </si>
  <si>
    <t>C7.AMSMEN.1</t>
  </si>
  <si>
    <t>dead on 4/12/23, died before flowering</t>
  </si>
  <si>
    <t>D3.AMSMEN.1</t>
  </si>
  <si>
    <t>probably died before flowering</t>
  </si>
  <si>
    <t>D5.AMSMEN.1</t>
  </si>
  <si>
    <t>dead 4/8/2023, died before flowering</t>
  </si>
  <si>
    <t>E2.AMSMEN.1</t>
  </si>
  <si>
    <t>E4.AMSMEN.1</t>
  </si>
  <si>
    <t>F2.AMSMEN.1</t>
  </si>
  <si>
    <t>dead 4/3/23, not collected</t>
  </si>
  <si>
    <t>F7.AMSMEN.1</t>
  </si>
  <si>
    <t>dead on 4/8, died before flowering</t>
  </si>
  <si>
    <t>G4.AMSMEN.1</t>
  </si>
  <si>
    <t>H3.AMSMEN.1</t>
  </si>
  <si>
    <t>no full flower to weigh</t>
  </si>
  <si>
    <t>I3.AMSMEN.1</t>
  </si>
  <si>
    <t>J4.AMSMEN.1</t>
  </si>
  <si>
    <t>J7.AMSMEN.1</t>
  </si>
  <si>
    <t>2 samples combined</t>
  </si>
  <si>
    <t>A2.AVEBAR.1</t>
  </si>
  <si>
    <t>only 6 flowers in sample</t>
  </si>
  <si>
    <t>A3.AVEBAR.1</t>
  </si>
  <si>
    <t>2 samples, second recorder is LS</t>
  </si>
  <si>
    <t>A4.AVEBAR.1</t>
  </si>
  <si>
    <t>CC</t>
  </si>
  <si>
    <t>A5.AVEBAR.1</t>
  </si>
  <si>
    <t>2 samples combined second reorder is AT and dated 7/5/23</t>
  </si>
  <si>
    <t>A6.AVEBAR.1</t>
  </si>
  <si>
    <t>A7.AVEBAR.1</t>
  </si>
  <si>
    <t>A8.AVEBAR.1</t>
  </si>
  <si>
    <t>3 combined samples, second recorder is LS, third recorder is MR</t>
  </si>
  <si>
    <t>B1.AVEBAR.1</t>
  </si>
  <si>
    <t>B2.AVEBAR.1</t>
  </si>
  <si>
    <t>B3.AVEBAR.1</t>
  </si>
  <si>
    <t>B5.AVEBAR.1</t>
  </si>
  <si>
    <t>B6.AVEBAR.1</t>
  </si>
  <si>
    <t>B7.AVEBAR.1-B1</t>
  </si>
  <si>
    <t>B8.AVEBAR.1</t>
  </si>
  <si>
    <t>2 samples combined, second recorder is LS</t>
  </si>
  <si>
    <t>C1.AVEBAR.1</t>
  </si>
  <si>
    <t>2 samples combined, second recorder is MR</t>
  </si>
  <si>
    <t>C2.AVEBAR.1</t>
  </si>
  <si>
    <t>C4.AVEBAR.1</t>
  </si>
  <si>
    <t>2 samples combined, second reorder is LS</t>
  </si>
  <si>
    <t>C5.AVEBAR.1</t>
  </si>
  <si>
    <t>not found 8/2/23</t>
  </si>
  <si>
    <t>C6.AVEBAR.1</t>
  </si>
  <si>
    <t>C7.AVEBAR.1</t>
  </si>
  <si>
    <t>D2.AVEBAR.1</t>
  </si>
  <si>
    <t>D3.AVEBAR.1</t>
  </si>
  <si>
    <t>D4.AVEBAR.1</t>
  </si>
  <si>
    <t>D5.AVEBAR.1</t>
  </si>
  <si>
    <t>D6.AVEBAR.1</t>
  </si>
  <si>
    <t>D7.AVEBAR.1</t>
  </si>
  <si>
    <t>D8.AVEBAR.1</t>
  </si>
  <si>
    <t>E2.AVEBAR.1</t>
  </si>
  <si>
    <t>E4.AVEBAR.1</t>
  </si>
  <si>
    <t>E5.AVEBAR.1</t>
  </si>
  <si>
    <t>E6.AVEBAR.1</t>
  </si>
  <si>
    <t>E7.AVEBAR.1</t>
  </si>
  <si>
    <t>E8.AVEBAR.1</t>
  </si>
  <si>
    <t>F2.AVEBAR.1</t>
  </si>
  <si>
    <t>no full flowers to weigh</t>
  </si>
  <si>
    <t>F3.AVEBAR.1</t>
  </si>
  <si>
    <t>not found 6/7/23</t>
  </si>
  <si>
    <t>F4.AVEBAR.1</t>
  </si>
  <si>
    <t>F5.AVEBAR.1</t>
  </si>
  <si>
    <t>F6.AVEBAR.1</t>
  </si>
  <si>
    <t>F7.AVEBAR.1</t>
  </si>
  <si>
    <t xml:space="preserve">2 samples combined, second  reorder is AT </t>
  </si>
  <si>
    <t>F8.AVEBAR.1</t>
  </si>
  <si>
    <t>G1.AVEBAR.1</t>
  </si>
  <si>
    <t>G2.AVEBAR.1</t>
  </si>
  <si>
    <t>G3.AVEBAR.1</t>
  </si>
  <si>
    <t>G4.AVEBAR.1</t>
  </si>
  <si>
    <t>G5.AVEBAR.1</t>
  </si>
  <si>
    <t>G8.AVEBAR.1</t>
  </si>
  <si>
    <t>H1.AVEBAR.1</t>
  </si>
  <si>
    <t>H3.AVEBAR.1</t>
  </si>
  <si>
    <t>H4.AVEBAR.1</t>
  </si>
  <si>
    <t>H5.AVEBAR.1</t>
  </si>
  <si>
    <t>H7.AVEBAR.1</t>
  </si>
  <si>
    <t>H8.AVEBAR.1</t>
  </si>
  <si>
    <t>I1.AVEBAR.1</t>
  </si>
  <si>
    <t>I2.AVEBAR.1</t>
  </si>
  <si>
    <t>I3.AVEBAR.1</t>
  </si>
  <si>
    <t>I4.AVEBAR.1</t>
  </si>
  <si>
    <t>I7.AVEBAR.1</t>
  </si>
  <si>
    <t>J1.AVEBAR.1</t>
  </si>
  <si>
    <t>J3.AVEBAR.1</t>
  </si>
  <si>
    <t>2 samples combined, second by AT and dated 8/4/23</t>
  </si>
  <si>
    <t>J4.AVEBAR.1</t>
  </si>
  <si>
    <t>J5.AVEBAR.1</t>
  </si>
  <si>
    <t>J6.AVEBAR.1</t>
  </si>
  <si>
    <t>J7.AVEBAR.1</t>
  </si>
  <si>
    <t>J8.AVEBAR.1</t>
  </si>
  <si>
    <t>AVEBAR</t>
  </si>
  <si>
    <t>G3.AVEFAT.1</t>
  </si>
  <si>
    <t>AVEFAT</t>
  </si>
  <si>
    <t>H4.AVEFAT.1</t>
  </si>
  <si>
    <t>A2.BROARE.1</t>
  </si>
  <si>
    <t>MR/LS</t>
  </si>
  <si>
    <t>A4.BROARE.1</t>
  </si>
  <si>
    <t>B8.BROARE.1</t>
  </si>
  <si>
    <t>C6.BROARE.1</t>
  </si>
  <si>
    <t>MR/JB</t>
  </si>
  <si>
    <t>C7.BROARE.1</t>
  </si>
  <si>
    <t>D3.BROARE.1</t>
  </si>
  <si>
    <t>JB</t>
  </si>
  <si>
    <t>D5.BROARE.1</t>
  </si>
  <si>
    <t>E2.BROARE.1</t>
  </si>
  <si>
    <t>E4.BROARE.1</t>
  </si>
  <si>
    <t>F2.BROARE.1</t>
  </si>
  <si>
    <t>F7.BROARE.1</t>
  </si>
  <si>
    <t>G4.BROARE.1</t>
  </si>
  <si>
    <t>H3.BROARE.1</t>
  </si>
  <si>
    <t>I3.BROARE.1</t>
  </si>
  <si>
    <t>J4.BROARE.1</t>
  </si>
  <si>
    <t>J7.BROARE.1</t>
  </si>
  <si>
    <t>A1.BRODIA.1</t>
  </si>
  <si>
    <t>A2.BRODIA.1</t>
  </si>
  <si>
    <t>A3.BRODIA.1</t>
  </si>
  <si>
    <t>OH/JB</t>
  </si>
  <si>
    <t>A4.BRODIA.1</t>
  </si>
  <si>
    <t>MH</t>
  </si>
  <si>
    <t>A5.BRODIA.1</t>
  </si>
  <si>
    <t>A6.BRODIA.1</t>
  </si>
  <si>
    <t>LT</t>
  </si>
  <si>
    <t>A7.BRODIA.1</t>
  </si>
  <si>
    <t>AS</t>
  </si>
  <si>
    <t>A8.BRODIA.1</t>
  </si>
  <si>
    <t>B1.BRODIA.1</t>
  </si>
  <si>
    <t>B2.BRODIA.1</t>
  </si>
  <si>
    <t>B3.BRODIA.1</t>
  </si>
  <si>
    <t>B4.BRODIA.1</t>
  </si>
  <si>
    <t>JBL</t>
  </si>
  <si>
    <t>B5.BRODIA.1</t>
  </si>
  <si>
    <t>SS</t>
  </si>
  <si>
    <t>B6.BRODIA.1</t>
  </si>
  <si>
    <t>B7.BRODIA.1</t>
  </si>
  <si>
    <t>MF</t>
  </si>
  <si>
    <t>B8.BRODIA.1</t>
  </si>
  <si>
    <t>C1.BRODIA.1</t>
  </si>
  <si>
    <t>C2.BRODIA.1</t>
  </si>
  <si>
    <t>C3.BRODIA.1</t>
  </si>
  <si>
    <t>C4.BRODIA.1</t>
  </si>
  <si>
    <t>C5.BRODIA.1</t>
  </si>
  <si>
    <t>C6.BRODIA.1</t>
  </si>
  <si>
    <t>C7.BRODIA.1</t>
  </si>
  <si>
    <t>C8.BRODIA.1</t>
  </si>
  <si>
    <t>D1.BRODIA.1</t>
  </si>
  <si>
    <t>D2.BRODIA.1</t>
  </si>
  <si>
    <t>D3.BRODIA.1</t>
  </si>
  <si>
    <t>D4.BRODIA.1</t>
  </si>
  <si>
    <t>D5.BRODIA.1</t>
  </si>
  <si>
    <t>D6.BRODIA.1</t>
  </si>
  <si>
    <t>D7.BRODIA.1</t>
  </si>
  <si>
    <t>D8.BRODIA.1</t>
  </si>
  <si>
    <t>E1.BRODIA.1</t>
  </si>
  <si>
    <t>E2.BRODIA.1</t>
  </si>
  <si>
    <t>à</t>
  </si>
  <si>
    <t>E3.BRODIA.1</t>
  </si>
  <si>
    <t>E4.BRODIA.1</t>
  </si>
  <si>
    <t>E5.BRODIA.1</t>
  </si>
  <si>
    <t>E6.BRODIA.1</t>
  </si>
  <si>
    <t>E7.BRODIA.1</t>
  </si>
  <si>
    <t>E8.BRODIA.1</t>
  </si>
  <si>
    <t>F1.BRODIA.1</t>
  </si>
  <si>
    <t>F2.BRODIA.1</t>
  </si>
  <si>
    <t>BRODIA</t>
  </si>
  <si>
    <t>F3.BRODIA.1</t>
  </si>
  <si>
    <t>F4.BRODIA.1</t>
  </si>
  <si>
    <t>F5.BRODIA.1</t>
  </si>
  <si>
    <t>F6.BRODIA.1</t>
  </si>
  <si>
    <t>F7.BRODIA.1</t>
  </si>
  <si>
    <t>F8.BRODIA.1</t>
  </si>
  <si>
    <t>G1.BRODIA.1</t>
  </si>
  <si>
    <t>no full flowers</t>
  </si>
  <si>
    <t>G2.BRODIA.1</t>
  </si>
  <si>
    <t>G3.BRODIA.1</t>
  </si>
  <si>
    <t>G4.BRODIA.1</t>
  </si>
  <si>
    <t>G5.BRODIA.1</t>
  </si>
  <si>
    <t xml:space="preserve">LT </t>
  </si>
  <si>
    <t>G6.BRODIA.1</t>
  </si>
  <si>
    <t>G7.BRODIA.1</t>
  </si>
  <si>
    <t>G8.BRODIA.1</t>
  </si>
  <si>
    <t>H1.BRODIA.1</t>
  </si>
  <si>
    <t>bag for flowers had lots of small holes, some flowers may be missing</t>
  </si>
  <si>
    <t>H2.BRODIA.1</t>
  </si>
  <si>
    <t>H3.BRODIA.1</t>
  </si>
  <si>
    <t>H4.BRODIA.1</t>
  </si>
  <si>
    <t>H5.BRODIA.1</t>
  </si>
  <si>
    <t>H6.BRODIA.1</t>
  </si>
  <si>
    <t>H7.BRODIA.1</t>
  </si>
  <si>
    <t>H8.BRODIA.1</t>
  </si>
  <si>
    <t>I1.BRODIA.1</t>
  </si>
  <si>
    <t>I2.BRODIA.1</t>
  </si>
  <si>
    <t>LT/JB</t>
  </si>
  <si>
    <t>I3.BRODIA.1</t>
  </si>
  <si>
    <t>AS/MF</t>
  </si>
  <si>
    <t>I4.BRODIA.1</t>
  </si>
  <si>
    <t>not found 5/15/23</t>
  </si>
  <si>
    <t>I5.BRODIA.1</t>
  </si>
  <si>
    <t>I6.BRODIA.1</t>
  </si>
  <si>
    <t>I7.BRODIA.1</t>
  </si>
  <si>
    <t>I8.BRODIA.1</t>
  </si>
  <si>
    <t>J1.BRODIA.1</t>
  </si>
  <si>
    <t xml:space="preserve">duplicate of J1 </t>
  </si>
  <si>
    <t>J2.BRODIA.1</t>
  </si>
  <si>
    <t>still to be found</t>
  </si>
  <si>
    <t>J3.BRODIA.1</t>
  </si>
  <si>
    <t>OH</t>
  </si>
  <si>
    <t>not found 5/17/23, flowers collected in separate bag on 5/23/23</t>
  </si>
  <si>
    <t>J4.BRODIA.1</t>
  </si>
  <si>
    <t>J5.BRODIA.1</t>
  </si>
  <si>
    <t>J6.BRODIA.1</t>
  </si>
  <si>
    <t>J7.BRODIA.1</t>
  </si>
  <si>
    <t>J8.BRODIA.1</t>
  </si>
  <si>
    <t>A1.BROHOR.1</t>
  </si>
  <si>
    <t>A3.BROHOR.1</t>
  </si>
  <si>
    <t>NJ</t>
  </si>
  <si>
    <t>A5.BROHOR.1</t>
  </si>
  <si>
    <t>A6.BROHOR.1</t>
  </si>
  <si>
    <t>A7.BROHOR.1</t>
  </si>
  <si>
    <t>A8.BROHOR.1</t>
  </si>
  <si>
    <t>B1.BROHOR.1</t>
  </si>
  <si>
    <t>B2.BROHOR.1</t>
  </si>
  <si>
    <t>B3.BROHOR.1</t>
  </si>
  <si>
    <t>B4.BROHOR.1</t>
  </si>
  <si>
    <t>not found 5/23/23</t>
  </si>
  <si>
    <t>B5.BROHOR.1</t>
  </si>
  <si>
    <t>B6.BROHOR.1</t>
  </si>
  <si>
    <t>B7.BROHOR.1</t>
  </si>
  <si>
    <t>C1.BROHOR.1</t>
  </si>
  <si>
    <t>no green flowers</t>
  </si>
  <si>
    <t>C2.BROHOR.1</t>
  </si>
  <si>
    <t>C3.BROHOR.1</t>
  </si>
  <si>
    <t>C4.BROHOR.1</t>
  </si>
  <si>
    <t>C5.BROHOR.1</t>
  </si>
  <si>
    <t>C8.BROHOR.1</t>
  </si>
  <si>
    <t>D1.BROHOR.1</t>
  </si>
  <si>
    <t>D2.BROHOR.1</t>
  </si>
  <si>
    <t>D4.BROHOR.1</t>
  </si>
  <si>
    <t>(last sample weighed was left in weigh boat. it also had two awns in it)-AS</t>
  </si>
  <si>
    <t>D6.BROHOR.1</t>
  </si>
  <si>
    <t>OH/AS</t>
  </si>
  <si>
    <t>D7.BROHOR.1</t>
  </si>
  <si>
    <t>not found 5/17/23</t>
  </si>
  <si>
    <t>D8.BROHOR.1</t>
  </si>
  <si>
    <t>E1.BROHOR.1</t>
  </si>
  <si>
    <t>E3.BROHOR.1</t>
  </si>
  <si>
    <t>CC/MR</t>
  </si>
  <si>
    <t>E5.BROHOR.1</t>
  </si>
  <si>
    <t>E6.BROHOR.1</t>
  </si>
  <si>
    <t>E7.BROHOR.1</t>
  </si>
  <si>
    <t>AS/NJ</t>
  </si>
  <si>
    <t>E8.BROHOR.1</t>
  </si>
  <si>
    <t>F1.BROHOR.1</t>
  </si>
  <si>
    <t>NA</t>
  </si>
  <si>
    <t>no green flowers, 2 dates on envelope: 6/12/23 and 8/2/23</t>
  </si>
  <si>
    <t>F3.BROHOR.1</t>
  </si>
  <si>
    <t>F4.BROHOR.1</t>
  </si>
  <si>
    <t>F5.BROHOR.1</t>
  </si>
  <si>
    <t>bag labeled as "not found 06/12/23"</t>
  </si>
  <si>
    <t>F6.BROHOR.1</t>
  </si>
  <si>
    <t>F8.BROHOR.1</t>
  </si>
  <si>
    <t>G1.BROHOR.1</t>
  </si>
  <si>
    <t>G2.BROHOR.1</t>
  </si>
  <si>
    <t>G3.BROHOR.1</t>
  </si>
  <si>
    <t>G5.BROHOR.1</t>
  </si>
  <si>
    <t>G6.BROHOR.1</t>
  </si>
  <si>
    <t>G7.BROHOR.1</t>
  </si>
  <si>
    <t>G8.BROHOR.1</t>
  </si>
  <si>
    <t>H1.BROHOR.1</t>
  </si>
  <si>
    <t>not enough full flowers</t>
  </si>
  <si>
    <t>H2.BROHOR.1</t>
  </si>
  <si>
    <t>H4.BROHOR.1</t>
  </si>
  <si>
    <t>H5.BROHOR.1</t>
  </si>
  <si>
    <t>H6.BROHOR.1</t>
  </si>
  <si>
    <t>H7.BROHOR.1</t>
  </si>
  <si>
    <t>H8.BROHOR.1</t>
  </si>
  <si>
    <t>I1.BROHOR.1</t>
  </si>
  <si>
    <t>I2.BROHOR.1</t>
  </si>
  <si>
    <t>No green flowers found</t>
  </si>
  <si>
    <t>I4.BROHOR.1</t>
  </si>
  <si>
    <t>I5.BROHOR.1</t>
  </si>
  <si>
    <t>I6.BROHOR.1</t>
  </si>
  <si>
    <t>I7.BROHOR.1</t>
  </si>
  <si>
    <t>no green fls</t>
  </si>
  <si>
    <t>I8.BROHOR.1</t>
  </si>
  <si>
    <t>J1.BROHOR.1</t>
  </si>
  <si>
    <t>J2.BROHOR.1</t>
  </si>
  <si>
    <t>J3.BROHOR.1</t>
  </si>
  <si>
    <t>J5.BROHOR.1</t>
  </si>
  <si>
    <t>J6.BROHOR.1</t>
  </si>
  <si>
    <t>J8.BROHOR.1</t>
  </si>
  <si>
    <t>A2.BROMAD.1</t>
  </si>
  <si>
    <t>A4.BROMAD.1</t>
  </si>
  <si>
    <t>A5.BROMAD.1</t>
  </si>
  <si>
    <t>A6.BROMAD.1</t>
  </si>
  <si>
    <t>A7.BROMAD.1</t>
  </si>
  <si>
    <t>AS/MH</t>
  </si>
  <si>
    <t>A8.BROMAD.1</t>
  </si>
  <si>
    <t>B2.BROMAD.1</t>
  </si>
  <si>
    <t>B3.BROMAD.1</t>
  </si>
  <si>
    <t>B5.BROMAD.1</t>
  </si>
  <si>
    <t>B6.BROMAD.1</t>
  </si>
  <si>
    <t>B8.BROMAD.1</t>
  </si>
  <si>
    <t>C1.BROMAD.1</t>
  </si>
  <si>
    <t>C2.BROMAD.1</t>
  </si>
  <si>
    <t>C6.BROMAD.1</t>
  </si>
  <si>
    <t>C7.BROMAD.1</t>
  </si>
  <si>
    <t>D3.BROMAD.1</t>
  </si>
  <si>
    <t>D4.BROMAD.1</t>
  </si>
  <si>
    <t>D5.BROMAD.1</t>
  </si>
  <si>
    <t>D7.BROMAD.1</t>
  </si>
  <si>
    <t>D8.BROMAD.1</t>
  </si>
  <si>
    <t>E2.BROMAD.1</t>
  </si>
  <si>
    <t>E4.BROMAD.1</t>
  </si>
  <si>
    <t>E5.BROMAD.1</t>
  </si>
  <si>
    <t>E6.BROMAD.1</t>
  </si>
  <si>
    <t>E7.BROMAD.1</t>
  </si>
  <si>
    <t>F2.BROMAD.1</t>
  </si>
  <si>
    <t xml:space="preserve"> </t>
  </si>
  <si>
    <t>F4.BROMAD.1</t>
  </si>
  <si>
    <t>F5.BROMAD.1</t>
  </si>
  <si>
    <t>F6.BROMAD.1</t>
  </si>
  <si>
    <t>F7.BROMAD.1</t>
  </si>
  <si>
    <t>G2.BROMAD.1</t>
  </si>
  <si>
    <t>G3.BROMAD.1</t>
  </si>
  <si>
    <t>G4.BROMAD.1</t>
  </si>
  <si>
    <t>G5.BROMAD.1</t>
  </si>
  <si>
    <t>H1.BROMAD.1</t>
  </si>
  <si>
    <t>H3.BROMAD.1</t>
  </si>
  <si>
    <t>H4.BROMAD.1</t>
  </si>
  <si>
    <t>H7.BROMAD.1</t>
  </si>
  <si>
    <t>H8.BROMAD.1</t>
  </si>
  <si>
    <t>I2.BROMAD.1</t>
  </si>
  <si>
    <t>I3.BROMAD.1</t>
  </si>
  <si>
    <t>I7.BROMAD.1</t>
  </si>
  <si>
    <t>J3.BROMAD.1</t>
  </si>
  <si>
    <t>J4.BROMAD.1</t>
  </si>
  <si>
    <t>J5.BROMAD.1</t>
  </si>
  <si>
    <t>J6.BROMAD.1</t>
  </si>
  <si>
    <t>J7.BROMAD.1</t>
  </si>
  <si>
    <t>J8.BROMAD.1</t>
  </si>
  <si>
    <t>A6.CALMEN.1</t>
  </si>
  <si>
    <t>A7.CALMEN.1</t>
  </si>
  <si>
    <t>sacraficed 4/19/23</t>
  </si>
  <si>
    <t>B3.CALMEN.1</t>
  </si>
  <si>
    <t>B6.CALMEN.1</t>
  </si>
  <si>
    <t>C2.CALMEN.1</t>
  </si>
  <si>
    <t>D7.CALMEN.1</t>
  </si>
  <si>
    <t>D8.CALMEN.1</t>
  </si>
  <si>
    <t>weed, wrong id</t>
  </si>
  <si>
    <t>E5.CALMEN.1</t>
  </si>
  <si>
    <t>E6.CALMEN.1</t>
  </si>
  <si>
    <t>F6.CALMEN.1</t>
  </si>
  <si>
    <t>G3.CALMEN..1</t>
  </si>
  <si>
    <t>H1.CALMEN.1</t>
  </si>
  <si>
    <t>H8.CALMEN.1</t>
  </si>
  <si>
    <t>I2.CALMEN.1</t>
  </si>
  <si>
    <t>J5.CALMEN.1</t>
  </si>
  <si>
    <t>J8.CALMEN.1</t>
  </si>
  <si>
    <t>A2.CAUCOU.1</t>
  </si>
  <si>
    <t>struggling 4/13/23, dead 4/21/23</t>
  </si>
  <si>
    <t>A4.CAUCOU.1</t>
  </si>
  <si>
    <t>B8.CAUCOU.1</t>
  </si>
  <si>
    <t>C6.CAUCOU.1</t>
  </si>
  <si>
    <t>C7.CAUCOU.1</t>
  </si>
  <si>
    <t>D3.CAUCOU.1</t>
  </si>
  <si>
    <t>D5.CAUCOU.1</t>
  </si>
  <si>
    <t>E2.CAUCOU.1</t>
  </si>
  <si>
    <t>E4.CAUCOU.1</t>
  </si>
  <si>
    <t>F2.CAUCOU.1</t>
  </si>
  <si>
    <t>F7.CAUCOU.1</t>
  </si>
  <si>
    <t>G4.CAUCOU.1</t>
  </si>
  <si>
    <t>H3.CAUCOU.1</t>
  </si>
  <si>
    <t>I3.CAUCOU.1</t>
  </si>
  <si>
    <t>J4.CAUCOU.1</t>
  </si>
  <si>
    <t>J7.CAUCOU.1</t>
  </si>
  <si>
    <t>A6.CENMEL.1</t>
  </si>
  <si>
    <t>A7.CENMEL.1</t>
  </si>
  <si>
    <t>B3.CENMEL.1</t>
  </si>
  <si>
    <t>B6.CENMEL.1</t>
  </si>
  <si>
    <t>C2.CENMEL.1</t>
  </si>
  <si>
    <t>MH/MR</t>
  </si>
  <si>
    <t>D7.CENMEL.1</t>
  </si>
  <si>
    <t>D8.CENMEL.1</t>
  </si>
  <si>
    <t>E5.CENMEL.1</t>
  </si>
  <si>
    <t>E6.CENMEL.1</t>
  </si>
  <si>
    <t>F6.CENMEL.1</t>
  </si>
  <si>
    <t>G3.CENMEL.1</t>
  </si>
  <si>
    <t>only 4 green fls</t>
  </si>
  <si>
    <t>H1.CENMEL.1</t>
  </si>
  <si>
    <t>H8.CENMEL.1</t>
  </si>
  <si>
    <t>I2.CENMEL.1</t>
  </si>
  <si>
    <t>J5.CENMEL.1</t>
  </si>
  <si>
    <t>J8.CENMEL.1</t>
  </si>
  <si>
    <t>19.31g from unlabeled bag that was in bag with labeled one</t>
  </si>
  <si>
    <t>A1.CLAPUR.1</t>
  </si>
  <si>
    <t>A3.CLAPUR.1</t>
  </si>
  <si>
    <t>A5.CLAPUR.1</t>
  </si>
  <si>
    <t>A8.CLAPUR.1</t>
  </si>
  <si>
    <t>B1.CLAPUR.1</t>
  </si>
  <si>
    <t>B2.CLAPUR.1</t>
  </si>
  <si>
    <t>B4.CLAPUR.1</t>
  </si>
  <si>
    <t>B5.CLAPUR.1</t>
  </si>
  <si>
    <t>B7.CLAPUR.1</t>
  </si>
  <si>
    <t>C1.CLAPUR.1</t>
  </si>
  <si>
    <t>C3.CLAPUR.1</t>
  </si>
  <si>
    <t>C4.CLAPUR.1</t>
  </si>
  <si>
    <t>C5.CLAPUR.1</t>
  </si>
  <si>
    <t>C8.CLAPUR.1</t>
  </si>
  <si>
    <t>D1.CLAPUR.1</t>
  </si>
  <si>
    <t>D2.CLAPUR.1</t>
  </si>
  <si>
    <t>D4.CLAPUR.1</t>
  </si>
  <si>
    <t>D6.CLAPUR.1</t>
  </si>
  <si>
    <t>E1.CLAPUR.1</t>
  </si>
  <si>
    <t>E3.CLAPUR.1</t>
  </si>
  <si>
    <t>E7.CLAPUR.1</t>
  </si>
  <si>
    <t>E8.CLAPUR.1</t>
  </si>
  <si>
    <t>F1.CLAPUR.1</t>
  </si>
  <si>
    <t>F3.CLAPUR.1</t>
  </si>
  <si>
    <t>F4.CLAPUR.1</t>
  </si>
  <si>
    <t>F5.CLAPUR.1</t>
  </si>
  <si>
    <t>F8.CLAPUR.1</t>
  </si>
  <si>
    <t>G1.CLAPUR.1</t>
  </si>
  <si>
    <t>G2.CLAPUR.1</t>
  </si>
  <si>
    <t>G5.CLAPUR.1</t>
  </si>
  <si>
    <t>G6.CLAPUR.1</t>
  </si>
  <si>
    <t>G7.CLAPUR.1</t>
  </si>
  <si>
    <t>G8.CLAPUR.1</t>
  </si>
  <si>
    <t>H2.CLAPUR.1</t>
  </si>
  <si>
    <t>H4.CLAPUR.1</t>
  </si>
  <si>
    <t>H5.CLAPUR.1</t>
  </si>
  <si>
    <t>H6.CLAPUR.1</t>
  </si>
  <si>
    <t>H7.CLAPUR.1</t>
  </si>
  <si>
    <t>I1.CLAPUR.1</t>
  </si>
  <si>
    <t>I4.CLAPUR.1</t>
  </si>
  <si>
    <t>I5.CLAPUR.1</t>
  </si>
  <si>
    <t>I6.CLAPUR.1</t>
  </si>
  <si>
    <t>I7.CLAPUR.1</t>
  </si>
  <si>
    <t>I8.CLAPUR.1</t>
  </si>
  <si>
    <t>J1.CLAPUR.1</t>
  </si>
  <si>
    <t>J2.CLAPUR.1</t>
  </si>
  <si>
    <t>J3.CLAPUR.1</t>
  </si>
  <si>
    <t>J6.CLAPUR.1</t>
  </si>
  <si>
    <t>A6.CORFIL.1</t>
  </si>
  <si>
    <t>A7.CORFIL.1</t>
  </si>
  <si>
    <t>B3.CORFIL.1</t>
  </si>
  <si>
    <t>B6.CORFIL.1</t>
  </si>
  <si>
    <t>C2.CORFIL.1</t>
  </si>
  <si>
    <t>D7.CORFIL.1</t>
  </si>
  <si>
    <t>D8.CORFIL.1</t>
  </si>
  <si>
    <t>E5.CORFIL.1</t>
  </si>
  <si>
    <t>E6.CORFIL.1</t>
  </si>
  <si>
    <t>F6.CORFIL.1</t>
  </si>
  <si>
    <t>G3.CORFIL.1</t>
  </si>
  <si>
    <t>H1.CORFIL.1</t>
  </si>
  <si>
    <t>H8.CORFIL.1</t>
  </si>
  <si>
    <t>I2.CORFIL.1</t>
  </si>
  <si>
    <t>J5.CORFIL.1</t>
  </si>
  <si>
    <t>J8.CORFIL.1</t>
  </si>
  <si>
    <t>A1.DANCAL.1</t>
  </si>
  <si>
    <t>B4.DANCAL.1</t>
  </si>
  <si>
    <t>C3.DANCAL.1</t>
  </si>
  <si>
    <t>C8.DANCAL.1</t>
  </si>
  <si>
    <t>D1.DANCAL.1</t>
  </si>
  <si>
    <t>E1.DANCAL.1</t>
  </si>
  <si>
    <t>E3.DANCAL.1</t>
  </si>
  <si>
    <t>F1.DANCAL.1</t>
  </si>
  <si>
    <t>G6.DANCAL.1</t>
  </si>
  <si>
    <t>G7.DANCAL.1</t>
  </si>
  <si>
    <t>H2.DANCAL.1</t>
  </si>
  <si>
    <t>H6.DANCAL.1</t>
  </si>
  <si>
    <t>I5.DANCAL.1</t>
  </si>
  <si>
    <t>I6.DANCAL.1</t>
  </si>
  <si>
    <t>I8.DANCAL.1</t>
  </si>
  <si>
    <t>J2.DANCAL.1</t>
  </si>
  <si>
    <t>A1.DAUPUS.1</t>
  </si>
  <si>
    <t>MF &amp; AS</t>
  </si>
  <si>
    <t>A3.DAUPUS.1</t>
  </si>
  <si>
    <t>B1.DAUPUS.1</t>
  </si>
  <si>
    <t>B4.DAUPUS.1</t>
  </si>
  <si>
    <t>B7.DAUPUS.1</t>
  </si>
  <si>
    <t>C3.DAUPUS.1-C8</t>
  </si>
  <si>
    <t>C4.DAUPUS.1</t>
  </si>
  <si>
    <t>C5.DAUPUS.1</t>
  </si>
  <si>
    <t>C8.DAUPUS.1</t>
  </si>
  <si>
    <t>D1.DAUPUS.1</t>
  </si>
  <si>
    <t>D2.DAUPUS.1</t>
  </si>
  <si>
    <t>no flowering fls</t>
  </si>
  <si>
    <t>D6.DAUPUS.1</t>
  </si>
  <si>
    <t>E1.DAUPUS.1</t>
  </si>
  <si>
    <t>E3.DAUPUS.1</t>
  </si>
  <si>
    <t>E8.DAUPUS.1</t>
  </si>
  <si>
    <t>no flowers</t>
  </si>
  <si>
    <t>F1.DAUPUS.1</t>
  </si>
  <si>
    <t>F3.DAUPUS.1</t>
  </si>
  <si>
    <t>F8.DAUPUS.1</t>
  </si>
  <si>
    <t>G1.DAUPUS.1</t>
  </si>
  <si>
    <t>DAUPUS</t>
  </si>
  <si>
    <t>G5.DAUPUS.1</t>
  </si>
  <si>
    <t>not found</t>
  </si>
  <si>
    <t>G6.DAUPUS.1</t>
  </si>
  <si>
    <t>G7.DAUPUS.1</t>
  </si>
  <si>
    <t>AS/JBL</t>
  </si>
  <si>
    <t>G8.DAUPUS.1</t>
  </si>
  <si>
    <t>H2.DAUPUS.1</t>
  </si>
  <si>
    <t>H5.DAUPUS.1</t>
  </si>
  <si>
    <t>H6.DAUPUS.1</t>
  </si>
  <si>
    <t>I1.DAUPUS.1</t>
  </si>
  <si>
    <t>I4.DAUPUS.1</t>
  </si>
  <si>
    <t>missing, not found 6/12/23</t>
  </si>
  <si>
    <t>I5.DAUPUS.1</t>
  </si>
  <si>
    <t>not found 5/31/23, herbivory</t>
  </si>
  <si>
    <t>I6.DAUPUS.1</t>
  </si>
  <si>
    <t>I8.DAUPUS.1</t>
  </si>
  <si>
    <t>J1.DAUPUS.1</t>
  </si>
  <si>
    <t>not enough flowers to count 10, most were seeds.</t>
  </si>
  <si>
    <t>J2.DAUPUS.1</t>
  </si>
  <si>
    <t>A5.ELYCAP.1</t>
  </si>
  <si>
    <t>A8.ELYCAP.1</t>
  </si>
  <si>
    <t>B2.ELYCAP.1</t>
  </si>
  <si>
    <t>B5.ELYCAP.1</t>
  </si>
  <si>
    <t>C1.ELYCAP.1</t>
  </si>
  <si>
    <t>D4.ELYCAP.1</t>
  </si>
  <si>
    <t>E7.ELYCAP.1</t>
  </si>
  <si>
    <t>F4.ELYCAP.1</t>
  </si>
  <si>
    <t>F5.ELYCAP.1</t>
  </si>
  <si>
    <t>G2.ELYCAP.1</t>
  </si>
  <si>
    <t>G5.ELYCAP.1</t>
  </si>
  <si>
    <t>H4.ELYCAP.1</t>
  </si>
  <si>
    <t>H7.ELYCAP.1</t>
  </si>
  <si>
    <t>I7.ELYCAP.1</t>
  </si>
  <si>
    <t>J3.ELYCAP.1</t>
  </si>
  <si>
    <t>J6.ELYCAP.1</t>
  </si>
  <si>
    <t>A3.EROBOT.1</t>
  </si>
  <si>
    <t>A5.EROBOT.1</t>
  </si>
  <si>
    <t>A8.EROBOT.1</t>
  </si>
  <si>
    <t>B1.EROBOT.1</t>
  </si>
  <si>
    <t>B2.EROBOT.1</t>
  </si>
  <si>
    <t>B5.EROBOT.1</t>
  </si>
  <si>
    <t>5/26/2023+8/23/23</t>
  </si>
  <si>
    <t>two fls bags, different dates</t>
  </si>
  <si>
    <t>B7.EROBOT.1</t>
  </si>
  <si>
    <t>C1.EROBOT.1</t>
  </si>
  <si>
    <t>C4.EROBOT.1</t>
  </si>
  <si>
    <t>C5.EROBOT.1</t>
  </si>
  <si>
    <t>5/10/23?+8/23/23</t>
  </si>
  <si>
    <t>D2.EROBOT.1</t>
  </si>
  <si>
    <t>D4.EROBOT.1</t>
  </si>
  <si>
    <t>D6.EROBOT.1</t>
  </si>
  <si>
    <t>not found, wrong plot</t>
  </si>
  <si>
    <t>E7.EROBOT.1</t>
  </si>
  <si>
    <t xml:space="preserve">no weighable flower </t>
  </si>
  <si>
    <t>E8.EROBOT.1</t>
  </si>
  <si>
    <t>F3.EROBOT.1</t>
  </si>
  <si>
    <t>only one purple flower</t>
  </si>
  <si>
    <t>F4.EROBOT.1</t>
  </si>
  <si>
    <t>F5.EROBOT.1</t>
  </si>
  <si>
    <t>F8.EROBOT.1</t>
  </si>
  <si>
    <t>G1.EROBOT.1</t>
  </si>
  <si>
    <t>G2.EROBOT.1</t>
  </si>
  <si>
    <t>G5.EROBOT.1</t>
  </si>
  <si>
    <t>G8.EROBOT.1</t>
  </si>
  <si>
    <t>only 2 weighable flowera</t>
  </si>
  <si>
    <t>H4.EROBOT.1</t>
  </si>
  <si>
    <t>H5.EROBOT.1</t>
  </si>
  <si>
    <t>H7.EROBOT.1</t>
  </si>
  <si>
    <t>I1.EROBOT.1</t>
  </si>
  <si>
    <t>I4.EROBOT.1</t>
  </si>
  <si>
    <t>I7.EROBOT.1</t>
  </si>
  <si>
    <t>J1.EROBOT.1</t>
  </si>
  <si>
    <t>J3.EROBOT.1</t>
  </si>
  <si>
    <t xml:space="preserve">4 weighable flowers </t>
  </si>
  <si>
    <t>J6.EROBOT.1</t>
  </si>
  <si>
    <t>A2.EROCIC.1</t>
  </si>
  <si>
    <t>A4.EROCIC.1</t>
  </si>
  <si>
    <t>IH</t>
  </si>
  <si>
    <t>A6.EROCIC.1</t>
  </si>
  <si>
    <t>B3.EROCIC.1</t>
  </si>
  <si>
    <t>B6.EROCIC.1</t>
  </si>
  <si>
    <t>B8.EROCIC.1</t>
  </si>
  <si>
    <t>C2.EROCIC.1</t>
  </si>
  <si>
    <t>C6.EROCIC.1</t>
  </si>
  <si>
    <t>C7.EROCIC.1</t>
  </si>
  <si>
    <t>D3.EROCIC.1</t>
  </si>
  <si>
    <t>D5.EROCIC.1</t>
  </si>
  <si>
    <t>not present</t>
  </si>
  <si>
    <t>D7.EROCIC.1</t>
  </si>
  <si>
    <t>D8.EROCIC.1</t>
  </si>
  <si>
    <t>E2.EROCIC.1</t>
  </si>
  <si>
    <t>NM</t>
  </si>
  <si>
    <t>E4.EROCIC.1</t>
  </si>
  <si>
    <t>E5.EROCIC.1</t>
  </si>
  <si>
    <t>E6.EROCIC.1</t>
  </si>
  <si>
    <t>F2.EROCIC.1</t>
  </si>
  <si>
    <t>F6.EROCIC.1</t>
  </si>
  <si>
    <t>F7.EROCIC.1</t>
  </si>
  <si>
    <t>F8.EROCIC.1</t>
  </si>
  <si>
    <t>wrong</t>
  </si>
  <si>
    <t>G3.EROCIC.1</t>
  </si>
  <si>
    <t>G4.EROCIC.1</t>
  </si>
  <si>
    <t>G5.EROCIC.1</t>
  </si>
  <si>
    <t>H1.EROCIC.1</t>
  </si>
  <si>
    <t>H3.EROCIC.1</t>
  </si>
  <si>
    <t>H8.EROCIC.1</t>
  </si>
  <si>
    <t>I2.EROCIC.1</t>
  </si>
  <si>
    <t>I3.EROCIC.1</t>
  </si>
  <si>
    <t>J4.EROCIC.1</t>
  </si>
  <si>
    <t>J5.EROCIC.1</t>
  </si>
  <si>
    <t>J7.EROCIC.1</t>
  </si>
  <si>
    <t>J8.EROCIC.1</t>
  </si>
  <si>
    <t>NO FLS, ALL FR</t>
  </si>
  <si>
    <t>A1.ESCCAL.1</t>
  </si>
  <si>
    <t>A2.ESCCAL.1</t>
  </si>
  <si>
    <t>A4.ESCCAL.1</t>
  </si>
  <si>
    <t>in bud 3/24/23, in bud 3/30/23, 1 FL 4/5/2023, dead &amp; roots disturbed 4/13/2023</t>
  </si>
  <si>
    <t>A6.ESCCAL.1</t>
  </si>
  <si>
    <t>A7.ESCCAL.1</t>
  </si>
  <si>
    <t>B3.ESCCAL.1</t>
  </si>
  <si>
    <t>B4.ESCCAL.1</t>
  </si>
  <si>
    <t>B6.ESCCAL.1</t>
  </si>
  <si>
    <t>B8.ESCCAL.1</t>
  </si>
  <si>
    <t>C2.ESCCAL.1</t>
  </si>
  <si>
    <t>C3.ESCCAL.1</t>
  </si>
  <si>
    <t>C6.ESCCAL.1</t>
  </si>
  <si>
    <t>C7.ESCCAL.1</t>
  </si>
  <si>
    <t>in bud 3/20/23, in bud 3/30/23, dead 4/29/2023</t>
  </si>
  <si>
    <t>C8.ESCCAL.1</t>
  </si>
  <si>
    <t>D1.ESCCAL.1</t>
  </si>
  <si>
    <t>D3.ESCCAL.1</t>
  </si>
  <si>
    <t>dying 4/12/2023, dead 4/24/2023, outcompeted by BROARE?, died before flowering</t>
  </si>
  <si>
    <t>D5.ESCCAL.1</t>
  </si>
  <si>
    <t>D7.ESCCAL.1</t>
  </si>
  <si>
    <t>D8.ESCCAL.1</t>
  </si>
  <si>
    <t>E1.ESCCAL.1</t>
  </si>
  <si>
    <t>E2.ESCCAL.1</t>
  </si>
  <si>
    <t>E3.ESCCAL.1</t>
  </si>
  <si>
    <t>E4.ESCCAL.1</t>
  </si>
  <si>
    <t>E5.ESCCAL.1</t>
  </si>
  <si>
    <t>E6.ESCCAL.1</t>
  </si>
  <si>
    <t>F1.ESCCAL.1</t>
  </si>
  <si>
    <t>F2.ESCCAL.1</t>
  </si>
  <si>
    <t>F6.ESCCAL.1</t>
  </si>
  <si>
    <t>F7.ESCCAL.1</t>
  </si>
  <si>
    <t>G3.ESCCAL.1</t>
  </si>
  <si>
    <t>G4.ESCCAL.1</t>
  </si>
  <si>
    <t>G6.ESCCAL.1</t>
  </si>
  <si>
    <t>G7.ESCCAL.1</t>
  </si>
  <si>
    <t>H1.ESCCAL.1</t>
  </si>
  <si>
    <t>H2.ESCCAL.1</t>
  </si>
  <si>
    <t>H3.ESCCAL.1</t>
  </si>
  <si>
    <t>H6.ESCCAL.1</t>
  </si>
  <si>
    <t>H8.ESCCAL.1</t>
  </si>
  <si>
    <t>I2.ESCCAL.1</t>
  </si>
  <si>
    <t>I3.ESCCAL.1</t>
  </si>
  <si>
    <t>I5.ESCCAL.1</t>
  </si>
  <si>
    <t>I6.ESCCAL.1-I5</t>
  </si>
  <si>
    <t>I8.ESCCAL.1</t>
  </si>
  <si>
    <t>J2.ESCCAL.1</t>
  </si>
  <si>
    <t>J4.ESCCAL.1</t>
  </si>
  <si>
    <t>J5.ESCCAL.1</t>
  </si>
  <si>
    <t>J7.ESCCAL.1</t>
  </si>
  <si>
    <t>J8.ESCCAL.1</t>
  </si>
  <si>
    <t>A1.GALPAR.1</t>
  </si>
  <si>
    <t>counted fruits not flowers</t>
  </si>
  <si>
    <t>B4.GALPAR.1</t>
  </si>
  <si>
    <t>C3.GALPAR.1</t>
  </si>
  <si>
    <t>C8.GALPAR.1</t>
  </si>
  <si>
    <t>not found 5/31/23</t>
  </si>
  <si>
    <t>D1.GALPAR.1</t>
  </si>
  <si>
    <t>accidentally removed 6/16/23</t>
  </si>
  <si>
    <t>E1.GALPAR.1</t>
  </si>
  <si>
    <t>E3.GALPAR.1</t>
  </si>
  <si>
    <t>F1.GALPAR.1</t>
  </si>
  <si>
    <t>G6.GALPAR.1</t>
  </si>
  <si>
    <t>G7.GALPAR.1</t>
  </si>
  <si>
    <t>H2.GALPAR.1</t>
  </si>
  <si>
    <t>H6.GALPAR.1</t>
  </si>
  <si>
    <t>I5.GALPAR.1</t>
  </si>
  <si>
    <t>I6.GALPAR.1</t>
  </si>
  <si>
    <t>I8.GALPAR.1</t>
  </si>
  <si>
    <t>not found 5/31/23, buried</t>
  </si>
  <si>
    <t>J2.GALPAR.1</t>
  </si>
  <si>
    <t>A3.GERDIS.1</t>
  </si>
  <si>
    <t>B1.GERDIS.1</t>
  </si>
  <si>
    <t>B7.GERDIS.1</t>
  </si>
  <si>
    <t>C4.GERDIS.1</t>
  </si>
  <si>
    <t>C5.GERDIS.1</t>
  </si>
  <si>
    <t>D2.GERDIS.1</t>
  </si>
  <si>
    <t>D6.GERDIS.1</t>
  </si>
  <si>
    <t>E8.GERDIS.1</t>
  </si>
  <si>
    <t>F3.GERDIS.1</t>
  </si>
  <si>
    <t>F8.GERDIS.1</t>
  </si>
  <si>
    <t>G1.GERDIS.1</t>
  </si>
  <si>
    <t>G8.GERDIS.1</t>
  </si>
  <si>
    <t>H5.GERDIS.1</t>
  </si>
  <si>
    <t>I1.GERDIS.1</t>
  </si>
  <si>
    <t>I4.GERDIS.1</t>
  </si>
  <si>
    <t>J1.GERDIS.1</t>
  </si>
  <si>
    <t>A5.HOLVIR.1</t>
  </si>
  <si>
    <t>A8.HOLVIR.1</t>
  </si>
  <si>
    <t>B2.HOLVIR.1</t>
  </si>
  <si>
    <t>B5.HOLVIR.1</t>
  </si>
  <si>
    <t>C1.HOLVIR.1</t>
  </si>
  <si>
    <t>D4.HOLVIR.1</t>
  </si>
  <si>
    <t>E7.HOLVIR.1</t>
  </si>
  <si>
    <t>F4.HOLVIR.1</t>
  </si>
  <si>
    <t>F5.HOLVIR.1</t>
  </si>
  <si>
    <t>G2.HOLVIR.1</t>
  </si>
  <si>
    <t>G5.HOLVIR.1</t>
  </si>
  <si>
    <t>H4.HOLVIR.1</t>
  </si>
  <si>
    <t>H7.HOLVIR.1</t>
  </si>
  <si>
    <t>I7.HOLVIR.1</t>
  </si>
  <si>
    <t>J3.HOLVIR.1</t>
  </si>
  <si>
    <t>J6.HOLVIR.1</t>
  </si>
  <si>
    <t>A1.HYPGLA.1</t>
  </si>
  <si>
    <t>B4.HYPGLA.1</t>
  </si>
  <si>
    <t>C3.HYPGLA.1</t>
  </si>
  <si>
    <t>C8.HYPGLA.1</t>
  </si>
  <si>
    <t>D1.HYPGLA.1</t>
  </si>
  <si>
    <t>E1.HYPGLA.1</t>
  </si>
  <si>
    <t>E3.HYPGLA.1</t>
  </si>
  <si>
    <t>F1.HYPGLA.1</t>
  </si>
  <si>
    <t>G6.HYPGLA.1</t>
  </si>
  <si>
    <t>G7.HYPGLA.1</t>
  </si>
  <si>
    <t>H2.HYPGLA.1</t>
  </si>
  <si>
    <t>H6.HYPGLA.1</t>
  </si>
  <si>
    <t>I5.HYPGLA.1</t>
  </si>
  <si>
    <t>not found 6/1/23</t>
  </si>
  <si>
    <t>I6.HYPGLA.1</t>
  </si>
  <si>
    <t>I8.HYPGLA.1</t>
  </si>
  <si>
    <t>herbivory 6/1/23, eaten 6/21/23</t>
  </si>
  <si>
    <t>J2.HYPGLA.1</t>
  </si>
  <si>
    <t>A3.LUPBIC.1</t>
  </si>
  <si>
    <t>A5.LUPBIC.1</t>
  </si>
  <si>
    <t>dead,not found 5/19/23</t>
  </si>
  <si>
    <t>A8.LUPBIC.1</t>
  </si>
  <si>
    <t>B1.LUPBIC.1</t>
  </si>
  <si>
    <t>B2.LUPBIC.1</t>
  </si>
  <si>
    <t>B5.LUPBIC.1</t>
  </si>
  <si>
    <t>B7.LUPBIC.1</t>
  </si>
  <si>
    <t>C1.LUPBIC.1</t>
  </si>
  <si>
    <t>C4.LUPBIC.1</t>
  </si>
  <si>
    <t>C5.LUPBIC.1</t>
  </si>
  <si>
    <t>D2.LUPBIC.1</t>
  </si>
  <si>
    <t>D4.LUPBIC.1</t>
  </si>
  <si>
    <t>D6.LUPBIC.1</t>
  </si>
  <si>
    <t>E7.LUPBIC.1</t>
  </si>
  <si>
    <t>E8.LUPBIC.1</t>
  </si>
  <si>
    <t>F3.LUPBIC.1</t>
  </si>
  <si>
    <t>F4.LUPBIC.1</t>
  </si>
  <si>
    <t>F5.LUPBIC.1</t>
  </si>
  <si>
    <t>F8.LUPBIC.1</t>
  </si>
  <si>
    <t>G1.LUPBIC.1</t>
  </si>
  <si>
    <t>G2.LUPBIC.1</t>
  </si>
  <si>
    <t>G8.LUPBIC.1</t>
  </si>
  <si>
    <t>H4.LUPBIC.1</t>
  </si>
  <si>
    <t>H5.LUPBIC.1</t>
  </si>
  <si>
    <t>H7.LUPBIC.1</t>
  </si>
  <si>
    <t>I1.LUPBIC.1</t>
  </si>
  <si>
    <t>I4.LUPBIC.1</t>
  </si>
  <si>
    <t>I7.LUPBIC.1</t>
  </si>
  <si>
    <t>J1.LUPBIC.1</t>
  </si>
  <si>
    <t>J3.LUPBIC.1</t>
  </si>
  <si>
    <t>J6.LUPBIC.1</t>
  </si>
  <si>
    <t>dead 4/13/2023, died before flowering</t>
  </si>
  <si>
    <t>A2.LUPMIC.1</t>
  </si>
  <si>
    <t>A4.LUPMIC.1</t>
  </si>
  <si>
    <t>B8.LUPMIC.1</t>
  </si>
  <si>
    <t>C6.LUPMIC.1</t>
  </si>
  <si>
    <t>C7.LUPMIC.1</t>
  </si>
  <si>
    <t>D3.LUPMIC.1</t>
  </si>
  <si>
    <t>D5.LUPMIC.1</t>
  </si>
  <si>
    <t>E2.LUPMIC.1</t>
  </si>
  <si>
    <t>E4.LUPMIC.1</t>
  </si>
  <si>
    <t>F2.LUPMIC.1</t>
  </si>
  <si>
    <t>F7.LUPMIC.1</t>
  </si>
  <si>
    <t>G4.LUPMIC.1</t>
  </si>
  <si>
    <t>G5.LUPMIC.1</t>
  </si>
  <si>
    <t>H3.LUPMIC.1</t>
  </si>
  <si>
    <t>I3.LUPMIC.1</t>
  </si>
  <si>
    <t>J4.LUPMIC.1</t>
  </si>
  <si>
    <t>J7.LUPMIC.1</t>
  </si>
  <si>
    <t>A2.LUPSUC.1</t>
  </si>
  <si>
    <t>A4.LUPSUC.1</t>
  </si>
  <si>
    <t>B8.LUPSUC.1</t>
  </si>
  <si>
    <t>C6.LUPSUC.1</t>
  </si>
  <si>
    <t>C7.LUPSUC.1</t>
  </si>
  <si>
    <t>D3.LUPSUC.1</t>
  </si>
  <si>
    <t>D5.LUPSUC.1</t>
  </si>
  <si>
    <t>E2.LUPSUC.1</t>
  </si>
  <si>
    <t>E4.LUPSUC.1</t>
  </si>
  <si>
    <t>F2.LUPSUC.1</t>
  </si>
  <si>
    <t>F7.LUPSUC.1</t>
  </si>
  <si>
    <t>G4.LUPSUC.1</t>
  </si>
  <si>
    <t>H3.LUPSUC.1</t>
  </si>
  <si>
    <t>I3.LUPSUC.1</t>
  </si>
  <si>
    <t>J4.LUPSUC.1</t>
  </si>
  <si>
    <t>J7.LUPSUC.1</t>
  </si>
  <si>
    <t>A1.MADGRA.1</t>
  </si>
  <si>
    <t>A3.MADGRA.1</t>
  </si>
  <si>
    <t>B1.MADGRA.1</t>
  </si>
  <si>
    <t>B4.MADGRA.1</t>
  </si>
  <si>
    <t>B7.MADGRA.1</t>
  </si>
  <si>
    <t>C3.MADGRA.1</t>
  </si>
  <si>
    <t>C4.MADGRA.1</t>
  </si>
  <si>
    <t>C5.MADGRA.1</t>
  </si>
  <si>
    <t>C8.MADGRA.1</t>
  </si>
  <si>
    <t>wrong plant</t>
  </si>
  <si>
    <t>D1.MADGRA.1</t>
  </si>
  <si>
    <t>D2.MADGRA.1</t>
  </si>
  <si>
    <t>D6.MADGRA.1</t>
  </si>
  <si>
    <t>E1.MADGRA.1</t>
  </si>
  <si>
    <t>E3.MADGRA.1</t>
  </si>
  <si>
    <t>E8.MADGRA.1</t>
  </si>
  <si>
    <t>F1.MADGRA.1</t>
  </si>
  <si>
    <t>F3.MADGRA.1</t>
  </si>
  <si>
    <t>F8.MADGRA.1</t>
  </si>
  <si>
    <t>G1.MADGRA.1</t>
  </si>
  <si>
    <t>G6.MADGRA.1</t>
  </si>
  <si>
    <t>wrong individual</t>
  </si>
  <si>
    <t>G7.MADGRA.1</t>
  </si>
  <si>
    <t>G8.MADGRA.1</t>
  </si>
  <si>
    <t>H2.MADGRA.1</t>
  </si>
  <si>
    <t>H5.MADGRA.1</t>
  </si>
  <si>
    <t>H6.MADGRA.1</t>
  </si>
  <si>
    <t>I1.MADGRA.1</t>
  </si>
  <si>
    <t>in bud 4/24/23, dead</t>
  </si>
  <si>
    <t>I4.MADGRA.1</t>
  </si>
  <si>
    <t>I5.MADGRA.1</t>
  </si>
  <si>
    <t>I6.MADGRA.1</t>
  </si>
  <si>
    <t>I8.MADGRA.1</t>
  </si>
  <si>
    <t>J1.MADGRA.1</t>
  </si>
  <si>
    <t>J2.MADGRA.1</t>
  </si>
  <si>
    <t>A5.MICCAL.1</t>
  </si>
  <si>
    <t>A6.MICCAL.1</t>
  </si>
  <si>
    <t>A7.MICCAL.1</t>
  </si>
  <si>
    <t>A8.MICCAL.1</t>
  </si>
  <si>
    <t>B2.MICCAL.1</t>
  </si>
  <si>
    <t>B3.MICCAL.1</t>
  </si>
  <si>
    <t>B5.MICCAL.1</t>
  </si>
  <si>
    <t>B6.MICCAL.1</t>
  </si>
  <si>
    <t>C1.MICCAL.1</t>
  </si>
  <si>
    <t>C2.MICCAL.1</t>
  </si>
  <si>
    <t>D4.MICCAL.1</t>
  </si>
  <si>
    <t>D7.MICCAL.1</t>
  </si>
  <si>
    <t>D8.MICCAL.1</t>
  </si>
  <si>
    <t>E5.MICCAL.1</t>
  </si>
  <si>
    <t>E6.MICCAL.1</t>
  </si>
  <si>
    <t>E7.MICCAL.1</t>
  </si>
  <si>
    <t>F4.MICCAL.1</t>
  </si>
  <si>
    <t>F5.MICCAL.1</t>
  </si>
  <si>
    <t>F6.MICCAL.1</t>
  </si>
  <si>
    <t>G2.MICCAL.1</t>
  </si>
  <si>
    <t>G3.MICCAL.1</t>
  </si>
  <si>
    <t>G5.MICCAL.1</t>
  </si>
  <si>
    <t>H1.MICCAL.1</t>
  </si>
  <si>
    <t>H4.MICCAL.1</t>
  </si>
  <si>
    <t>H7.MICCAL.1</t>
  </si>
  <si>
    <t>H8.MICCAL.1</t>
  </si>
  <si>
    <t>I2.MICCAL.1</t>
  </si>
  <si>
    <t>I7.MICCAL.1</t>
  </si>
  <si>
    <t>J3.MICCAL.1</t>
  </si>
  <si>
    <t>J5.MICCAL.1</t>
  </si>
  <si>
    <t>J6.MICCAL.1</t>
  </si>
  <si>
    <t>J8.MICCAL.1</t>
  </si>
  <si>
    <t>A2.MIRMUL.1</t>
  </si>
  <si>
    <t>A4.MIRMUL.1</t>
  </si>
  <si>
    <t>B8.MIRMUL.1</t>
  </si>
  <si>
    <t>C6.MIRMUL.1</t>
  </si>
  <si>
    <t>C7.MIRMUL.1</t>
  </si>
  <si>
    <t>D3.MIRMUL.1</t>
  </si>
  <si>
    <t>D5.MIRMUL.1</t>
  </si>
  <si>
    <t>E2.MIRMUL.1</t>
  </si>
  <si>
    <t>E4.MIRMUL.1</t>
  </si>
  <si>
    <t>F2.MIRMUL.1</t>
  </si>
  <si>
    <t>F7.MIRMUL.1</t>
  </si>
  <si>
    <t>G4.MIRMUL.1</t>
  </si>
  <si>
    <t>H3.MIRMUL.1</t>
  </si>
  <si>
    <t>I3.MIRMUL.1</t>
  </si>
  <si>
    <t>J4.MIRMUL.1</t>
  </si>
  <si>
    <t>J7.MIRMUL.1</t>
  </si>
  <si>
    <t>A2.PHATAN.1</t>
  </si>
  <si>
    <t>A4.PHATAN.1</t>
  </si>
  <si>
    <t>B8.PHATAN.1</t>
  </si>
  <si>
    <t>C6.PHATAN.1</t>
  </si>
  <si>
    <t>C7.PHATAN.1</t>
  </si>
  <si>
    <t>D3.PHATAN.1</t>
  </si>
  <si>
    <t>D5.PHATAN.1</t>
  </si>
  <si>
    <t>not found 5/11/23</t>
  </si>
  <si>
    <t>E2.PHATAN.1A</t>
  </si>
  <si>
    <t>E2.PHATAN.1B</t>
  </si>
  <si>
    <t>E4.PHATAN.1-E2</t>
  </si>
  <si>
    <t>F2.PHATAN.1</t>
  </si>
  <si>
    <t>F7.PHATAN.1</t>
  </si>
  <si>
    <t>G4.PHATAN.1</t>
  </si>
  <si>
    <t>H3.PHATAN.1</t>
  </si>
  <si>
    <t>I3.PHATAN.1</t>
  </si>
  <si>
    <t>J4.PHATAN.1</t>
  </si>
  <si>
    <t>J7.PHATAN.1</t>
  </si>
  <si>
    <t>A5.PLAERE.1</t>
  </si>
  <si>
    <t>A8.PLAERE.1</t>
  </si>
  <si>
    <t>B2.PLAERE.1</t>
  </si>
  <si>
    <t>B5.PLAERE.1</t>
  </si>
  <si>
    <t>C1.PLAERE.1</t>
  </si>
  <si>
    <t>D4.PLAERE.1</t>
  </si>
  <si>
    <t>E7.PLAERE.1</t>
  </si>
  <si>
    <t>F4.PLAERE.1</t>
  </si>
  <si>
    <t>F5.PLAERE.1</t>
  </si>
  <si>
    <t>G2.PLAERE.1</t>
  </si>
  <si>
    <t>G5.PLAERE.1</t>
  </si>
  <si>
    <t>H4.PLAERE.1</t>
  </si>
  <si>
    <t>H7.PLAERE.1</t>
  </si>
  <si>
    <t>I7.PLAERE.1</t>
  </si>
  <si>
    <t>J3.PLAERE.1</t>
  </si>
  <si>
    <t>J6.PLAERE.1</t>
  </si>
  <si>
    <t>A1.SANBIP.1</t>
  </si>
  <si>
    <t>B4.SANBIP.1</t>
  </si>
  <si>
    <t>C3.SANBIP.1</t>
  </si>
  <si>
    <t>C8.SANBIP.1</t>
  </si>
  <si>
    <t>D1.SANBIP.1</t>
  </si>
  <si>
    <t>E1.SANBIP.1</t>
  </si>
  <si>
    <t>E3.SANBIP.1</t>
  </si>
  <si>
    <t>F1.SANBIP.1</t>
  </si>
  <si>
    <t>G6.SANBIP.1</t>
  </si>
  <si>
    <t>G7.SANBIP.1</t>
  </si>
  <si>
    <t>H2.SANBIP.1</t>
  </si>
  <si>
    <t>H6.SANBIP.1</t>
  </si>
  <si>
    <t>I5.SANBIP.1</t>
  </si>
  <si>
    <t>I6.SANBIP.1</t>
  </si>
  <si>
    <t>I8.SANBIP.1</t>
  </si>
  <si>
    <t>J2.SANBIP.1</t>
  </si>
  <si>
    <t>A6.STIPUL.1</t>
  </si>
  <si>
    <t>A7.STIPUL.1</t>
  </si>
  <si>
    <t>B3.STIPUL.1</t>
  </si>
  <si>
    <t>B6.STIPUL.1</t>
  </si>
  <si>
    <t>C2.STIPUL.1</t>
  </si>
  <si>
    <t>D7.STIPUL.1</t>
  </si>
  <si>
    <t>D8.STIPUL.1</t>
  </si>
  <si>
    <t>E5.STIPUL.1</t>
  </si>
  <si>
    <t>E6.STIPUL.1</t>
  </si>
  <si>
    <t>F6.STIPUL.1</t>
  </si>
  <si>
    <t>G3.STIPUL.1</t>
  </si>
  <si>
    <t>H1.STIPUL.1</t>
  </si>
  <si>
    <t>H8.STIPUL.1</t>
  </si>
  <si>
    <t>I2.STIPUL.1</t>
  </si>
  <si>
    <t>J5.STIPUL.1</t>
  </si>
  <si>
    <t>J8.STIPUL.1</t>
  </si>
  <si>
    <t>A3.TORARV.1</t>
  </si>
  <si>
    <t>B1.TORARV.1</t>
  </si>
  <si>
    <t>B7.TORARV.1</t>
  </si>
  <si>
    <t>C4.TORARV.1</t>
  </si>
  <si>
    <t>C5.TORARV.1</t>
  </si>
  <si>
    <t>can't find</t>
  </si>
  <si>
    <t>D2.TORARV.1</t>
  </si>
  <si>
    <t>D6.TORARV.1</t>
  </si>
  <si>
    <t>E8.TORARV.1</t>
  </si>
  <si>
    <t>F3.TORARV.1</t>
  </si>
  <si>
    <t>F8.TORARV.1</t>
  </si>
  <si>
    <t>G1.TORARV.1</t>
  </si>
  <si>
    <t>G8.TORARV.1</t>
  </si>
  <si>
    <t>H5.TORARV.1</t>
  </si>
  <si>
    <t>I1.TORARV.1</t>
  </si>
  <si>
    <t>I4.TORARV.1</t>
  </si>
  <si>
    <t>herbivory, gone 6/21/23</t>
  </si>
  <si>
    <t>J1.TORARV.1</t>
  </si>
  <si>
    <t>A3.TRIHIR.1</t>
  </si>
  <si>
    <t>A5.TRIHIR.1</t>
  </si>
  <si>
    <t>A8.TRIHIR.1</t>
  </si>
  <si>
    <t>B1.TRIHIR.1</t>
  </si>
  <si>
    <t>B2.TRIHIR.1</t>
  </si>
  <si>
    <t>B5.TRIHIR.1</t>
  </si>
  <si>
    <t>B7.TRIHIR.1</t>
  </si>
  <si>
    <t>sacraficed</t>
  </si>
  <si>
    <t>C1.TRIHIR.1</t>
  </si>
  <si>
    <t>C4.TRIHIR.1</t>
  </si>
  <si>
    <t>C5.TRIHIR.1</t>
  </si>
  <si>
    <t>D2.TRIHIR.1</t>
  </si>
  <si>
    <t>D4.TRIHIR.1</t>
  </si>
  <si>
    <t>D6.TRIHIR.1</t>
  </si>
  <si>
    <t>E7.TRIHIR.1</t>
  </si>
  <si>
    <t>E8.TRIHIR.1</t>
  </si>
  <si>
    <t>not found 7/19/23</t>
  </si>
  <si>
    <t>F3.TRIHIR.1</t>
  </si>
  <si>
    <t>F4.TRIHIR.1</t>
  </si>
  <si>
    <t>F5.TRIHIR.1</t>
  </si>
  <si>
    <t>F8.TRIHIR.1</t>
  </si>
  <si>
    <t>G1.TRIHIR.1</t>
  </si>
  <si>
    <t>G2.TRIHIR.1</t>
  </si>
  <si>
    <t>G5.TRIHIR.1</t>
  </si>
  <si>
    <t>G8.TRIHIR.1</t>
  </si>
  <si>
    <t>H4.TRIHIR.1</t>
  </si>
  <si>
    <t>H5.TRIHIR.1</t>
  </si>
  <si>
    <t>H7.TRIHIR.1</t>
  </si>
  <si>
    <t>I1.TRIHIR.1</t>
  </si>
  <si>
    <t>not found 5/19/23</t>
  </si>
  <si>
    <t>I4.TRIHIR.1</t>
  </si>
  <si>
    <t>I7.TRIHIR.1</t>
  </si>
  <si>
    <t>J1.TRIHIR.1</t>
  </si>
  <si>
    <t>J3.TRIHIR.1</t>
  </si>
  <si>
    <t>J6.TRIHIR.1</t>
  </si>
  <si>
    <t>A3.VICSAT.1</t>
  </si>
  <si>
    <t>CM</t>
  </si>
  <si>
    <t>B1.VICSAT.1</t>
  </si>
  <si>
    <t>OL</t>
  </si>
  <si>
    <t>B7.VICSAT.1</t>
  </si>
  <si>
    <t>C4.VICSAT.1</t>
  </si>
  <si>
    <t>C5.VICSAT.1</t>
  </si>
  <si>
    <t>D2.VICSAT.1</t>
  </si>
  <si>
    <t>D6.VICSAT.1</t>
  </si>
  <si>
    <t>E8.VICSAT.1</t>
  </si>
  <si>
    <t>F3.VICSAT.1</t>
  </si>
  <si>
    <t>F8.VICSAT.1</t>
  </si>
  <si>
    <t>G1.VICSAT.1</t>
  </si>
  <si>
    <t>G8.VICSAT.1</t>
  </si>
  <si>
    <t>H5.VICSAT.1</t>
  </si>
  <si>
    <t>?</t>
  </si>
  <si>
    <t>I1.VICSAT.1</t>
  </si>
  <si>
    <t>I4.VICSAT.1</t>
  </si>
  <si>
    <t>J1.VICSAT.1</t>
  </si>
  <si>
    <t>Avg_Flower_Mass</t>
  </si>
  <si>
    <t>Total_Flower_Mass</t>
  </si>
  <si>
    <t>EROCIC</t>
  </si>
  <si>
    <t>I3. EROCIC.1</t>
  </si>
  <si>
    <t>C.M</t>
  </si>
  <si>
    <t>VICSAT</t>
  </si>
  <si>
    <t>O.L.</t>
  </si>
  <si>
    <t>O.H.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</si>
</sst>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Calibri"/>
      <family val="2"/>
    </font>
    <font>
      <sz val="12"/>
      <color theme="1"/>
      <name val="Aptos Narrow"/>
    </font>
    <font>
      <sz val="12"/>
      <color rgb="FF000000"/>
      <name val="Aptos Narrow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DBDB"/>
        <bgColor rgb="FFDBDBD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4" fontId="3" fillId="0" borderId="0" xfId="0" applyNumberFormat="1" applyFont="1"/>
    <xf numFmtId="0" fontId="2" fillId="2" borderId="2" xfId="0" applyFont="1" applyFill="1" applyBorder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4" fillId="0" borderId="0" xfId="0" applyFont="1"/>
    <xf numFmtId="14" fontId="0" fillId="0" borderId="0" xfId="0" applyNumberFormat="1"/>
    <xf numFmtId="0" fontId="2" fillId="0" borderId="2" xfId="0" applyFont="1" applyBorder="1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abSelected="1" workbookViewId="0">
      <pane ySplit="1" topLeftCell="A346" activePane="bottomLeft" state="frozen"/>
      <selection pane="bottomLeft" activeCell="Q131" sqref="Q131"/>
    </sheetView>
  </sheetViews>
  <sheetFormatPr baseColWidth="10" defaultColWidth="11.1640625" defaultRowHeight="15" customHeight="1" x14ac:dyDescent="0.2"/>
  <cols>
    <col min="1" max="1" width="14.83203125" customWidth="1"/>
    <col min="2" max="2" width="8.33203125" customWidth="1"/>
    <col min="3" max="3" width="8.1640625" customWidth="1"/>
    <col min="4" max="4" width="14" customWidth="1"/>
    <col min="5" max="5" width="12.1640625" customWidth="1"/>
    <col min="6" max="14" width="9.83203125" customWidth="1"/>
    <col min="15" max="15" width="11" customWidth="1"/>
    <col min="16" max="16" width="9" customWidth="1"/>
    <col min="17" max="17" width="13.1640625" customWidth="1"/>
    <col min="18" max="26" width="11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2">
      <c r="A2" s="2" t="s">
        <v>17</v>
      </c>
      <c r="B2" s="1" t="str">
        <f t="shared" ref="B2:B112" si="0">MID(A2,4,6)</f>
        <v>ACMPAR</v>
      </c>
      <c r="C2" s="1" t="s">
        <v>18</v>
      </c>
      <c r="D2" s="3">
        <v>45083</v>
      </c>
      <c r="E2" s="1">
        <v>273</v>
      </c>
      <c r="F2" s="1">
        <v>4.0000000000000002E-4</v>
      </c>
      <c r="G2" s="1">
        <v>6.9999999999999999E-4</v>
      </c>
      <c r="H2" s="1">
        <v>8.0000000000000004E-4</v>
      </c>
      <c r="I2" s="1">
        <v>2.9999999999999997E-4</v>
      </c>
      <c r="J2" s="1">
        <v>8.9999999999999998E-4</v>
      </c>
      <c r="K2" s="1">
        <v>4.0000000000000002E-4</v>
      </c>
      <c r="L2" s="1">
        <v>6.9999999999999999E-4</v>
      </c>
      <c r="M2" s="1">
        <v>1E-4</v>
      </c>
      <c r="N2" s="1">
        <v>1E-3</v>
      </c>
      <c r="O2" s="1">
        <v>1E-3</v>
      </c>
      <c r="P2" s="1">
        <v>1.3498000000000001</v>
      </c>
    </row>
    <row r="3" spans="1:17" ht="15.75" customHeight="1" x14ac:dyDescent="0.2">
      <c r="A3" s="10" t="s">
        <v>19</v>
      </c>
      <c r="B3" s="1" t="str">
        <f t="shared" si="0"/>
        <v>ACMPAR</v>
      </c>
    </row>
    <row r="4" spans="1:17" ht="15.75" customHeight="1" x14ac:dyDescent="0.2">
      <c r="A4" s="4" t="s">
        <v>20</v>
      </c>
      <c r="B4" s="1" t="str">
        <f t="shared" si="0"/>
        <v>ACMPAR</v>
      </c>
    </row>
    <row r="5" spans="1:17" ht="15.75" customHeight="1" x14ac:dyDescent="0.2">
      <c r="A5" s="10" t="s">
        <v>21</v>
      </c>
      <c r="B5" s="1" t="str">
        <f t="shared" si="0"/>
        <v>ACMPAR</v>
      </c>
    </row>
    <row r="6" spans="1:17" ht="15.75" customHeight="1" x14ac:dyDescent="0.2">
      <c r="A6" s="4" t="s">
        <v>22</v>
      </c>
      <c r="B6" s="1" t="str">
        <f t="shared" si="0"/>
        <v>ACMPAR</v>
      </c>
    </row>
    <row r="7" spans="1:17" ht="15.75" customHeight="1" x14ac:dyDescent="0.2">
      <c r="A7" s="4" t="s">
        <v>23</v>
      </c>
      <c r="B7" s="1" t="str">
        <f t="shared" si="0"/>
        <v>ACMPAR</v>
      </c>
    </row>
    <row r="8" spans="1:17" ht="15.75" customHeight="1" x14ac:dyDescent="0.2">
      <c r="A8" s="4" t="s">
        <v>24</v>
      </c>
      <c r="B8" s="1" t="str">
        <f t="shared" si="0"/>
        <v>ACMPAR</v>
      </c>
    </row>
    <row r="9" spans="1:17" ht="15.75" customHeight="1" x14ac:dyDescent="0.2">
      <c r="A9" s="4" t="s">
        <v>25</v>
      </c>
      <c r="B9" s="1" t="str">
        <f t="shared" si="0"/>
        <v>ACMPAR</v>
      </c>
    </row>
    <row r="10" spans="1:17" ht="15.75" customHeight="1" x14ac:dyDescent="0.2">
      <c r="A10" s="10" t="s">
        <v>26</v>
      </c>
      <c r="B10" s="1" t="str">
        <f t="shared" si="0"/>
        <v>ACMPAR</v>
      </c>
      <c r="C10" s="1" t="s">
        <v>18</v>
      </c>
      <c r="D10" s="3">
        <v>45083</v>
      </c>
      <c r="E10" s="1">
        <v>4</v>
      </c>
      <c r="F10" s="1">
        <v>1.1000000000000001E-3</v>
      </c>
      <c r="P10" s="1">
        <v>7.9000000000000008E-3</v>
      </c>
    </row>
    <row r="11" spans="1:17" ht="15.75" customHeight="1" x14ac:dyDescent="0.2">
      <c r="A11" s="4" t="s">
        <v>27</v>
      </c>
      <c r="B11" s="1" t="str">
        <f t="shared" si="0"/>
        <v>ACMPAR</v>
      </c>
    </row>
    <row r="12" spans="1:17" ht="15.75" customHeight="1" x14ac:dyDescent="0.2">
      <c r="A12" s="10" t="s">
        <v>28</v>
      </c>
      <c r="B12" s="1" t="str">
        <f t="shared" si="0"/>
        <v>ACMPAR</v>
      </c>
    </row>
    <row r="13" spans="1:17" ht="15.75" customHeight="1" x14ac:dyDescent="0.2">
      <c r="A13" s="10" t="s">
        <v>29</v>
      </c>
      <c r="B13" s="1" t="str">
        <f t="shared" si="0"/>
        <v>ACMPAR</v>
      </c>
    </row>
    <row r="14" spans="1:17" ht="15.75" customHeight="1" x14ac:dyDescent="0.2">
      <c r="A14" s="4" t="s">
        <v>30</v>
      </c>
      <c r="B14" s="1" t="str">
        <f t="shared" si="0"/>
        <v>ACMPAR</v>
      </c>
    </row>
    <row r="15" spans="1:17" ht="15.75" customHeight="1" x14ac:dyDescent="0.2">
      <c r="A15" s="10" t="s">
        <v>31</v>
      </c>
      <c r="B15" s="1" t="str">
        <f t="shared" si="0"/>
        <v>ACMPAR</v>
      </c>
    </row>
    <row r="16" spans="1:17" ht="15.75" customHeight="1" x14ac:dyDescent="0.2">
      <c r="A16" s="10" t="s">
        <v>32</v>
      </c>
      <c r="B16" s="1" t="str">
        <f t="shared" si="0"/>
        <v>ACMPAR</v>
      </c>
      <c r="C16" s="1" t="s">
        <v>18</v>
      </c>
      <c r="D16" s="1" t="s">
        <v>319</v>
      </c>
      <c r="E16" s="1" t="s">
        <v>319</v>
      </c>
      <c r="F16" s="1" t="s">
        <v>319</v>
      </c>
      <c r="G16" s="1" t="s">
        <v>319</v>
      </c>
      <c r="H16" s="1" t="s">
        <v>319</v>
      </c>
      <c r="I16" s="1" t="s">
        <v>319</v>
      </c>
      <c r="J16" s="1" t="s">
        <v>319</v>
      </c>
      <c r="K16" s="1" t="s">
        <v>319</v>
      </c>
      <c r="L16" s="1" t="s">
        <v>319</v>
      </c>
      <c r="M16" s="1" t="s">
        <v>319</v>
      </c>
      <c r="N16" s="1" t="s">
        <v>319</v>
      </c>
      <c r="O16" s="1" t="s">
        <v>319</v>
      </c>
      <c r="P16" s="1" t="s">
        <v>319</v>
      </c>
      <c r="Q16" s="1" t="s">
        <v>33</v>
      </c>
    </row>
    <row r="17" spans="1:17" ht="15.75" customHeight="1" x14ac:dyDescent="0.2">
      <c r="A17" s="10" t="s">
        <v>34</v>
      </c>
      <c r="B17" s="1" t="str">
        <f t="shared" si="0"/>
        <v>ACMPAR</v>
      </c>
    </row>
    <row r="18" spans="1:17" ht="15.75" customHeight="1" x14ac:dyDescent="0.2">
      <c r="A18" s="4" t="s">
        <v>35</v>
      </c>
      <c r="B18" s="1" t="str">
        <f t="shared" si="0"/>
        <v>AIRCAR</v>
      </c>
      <c r="C18" s="1" t="s">
        <v>18</v>
      </c>
      <c r="D18" s="3">
        <v>45063</v>
      </c>
      <c r="E18" s="1">
        <v>74</v>
      </c>
      <c r="F18" s="1">
        <f>0.0003/4</f>
        <v>7.4999999999999993E-5</v>
      </c>
      <c r="G18" s="1">
        <f>0.0001/4</f>
        <v>2.5000000000000001E-5</v>
      </c>
      <c r="H18" s="1">
        <f>0.0001/2</f>
        <v>5.0000000000000002E-5</v>
      </c>
      <c r="I18" s="1">
        <f>0.0001/4</f>
        <v>2.5000000000000001E-5</v>
      </c>
      <c r="J18" s="1">
        <f>0.0004/2</f>
        <v>2.0000000000000001E-4</v>
      </c>
      <c r="K18" s="1">
        <f>0.0005/2</f>
        <v>2.5000000000000001E-4</v>
      </c>
      <c r="L18" s="1">
        <f>0.0003/6</f>
        <v>4.9999999999999996E-5</v>
      </c>
      <c r="M18" s="1">
        <f>0.0002/3</f>
        <v>6.666666666666667E-5</v>
      </c>
      <c r="N18" s="1">
        <f>0.0001/4</f>
        <v>2.5000000000000001E-5</v>
      </c>
      <c r="O18" s="1">
        <f t="shared" ref="O18:O19" si="1">0.0001/5</f>
        <v>2.0000000000000002E-5</v>
      </c>
      <c r="P18" s="1">
        <v>2.35E-2</v>
      </c>
    </row>
    <row r="19" spans="1:17" ht="15.75" customHeight="1" x14ac:dyDescent="0.2">
      <c r="A19" s="10" t="s">
        <v>36</v>
      </c>
      <c r="B19" s="1" t="str">
        <f t="shared" si="0"/>
        <v>AIRCAR</v>
      </c>
      <c r="C19" s="1" t="s">
        <v>18</v>
      </c>
      <c r="D19" s="3">
        <v>45063</v>
      </c>
      <c r="E19" s="1">
        <v>35</v>
      </c>
      <c r="F19" s="1">
        <v>2.0000000000000001E-4</v>
      </c>
      <c r="G19" s="1">
        <f>0.0001/2</f>
        <v>5.0000000000000002E-5</v>
      </c>
      <c r="H19" s="1">
        <f>0.0006/2</f>
        <v>2.9999999999999997E-4</v>
      </c>
      <c r="I19" s="1">
        <f>0.0002/4</f>
        <v>5.0000000000000002E-5</v>
      </c>
      <c r="J19" s="1">
        <f>0.0001/4</f>
        <v>2.5000000000000001E-5</v>
      </c>
      <c r="K19" s="1">
        <v>2.0000000000000001E-4</v>
      </c>
      <c r="L19" s="1">
        <v>5.9999999999999995E-4</v>
      </c>
      <c r="M19" s="1">
        <f>0.0001/5</f>
        <v>2.0000000000000002E-5</v>
      </c>
      <c r="N19" s="1">
        <f>0.0009/4</f>
        <v>2.2499999999999999E-4</v>
      </c>
      <c r="O19" s="1">
        <f t="shared" si="1"/>
        <v>2.0000000000000002E-5</v>
      </c>
      <c r="P19" s="1">
        <v>5.5E-2</v>
      </c>
    </row>
    <row r="20" spans="1:17" ht="15.75" customHeight="1" x14ac:dyDescent="0.2">
      <c r="A20" s="4" t="s">
        <v>37</v>
      </c>
      <c r="B20" s="1" t="str">
        <f t="shared" si="0"/>
        <v>AIRCAR</v>
      </c>
      <c r="C20" s="1" t="s">
        <v>38</v>
      </c>
      <c r="D20" s="3">
        <v>45063</v>
      </c>
      <c r="E20" s="1">
        <v>89</v>
      </c>
      <c r="F20" s="1">
        <f>0.0004/8</f>
        <v>5.0000000000000002E-5</v>
      </c>
      <c r="G20" s="1">
        <f>0.0002/8</f>
        <v>2.5000000000000001E-5</v>
      </c>
      <c r="H20" s="1">
        <f>0.0002/3</f>
        <v>6.666666666666667E-5</v>
      </c>
      <c r="I20" s="1">
        <f>0.0005/3</f>
        <v>1.6666666666666666E-4</v>
      </c>
      <c r="J20" s="1">
        <f>0.0002/3</f>
        <v>6.666666666666667E-5</v>
      </c>
      <c r="K20" s="1">
        <f>0.0005/2</f>
        <v>2.5000000000000001E-4</v>
      </c>
      <c r="L20" s="1">
        <f>0.0006/4</f>
        <v>1.4999999999999999E-4</v>
      </c>
      <c r="M20" s="1">
        <v>1.2999999999999999E-3</v>
      </c>
      <c r="N20" s="1">
        <f>0.001/3</f>
        <v>3.3333333333333332E-4</v>
      </c>
      <c r="O20" s="1">
        <f>0.0013/7</f>
        <v>1.8571428571428572E-4</v>
      </c>
      <c r="P20" s="1">
        <v>1.5599999999999999E-2</v>
      </c>
    </row>
    <row r="21" spans="1:17" ht="15.75" customHeight="1" x14ac:dyDescent="0.2">
      <c r="A21" s="10" t="s">
        <v>39</v>
      </c>
      <c r="B21" s="1" t="str">
        <f t="shared" si="0"/>
        <v>AIRCAR</v>
      </c>
      <c r="C21" s="1" t="s">
        <v>18</v>
      </c>
      <c r="D21" s="3">
        <v>45063</v>
      </c>
      <c r="E21" s="1">
        <v>327</v>
      </c>
      <c r="F21" s="1">
        <f>0.0002/4</f>
        <v>5.0000000000000002E-5</v>
      </c>
      <c r="G21" s="1">
        <f>0.0004/6</f>
        <v>6.666666666666667E-5</v>
      </c>
      <c r="H21" s="1">
        <f t="shared" ref="H21:I21" si="2">0.0002/6</f>
        <v>3.3333333333333335E-5</v>
      </c>
      <c r="I21" s="1">
        <f t="shared" si="2"/>
        <v>3.3333333333333335E-5</v>
      </c>
      <c r="J21" s="1">
        <f>0.0004/4</f>
        <v>1E-4</v>
      </c>
      <c r="K21" s="1">
        <f>0.0003/2</f>
        <v>1.4999999999999999E-4</v>
      </c>
      <c r="L21" s="1">
        <f t="shared" ref="L21:L22" si="3">0.0001/3</f>
        <v>3.3333333333333335E-5</v>
      </c>
      <c r="M21" s="1">
        <f>0.0002</f>
        <v>2.0000000000000001E-4</v>
      </c>
      <c r="N21" s="1">
        <f>0.0001/3</f>
        <v>3.3333333333333335E-5</v>
      </c>
      <c r="O21" s="1">
        <f t="shared" ref="O21:O22" si="4">0.0001/2</f>
        <v>5.0000000000000002E-5</v>
      </c>
      <c r="P21" s="1">
        <v>0.1021</v>
      </c>
    </row>
    <row r="22" spans="1:17" ht="15.75" customHeight="1" x14ac:dyDescent="0.2">
      <c r="A22" s="4" t="s">
        <v>40</v>
      </c>
      <c r="B22" s="1" t="str">
        <f t="shared" si="0"/>
        <v>AIRCAR</v>
      </c>
      <c r="C22" s="1" t="s">
        <v>18</v>
      </c>
      <c r="D22" s="3">
        <v>45063</v>
      </c>
      <c r="E22" s="1">
        <v>419</v>
      </c>
      <c r="F22" s="1">
        <f>0.0002/7</f>
        <v>2.8571428571428574E-5</v>
      </c>
      <c r="G22" s="1">
        <f>0.0001/5</f>
        <v>2.0000000000000002E-5</v>
      </c>
      <c r="H22" s="1">
        <f>0.0004/1</f>
        <v>4.0000000000000002E-4</v>
      </c>
      <c r="I22" s="1">
        <f>0.0005/3</f>
        <v>1.6666666666666666E-4</v>
      </c>
      <c r="J22" s="1">
        <f>0.0006/3</f>
        <v>1.9999999999999998E-4</v>
      </c>
      <c r="K22" s="1">
        <f>0.0001/2</f>
        <v>5.0000000000000002E-5</v>
      </c>
      <c r="L22" s="1">
        <f t="shared" si="3"/>
        <v>3.3333333333333335E-5</v>
      </c>
      <c r="M22" s="1">
        <f>0.0001/1</f>
        <v>1E-4</v>
      </c>
      <c r="N22" s="1">
        <f>0.0002</f>
        <v>2.0000000000000001E-4</v>
      </c>
      <c r="O22" s="1">
        <f t="shared" si="4"/>
        <v>5.0000000000000002E-5</v>
      </c>
      <c r="P22" s="1">
        <v>0.15240000000000001</v>
      </c>
    </row>
    <row r="23" spans="1:17" ht="15.75" customHeight="1" x14ac:dyDescent="0.2">
      <c r="A23" s="4" t="s">
        <v>41</v>
      </c>
      <c r="B23" s="1" t="str">
        <f t="shared" si="0"/>
        <v>AIRCAR</v>
      </c>
      <c r="C23" s="1" t="s">
        <v>42</v>
      </c>
      <c r="D23" s="3">
        <v>45063</v>
      </c>
      <c r="E23" s="1">
        <v>211</v>
      </c>
      <c r="F23" s="1">
        <f>0.0003/8</f>
        <v>3.7499999999999997E-5</v>
      </c>
      <c r="G23" s="1">
        <f t="shared" ref="G23:G24" si="5">0.0003/5</f>
        <v>5.9999999999999995E-5</v>
      </c>
      <c r="H23" s="1">
        <f>0.0001/5</f>
        <v>2.0000000000000002E-5</v>
      </c>
      <c r="I23" s="1">
        <f>0.0004/13</f>
        <v>3.0769230769230768E-5</v>
      </c>
      <c r="J23" s="1">
        <f>0.0001/7</f>
        <v>1.4285714285714287E-5</v>
      </c>
      <c r="K23" s="1">
        <f>0.0002/5</f>
        <v>4.0000000000000003E-5</v>
      </c>
      <c r="L23" s="1">
        <f>0.0001/5</f>
        <v>2.0000000000000002E-5</v>
      </c>
      <c r="M23" s="1">
        <f>0.0008/5</f>
        <v>1.6000000000000001E-4</v>
      </c>
      <c r="N23" s="1">
        <f>0.0002/5</f>
        <v>4.0000000000000003E-5</v>
      </c>
      <c r="O23" s="1">
        <f>0.0004/7</f>
        <v>5.7142857142857148E-5</v>
      </c>
      <c r="P23" s="1">
        <v>8.6800000000000002E-2</v>
      </c>
    </row>
    <row r="24" spans="1:17" ht="15.75" customHeight="1" x14ac:dyDescent="0.2">
      <c r="A24" s="4" t="s">
        <v>43</v>
      </c>
      <c r="B24" s="1" t="str">
        <f t="shared" si="0"/>
        <v>AIRCAR</v>
      </c>
      <c r="C24" s="1" t="s">
        <v>44</v>
      </c>
      <c r="D24" s="3">
        <v>45063</v>
      </c>
      <c r="E24" s="1">
        <v>487</v>
      </c>
      <c r="F24" s="1">
        <f>0.0004/11</f>
        <v>3.6363636363636364E-5</v>
      </c>
      <c r="G24" s="1">
        <f t="shared" si="5"/>
        <v>5.9999999999999995E-5</v>
      </c>
      <c r="H24" s="1">
        <f>0.0003/2</f>
        <v>1.4999999999999999E-4</v>
      </c>
      <c r="I24" s="1">
        <f>0.0001/3</f>
        <v>3.3333333333333335E-5</v>
      </c>
      <c r="J24" s="1">
        <f>0.0001/4</f>
        <v>2.5000000000000001E-5</v>
      </c>
      <c r="K24" s="1">
        <f>0.0004/4</f>
        <v>1E-4</v>
      </c>
      <c r="L24" s="1">
        <f>0.0002/8</f>
        <v>2.5000000000000001E-5</v>
      </c>
      <c r="M24" s="1">
        <f>0.0002/14</f>
        <v>1.4285714285714287E-5</v>
      </c>
      <c r="N24" s="1">
        <f>0.0006/8</f>
        <v>7.4999999999999993E-5</v>
      </c>
      <c r="O24" s="1">
        <f>0.0005/6</f>
        <v>8.3333333333333331E-5</v>
      </c>
      <c r="P24" s="1">
        <v>0.09</v>
      </c>
    </row>
    <row r="25" spans="1:17" ht="15.75" customHeight="1" x14ac:dyDescent="0.2">
      <c r="A25" s="4" t="s">
        <v>45</v>
      </c>
      <c r="B25" s="1" t="str">
        <f t="shared" si="0"/>
        <v>AIRCAR</v>
      </c>
      <c r="C25" s="1" t="s">
        <v>18</v>
      </c>
      <c r="D25" s="3">
        <v>45063</v>
      </c>
      <c r="E25" s="1">
        <v>267</v>
      </c>
      <c r="F25" s="1">
        <f>0.0009/1</f>
        <v>8.9999999999999998E-4</v>
      </c>
      <c r="G25" s="1">
        <f>0.0001/3</f>
        <v>3.3333333333333335E-5</v>
      </c>
      <c r="H25" s="1">
        <f>0.0004/4</f>
        <v>1E-4</v>
      </c>
      <c r="I25" s="1">
        <f>0.0003/2</f>
        <v>1.4999999999999999E-4</v>
      </c>
      <c r="J25" s="1">
        <f>0.0008</f>
        <v>8.0000000000000004E-4</v>
      </c>
      <c r="K25" s="1">
        <f>0.0003/2</f>
        <v>1.4999999999999999E-4</v>
      </c>
      <c r="L25" s="1">
        <f>0.0001</f>
        <v>1E-4</v>
      </c>
      <c r="M25" s="1">
        <f>0.0001/2</f>
        <v>5.0000000000000002E-5</v>
      </c>
      <c r="N25" s="1">
        <f t="shared" ref="N25:O25" si="6">0.0005</f>
        <v>5.0000000000000001E-4</v>
      </c>
      <c r="O25" s="1">
        <f t="shared" si="6"/>
        <v>5.0000000000000001E-4</v>
      </c>
      <c r="P25" s="1">
        <v>0.13200000000000001</v>
      </c>
    </row>
    <row r="26" spans="1:17" ht="15.75" customHeight="1" x14ac:dyDescent="0.2">
      <c r="A26" s="10" t="s">
        <v>46</v>
      </c>
      <c r="B26" s="1" t="str">
        <f t="shared" si="0"/>
        <v>AIRCAR</v>
      </c>
      <c r="C26" s="1" t="s">
        <v>42</v>
      </c>
      <c r="D26" s="1" t="s">
        <v>319</v>
      </c>
      <c r="E26" s="1" t="s">
        <v>319</v>
      </c>
      <c r="F26" s="1" t="s">
        <v>319</v>
      </c>
      <c r="G26" s="1" t="s">
        <v>319</v>
      </c>
      <c r="H26" s="1" t="s">
        <v>319</v>
      </c>
      <c r="I26" s="1" t="s">
        <v>319</v>
      </c>
      <c r="J26" s="1" t="s">
        <v>319</v>
      </c>
      <c r="K26" s="1" t="s">
        <v>319</v>
      </c>
      <c r="L26" s="1" t="s">
        <v>319</v>
      </c>
      <c r="M26" s="1" t="s">
        <v>319</v>
      </c>
      <c r="N26" s="1" t="s">
        <v>319</v>
      </c>
      <c r="O26" s="1" t="s">
        <v>319</v>
      </c>
      <c r="P26" s="1" t="s">
        <v>319</v>
      </c>
      <c r="Q26" s="1" t="s">
        <v>47</v>
      </c>
    </row>
    <row r="27" spans="1:17" ht="15.75" customHeight="1" x14ac:dyDescent="0.2">
      <c r="A27" s="4" t="s">
        <v>48</v>
      </c>
      <c r="B27" s="1" t="str">
        <f t="shared" si="0"/>
        <v>AIRCAR</v>
      </c>
      <c r="C27" s="1" t="s">
        <v>18</v>
      </c>
      <c r="D27" s="3">
        <v>45063</v>
      </c>
      <c r="E27" s="1">
        <v>266</v>
      </c>
      <c r="F27" s="1">
        <f>0.0001/5</f>
        <v>2.0000000000000002E-5</v>
      </c>
      <c r="G27" s="1">
        <f>0.0005/4</f>
        <v>1.25E-4</v>
      </c>
      <c r="H27" s="1">
        <f>0.0002/3</f>
        <v>6.666666666666667E-5</v>
      </c>
      <c r="I27" s="1">
        <f>0.0001/4</f>
        <v>2.5000000000000001E-5</v>
      </c>
      <c r="J27" s="1">
        <f>0.0001/6</f>
        <v>1.6666666666666667E-5</v>
      </c>
      <c r="K27" s="1">
        <f>0.0002/3</f>
        <v>6.666666666666667E-5</v>
      </c>
      <c r="L27" s="1">
        <f>0.0005/3</f>
        <v>1.6666666666666666E-4</v>
      </c>
      <c r="M27" s="1">
        <f>0.0006/7</f>
        <v>8.5714285714285713E-5</v>
      </c>
      <c r="N27" s="1">
        <f>0.0005</f>
        <v>5.0000000000000001E-4</v>
      </c>
      <c r="O27" s="1">
        <f>0.0002/6</f>
        <v>3.3333333333333335E-5</v>
      </c>
      <c r="P27" s="1">
        <v>0.11119999999999999</v>
      </c>
    </row>
    <row r="28" spans="1:17" ht="15.75" customHeight="1" x14ac:dyDescent="0.2">
      <c r="A28" s="10" t="s">
        <v>49</v>
      </c>
      <c r="B28" s="1" t="str">
        <f t="shared" si="0"/>
        <v>AIRCAR</v>
      </c>
      <c r="C28" s="1" t="s">
        <v>42</v>
      </c>
      <c r="D28" s="1" t="s">
        <v>319</v>
      </c>
      <c r="E28" s="1" t="s">
        <v>319</v>
      </c>
      <c r="F28" s="1" t="s">
        <v>319</v>
      </c>
      <c r="G28" s="1" t="s">
        <v>319</v>
      </c>
      <c r="H28" s="1" t="s">
        <v>319</v>
      </c>
      <c r="I28" s="1" t="s">
        <v>319</v>
      </c>
      <c r="J28" s="1" t="s">
        <v>319</v>
      </c>
      <c r="K28" s="1" t="s">
        <v>319</v>
      </c>
      <c r="L28" s="1" t="s">
        <v>319</v>
      </c>
      <c r="M28" s="1" t="s">
        <v>319</v>
      </c>
      <c r="N28" s="1" t="s">
        <v>319</v>
      </c>
      <c r="O28" s="1" t="s">
        <v>319</v>
      </c>
      <c r="P28" s="1" t="s">
        <v>319</v>
      </c>
      <c r="Q28" s="1" t="s">
        <v>47</v>
      </c>
    </row>
    <row r="29" spans="1:17" ht="15.75" customHeight="1" x14ac:dyDescent="0.2">
      <c r="A29" s="10" t="s">
        <v>50</v>
      </c>
      <c r="B29" s="1" t="str">
        <f t="shared" si="0"/>
        <v>AIRCAR</v>
      </c>
      <c r="C29" s="1" t="s">
        <v>42</v>
      </c>
      <c r="D29" s="3">
        <v>45063</v>
      </c>
      <c r="E29" s="1">
        <v>321</v>
      </c>
      <c r="F29" s="1">
        <f>0.0003/3</f>
        <v>9.9999999999999991E-5</v>
      </c>
      <c r="G29" s="1">
        <f>0.0004/2</f>
        <v>2.0000000000000001E-4</v>
      </c>
      <c r="H29" s="1">
        <f>0.0002/4</f>
        <v>5.0000000000000002E-5</v>
      </c>
      <c r="I29" s="1">
        <f>0.0001/5</f>
        <v>2.0000000000000002E-5</v>
      </c>
      <c r="J29" s="1">
        <f t="shared" ref="J29:K29" si="7">0.0001/6</f>
        <v>1.6666666666666667E-5</v>
      </c>
      <c r="K29" s="1">
        <f t="shared" si="7"/>
        <v>1.6666666666666667E-5</v>
      </c>
      <c r="L29" s="1">
        <f>0.0002/2</f>
        <v>1E-4</v>
      </c>
      <c r="M29" s="1">
        <f>0.0002/5</f>
        <v>4.0000000000000003E-5</v>
      </c>
      <c r="N29" s="1">
        <f>0.0001/8</f>
        <v>1.2500000000000001E-5</v>
      </c>
      <c r="O29" s="1">
        <f>0.0001/2</f>
        <v>5.0000000000000002E-5</v>
      </c>
      <c r="P29" s="1">
        <v>0.15049999999999999</v>
      </c>
    </row>
    <row r="30" spans="1:17" ht="15.75" customHeight="1" x14ac:dyDescent="0.2">
      <c r="A30" s="4" t="s">
        <v>51</v>
      </c>
      <c r="B30" s="1" t="str">
        <f t="shared" si="0"/>
        <v>AIRCAR</v>
      </c>
      <c r="C30" s="1" t="s">
        <v>18</v>
      </c>
      <c r="D30" s="3">
        <v>45063</v>
      </c>
      <c r="E30" s="1">
        <v>490</v>
      </c>
      <c r="F30" s="1">
        <f>0.0001/3</f>
        <v>3.3333333333333335E-5</v>
      </c>
      <c r="G30" s="1">
        <f>0.0001/7</f>
        <v>1.4285714285714287E-5</v>
      </c>
      <c r="H30" s="1">
        <f>0.0002/2</f>
        <v>1E-4</v>
      </c>
      <c r="I30" s="1">
        <f>0.0004/1</f>
        <v>4.0000000000000002E-4</v>
      </c>
      <c r="J30" s="1">
        <f>0.0001/3</f>
        <v>3.3333333333333335E-5</v>
      </c>
      <c r="K30" s="1">
        <f>0.0003/2</f>
        <v>1.4999999999999999E-4</v>
      </c>
      <c r="L30" s="1">
        <f>0.0004/2</f>
        <v>2.0000000000000001E-4</v>
      </c>
      <c r="M30" s="1">
        <f>0.0001/4</f>
        <v>2.5000000000000001E-5</v>
      </c>
      <c r="N30" s="1">
        <f>0.0002/2</f>
        <v>1E-4</v>
      </c>
      <c r="O30" s="1">
        <f>0.0002/6</f>
        <v>3.3333333333333335E-5</v>
      </c>
      <c r="P30" s="1">
        <v>0.41299999999999998</v>
      </c>
    </row>
    <row r="31" spans="1:17" ht="15.75" customHeight="1" x14ac:dyDescent="0.2">
      <c r="A31" s="10" t="s">
        <v>52</v>
      </c>
      <c r="B31" s="1" t="str">
        <f t="shared" si="0"/>
        <v>AIRCAR</v>
      </c>
      <c r="C31" s="1" t="s">
        <v>18</v>
      </c>
      <c r="D31" s="3">
        <v>45063</v>
      </c>
      <c r="E31" s="1">
        <v>346</v>
      </c>
      <c r="F31" s="1">
        <f>0.0001/9</f>
        <v>1.1111111111111112E-5</v>
      </c>
      <c r="G31" s="1">
        <f>0.0005/4</f>
        <v>1.25E-4</v>
      </c>
      <c r="H31" s="1">
        <f t="shared" ref="H31:I31" si="8">0.0002/4</f>
        <v>5.0000000000000002E-5</v>
      </c>
      <c r="I31" s="1">
        <f t="shared" si="8"/>
        <v>5.0000000000000002E-5</v>
      </c>
      <c r="J31" s="1">
        <f>0.0002/2</f>
        <v>1E-4</v>
      </c>
      <c r="K31" s="1">
        <f>0.0009/3</f>
        <v>2.9999999999999997E-4</v>
      </c>
      <c r="L31" s="1">
        <f>0.0001/4</f>
        <v>2.5000000000000001E-5</v>
      </c>
      <c r="M31" s="1">
        <f>0.0007/2</f>
        <v>3.5E-4</v>
      </c>
      <c r="N31" s="1">
        <f>0.0004/2</f>
        <v>2.0000000000000001E-4</v>
      </c>
      <c r="O31" s="1">
        <f>0.0002</f>
        <v>2.0000000000000001E-4</v>
      </c>
      <c r="P31" s="1">
        <v>9.0200000000000002E-2</v>
      </c>
    </row>
    <row r="32" spans="1:17" ht="15.75" customHeight="1" x14ac:dyDescent="0.2">
      <c r="A32" s="10" t="s">
        <v>53</v>
      </c>
      <c r="B32" s="1" t="str">
        <f t="shared" si="0"/>
        <v>AIRCAR</v>
      </c>
      <c r="C32" s="1" t="s">
        <v>18</v>
      </c>
      <c r="D32" s="3">
        <v>45063</v>
      </c>
      <c r="E32" s="1">
        <v>294</v>
      </c>
      <c r="F32" s="1">
        <f>0.0001/3</f>
        <v>3.3333333333333335E-5</v>
      </c>
      <c r="G32" s="1">
        <f>0.0006/2</f>
        <v>2.9999999999999997E-4</v>
      </c>
      <c r="H32" s="1">
        <f>0.0008/4</f>
        <v>2.0000000000000001E-4</v>
      </c>
      <c r="I32" s="1">
        <f>0.0004/2</f>
        <v>2.0000000000000001E-4</v>
      </c>
      <c r="J32" s="1">
        <v>1E-4</v>
      </c>
      <c r="K32" s="1">
        <f>0.0004/2</f>
        <v>2.0000000000000001E-4</v>
      </c>
      <c r="L32" s="1">
        <f>0.0001/2</f>
        <v>5.0000000000000002E-5</v>
      </c>
      <c r="M32" s="1">
        <f>0.0003/6</f>
        <v>4.9999999999999996E-5</v>
      </c>
      <c r="N32" s="1">
        <f>0.0001/5</f>
        <v>2.0000000000000002E-5</v>
      </c>
      <c r="O32" s="1">
        <f>0.0002/4</f>
        <v>5.0000000000000002E-5</v>
      </c>
      <c r="P32" s="1">
        <v>0.1535</v>
      </c>
    </row>
    <row r="33" spans="1:17" ht="15.75" customHeight="1" x14ac:dyDescent="0.2">
      <c r="A33" s="10" t="s">
        <v>54</v>
      </c>
      <c r="B33" s="1" t="str">
        <f t="shared" si="0"/>
        <v>AIRCAR</v>
      </c>
      <c r="C33" s="1" t="s">
        <v>18</v>
      </c>
      <c r="D33" s="3">
        <v>45063</v>
      </c>
      <c r="E33" s="1">
        <v>159</v>
      </c>
      <c r="F33" s="1">
        <v>1E-4</v>
      </c>
      <c r="G33" s="1">
        <f>0.0001/2</f>
        <v>5.0000000000000002E-5</v>
      </c>
      <c r="H33" s="1">
        <f>0.0005/4</f>
        <v>1.25E-4</v>
      </c>
      <c r="I33" s="1">
        <f>0.0009/2</f>
        <v>4.4999999999999999E-4</v>
      </c>
      <c r="J33" s="1">
        <f>0.0008</f>
        <v>8.0000000000000004E-4</v>
      </c>
      <c r="K33" s="1">
        <f>0.0001/2</f>
        <v>5.0000000000000002E-5</v>
      </c>
      <c r="L33" s="1">
        <f>0.0005/1</f>
        <v>5.0000000000000001E-4</v>
      </c>
      <c r="M33" s="1">
        <f>0.0001/5</f>
        <v>2.0000000000000002E-5</v>
      </c>
      <c r="N33" s="1">
        <f>0.0001/3</f>
        <v>3.3333333333333335E-5</v>
      </c>
      <c r="O33" s="1">
        <f>0.0002/9</f>
        <v>2.2222222222222223E-5</v>
      </c>
      <c r="P33" s="1">
        <v>8.5000000000000006E-2</v>
      </c>
    </row>
    <row r="34" spans="1:17" ht="15.75" customHeight="1" x14ac:dyDescent="0.2">
      <c r="A34" s="10" t="s">
        <v>55</v>
      </c>
      <c r="B34" s="1" t="str">
        <f t="shared" si="0"/>
        <v>AMSMEN</v>
      </c>
      <c r="C34" s="1" t="s">
        <v>42</v>
      </c>
      <c r="D34" s="3">
        <v>45063</v>
      </c>
      <c r="E34" s="1">
        <v>591</v>
      </c>
      <c r="F34" s="1">
        <v>5.1999999999999998E-3</v>
      </c>
      <c r="G34" s="1">
        <v>5.8999999999999999E-3</v>
      </c>
      <c r="H34" s="1">
        <v>2.8E-3</v>
      </c>
      <c r="I34" s="1">
        <v>4.4000000000000003E-3</v>
      </c>
      <c r="J34" s="1">
        <v>4.0000000000000001E-3</v>
      </c>
      <c r="K34" s="1">
        <v>6.0000000000000001E-3</v>
      </c>
      <c r="L34" s="1">
        <v>4.3E-3</v>
      </c>
      <c r="M34" s="1">
        <v>5.1000000000000004E-3</v>
      </c>
      <c r="N34" s="1">
        <v>5.3E-3</v>
      </c>
      <c r="O34" s="1">
        <v>4.7000000000000002E-3</v>
      </c>
      <c r="P34" s="1">
        <v>1.37</v>
      </c>
    </row>
    <row r="35" spans="1:17" ht="15.75" customHeight="1" x14ac:dyDescent="0.2">
      <c r="A35" s="10" t="s">
        <v>56</v>
      </c>
      <c r="B35" s="1" t="str">
        <f t="shared" si="0"/>
        <v>AMSMEN</v>
      </c>
      <c r="C35" s="1" t="s">
        <v>42</v>
      </c>
      <c r="D35" s="3">
        <v>45063</v>
      </c>
      <c r="E35" s="1">
        <v>482</v>
      </c>
      <c r="F35" s="1">
        <v>4.5999999999999999E-3</v>
      </c>
      <c r="G35" s="1">
        <v>2.7000000000000001E-3</v>
      </c>
      <c r="H35" s="1">
        <v>3.5999999999999999E-3</v>
      </c>
      <c r="I35" s="1">
        <v>4.4999999999999997E-3</v>
      </c>
      <c r="J35" s="1">
        <v>3.0000000000000001E-3</v>
      </c>
      <c r="K35" s="1">
        <v>3.0000000000000001E-3</v>
      </c>
      <c r="L35" s="1">
        <v>5.1999999999999998E-3</v>
      </c>
      <c r="M35" s="1">
        <v>2E-3</v>
      </c>
      <c r="N35" s="1">
        <v>3.5999999999999999E-3</v>
      </c>
      <c r="O35" s="1">
        <v>4.5999999999999999E-3</v>
      </c>
      <c r="P35" s="1">
        <v>8.5399999999999991</v>
      </c>
    </row>
    <row r="36" spans="1:17" ht="15.75" customHeight="1" x14ac:dyDescent="0.2">
      <c r="A36" s="10" t="s">
        <v>57</v>
      </c>
      <c r="B36" s="1" t="str">
        <f t="shared" si="0"/>
        <v>AMSMEN</v>
      </c>
      <c r="C36" s="1" t="s">
        <v>18</v>
      </c>
      <c r="D36" s="3">
        <v>45043</v>
      </c>
      <c r="E36" s="1">
        <v>16</v>
      </c>
      <c r="F36" s="1">
        <v>1.1000000000000001E-3</v>
      </c>
      <c r="G36" s="1">
        <v>2.8999999999999998E-3</v>
      </c>
      <c r="H36" s="1">
        <v>3.5999999999999999E-3</v>
      </c>
      <c r="I36" s="1">
        <v>3.0000000000000001E-3</v>
      </c>
      <c r="J36" s="1">
        <v>2E-3</v>
      </c>
      <c r="P36" s="1">
        <v>1.24</v>
      </c>
      <c r="Q36" s="1" t="s">
        <v>58</v>
      </c>
    </row>
    <row r="37" spans="1:17" ht="15.75" customHeight="1" x14ac:dyDescent="0.2">
      <c r="A37" s="10" t="s">
        <v>59</v>
      </c>
      <c r="B37" s="1" t="str">
        <f t="shared" si="0"/>
        <v>AMSMEN</v>
      </c>
      <c r="C37" s="1" t="s">
        <v>18</v>
      </c>
      <c r="D37" s="3">
        <v>45024</v>
      </c>
      <c r="E37" s="1" t="s">
        <v>319</v>
      </c>
      <c r="F37" s="1" t="s">
        <v>319</v>
      </c>
      <c r="G37" s="1" t="s">
        <v>319</v>
      </c>
      <c r="H37" s="1" t="s">
        <v>319</v>
      </c>
      <c r="I37" s="1" t="s">
        <v>319</v>
      </c>
      <c r="J37" s="1" t="s">
        <v>319</v>
      </c>
      <c r="K37" s="1" t="s">
        <v>319</v>
      </c>
      <c r="L37" s="1" t="s">
        <v>319</v>
      </c>
      <c r="M37" s="1" t="s">
        <v>319</v>
      </c>
      <c r="N37" s="1" t="s">
        <v>319</v>
      </c>
      <c r="O37" s="1" t="s">
        <v>319</v>
      </c>
      <c r="P37" s="1">
        <v>0.65039999999999998</v>
      </c>
      <c r="Q37" s="1" t="s">
        <v>60</v>
      </c>
    </row>
    <row r="38" spans="1:17" ht="15.75" customHeight="1" x14ac:dyDescent="0.2">
      <c r="A38" s="4" t="s">
        <v>61</v>
      </c>
      <c r="B38" s="1" t="str">
        <f t="shared" si="0"/>
        <v>AMSMEN</v>
      </c>
      <c r="C38" s="1" t="s">
        <v>18</v>
      </c>
      <c r="D38" s="3">
        <v>45028</v>
      </c>
      <c r="E38" s="1" t="s">
        <v>319</v>
      </c>
      <c r="F38" s="1" t="s">
        <v>319</v>
      </c>
      <c r="G38" s="1" t="s">
        <v>319</v>
      </c>
      <c r="H38" s="1" t="s">
        <v>319</v>
      </c>
      <c r="I38" s="1" t="s">
        <v>319</v>
      </c>
      <c r="J38" s="1" t="s">
        <v>319</v>
      </c>
      <c r="K38" s="1" t="s">
        <v>319</v>
      </c>
      <c r="L38" s="1" t="s">
        <v>319</v>
      </c>
      <c r="M38" s="1" t="s">
        <v>319</v>
      </c>
      <c r="N38" s="1" t="s">
        <v>319</v>
      </c>
      <c r="O38" s="1" t="s">
        <v>319</v>
      </c>
      <c r="P38" s="1">
        <v>0.2374</v>
      </c>
      <c r="Q38" s="1" t="s">
        <v>62</v>
      </c>
    </row>
    <row r="39" spans="1:17" ht="15.75" customHeight="1" x14ac:dyDescent="0.2">
      <c r="A39" s="4" t="s">
        <v>63</v>
      </c>
      <c r="B39" s="1" t="str">
        <f t="shared" si="0"/>
        <v>AMSMEN</v>
      </c>
      <c r="C39" s="1" t="s">
        <v>18</v>
      </c>
      <c r="D39" s="3">
        <v>45024</v>
      </c>
      <c r="E39" s="1" t="s">
        <v>319</v>
      </c>
      <c r="F39" s="1" t="s">
        <v>319</v>
      </c>
      <c r="G39" s="1" t="s">
        <v>319</v>
      </c>
      <c r="H39" s="1" t="s">
        <v>319</v>
      </c>
      <c r="I39" s="1" t="s">
        <v>319</v>
      </c>
      <c r="J39" s="1" t="s">
        <v>319</v>
      </c>
      <c r="K39" s="1" t="s">
        <v>319</v>
      </c>
      <c r="L39" s="1" t="s">
        <v>319</v>
      </c>
      <c r="M39" s="1" t="s">
        <v>319</v>
      </c>
      <c r="N39" s="1" t="s">
        <v>319</v>
      </c>
      <c r="O39" s="1" t="s">
        <v>319</v>
      </c>
      <c r="P39" s="1">
        <v>0.54139999999999999</v>
      </c>
      <c r="Q39" s="1" t="s">
        <v>64</v>
      </c>
    </row>
    <row r="40" spans="1:17" ht="15.75" customHeight="1" x14ac:dyDescent="0.2">
      <c r="A40" s="4" t="s">
        <v>65</v>
      </c>
      <c r="B40" s="1" t="str">
        <f t="shared" si="0"/>
        <v>AMSMEN</v>
      </c>
      <c r="C40" s="1" t="s">
        <v>18</v>
      </c>
      <c r="D40" s="3">
        <v>45024</v>
      </c>
      <c r="E40" s="1" t="s">
        <v>319</v>
      </c>
      <c r="F40" s="1" t="s">
        <v>319</v>
      </c>
      <c r="G40" s="1" t="s">
        <v>319</v>
      </c>
      <c r="H40" s="1" t="s">
        <v>319</v>
      </c>
      <c r="I40" s="1" t="s">
        <v>319</v>
      </c>
      <c r="J40" s="1" t="s">
        <v>319</v>
      </c>
      <c r="K40" s="1" t="s">
        <v>319</v>
      </c>
      <c r="L40" s="1" t="s">
        <v>319</v>
      </c>
      <c r="M40" s="1" t="s">
        <v>319</v>
      </c>
      <c r="N40" s="1" t="s">
        <v>319</v>
      </c>
      <c r="O40" s="1" t="s">
        <v>319</v>
      </c>
      <c r="P40" s="1">
        <v>0.93530000000000002</v>
      </c>
      <c r="Q40" s="1" t="s">
        <v>66</v>
      </c>
    </row>
    <row r="41" spans="1:17" ht="15.75" customHeight="1" x14ac:dyDescent="0.2">
      <c r="A41" s="10" t="s">
        <v>67</v>
      </c>
      <c r="B41" s="1" t="str">
        <f t="shared" si="0"/>
        <v>AMSMEN</v>
      </c>
      <c r="C41" s="1" t="s">
        <v>18</v>
      </c>
      <c r="D41" s="3">
        <v>45024</v>
      </c>
      <c r="E41" s="1" t="s">
        <v>319</v>
      </c>
      <c r="F41" s="1" t="s">
        <v>319</v>
      </c>
      <c r="G41" s="1" t="s">
        <v>319</v>
      </c>
      <c r="H41" s="1" t="s">
        <v>319</v>
      </c>
      <c r="I41" s="1" t="s">
        <v>319</v>
      </c>
      <c r="J41" s="1" t="s">
        <v>319</v>
      </c>
      <c r="K41" s="1" t="s">
        <v>319</v>
      </c>
      <c r="L41" s="1" t="s">
        <v>319</v>
      </c>
      <c r="M41" s="1" t="s">
        <v>319</v>
      </c>
      <c r="N41" s="1" t="s">
        <v>319</v>
      </c>
      <c r="O41" s="1" t="s">
        <v>319</v>
      </c>
      <c r="P41" s="1">
        <v>0.38219999999999998</v>
      </c>
      <c r="Q41" s="1" t="s">
        <v>66</v>
      </c>
    </row>
    <row r="42" spans="1:17" ht="15.75" customHeight="1" x14ac:dyDescent="0.2">
      <c r="A42" s="10" t="s">
        <v>68</v>
      </c>
      <c r="B42" s="1" t="str">
        <f t="shared" si="0"/>
        <v>AMSMEN</v>
      </c>
      <c r="C42" s="1" t="s">
        <v>18</v>
      </c>
      <c r="D42" s="3">
        <v>45024</v>
      </c>
      <c r="E42" s="1" t="s">
        <v>319</v>
      </c>
      <c r="F42" s="1" t="s">
        <v>319</v>
      </c>
      <c r="G42" s="1" t="s">
        <v>319</v>
      </c>
      <c r="H42" s="1" t="s">
        <v>319</v>
      </c>
      <c r="I42" s="1" t="s">
        <v>319</v>
      </c>
      <c r="J42" s="1" t="s">
        <v>319</v>
      </c>
      <c r="K42" s="1" t="s">
        <v>319</v>
      </c>
      <c r="L42" s="1" t="s">
        <v>319</v>
      </c>
      <c r="M42" s="1" t="s">
        <v>319</v>
      </c>
      <c r="N42" s="1" t="s">
        <v>319</v>
      </c>
      <c r="O42" s="1" t="s">
        <v>319</v>
      </c>
      <c r="P42" s="1">
        <v>0.73729999999999996</v>
      </c>
      <c r="Q42" s="1" t="s">
        <v>66</v>
      </c>
    </row>
    <row r="43" spans="1:17" ht="15.75" customHeight="1" x14ac:dyDescent="0.2">
      <c r="A43" s="10" t="s">
        <v>69</v>
      </c>
      <c r="B43" s="1" t="str">
        <f t="shared" si="0"/>
        <v>AMSMEN</v>
      </c>
      <c r="C43" s="1" t="s">
        <v>42</v>
      </c>
      <c r="D43" s="1" t="s">
        <v>319</v>
      </c>
      <c r="E43" s="1" t="s">
        <v>319</v>
      </c>
      <c r="F43" s="1" t="s">
        <v>319</v>
      </c>
      <c r="G43" s="1" t="s">
        <v>319</v>
      </c>
      <c r="H43" s="1" t="s">
        <v>319</v>
      </c>
      <c r="I43" s="1" t="s">
        <v>319</v>
      </c>
      <c r="J43" s="1" t="s">
        <v>319</v>
      </c>
      <c r="K43" s="1" t="s">
        <v>319</v>
      </c>
      <c r="L43" s="1" t="s">
        <v>319</v>
      </c>
      <c r="M43" s="1" t="s">
        <v>319</v>
      </c>
      <c r="N43" s="1" t="s">
        <v>319</v>
      </c>
      <c r="O43" s="1" t="s">
        <v>319</v>
      </c>
      <c r="P43" s="1" t="s">
        <v>319</v>
      </c>
      <c r="Q43" s="1" t="s">
        <v>70</v>
      </c>
    </row>
    <row r="44" spans="1:17" ht="15.75" customHeight="1" x14ac:dyDescent="0.2">
      <c r="A44" s="4" t="s">
        <v>71</v>
      </c>
      <c r="B44" s="1" t="str">
        <f t="shared" si="0"/>
        <v>AMSMEN</v>
      </c>
      <c r="C44" s="1" t="s">
        <v>18</v>
      </c>
      <c r="D44" s="3">
        <v>45024</v>
      </c>
      <c r="E44" s="1" t="s">
        <v>319</v>
      </c>
      <c r="F44" s="1" t="s">
        <v>319</v>
      </c>
      <c r="G44" s="1" t="s">
        <v>319</v>
      </c>
      <c r="H44" s="1" t="s">
        <v>319</v>
      </c>
      <c r="I44" s="1" t="s">
        <v>319</v>
      </c>
      <c r="J44" s="1" t="s">
        <v>319</v>
      </c>
      <c r="K44" s="1" t="s">
        <v>319</v>
      </c>
      <c r="L44" s="1" t="s">
        <v>319</v>
      </c>
      <c r="M44" s="1" t="s">
        <v>319</v>
      </c>
      <c r="N44" s="1" t="s">
        <v>319</v>
      </c>
      <c r="O44" s="1" t="s">
        <v>319</v>
      </c>
      <c r="P44" s="1">
        <v>0.51170000000000004</v>
      </c>
      <c r="Q44" s="1" t="s">
        <v>72</v>
      </c>
    </row>
    <row r="45" spans="1:17" ht="15.75" customHeight="1" x14ac:dyDescent="0.2">
      <c r="A45" s="10" t="s">
        <v>73</v>
      </c>
      <c r="B45" s="1" t="str">
        <f t="shared" si="0"/>
        <v>AMSMEN</v>
      </c>
      <c r="C45" s="1" t="s">
        <v>18</v>
      </c>
      <c r="D45" s="3">
        <v>45046</v>
      </c>
      <c r="E45" s="1">
        <v>72</v>
      </c>
      <c r="F45" s="1">
        <v>2.7000000000000001E-3</v>
      </c>
      <c r="G45" s="1">
        <v>2.8E-3</v>
      </c>
      <c r="H45" s="1">
        <v>1.01E-2</v>
      </c>
      <c r="I45" s="1">
        <v>2E-3</v>
      </c>
      <c r="J45" s="1">
        <v>7.7999999999999996E-3</v>
      </c>
      <c r="K45" s="1">
        <v>2.5999999999999999E-3</v>
      </c>
      <c r="L45" s="1">
        <v>9.7999999999999997E-3</v>
      </c>
      <c r="M45" s="1">
        <v>2.5000000000000001E-3</v>
      </c>
      <c r="N45" s="1">
        <v>2.3999999999999998E-3</v>
      </c>
      <c r="O45" s="1">
        <v>4.8999999999999998E-3</v>
      </c>
      <c r="P45" s="1">
        <v>2.0989</v>
      </c>
    </row>
    <row r="46" spans="1:17" ht="15.75" customHeight="1" x14ac:dyDescent="0.2">
      <c r="A46" s="4" t="s">
        <v>74</v>
      </c>
      <c r="B46" s="1" t="str">
        <f t="shared" si="0"/>
        <v>AMSMEN</v>
      </c>
      <c r="C46" s="1" t="s">
        <v>18</v>
      </c>
      <c r="D46" s="3">
        <v>45029</v>
      </c>
      <c r="E46" s="1">
        <v>2</v>
      </c>
      <c r="P46" s="1">
        <v>0.51280000000000003</v>
      </c>
      <c r="Q46" s="1" t="s">
        <v>75</v>
      </c>
    </row>
    <row r="47" spans="1:17" ht="15.75" customHeight="1" x14ac:dyDescent="0.2">
      <c r="A47" s="4" t="s">
        <v>76</v>
      </c>
      <c r="B47" s="1" t="str">
        <f t="shared" si="0"/>
        <v>AMSMEN</v>
      </c>
      <c r="C47" s="1" t="s">
        <v>18</v>
      </c>
      <c r="D47" s="3">
        <v>45063</v>
      </c>
      <c r="E47" s="1">
        <v>39</v>
      </c>
      <c r="F47" s="1">
        <v>3.8E-3</v>
      </c>
      <c r="G47" s="1">
        <v>4.4999999999999997E-3</v>
      </c>
      <c r="H47" s="1">
        <v>3.3999999999999998E-3</v>
      </c>
      <c r="I47" s="1">
        <v>4.7000000000000002E-3</v>
      </c>
      <c r="J47" s="1">
        <v>4.5999999999999999E-3</v>
      </c>
      <c r="K47" s="1">
        <v>3.5999999999999999E-3</v>
      </c>
      <c r="L47" s="1">
        <v>4.4000000000000003E-3</v>
      </c>
      <c r="M47" s="1">
        <v>5.5999999999999999E-3</v>
      </c>
      <c r="N47" s="1">
        <v>7.1999999999999998E-3</v>
      </c>
      <c r="O47" s="1">
        <v>2.3999999999999998E-3</v>
      </c>
      <c r="P47" s="1">
        <v>1.07</v>
      </c>
    </row>
    <row r="48" spans="1:17" ht="15.75" customHeight="1" x14ac:dyDescent="0.2">
      <c r="A48" s="10" t="s">
        <v>77</v>
      </c>
      <c r="B48" s="1" t="str">
        <f t="shared" si="0"/>
        <v>AMSMEN</v>
      </c>
      <c r="C48" s="1" t="s">
        <v>18</v>
      </c>
      <c r="D48" s="3">
        <v>45029</v>
      </c>
      <c r="E48" s="1" t="s">
        <v>319</v>
      </c>
      <c r="F48" s="1" t="s">
        <v>319</v>
      </c>
      <c r="G48" s="1" t="s">
        <v>319</v>
      </c>
      <c r="H48" s="1" t="s">
        <v>319</v>
      </c>
      <c r="I48" s="1" t="s">
        <v>319</v>
      </c>
      <c r="J48" s="1" t="s">
        <v>319</v>
      </c>
      <c r="K48" s="1" t="s">
        <v>319</v>
      </c>
      <c r="L48" s="1" t="s">
        <v>319</v>
      </c>
      <c r="M48" s="1" t="s">
        <v>319</v>
      </c>
      <c r="N48" s="1" t="s">
        <v>319</v>
      </c>
      <c r="O48" s="1" t="s">
        <v>319</v>
      </c>
      <c r="P48" s="1">
        <v>5.8099999999999999E-2</v>
      </c>
      <c r="Q48" s="1" t="s">
        <v>64</v>
      </c>
    </row>
    <row r="49" spans="1:17" ht="15.75" customHeight="1" x14ac:dyDescent="0.2">
      <c r="A49" s="4" t="s">
        <v>78</v>
      </c>
      <c r="B49" s="1" t="str">
        <f t="shared" si="0"/>
        <v>AMSMEN</v>
      </c>
      <c r="C49" s="1" t="s">
        <v>18</v>
      </c>
      <c r="D49" s="3">
        <v>45047</v>
      </c>
      <c r="E49" s="1">
        <f>92+5</f>
        <v>97</v>
      </c>
      <c r="F49" s="1">
        <v>4.3E-3</v>
      </c>
      <c r="G49" s="1">
        <v>4.4999999999999997E-3</v>
      </c>
      <c r="H49" s="1">
        <v>3.8E-3</v>
      </c>
      <c r="I49" s="1">
        <v>5.1999999999999998E-3</v>
      </c>
      <c r="J49" s="1">
        <v>3.8999999999999998E-3</v>
      </c>
      <c r="K49" s="1">
        <v>5.1999999999999998E-3</v>
      </c>
      <c r="L49" s="1">
        <v>4.1000000000000003E-3</v>
      </c>
      <c r="M49" s="1">
        <v>3.7000000000000002E-3</v>
      </c>
      <c r="N49" s="1">
        <v>4.7000000000000002E-3</v>
      </c>
      <c r="O49" s="1">
        <v>4.0000000000000001E-3</v>
      </c>
      <c r="P49" s="1">
        <f>0.0494+2.3093</f>
        <v>2.3586999999999998</v>
      </c>
      <c r="Q49" s="1" t="s">
        <v>79</v>
      </c>
    </row>
    <row r="50" spans="1:17" ht="15.75" customHeight="1" x14ac:dyDescent="0.2">
      <c r="A50" s="10" t="s">
        <v>80</v>
      </c>
      <c r="B50" s="1" t="str">
        <f t="shared" si="0"/>
        <v>AVEBAR</v>
      </c>
      <c r="C50" s="1" t="s">
        <v>38</v>
      </c>
      <c r="D50" s="3">
        <v>45051</v>
      </c>
      <c r="E50" s="1">
        <v>6</v>
      </c>
      <c r="F50" s="1">
        <v>7.1999999999999998E-3</v>
      </c>
      <c r="G50" s="1">
        <v>7.4999999999999997E-3</v>
      </c>
      <c r="H50" s="1">
        <v>8.3000000000000001E-3</v>
      </c>
      <c r="I50" s="1">
        <v>9.5999999999999992E-3</v>
      </c>
      <c r="J50" s="1">
        <v>1.17E-3</v>
      </c>
      <c r="K50" s="1">
        <v>1.12E-2</v>
      </c>
      <c r="P50" s="1">
        <v>0.2</v>
      </c>
      <c r="Q50" s="1" t="s">
        <v>81</v>
      </c>
    </row>
    <row r="51" spans="1:17" ht="15.75" customHeight="1" x14ac:dyDescent="0.2">
      <c r="A51" s="4" t="s">
        <v>82</v>
      </c>
      <c r="B51" s="1" t="str">
        <f t="shared" si="0"/>
        <v>AVEBAR</v>
      </c>
      <c r="C51" s="1" t="s">
        <v>38</v>
      </c>
      <c r="D51" s="3">
        <v>45112</v>
      </c>
      <c r="E51" s="1">
        <f>93+1247</f>
        <v>1340</v>
      </c>
      <c r="F51" s="1">
        <v>4.0800000000000003E-2</v>
      </c>
      <c r="G51" s="1">
        <v>3.3500000000000002E-2</v>
      </c>
      <c r="H51" s="1">
        <v>3.9E-2</v>
      </c>
      <c r="I51" s="1">
        <v>4.24E-2</v>
      </c>
      <c r="J51" s="1">
        <v>3.9399999999999998E-2</v>
      </c>
      <c r="K51" s="1">
        <v>5.3499999999999999E-2</v>
      </c>
      <c r="L51" s="1">
        <v>4.7969999999999999E-2</v>
      </c>
      <c r="M51" s="1">
        <v>2.9000000000000001E-2</v>
      </c>
      <c r="N51" s="1">
        <v>4.2700000000000002E-2</v>
      </c>
      <c r="O51" s="1">
        <v>3.3099999999999997E-2</v>
      </c>
      <c r="P51" s="1">
        <f>112.49+5.83</f>
        <v>118.32</v>
      </c>
      <c r="Q51" s="1" t="s">
        <v>83</v>
      </c>
    </row>
    <row r="52" spans="1:17" ht="15.75" customHeight="1" x14ac:dyDescent="0.2">
      <c r="A52" s="10" t="s">
        <v>84</v>
      </c>
      <c r="B52" s="1" t="str">
        <f t="shared" si="0"/>
        <v>AVEBAR</v>
      </c>
      <c r="C52" s="1" t="s">
        <v>85</v>
      </c>
      <c r="D52" s="3">
        <v>45083</v>
      </c>
      <c r="E52" s="1">
        <v>452</v>
      </c>
      <c r="F52" s="1">
        <v>8.0999999999999996E-3</v>
      </c>
      <c r="G52" s="1">
        <v>8.0000000000000002E-3</v>
      </c>
      <c r="H52" s="1">
        <v>8.3999999999999995E-3</v>
      </c>
      <c r="I52" s="1">
        <v>8.6E-3</v>
      </c>
      <c r="J52" s="1">
        <v>1.0200000000000001E-2</v>
      </c>
      <c r="K52" s="1">
        <v>1.66E-2</v>
      </c>
      <c r="L52" s="1">
        <v>6.1999999999999998E-3</v>
      </c>
      <c r="M52" s="1">
        <v>1.41E-2</v>
      </c>
      <c r="N52" s="1">
        <v>1.0500000000000001E-2</v>
      </c>
      <c r="O52" s="1">
        <v>1.4200000000000001E-2</v>
      </c>
      <c r="P52" s="1">
        <v>18.809999999999999</v>
      </c>
    </row>
    <row r="53" spans="1:17" ht="15.75" customHeight="1" x14ac:dyDescent="0.2">
      <c r="A53" s="4" t="s">
        <v>86</v>
      </c>
      <c r="B53" s="1" t="str">
        <f t="shared" si="0"/>
        <v>AVEBAR</v>
      </c>
      <c r="C53" s="1" t="s">
        <v>42</v>
      </c>
      <c r="D53" s="1" t="s">
        <v>319</v>
      </c>
      <c r="E53" s="1">
        <f>57+488</f>
        <v>545</v>
      </c>
      <c r="F53" s="1">
        <v>1.7999999999999999E-2</v>
      </c>
      <c r="G53" s="1">
        <v>1.6E-2</v>
      </c>
      <c r="H53" s="1">
        <v>2.1100000000000001E-2</v>
      </c>
      <c r="I53" s="1">
        <v>1.4500000000000001E-2</v>
      </c>
      <c r="J53" s="1">
        <v>2.06E-2</v>
      </c>
      <c r="K53" s="1">
        <v>1.7500000000000002E-2</v>
      </c>
      <c r="L53" s="1">
        <v>2.87E-2</v>
      </c>
      <c r="M53" s="1">
        <v>1.44E-2</v>
      </c>
      <c r="N53" s="1">
        <v>1.66E-2</v>
      </c>
      <c r="O53" s="1">
        <v>1.18E-2</v>
      </c>
      <c r="P53" s="1">
        <f>0.25+29.56</f>
        <v>29.81</v>
      </c>
      <c r="Q53" s="1" t="s">
        <v>87</v>
      </c>
    </row>
    <row r="54" spans="1:17" ht="15.75" customHeight="1" x14ac:dyDescent="0.2">
      <c r="A54" s="10" t="s">
        <v>88</v>
      </c>
      <c r="B54" s="1" t="str">
        <f t="shared" si="0"/>
        <v>AVEBAR</v>
      </c>
    </row>
    <row r="55" spans="1:17" ht="15.75" customHeight="1" x14ac:dyDescent="0.2">
      <c r="A55" s="4" t="s">
        <v>89</v>
      </c>
      <c r="B55" s="1" t="str">
        <f t="shared" si="0"/>
        <v>AVEBAR</v>
      </c>
      <c r="C55" s="1" t="s">
        <v>18</v>
      </c>
      <c r="D55" s="3">
        <v>45140</v>
      </c>
      <c r="E55" s="1">
        <f>839+489</f>
        <v>1328</v>
      </c>
      <c r="F55" s="1">
        <v>1.4200000000000001E-2</v>
      </c>
      <c r="G55" s="1">
        <v>1.04E-2</v>
      </c>
      <c r="H55" s="1">
        <v>1.21E-2</v>
      </c>
      <c r="I55" s="1">
        <v>1.52E-2</v>
      </c>
      <c r="J55" s="1">
        <v>1.11E-2</v>
      </c>
      <c r="K55" s="1">
        <v>8.5000000000000006E-3</v>
      </c>
      <c r="L55" s="1">
        <v>1.3899999999999999E-2</v>
      </c>
      <c r="M55" s="1">
        <v>1.32E-2</v>
      </c>
      <c r="N55" s="1">
        <v>1.66E-2</v>
      </c>
      <c r="O55" s="1">
        <v>1.3599999999999999E-2</v>
      </c>
      <c r="P55" s="1">
        <f>1.92+50.56</f>
        <v>52.480000000000004</v>
      </c>
      <c r="Q55" s="1" t="s">
        <v>79</v>
      </c>
    </row>
    <row r="56" spans="1:17" ht="15.75" customHeight="1" x14ac:dyDescent="0.2">
      <c r="A56" s="10" t="s">
        <v>90</v>
      </c>
      <c r="B56" s="1" t="str">
        <f t="shared" si="0"/>
        <v>AVEBAR</v>
      </c>
      <c r="C56" s="1" t="s">
        <v>42</v>
      </c>
      <c r="D56" s="3">
        <v>45083</v>
      </c>
      <c r="E56" s="1">
        <v>599</v>
      </c>
      <c r="F56" s="1">
        <v>1.3599999999999999E-2</v>
      </c>
      <c r="G56" s="1">
        <v>1.8599999999999998E-2</v>
      </c>
      <c r="H56" s="1">
        <v>2.4299999999999999E-2</v>
      </c>
      <c r="I56" s="1">
        <v>1.17E-2</v>
      </c>
      <c r="J56" s="1">
        <v>1.34E-2</v>
      </c>
      <c r="K56" s="1">
        <v>1.6299999999999999E-2</v>
      </c>
      <c r="L56" s="1">
        <v>1.9599999999999999E-2</v>
      </c>
      <c r="M56" s="1">
        <v>1.7899999999999999E-2</v>
      </c>
      <c r="N56" s="1">
        <v>1.9699999999999999E-2</v>
      </c>
      <c r="O56" s="1">
        <v>3.1199999999999999E-2</v>
      </c>
      <c r="P56" s="1">
        <v>26.37</v>
      </c>
      <c r="Q56" s="1" t="s">
        <v>91</v>
      </c>
    </row>
    <row r="57" spans="1:17" ht="15.75" customHeight="1" x14ac:dyDescent="0.2">
      <c r="A57" s="4" t="s">
        <v>92</v>
      </c>
      <c r="B57" s="1" t="str">
        <f t="shared" si="0"/>
        <v>AVEBAR</v>
      </c>
      <c r="C57" s="1" t="s">
        <v>42</v>
      </c>
      <c r="D57" s="3">
        <v>45140</v>
      </c>
      <c r="E57" s="1">
        <v>536</v>
      </c>
      <c r="F57" s="1">
        <v>1.7899999999999999E-2</v>
      </c>
      <c r="G57" s="1">
        <v>1.9300000000000001E-2</v>
      </c>
      <c r="H57" s="1">
        <v>2.1399999999999999E-2</v>
      </c>
      <c r="I57" s="1">
        <v>1.5299999999999999E-2</v>
      </c>
      <c r="J57" s="1">
        <v>1.8200000000000001E-2</v>
      </c>
      <c r="K57" s="1">
        <v>1.9E-2</v>
      </c>
      <c r="L57" s="1">
        <v>1.7899999999999999E-2</v>
      </c>
      <c r="M57" s="1">
        <v>1.5599999999999999E-2</v>
      </c>
      <c r="N57" s="1">
        <v>1.3100000000000001E-2</v>
      </c>
      <c r="O57" s="1">
        <v>1.9300000000000001E-2</v>
      </c>
      <c r="P57" s="1">
        <v>78.94</v>
      </c>
    </row>
    <row r="58" spans="1:17" ht="15.75" customHeight="1" x14ac:dyDescent="0.2">
      <c r="A58" s="10" t="s">
        <v>93</v>
      </c>
      <c r="B58" s="1" t="str">
        <f t="shared" si="0"/>
        <v>AVEBAR</v>
      </c>
      <c r="C58" s="1" t="s">
        <v>38</v>
      </c>
      <c r="D58" s="3">
        <v>45083</v>
      </c>
      <c r="E58" s="1">
        <v>1606</v>
      </c>
      <c r="F58" s="1">
        <v>1.12E-2</v>
      </c>
      <c r="G58" s="1">
        <v>1.3299999999999999E-2</v>
      </c>
      <c r="H58" s="1">
        <v>1.77E-2</v>
      </c>
      <c r="I58" s="1">
        <v>1.4800000000000001E-2</v>
      </c>
      <c r="J58" s="1">
        <v>1.23E-2</v>
      </c>
      <c r="K58" s="1">
        <v>1.09E-2</v>
      </c>
      <c r="L58" s="1">
        <v>1.21E-2</v>
      </c>
      <c r="M58" s="1">
        <v>9.2999999999999992E-3</v>
      </c>
      <c r="N58" s="1">
        <v>7.6E-3</v>
      </c>
      <c r="O58" s="1">
        <v>1.7000000000000001E-2</v>
      </c>
      <c r="P58" s="1">
        <v>61.76</v>
      </c>
    </row>
    <row r="59" spans="1:17" ht="15.75" customHeight="1" x14ac:dyDescent="0.2">
      <c r="A59" s="4" t="s">
        <v>94</v>
      </c>
      <c r="B59" s="1" t="str">
        <f t="shared" si="0"/>
        <v>AVEBAR</v>
      </c>
    </row>
    <row r="60" spans="1:17" ht="15.75" customHeight="1" x14ac:dyDescent="0.2">
      <c r="A60" s="4" t="s">
        <v>95</v>
      </c>
      <c r="B60" s="1" t="str">
        <f t="shared" si="0"/>
        <v>AVEBAR</v>
      </c>
      <c r="C60" s="1" t="s">
        <v>38</v>
      </c>
      <c r="D60" s="3">
        <v>45084</v>
      </c>
      <c r="E60" s="1">
        <v>911</v>
      </c>
      <c r="F60" s="1">
        <v>1.6199999999999999E-2</v>
      </c>
      <c r="G60" s="1">
        <v>0.01</v>
      </c>
      <c r="H60" s="1">
        <v>9.1999999999999998E-3</v>
      </c>
      <c r="I60" s="1">
        <v>1.11E-2</v>
      </c>
      <c r="J60" s="1">
        <v>1.4500000000000001E-2</v>
      </c>
      <c r="K60" s="1">
        <v>1.66E-2</v>
      </c>
      <c r="L60" s="1">
        <v>1.5299999999999999E-2</v>
      </c>
      <c r="M60" s="1">
        <v>1.34E-2</v>
      </c>
      <c r="N60" s="1">
        <v>2.4500000000000001E-2</v>
      </c>
      <c r="O60" s="1">
        <v>1.37E-2</v>
      </c>
      <c r="P60" s="1">
        <v>44.42</v>
      </c>
    </row>
    <row r="61" spans="1:17" ht="15.75" customHeight="1" x14ac:dyDescent="0.2">
      <c r="A61" s="10" t="s">
        <v>96</v>
      </c>
      <c r="B61" s="1" t="str">
        <f t="shared" si="0"/>
        <v>AVEBAR</v>
      </c>
    </row>
    <row r="62" spans="1:17" ht="15.75" customHeight="1" x14ac:dyDescent="0.2">
      <c r="A62" s="4" t="s">
        <v>97</v>
      </c>
      <c r="B62" s="1" t="str">
        <f t="shared" si="0"/>
        <v>AVEBAR</v>
      </c>
    </row>
    <row r="63" spans="1:17" ht="15.75" customHeight="1" x14ac:dyDescent="0.2">
      <c r="A63" s="10" t="s">
        <v>98</v>
      </c>
      <c r="B63" s="1" t="str">
        <f t="shared" si="0"/>
        <v>AVEBAR</v>
      </c>
      <c r="C63" s="1" t="s">
        <v>42</v>
      </c>
      <c r="D63" s="3">
        <v>45140</v>
      </c>
      <c r="E63" s="1">
        <f>138+761</f>
        <v>899</v>
      </c>
      <c r="F63" s="1">
        <v>1.34E-2</v>
      </c>
      <c r="G63" s="1">
        <v>2.0799999999999999E-2</v>
      </c>
      <c r="H63" s="1">
        <v>2.18E-2</v>
      </c>
      <c r="I63" s="1">
        <v>1.7399999999999999E-2</v>
      </c>
      <c r="J63" s="1">
        <v>1.21E-2</v>
      </c>
      <c r="K63" s="1">
        <v>1.46E-2</v>
      </c>
      <c r="L63" s="1">
        <v>1.37E-2</v>
      </c>
      <c r="M63" s="1">
        <v>1.67E-2</v>
      </c>
      <c r="N63" s="1">
        <v>1.6400000000000001E-2</v>
      </c>
      <c r="O63" s="1">
        <v>1.49E-2</v>
      </c>
      <c r="P63" s="1">
        <f>0.36+38.01</f>
        <v>38.369999999999997</v>
      </c>
      <c r="Q63" s="1" t="s">
        <v>99</v>
      </c>
    </row>
    <row r="64" spans="1:17" ht="15.75" customHeight="1" x14ac:dyDescent="0.2">
      <c r="A64" s="4" t="s">
        <v>100</v>
      </c>
      <c r="B64" s="1" t="str">
        <f t="shared" si="0"/>
        <v>AVEBAR</v>
      </c>
      <c r="C64" s="1" t="s">
        <v>38</v>
      </c>
      <c r="D64" s="3">
        <v>45140</v>
      </c>
      <c r="E64" s="1">
        <v>373</v>
      </c>
      <c r="F64" s="1">
        <v>2.5600000000000001E-2</v>
      </c>
      <c r="G64" s="1">
        <v>2.4500000000000001E-2</v>
      </c>
      <c r="H64" s="1">
        <v>1.8700000000000001E-2</v>
      </c>
      <c r="I64" s="1">
        <v>1.21E-2</v>
      </c>
      <c r="J64" s="1">
        <v>1.7500000000000002E-2</v>
      </c>
      <c r="K64" s="1">
        <v>2.1899999999999999E-2</v>
      </c>
      <c r="L64" s="1">
        <v>1.9800000000000002E-2</v>
      </c>
      <c r="M64" s="1">
        <v>1.4500000000000001E-2</v>
      </c>
      <c r="N64" s="1">
        <v>1.35E-2</v>
      </c>
      <c r="O64" s="1">
        <v>1.55E-2</v>
      </c>
      <c r="P64" s="1">
        <v>18.25</v>
      </c>
      <c r="Q64" s="1" t="s">
        <v>101</v>
      </c>
    </row>
    <row r="65" spans="1:17" ht="15.75" customHeight="1" x14ac:dyDescent="0.2">
      <c r="A65" s="10" t="s">
        <v>102</v>
      </c>
      <c r="B65" s="1" t="str">
        <f t="shared" si="0"/>
        <v>AVEBAR</v>
      </c>
      <c r="C65" s="1" t="s">
        <v>18</v>
      </c>
      <c r="D65" s="3">
        <v>45344</v>
      </c>
      <c r="E65" s="1">
        <f>178+154</f>
        <v>332</v>
      </c>
      <c r="F65" s="1">
        <v>3.4299999999999997E-2</v>
      </c>
      <c r="G65" s="1">
        <v>5.2499999999999998E-2</v>
      </c>
      <c r="H65" s="1">
        <v>4.2000000000000003E-2</v>
      </c>
      <c r="I65" s="1">
        <v>2.9700000000000001E-2</v>
      </c>
      <c r="J65" s="1">
        <v>4.65E-2</v>
      </c>
      <c r="K65" s="1">
        <v>3.8800000000000001E-2</v>
      </c>
      <c r="L65" s="1">
        <v>2.7699999999999999E-2</v>
      </c>
      <c r="M65" s="1">
        <v>5.5100000000000003E-2</v>
      </c>
      <c r="N65" s="1">
        <v>3.7199999999999997E-2</v>
      </c>
      <c r="O65" s="1">
        <v>3.0099999999999998E-2</v>
      </c>
      <c r="P65" s="1">
        <f>0.59+18.37</f>
        <v>18.96</v>
      </c>
      <c r="Q65" s="1" t="s">
        <v>79</v>
      </c>
    </row>
    <row r="66" spans="1:17" ht="15.75" customHeight="1" x14ac:dyDescent="0.2">
      <c r="A66" s="10" t="s">
        <v>103</v>
      </c>
      <c r="B66" s="1" t="str">
        <f t="shared" si="0"/>
        <v>AVEBAR</v>
      </c>
      <c r="C66" s="1" t="s">
        <v>42</v>
      </c>
      <c r="D66" s="3">
        <v>45140</v>
      </c>
      <c r="E66" s="1">
        <f>51+731</f>
        <v>782</v>
      </c>
      <c r="F66" s="1">
        <v>3.5400000000000001E-2</v>
      </c>
      <c r="G66" s="1">
        <v>1.7299999999999999E-2</v>
      </c>
      <c r="H66" s="1">
        <v>2.3199999999999998E-2</v>
      </c>
      <c r="I66" s="1">
        <v>1.9E-2</v>
      </c>
      <c r="J66" s="1">
        <v>2.7099999999999999E-2</v>
      </c>
      <c r="K66" s="1">
        <v>2.53E-2</v>
      </c>
      <c r="L66" s="1">
        <v>2.18E-2</v>
      </c>
      <c r="M66" s="1">
        <v>1.9800000000000002E-2</v>
      </c>
      <c r="N66" s="1">
        <v>1.7500000000000002E-2</v>
      </c>
      <c r="O66" s="1">
        <v>3.5700000000000003E-2</v>
      </c>
      <c r="P66" s="1">
        <f>0.17+37.13</f>
        <v>37.300000000000004</v>
      </c>
      <c r="Q66" s="1" t="s">
        <v>104</v>
      </c>
    </row>
    <row r="67" spans="1:17" ht="15.75" customHeight="1" x14ac:dyDescent="0.2">
      <c r="A67" s="4" t="s">
        <v>105</v>
      </c>
      <c r="B67" s="1" t="str">
        <f t="shared" si="0"/>
        <v>AVEBAR</v>
      </c>
      <c r="C67" s="1" t="s">
        <v>42</v>
      </c>
      <c r="D67" s="1" t="s">
        <v>319</v>
      </c>
      <c r="E67" s="1" t="s">
        <v>319</v>
      </c>
      <c r="F67" s="1" t="s">
        <v>319</v>
      </c>
      <c r="G67" s="1" t="s">
        <v>319</v>
      </c>
      <c r="H67" s="1" t="s">
        <v>319</v>
      </c>
      <c r="I67" s="1" t="s">
        <v>319</v>
      </c>
      <c r="J67" s="1" t="s">
        <v>319</v>
      </c>
      <c r="K67" s="1" t="s">
        <v>319</v>
      </c>
      <c r="L67" s="1" t="s">
        <v>319</v>
      </c>
      <c r="M67" s="1" t="s">
        <v>319</v>
      </c>
      <c r="N67" s="1" t="s">
        <v>319</v>
      </c>
      <c r="O67" s="1" t="s">
        <v>319</v>
      </c>
      <c r="P67" s="1" t="s">
        <v>319</v>
      </c>
      <c r="Q67" s="1" t="s">
        <v>106</v>
      </c>
    </row>
    <row r="68" spans="1:17" ht="15.75" customHeight="1" x14ac:dyDescent="0.2">
      <c r="A68" s="10" t="s">
        <v>107</v>
      </c>
      <c r="B68" s="1" t="str">
        <f t="shared" si="0"/>
        <v>AVEBAR</v>
      </c>
      <c r="C68" s="1" t="s">
        <v>38</v>
      </c>
      <c r="D68" s="3">
        <v>45140</v>
      </c>
      <c r="E68" s="1">
        <v>1017</v>
      </c>
      <c r="F68" s="1">
        <v>9.4999999999999998E-3</v>
      </c>
      <c r="G68" s="1">
        <v>1.7500000000000002E-2</v>
      </c>
      <c r="H68" s="1">
        <v>8.3999999999999995E-3</v>
      </c>
      <c r="I68" s="1">
        <v>1.5800000000000002E-2</v>
      </c>
      <c r="J68" s="1">
        <v>2.52E-2</v>
      </c>
      <c r="K68" s="1">
        <v>1.0699999999999999E-2</v>
      </c>
      <c r="L68" s="1">
        <v>1.4999999999999999E-2</v>
      </c>
      <c r="M68" s="1">
        <v>1.66E-2</v>
      </c>
      <c r="N68" s="1">
        <v>1.67E-2</v>
      </c>
      <c r="O68" s="1">
        <v>1.5900000000000001E-2</v>
      </c>
      <c r="P68" s="1">
        <v>41.61</v>
      </c>
    </row>
    <row r="69" spans="1:17" ht="15.75" customHeight="1" x14ac:dyDescent="0.2">
      <c r="A69" s="4" t="s">
        <v>108</v>
      </c>
      <c r="B69" s="1" t="str">
        <f t="shared" si="0"/>
        <v>AVEBAR</v>
      </c>
      <c r="C69" s="1" t="s">
        <v>42</v>
      </c>
      <c r="D69" s="3">
        <v>45140</v>
      </c>
      <c r="E69" s="1">
        <v>611</v>
      </c>
      <c r="F69" s="1">
        <v>9.7999999999999997E-3</v>
      </c>
      <c r="G69" s="1">
        <v>1.0500000000000001E-2</v>
      </c>
      <c r="H69" s="1">
        <v>1.47E-2</v>
      </c>
      <c r="I69" s="1">
        <v>8.2000000000000007E-3</v>
      </c>
      <c r="J69" s="1">
        <v>9.7999999999999997E-3</v>
      </c>
      <c r="K69" s="1">
        <v>1.77E-2</v>
      </c>
      <c r="L69" s="1">
        <v>9.1000000000000004E-3</v>
      </c>
      <c r="M69" s="1">
        <v>8.8999999999999999E-3</v>
      </c>
      <c r="N69" s="1">
        <v>1.77E-2</v>
      </c>
      <c r="O69" s="1">
        <v>1.04E-2</v>
      </c>
      <c r="P69" s="1">
        <v>19.11</v>
      </c>
    </row>
    <row r="70" spans="1:17" ht="15.75" customHeight="1" x14ac:dyDescent="0.2">
      <c r="A70" s="10" t="s">
        <v>109</v>
      </c>
      <c r="B70" s="1" t="str">
        <f t="shared" si="0"/>
        <v>AVEBAR</v>
      </c>
      <c r="C70" s="1" t="s">
        <v>18</v>
      </c>
      <c r="D70" s="3">
        <v>45160</v>
      </c>
      <c r="E70" s="1">
        <v>278</v>
      </c>
      <c r="F70" s="1">
        <v>0.123</v>
      </c>
      <c r="G70" s="1">
        <v>3.1E-2</v>
      </c>
      <c r="H70" s="1">
        <v>2.3099999999999999E-2</v>
      </c>
      <c r="I70" s="1">
        <v>1.12E-2</v>
      </c>
      <c r="J70" s="1">
        <v>2.23E-2</v>
      </c>
      <c r="K70" s="1">
        <v>2.1499999999999998E-2</v>
      </c>
      <c r="L70" s="1">
        <v>1.7399999999999999E-2</v>
      </c>
      <c r="M70" s="1">
        <v>1.3100000000000001E-2</v>
      </c>
      <c r="N70" s="1">
        <v>2.1399999999999999E-2</v>
      </c>
      <c r="O70" s="1">
        <v>1.6400000000000001E-2</v>
      </c>
      <c r="P70" s="5">
        <v>11.09</v>
      </c>
    </row>
    <row r="71" spans="1:17" ht="15.75" customHeight="1" x14ac:dyDescent="0.2">
      <c r="A71" s="4" t="s">
        <v>110</v>
      </c>
      <c r="B71" s="1" t="str">
        <f t="shared" si="0"/>
        <v>AVEBAR</v>
      </c>
      <c r="C71" s="1" t="s">
        <v>18</v>
      </c>
      <c r="D71" s="3">
        <v>45112</v>
      </c>
      <c r="E71" s="1">
        <v>519</v>
      </c>
      <c r="F71" s="1">
        <v>2.1000000000000001E-2</v>
      </c>
      <c r="G71" s="1">
        <v>1.3299999999999999E-2</v>
      </c>
      <c r="H71" s="1">
        <v>1.2699999999999999E-2</v>
      </c>
      <c r="I71" s="1">
        <v>1.83E-2</v>
      </c>
      <c r="J71" s="1">
        <v>1.06E-2</v>
      </c>
      <c r="K71" s="1">
        <v>1.0500000000000001E-2</v>
      </c>
      <c r="L71" s="1">
        <v>1.3100000000000001E-2</v>
      </c>
      <c r="M71" s="1">
        <v>1.44E-2</v>
      </c>
      <c r="N71" s="1">
        <v>7.7999999999999996E-3</v>
      </c>
      <c r="O71" s="1">
        <v>1.78E-2</v>
      </c>
      <c r="P71" s="1">
        <v>19.37</v>
      </c>
    </row>
    <row r="72" spans="1:17" ht="15.75" customHeight="1" x14ac:dyDescent="0.2">
      <c r="A72" s="10" t="s">
        <v>111</v>
      </c>
      <c r="B72" s="1" t="str">
        <f t="shared" si="0"/>
        <v>AVEBAR</v>
      </c>
      <c r="C72" s="1" t="s">
        <v>42</v>
      </c>
      <c r="D72" s="3">
        <v>45140</v>
      </c>
      <c r="E72" s="1">
        <v>518</v>
      </c>
      <c r="F72" s="1">
        <v>4.5999999999999999E-2</v>
      </c>
      <c r="G72" s="1">
        <v>5.8099999999999999E-2</v>
      </c>
      <c r="H72" s="1">
        <v>3.2399999999999998E-2</v>
      </c>
      <c r="I72" s="1">
        <v>4.4900000000000002E-2</v>
      </c>
      <c r="J72" s="1">
        <v>4.2099999999999999E-2</v>
      </c>
      <c r="K72" s="1">
        <v>6.54E-2</v>
      </c>
      <c r="L72" s="1">
        <v>3.4000000000000002E-2</v>
      </c>
      <c r="M72" s="1">
        <v>3.0599999999999999E-2</v>
      </c>
      <c r="N72" s="1">
        <v>3.39E-2</v>
      </c>
      <c r="O72" s="1">
        <v>5.8200000000000002E-2</v>
      </c>
      <c r="P72" s="1">
        <v>25.55</v>
      </c>
    </row>
    <row r="73" spans="1:17" ht="15.75" customHeight="1" x14ac:dyDescent="0.2">
      <c r="A73" s="4" t="s">
        <v>112</v>
      </c>
      <c r="B73" s="1" t="str">
        <f t="shared" si="0"/>
        <v>AVEBAR</v>
      </c>
      <c r="C73" s="1" t="s">
        <v>42</v>
      </c>
      <c r="D73" s="3">
        <v>45112</v>
      </c>
      <c r="E73" s="1">
        <v>148</v>
      </c>
      <c r="F73" s="1">
        <v>6.7999999999999996E-3</v>
      </c>
      <c r="G73" s="1">
        <v>7.7000000000000002E-3</v>
      </c>
      <c r="H73" s="1">
        <v>7.1000000000000004E-3</v>
      </c>
      <c r="I73" s="1">
        <v>9.4999999999999998E-3</v>
      </c>
      <c r="J73" s="1">
        <v>1.06E-2</v>
      </c>
      <c r="K73" s="1">
        <v>7.7999999999999996E-3</v>
      </c>
      <c r="L73" s="1">
        <v>1.0800000000000001E-2</v>
      </c>
      <c r="M73" s="1">
        <v>7.1000000000000004E-3</v>
      </c>
      <c r="N73" s="1">
        <v>8.3999999999999995E-3</v>
      </c>
      <c r="O73" s="1">
        <v>7.9000000000000008E-3</v>
      </c>
      <c r="P73" s="1">
        <v>4.5999999999999996</v>
      </c>
    </row>
    <row r="74" spans="1:17" ht="15.75" customHeight="1" x14ac:dyDescent="0.2">
      <c r="A74" s="10" t="s">
        <v>113</v>
      </c>
      <c r="B74" s="1" t="str">
        <f t="shared" si="0"/>
        <v>AVEBAR</v>
      </c>
      <c r="C74" s="1" t="s">
        <v>42</v>
      </c>
      <c r="D74" s="3">
        <v>45230</v>
      </c>
      <c r="E74" s="1">
        <v>659</v>
      </c>
      <c r="F74" s="1">
        <v>2.1000000000000001E-2</v>
      </c>
      <c r="G74" s="1">
        <v>1.17E-2</v>
      </c>
      <c r="H74" s="1">
        <v>1.2200000000000001E-2</v>
      </c>
      <c r="I74" s="1">
        <v>1.38E-2</v>
      </c>
      <c r="J74" s="1">
        <v>1.2800000000000001E-2</v>
      </c>
      <c r="K74" s="1">
        <v>1.43E-2</v>
      </c>
      <c r="L74" s="1">
        <v>1.5699999999999999E-2</v>
      </c>
      <c r="M74" s="1">
        <v>1.89E-2</v>
      </c>
      <c r="N74" s="1">
        <v>2.01E-2</v>
      </c>
      <c r="O74" s="1">
        <v>1.72E-2</v>
      </c>
      <c r="P74" s="1">
        <v>31.99</v>
      </c>
    </row>
    <row r="75" spans="1:17" ht="15.75" customHeight="1" x14ac:dyDescent="0.2">
      <c r="A75" s="4" t="s">
        <v>114</v>
      </c>
      <c r="B75" s="1" t="str">
        <f t="shared" si="0"/>
        <v>AVEBAR</v>
      </c>
    </row>
    <row r="76" spans="1:17" ht="15.75" customHeight="1" x14ac:dyDescent="0.2">
      <c r="A76" s="10" t="s">
        <v>115</v>
      </c>
      <c r="B76" s="1" t="str">
        <f t="shared" si="0"/>
        <v>AVEBAR</v>
      </c>
    </row>
    <row r="77" spans="1:17" ht="15.75" customHeight="1" x14ac:dyDescent="0.2">
      <c r="A77" s="10" t="s">
        <v>116</v>
      </c>
      <c r="B77" s="1" t="str">
        <f t="shared" si="0"/>
        <v>AVEBAR</v>
      </c>
      <c r="C77" s="1" t="s">
        <v>18</v>
      </c>
      <c r="D77" s="3">
        <v>45142</v>
      </c>
      <c r="E77" s="1">
        <v>1291</v>
      </c>
      <c r="F77" s="1">
        <v>1.0500000000000001E-2</v>
      </c>
      <c r="G77" s="1">
        <v>1.5299999999999999E-2</v>
      </c>
      <c r="H77" s="1">
        <v>1.4800000000000001E-2</v>
      </c>
      <c r="I77" s="1">
        <v>1.29E-2</v>
      </c>
      <c r="J77" s="1">
        <v>1.2200000000000001E-2</v>
      </c>
      <c r="K77" s="1">
        <v>1.3100000000000001E-2</v>
      </c>
      <c r="L77" s="1">
        <v>1.66E-2</v>
      </c>
      <c r="M77" s="1">
        <v>1.34E-2</v>
      </c>
      <c r="N77" s="1">
        <v>2.3800000000000002E-2</v>
      </c>
      <c r="O77" s="1">
        <v>9.7000000000000003E-3</v>
      </c>
      <c r="P77" s="1">
        <v>62.37</v>
      </c>
    </row>
    <row r="78" spans="1:17" ht="15.75" customHeight="1" x14ac:dyDescent="0.2">
      <c r="A78" s="10" t="s">
        <v>117</v>
      </c>
      <c r="B78" s="1" t="str">
        <f t="shared" si="0"/>
        <v>AVEBAR</v>
      </c>
      <c r="C78" s="1" t="s">
        <v>18</v>
      </c>
      <c r="D78" s="3">
        <v>45142</v>
      </c>
      <c r="E78" s="1">
        <v>999</v>
      </c>
      <c r="F78" s="1">
        <v>1.4200000000000001E-2</v>
      </c>
      <c r="G78" s="1">
        <v>2.0899999999999998E-2</v>
      </c>
      <c r="H78" s="1">
        <v>1.7299999999999999E-2</v>
      </c>
      <c r="I78" s="1">
        <v>1.4E-2</v>
      </c>
      <c r="J78" s="1">
        <v>2.06E-2</v>
      </c>
      <c r="K78" s="1">
        <v>1.6400000000000001E-2</v>
      </c>
      <c r="L78" s="1">
        <v>1.17E-2</v>
      </c>
      <c r="M78" s="1">
        <v>1.15E-2</v>
      </c>
      <c r="N78" s="1">
        <v>1.78E-2</v>
      </c>
      <c r="O78" s="1">
        <v>1.41E-2</v>
      </c>
      <c r="P78" s="1">
        <v>50.68</v>
      </c>
    </row>
    <row r="79" spans="1:17" ht="15.75" customHeight="1" x14ac:dyDescent="0.2">
      <c r="A79" s="4" t="s">
        <v>118</v>
      </c>
      <c r="B79" s="1" t="str">
        <f t="shared" si="0"/>
        <v>AVEBAR</v>
      </c>
      <c r="C79" s="1" t="s">
        <v>18</v>
      </c>
      <c r="D79" s="3">
        <v>45142</v>
      </c>
      <c r="E79" s="1">
        <v>462</v>
      </c>
      <c r="F79" s="1">
        <v>3.4700000000000002E-2</v>
      </c>
      <c r="G79" s="1">
        <v>2.93E-2</v>
      </c>
      <c r="H79" s="1">
        <v>6.5500000000000003E-2</v>
      </c>
      <c r="I79" s="1">
        <v>6.7799999999999999E-2</v>
      </c>
      <c r="J79" s="1">
        <v>3.4299999999999997E-2</v>
      </c>
      <c r="K79" s="1">
        <v>2.7099999999999999E-2</v>
      </c>
      <c r="L79" s="1">
        <v>2.69E-2</v>
      </c>
      <c r="M79" s="1">
        <v>2.92E-2</v>
      </c>
      <c r="N79" s="1">
        <v>2.23E-2</v>
      </c>
      <c r="O79" s="1">
        <v>4.8500000000000001E-2</v>
      </c>
      <c r="P79" s="1">
        <v>25.98</v>
      </c>
    </row>
    <row r="80" spans="1:17" ht="15.75" customHeight="1" x14ac:dyDescent="0.2">
      <c r="A80" s="10" t="s">
        <v>119</v>
      </c>
      <c r="B80" s="1" t="str">
        <f t="shared" si="0"/>
        <v>AVEBAR</v>
      </c>
    </row>
    <row r="81" spans="1:17" ht="15.75" customHeight="1" x14ac:dyDescent="0.2">
      <c r="A81" s="4" t="s">
        <v>120</v>
      </c>
      <c r="B81" s="1" t="str">
        <f t="shared" si="0"/>
        <v>AVEBAR</v>
      </c>
      <c r="C81" s="1" t="s">
        <v>42</v>
      </c>
      <c r="D81" s="3">
        <v>45230</v>
      </c>
      <c r="E81" s="1">
        <v>675</v>
      </c>
      <c r="F81" s="1">
        <v>1.7999999999999999E-2</v>
      </c>
      <c r="G81" s="1">
        <v>2.9899999999999999E-2</v>
      </c>
      <c r="H81" s="1">
        <v>1.5800000000000002E-2</v>
      </c>
      <c r="I81" s="1">
        <v>2.8400000000000002E-2</v>
      </c>
      <c r="J81" s="1">
        <v>2.92E-2</v>
      </c>
      <c r="K81" s="1">
        <v>1.72E-2</v>
      </c>
      <c r="L81" s="1">
        <v>3.4299999999999997E-2</v>
      </c>
      <c r="M81" s="1">
        <v>3.3399999999999999E-2</v>
      </c>
      <c r="N81" s="1">
        <v>2.46E-2</v>
      </c>
      <c r="O81" s="1">
        <v>1.5299999999999999E-2</v>
      </c>
      <c r="P81" s="1">
        <v>31.37</v>
      </c>
    </row>
    <row r="82" spans="1:17" ht="15.75" customHeight="1" x14ac:dyDescent="0.2">
      <c r="A82" s="10" t="s">
        <v>121</v>
      </c>
      <c r="B82" s="1" t="str">
        <f t="shared" si="0"/>
        <v>AVEBAR</v>
      </c>
      <c r="C82" s="1" t="s">
        <v>42</v>
      </c>
      <c r="D82" s="3">
        <v>45142</v>
      </c>
      <c r="E82" s="1">
        <v>833</v>
      </c>
      <c r="F82" s="1">
        <v>0.02</v>
      </c>
      <c r="G82" s="1">
        <v>3.9100000000000003E-2</v>
      </c>
      <c r="H82" s="1">
        <v>1.6799999999999999E-2</v>
      </c>
      <c r="I82" s="1">
        <v>1.5900000000000001E-2</v>
      </c>
      <c r="J82" s="1">
        <v>2.3599999999999999E-2</v>
      </c>
      <c r="K82" s="1">
        <v>2.2499999999999999E-2</v>
      </c>
      <c r="L82" s="1">
        <v>1.6500000000000001E-2</v>
      </c>
      <c r="M82" s="1">
        <v>2.58E-2</v>
      </c>
      <c r="N82" s="1">
        <v>2.3400000000000001E-2</v>
      </c>
      <c r="O82" s="1">
        <v>2.01E-2</v>
      </c>
      <c r="P82" s="1">
        <v>53.41</v>
      </c>
    </row>
    <row r="83" spans="1:17" ht="15.75" customHeight="1" x14ac:dyDescent="0.2">
      <c r="A83" s="10" t="s">
        <v>122</v>
      </c>
      <c r="B83" s="1" t="str">
        <f t="shared" si="0"/>
        <v>AVEBAR</v>
      </c>
      <c r="C83" s="1" t="s">
        <v>18</v>
      </c>
      <c r="D83" s="3">
        <v>45142</v>
      </c>
      <c r="E83" s="1">
        <v>23</v>
      </c>
      <c r="P83" s="1">
        <v>0.57999999999999996</v>
      </c>
      <c r="Q83" s="1" t="s">
        <v>123</v>
      </c>
    </row>
    <row r="84" spans="1:17" ht="15.75" customHeight="1" x14ac:dyDescent="0.2">
      <c r="A84" s="4" t="s">
        <v>124</v>
      </c>
      <c r="B84" s="1" t="str">
        <f t="shared" si="0"/>
        <v>AVEBAR</v>
      </c>
      <c r="C84" s="1" t="s">
        <v>42</v>
      </c>
      <c r="D84" s="1" t="s">
        <v>319</v>
      </c>
      <c r="E84" s="1" t="s">
        <v>319</v>
      </c>
      <c r="F84" s="1" t="s">
        <v>319</v>
      </c>
      <c r="G84" s="1" t="s">
        <v>319</v>
      </c>
      <c r="H84" s="1" t="s">
        <v>319</v>
      </c>
      <c r="I84" s="1" t="s">
        <v>319</v>
      </c>
      <c r="J84" s="1" t="s">
        <v>319</v>
      </c>
      <c r="K84" s="1" t="s">
        <v>319</v>
      </c>
      <c r="L84" s="1" t="s">
        <v>319</v>
      </c>
      <c r="M84" s="1" t="s">
        <v>319</v>
      </c>
      <c r="N84" s="1" t="s">
        <v>319</v>
      </c>
      <c r="O84" s="1" t="s">
        <v>319</v>
      </c>
      <c r="P84" s="1" t="s">
        <v>319</v>
      </c>
      <c r="Q84" s="1" t="s">
        <v>125</v>
      </c>
    </row>
    <row r="85" spans="1:17" ht="15.75" customHeight="1" x14ac:dyDescent="0.2">
      <c r="A85" s="10" t="s">
        <v>126</v>
      </c>
      <c r="B85" s="1" t="str">
        <f t="shared" si="0"/>
        <v>AVEBAR</v>
      </c>
      <c r="C85" s="1" t="s">
        <v>38</v>
      </c>
      <c r="D85" s="3">
        <v>45142</v>
      </c>
      <c r="E85" s="1">
        <v>412</v>
      </c>
      <c r="F85" s="1">
        <v>1.32E-2</v>
      </c>
      <c r="G85" s="1">
        <v>1.0500000000000001E-2</v>
      </c>
      <c r="H85" s="1">
        <v>1.67E-2</v>
      </c>
      <c r="I85" s="1">
        <v>1.8800000000000001E-2</v>
      </c>
      <c r="J85" s="1">
        <v>1.21E-2</v>
      </c>
      <c r="K85" s="1">
        <v>8.5000000000000006E-3</v>
      </c>
      <c r="L85" s="1">
        <v>2.52E-2</v>
      </c>
      <c r="M85" s="1">
        <v>9.5999999999999992E-3</v>
      </c>
      <c r="N85" s="1">
        <v>1.7899999999999999E-2</v>
      </c>
      <c r="O85" s="1">
        <v>1.23E-2</v>
      </c>
      <c r="P85" s="1">
        <v>14.95</v>
      </c>
    </row>
    <row r="86" spans="1:17" ht="15.75" customHeight="1" x14ac:dyDescent="0.2">
      <c r="A86" s="4" t="s">
        <v>127</v>
      </c>
      <c r="B86" s="1" t="str">
        <f t="shared" si="0"/>
        <v>AVEBAR</v>
      </c>
      <c r="C86" s="1" t="s">
        <v>18</v>
      </c>
      <c r="D86" s="3">
        <v>45142</v>
      </c>
      <c r="E86" s="1">
        <v>505</v>
      </c>
      <c r="F86" s="1">
        <v>1.5100000000000001E-2</v>
      </c>
      <c r="G86" s="1">
        <v>1.0500000000000001E-2</v>
      </c>
      <c r="H86" s="1">
        <v>2.0299999999999999E-2</v>
      </c>
      <c r="I86" s="1">
        <v>2.3E-2</v>
      </c>
      <c r="J86" s="1">
        <v>1.4999999999999999E-2</v>
      </c>
      <c r="K86" s="1">
        <v>1.21E-2</v>
      </c>
      <c r="L86" s="1">
        <v>2.1999999999999999E-2</v>
      </c>
      <c r="M86" s="1">
        <v>1.6500000000000001E-2</v>
      </c>
      <c r="N86" s="1">
        <v>1.6799999999999999E-2</v>
      </c>
      <c r="O86" s="1">
        <v>1.44E-2</v>
      </c>
      <c r="P86" s="1">
        <v>6.2</v>
      </c>
    </row>
    <row r="87" spans="1:17" ht="15.75" customHeight="1" x14ac:dyDescent="0.2">
      <c r="A87" s="10" t="s">
        <v>128</v>
      </c>
      <c r="B87" s="1" t="str">
        <f t="shared" si="0"/>
        <v>AVEBAR</v>
      </c>
      <c r="C87" s="1" t="s">
        <v>42</v>
      </c>
      <c r="D87" s="3">
        <v>45084</v>
      </c>
      <c r="E87" s="1">
        <v>59</v>
      </c>
      <c r="P87" s="1">
        <v>2.69</v>
      </c>
      <c r="Q87" s="1" t="s">
        <v>123</v>
      </c>
    </row>
    <row r="88" spans="1:17" ht="15.75" customHeight="1" x14ac:dyDescent="0.2">
      <c r="A88" s="4" t="s">
        <v>129</v>
      </c>
      <c r="B88" s="1" t="str">
        <f t="shared" si="0"/>
        <v>AVEBAR</v>
      </c>
      <c r="C88" s="1" t="s">
        <v>42</v>
      </c>
      <c r="D88" s="6">
        <v>45142</v>
      </c>
      <c r="E88" s="1">
        <f>41+270</f>
        <v>311</v>
      </c>
      <c r="F88" s="1">
        <v>1.3100000000000001E-2</v>
      </c>
      <c r="G88" s="1">
        <v>1.0200000000000001E-2</v>
      </c>
      <c r="H88" s="1">
        <v>8.6999999999999994E-3</v>
      </c>
      <c r="I88" s="1">
        <v>1.4E-2</v>
      </c>
      <c r="J88" s="1">
        <v>1.09E-2</v>
      </c>
      <c r="K88" s="1">
        <v>7.7999999999999996E-3</v>
      </c>
      <c r="L88" s="1">
        <v>8.0000000000000002E-3</v>
      </c>
      <c r="M88" s="1">
        <v>1.17E-2</v>
      </c>
      <c r="N88" s="1">
        <v>7.9000000000000008E-3</v>
      </c>
      <c r="O88" s="1">
        <v>5.1000000000000004E-3</v>
      </c>
      <c r="P88" s="1">
        <f>0.11+10.96</f>
        <v>11.07</v>
      </c>
      <c r="Q88" s="1" t="s">
        <v>130</v>
      </c>
    </row>
    <row r="89" spans="1:17" ht="15.75" customHeight="1" x14ac:dyDescent="0.2">
      <c r="A89" s="10" t="s">
        <v>131</v>
      </c>
      <c r="B89" s="1" t="str">
        <f t="shared" si="0"/>
        <v>AVEBAR</v>
      </c>
      <c r="C89" s="1" t="s">
        <v>18</v>
      </c>
      <c r="D89" s="3">
        <v>45230</v>
      </c>
      <c r="E89" s="1">
        <v>705</v>
      </c>
      <c r="F89" s="1">
        <v>1.2999999999999999E-2</v>
      </c>
      <c r="G89" s="1">
        <v>2.4899999999999999E-2</v>
      </c>
      <c r="H89" s="1">
        <v>1.29E-2</v>
      </c>
      <c r="I89" s="1">
        <v>2.2200000000000001E-2</v>
      </c>
      <c r="J89" s="1">
        <v>1.5800000000000002E-2</v>
      </c>
      <c r="K89" s="1">
        <v>1.2699999999999999E-2</v>
      </c>
      <c r="L89" s="1">
        <v>1.0500000000000001E-2</v>
      </c>
      <c r="M89" s="1">
        <v>2.5600000000000001E-2</v>
      </c>
      <c r="N89" s="1">
        <v>1.38E-2</v>
      </c>
      <c r="O89" s="1">
        <v>1.55E-2</v>
      </c>
      <c r="P89" s="1">
        <v>42.5</v>
      </c>
    </row>
    <row r="90" spans="1:17" ht="15.75" customHeight="1" x14ac:dyDescent="0.2">
      <c r="A90" s="4" t="s">
        <v>132</v>
      </c>
      <c r="B90" s="1" t="str">
        <f t="shared" si="0"/>
        <v>AVEBAR</v>
      </c>
      <c r="C90" s="1" t="s">
        <v>18</v>
      </c>
      <c r="D90" s="3">
        <v>45142</v>
      </c>
      <c r="E90" s="1">
        <v>703</v>
      </c>
      <c r="F90" s="1">
        <v>1.72E-2</v>
      </c>
      <c r="G90" s="1">
        <v>2.07E-2</v>
      </c>
      <c r="H90" s="1">
        <v>1.37E-2</v>
      </c>
      <c r="I90" s="1">
        <v>1.95E-2</v>
      </c>
      <c r="J90" s="1">
        <v>5.0200000000000002E-2</v>
      </c>
      <c r="K90" s="1">
        <v>1.41E-2</v>
      </c>
      <c r="L90" s="1">
        <v>2.1299999999999999E-2</v>
      </c>
      <c r="M90" s="1">
        <v>1.7600000000000001E-2</v>
      </c>
      <c r="N90" s="1">
        <v>1.6799999999999999E-2</v>
      </c>
      <c r="O90" s="1">
        <v>1.7299999999999999E-2</v>
      </c>
      <c r="P90" s="1">
        <v>36.880000000000003</v>
      </c>
    </row>
    <row r="91" spans="1:17" ht="15.75" customHeight="1" x14ac:dyDescent="0.2">
      <c r="A91" s="10" t="s">
        <v>133</v>
      </c>
      <c r="B91" s="1" t="str">
        <f t="shared" si="0"/>
        <v>AVEBAR</v>
      </c>
      <c r="C91" s="1" t="s">
        <v>42</v>
      </c>
      <c r="D91" s="3">
        <v>45142</v>
      </c>
      <c r="E91" s="1">
        <v>1036</v>
      </c>
      <c r="F91" s="1">
        <v>1.2800000000000001E-2</v>
      </c>
      <c r="G91" s="1">
        <v>8.6E-3</v>
      </c>
      <c r="H91" s="1">
        <v>1.1900000000000001E-2</v>
      </c>
      <c r="I91" s="1">
        <v>2.8000000000000001E-2</v>
      </c>
      <c r="J91" s="1">
        <v>2.1399999999999999E-2</v>
      </c>
      <c r="K91" s="1">
        <v>1.6299999999999999E-2</v>
      </c>
      <c r="L91" s="1">
        <v>1.46E-2</v>
      </c>
      <c r="M91" s="1">
        <v>3.4099999999999998E-2</v>
      </c>
      <c r="N91" s="1">
        <v>1.0999999999999999E-2</v>
      </c>
      <c r="O91" s="1">
        <v>2.3699999999999999E-2</v>
      </c>
      <c r="P91" s="1">
        <v>40.22</v>
      </c>
      <c r="Q91" s="1" t="s">
        <v>79</v>
      </c>
    </row>
    <row r="92" spans="1:17" ht="15.75" customHeight="1" x14ac:dyDescent="0.2">
      <c r="A92" s="4" t="s">
        <v>134</v>
      </c>
      <c r="B92" s="1" t="str">
        <f t="shared" si="0"/>
        <v>AVEBAR</v>
      </c>
      <c r="C92" s="1" t="s">
        <v>42</v>
      </c>
      <c r="D92" s="1" t="s">
        <v>319</v>
      </c>
      <c r="E92" s="1">
        <v>208</v>
      </c>
      <c r="F92" s="1">
        <v>4.1799999999999997E-2</v>
      </c>
      <c r="G92" s="1">
        <v>2.12E-2</v>
      </c>
      <c r="H92" s="1">
        <v>2.92E-2</v>
      </c>
      <c r="I92" s="1">
        <v>3.5900000000000001E-2</v>
      </c>
      <c r="J92" s="1">
        <v>4.6300000000000001E-2</v>
      </c>
      <c r="K92" s="1">
        <v>3.73E-2</v>
      </c>
      <c r="L92" s="1">
        <v>3.5299999999999998E-2</v>
      </c>
      <c r="M92" s="1">
        <v>3.0700000000000002E-2</v>
      </c>
      <c r="N92" s="1">
        <v>3.3000000000000002E-2</v>
      </c>
      <c r="O92" s="1">
        <v>2.9700000000000001E-2</v>
      </c>
      <c r="P92" s="1">
        <v>0.67</v>
      </c>
    </row>
    <row r="93" spans="1:17" ht="15.75" customHeight="1" x14ac:dyDescent="0.2">
      <c r="A93" s="10" t="s">
        <v>135</v>
      </c>
      <c r="B93" s="1" t="str">
        <f t="shared" si="0"/>
        <v>AVEBAR</v>
      </c>
      <c r="C93" s="1" t="s">
        <v>18</v>
      </c>
      <c r="D93" s="3">
        <v>45142</v>
      </c>
      <c r="E93" s="1">
        <v>674</v>
      </c>
      <c r="F93" s="1">
        <v>1.5699999999999999E-2</v>
      </c>
      <c r="G93" s="1">
        <v>1.4800000000000001E-2</v>
      </c>
      <c r="H93" s="1">
        <v>2.6100000000000002E-2</v>
      </c>
      <c r="I93" s="1">
        <v>1.49E-2</v>
      </c>
      <c r="J93" s="1">
        <v>1.61E-2</v>
      </c>
      <c r="K93" s="1">
        <v>1.35E-2</v>
      </c>
      <c r="L93" s="1">
        <v>1.78E-2</v>
      </c>
      <c r="M93" s="1">
        <v>1.3100000000000001E-2</v>
      </c>
      <c r="N93" s="1">
        <v>1.7000000000000001E-2</v>
      </c>
      <c r="O93" s="1">
        <v>1.8599999999999998E-2</v>
      </c>
      <c r="P93" s="1">
        <v>19.600000000000001</v>
      </c>
    </row>
    <row r="94" spans="1:17" ht="15.75" customHeight="1" x14ac:dyDescent="0.2">
      <c r="A94" s="4" t="s">
        <v>136</v>
      </c>
      <c r="B94" s="1" t="str">
        <f t="shared" si="0"/>
        <v>AVEBAR</v>
      </c>
      <c r="C94" s="1" t="s">
        <v>18</v>
      </c>
      <c r="D94" s="3">
        <v>45142</v>
      </c>
      <c r="E94" s="1">
        <v>891</v>
      </c>
      <c r="F94" s="1">
        <v>2.5700000000000001E-2</v>
      </c>
      <c r="G94" s="1">
        <v>1.52E-2</v>
      </c>
      <c r="H94" s="1">
        <v>1.6899999999999998E-2</v>
      </c>
      <c r="I94" s="1">
        <v>1.4999999999999999E-2</v>
      </c>
      <c r="J94" s="1">
        <v>1.55E-2</v>
      </c>
      <c r="K94" s="1">
        <v>2.01E-2</v>
      </c>
      <c r="L94" s="1">
        <v>1.6E-2</v>
      </c>
      <c r="M94" s="1">
        <v>1.5699999999999999E-2</v>
      </c>
      <c r="N94" s="1">
        <v>1.3599999999999999E-2</v>
      </c>
      <c r="O94" s="1">
        <v>1.8100000000000002E-2</v>
      </c>
      <c r="P94" s="1">
        <v>36.86</v>
      </c>
    </row>
    <row r="95" spans="1:17" ht="15.75" customHeight="1" x14ac:dyDescent="0.2">
      <c r="A95" s="10" t="s">
        <v>137</v>
      </c>
      <c r="B95" s="1" t="str">
        <f t="shared" si="0"/>
        <v>AVEBAR</v>
      </c>
      <c r="C95" s="1" t="s">
        <v>38</v>
      </c>
      <c r="D95" s="3">
        <v>45160</v>
      </c>
      <c r="E95" s="1">
        <v>466</v>
      </c>
      <c r="F95" s="1">
        <v>1.9800000000000002E-2</v>
      </c>
      <c r="G95" s="1">
        <v>1.4200000000000001E-2</v>
      </c>
      <c r="H95" s="1">
        <v>1.84E-2</v>
      </c>
      <c r="I95" s="1">
        <v>1.5699999999999999E-2</v>
      </c>
      <c r="J95" s="1">
        <v>1.5699999999999999E-2</v>
      </c>
      <c r="K95" s="1">
        <v>1.52E-2</v>
      </c>
      <c r="L95" s="1">
        <v>1.4500000000000001E-2</v>
      </c>
      <c r="M95" s="1">
        <v>1.6299999999999999E-2</v>
      </c>
      <c r="N95" s="1">
        <v>1.47E-2</v>
      </c>
      <c r="O95" s="1">
        <v>1.0200000000000001E-2</v>
      </c>
      <c r="P95" s="1">
        <v>22.51</v>
      </c>
    </row>
    <row r="96" spans="1:17" ht="15.75" customHeight="1" x14ac:dyDescent="0.2">
      <c r="A96" s="4" t="s">
        <v>138</v>
      </c>
      <c r="B96" s="1" t="str">
        <f t="shared" si="0"/>
        <v>AVEBAR</v>
      </c>
      <c r="C96" s="1" t="s">
        <v>42</v>
      </c>
      <c r="D96" s="3">
        <v>45142</v>
      </c>
      <c r="E96" s="1">
        <f>282+229</f>
        <v>511</v>
      </c>
      <c r="F96" s="1">
        <v>4.07E-2</v>
      </c>
      <c r="G96" s="1">
        <v>2.47E-2</v>
      </c>
      <c r="H96" s="1">
        <v>3.2800000000000003E-2</v>
      </c>
      <c r="I96" s="1">
        <v>2.8500000000000001E-2</v>
      </c>
      <c r="J96" s="1">
        <v>2.1999999999999999E-2</v>
      </c>
      <c r="K96" s="1">
        <v>2.4899999999999999E-2</v>
      </c>
      <c r="L96" s="1">
        <v>0.02</v>
      </c>
      <c r="M96" s="1">
        <v>2.29E-2</v>
      </c>
      <c r="N96" s="1">
        <v>4.53E-2</v>
      </c>
      <c r="O96" s="1">
        <v>3.1800000000000002E-2</v>
      </c>
      <c r="P96" s="1">
        <f>1.1+23.71</f>
        <v>24.810000000000002</v>
      </c>
      <c r="Q96" s="1" t="s">
        <v>99</v>
      </c>
    </row>
    <row r="97" spans="1:17" ht="15.75" customHeight="1" x14ac:dyDescent="0.2">
      <c r="A97" s="4" t="s">
        <v>139</v>
      </c>
      <c r="B97" s="1" t="str">
        <f t="shared" si="0"/>
        <v>AVEBAR</v>
      </c>
      <c r="C97" s="1" t="s">
        <v>18</v>
      </c>
      <c r="D97" s="3">
        <v>45142</v>
      </c>
      <c r="E97" s="1">
        <v>370</v>
      </c>
      <c r="F97" s="1">
        <v>1.6E-2</v>
      </c>
      <c r="G97" s="1">
        <v>1.46E-2</v>
      </c>
      <c r="H97" s="1">
        <v>9.4999999999999998E-3</v>
      </c>
      <c r="I97" s="1">
        <v>1.5800000000000002E-2</v>
      </c>
      <c r="J97" s="1">
        <v>1.3899999999999999E-2</v>
      </c>
      <c r="K97" s="1">
        <v>1.5100000000000001E-2</v>
      </c>
      <c r="L97" s="1">
        <v>1.2800000000000001E-2</v>
      </c>
      <c r="M97" s="1">
        <v>1.8700000000000001E-2</v>
      </c>
      <c r="N97" s="1">
        <v>1.2699999999999999E-2</v>
      </c>
      <c r="O97" s="1">
        <v>1.03E-2</v>
      </c>
      <c r="P97" s="1">
        <v>16.829999999999998</v>
      </c>
    </row>
    <row r="98" spans="1:17" ht="15.75" customHeight="1" x14ac:dyDescent="0.2">
      <c r="A98" s="10" t="s">
        <v>140</v>
      </c>
      <c r="B98" s="1" t="str">
        <f t="shared" si="0"/>
        <v>AVEBAR</v>
      </c>
    </row>
    <row r="99" spans="1:17" ht="15.75" customHeight="1" x14ac:dyDescent="0.2">
      <c r="A99" s="4" t="s">
        <v>141</v>
      </c>
      <c r="B99" s="1" t="str">
        <f t="shared" si="0"/>
        <v>AVEBAR</v>
      </c>
      <c r="C99" s="1" t="s">
        <v>42</v>
      </c>
      <c r="D99" s="1" t="s">
        <v>319</v>
      </c>
      <c r="E99" s="1">
        <v>797</v>
      </c>
      <c r="F99" s="1">
        <v>1.89E-2</v>
      </c>
      <c r="G99" s="1">
        <v>2.53E-2</v>
      </c>
      <c r="H99" s="1">
        <v>1.5299999999999999E-2</v>
      </c>
      <c r="I99" s="1">
        <v>1.3599999999999999E-2</v>
      </c>
      <c r="J99" s="1">
        <v>1.7500000000000002E-2</v>
      </c>
      <c r="K99" s="1">
        <v>1.6299999999999999E-2</v>
      </c>
      <c r="L99" s="1">
        <v>1.67E-2</v>
      </c>
      <c r="M99" s="1">
        <v>2.7199999999999998E-2</v>
      </c>
      <c r="N99" s="1">
        <v>1.9099999999999999E-2</v>
      </c>
      <c r="O99" s="1">
        <v>1.9599999999999999E-2</v>
      </c>
      <c r="P99" s="1">
        <v>49.89</v>
      </c>
    </row>
    <row r="100" spans="1:17" ht="15.75" customHeight="1" x14ac:dyDescent="0.2">
      <c r="A100" s="4" t="s">
        <v>142</v>
      </c>
      <c r="B100" s="1" t="str">
        <f t="shared" si="0"/>
        <v>AVEBAR</v>
      </c>
      <c r="C100" s="1" t="s">
        <v>18</v>
      </c>
      <c r="D100" s="3">
        <v>45142</v>
      </c>
      <c r="E100" s="1">
        <v>219</v>
      </c>
      <c r="F100" s="1">
        <v>1.37E-2</v>
      </c>
      <c r="G100" s="1">
        <v>1.3599999999999999E-2</v>
      </c>
      <c r="H100" s="1">
        <v>1.5599999999999999E-2</v>
      </c>
      <c r="I100" s="1">
        <v>1.17E-2</v>
      </c>
      <c r="J100" s="1">
        <v>1.43E-2</v>
      </c>
      <c r="K100" s="1">
        <v>1.6199999999999999E-2</v>
      </c>
      <c r="L100" s="1">
        <v>1.8100000000000002E-2</v>
      </c>
      <c r="M100" s="1">
        <v>1.7399999999999999E-2</v>
      </c>
      <c r="N100" s="1">
        <v>1.7100000000000001E-2</v>
      </c>
      <c r="O100" s="1">
        <v>1.6400000000000001E-2</v>
      </c>
      <c r="P100" s="5">
        <v>6.68</v>
      </c>
    </row>
    <row r="101" spans="1:17" ht="15.75" customHeight="1" x14ac:dyDescent="0.2">
      <c r="A101" s="10" t="s">
        <v>143</v>
      </c>
      <c r="B101" s="1" t="str">
        <f t="shared" si="0"/>
        <v>AVEBAR</v>
      </c>
      <c r="C101" s="1" t="s">
        <v>18</v>
      </c>
      <c r="D101" s="3">
        <v>45142</v>
      </c>
      <c r="E101" s="1">
        <v>277</v>
      </c>
      <c r="F101" s="1">
        <v>2.1399999999999999E-2</v>
      </c>
      <c r="G101" s="1">
        <v>2.3400000000000001E-2</v>
      </c>
      <c r="H101" s="1">
        <v>2.7799999999999998E-2</v>
      </c>
      <c r="I101" s="1">
        <v>3.6200000000000003E-2</v>
      </c>
      <c r="J101" s="1">
        <v>4.24E-2</v>
      </c>
      <c r="K101" s="1">
        <v>2.9000000000000001E-2</v>
      </c>
      <c r="L101" s="1">
        <v>3.4200000000000001E-2</v>
      </c>
      <c r="M101" s="1">
        <v>2.87E-2</v>
      </c>
      <c r="N101" s="1">
        <v>3.4000000000000002E-2</v>
      </c>
      <c r="O101" s="1">
        <v>3.39E-2</v>
      </c>
      <c r="P101" s="1">
        <v>19.28</v>
      </c>
    </row>
    <row r="102" spans="1:17" ht="15.75" customHeight="1" x14ac:dyDescent="0.2">
      <c r="A102" s="4" t="s">
        <v>144</v>
      </c>
      <c r="B102" s="1" t="str">
        <f t="shared" si="0"/>
        <v>AVEBAR</v>
      </c>
      <c r="C102" s="1" t="s">
        <v>42</v>
      </c>
      <c r="D102" s="3">
        <v>45160</v>
      </c>
      <c r="E102" s="1">
        <v>1464</v>
      </c>
      <c r="F102" s="1">
        <v>2.6499999999999999E-2</v>
      </c>
      <c r="G102" s="1">
        <v>2.2499999999999999E-2</v>
      </c>
      <c r="H102" s="1">
        <v>1.47E-2</v>
      </c>
      <c r="I102" s="1">
        <v>1.8800000000000001E-2</v>
      </c>
      <c r="J102" s="1">
        <v>1.1299999999999999E-2</v>
      </c>
      <c r="K102" s="1">
        <v>4.7399999999999998E-2</v>
      </c>
      <c r="L102" s="1">
        <v>1.8499999999999999E-2</v>
      </c>
      <c r="M102" s="1">
        <v>1.9300000000000001E-2</v>
      </c>
      <c r="N102" s="1">
        <v>1.5599999999999999E-2</v>
      </c>
      <c r="O102" s="1">
        <v>1.6299999999999999E-2</v>
      </c>
      <c r="P102" s="1">
        <v>71.349999999999994</v>
      </c>
    </row>
    <row r="103" spans="1:17" ht="15.75" customHeight="1" x14ac:dyDescent="0.2">
      <c r="A103" s="10" t="s">
        <v>145</v>
      </c>
      <c r="B103" s="1" t="str">
        <f t="shared" si="0"/>
        <v>AVEBAR</v>
      </c>
      <c r="C103" s="1" t="s">
        <v>18</v>
      </c>
      <c r="D103" s="3">
        <v>45142</v>
      </c>
      <c r="E103" s="1">
        <v>359</v>
      </c>
      <c r="F103" s="1">
        <v>2.53E-2</v>
      </c>
      <c r="G103" s="1">
        <v>2.3400000000000001E-2</v>
      </c>
      <c r="H103" s="1">
        <v>5.7200000000000001E-2</v>
      </c>
      <c r="I103" s="1">
        <v>2.0299999999999999E-2</v>
      </c>
      <c r="J103" s="1">
        <v>6.1600000000000002E-2</v>
      </c>
      <c r="K103" s="1">
        <v>3.2599999999999997E-2</v>
      </c>
      <c r="L103" s="1">
        <v>2.1999999999999999E-2</v>
      </c>
      <c r="M103" s="1">
        <v>5.0099999999999999E-2</v>
      </c>
      <c r="N103" s="1">
        <v>3.1699999999999999E-2</v>
      </c>
      <c r="O103" s="1">
        <v>2.2800000000000001E-2</v>
      </c>
      <c r="P103" s="1">
        <v>19.489999999999998</v>
      </c>
    </row>
    <row r="104" spans="1:17" ht="15.75" customHeight="1" x14ac:dyDescent="0.2">
      <c r="A104" s="4" t="s">
        <v>146</v>
      </c>
      <c r="B104" s="1" t="str">
        <f t="shared" si="0"/>
        <v>AVEBAR</v>
      </c>
    </row>
    <row r="105" spans="1:17" ht="15.75" customHeight="1" x14ac:dyDescent="0.2">
      <c r="A105" s="10" t="s">
        <v>147</v>
      </c>
      <c r="B105" s="1" t="str">
        <f t="shared" si="0"/>
        <v>AVEBAR</v>
      </c>
      <c r="C105" s="1" t="s">
        <v>38</v>
      </c>
      <c r="D105" s="3">
        <v>45142</v>
      </c>
      <c r="E105" s="1">
        <v>273</v>
      </c>
      <c r="F105" s="1">
        <v>1.52E-2</v>
      </c>
      <c r="G105" s="1">
        <v>1.14E-2</v>
      </c>
      <c r="H105" s="1">
        <v>9.1000000000000004E-3</v>
      </c>
      <c r="I105" s="1">
        <v>1.35E-2</v>
      </c>
      <c r="J105" s="1">
        <v>1.67E-2</v>
      </c>
      <c r="K105" s="1">
        <v>1.52E-2</v>
      </c>
      <c r="L105" s="1">
        <v>1.77E-2</v>
      </c>
      <c r="M105" s="1">
        <v>1.38E-2</v>
      </c>
      <c r="N105" s="1">
        <v>1.15E-2</v>
      </c>
      <c r="O105" s="1">
        <v>1.2699999999999999E-2</v>
      </c>
      <c r="P105" s="1">
        <v>0.74</v>
      </c>
    </row>
    <row r="106" spans="1:17" ht="15.75" customHeight="1" x14ac:dyDescent="0.2">
      <c r="A106" s="4" t="s">
        <v>148</v>
      </c>
      <c r="B106" s="1" t="str">
        <f t="shared" si="0"/>
        <v>AVEBAR</v>
      </c>
      <c r="C106" s="1" t="s">
        <v>42</v>
      </c>
      <c r="D106" s="3">
        <v>45142</v>
      </c>
      <c r="E106" s="1">
        <v>1351</v>
      </c>
      <c r="F106" s="1">
        <v>1.9699999999999999E-2</v>
      </c>
      <c r="G106" s="1">
        <v>1.09E-2</v>
      </c>
      <c r="H106" s="1">
        <v>2.7400000000000001E-2</v>
      </c>
      <c r="I106" s="1">
        <v>1.35E-2</v>
      </c>
      <c r="J106" s="1">
        <v>3.1300000000000001E-2</v>
      </c>
      <c r="K106" s="1">
        <v>1.4200000000000001E-2</v>
      </c>
      <c r="L106" s="1">
        <v>1.6799999999999999E-2</v>
      </c>
      <c r="M106" s="1">
        <v>1.6899999999999998E-2</v>
      </c>
      <c r="N106" s="1">
        <v>1.1599999999999999E-2</v>
      </c>
      <c r="O106" s="1">
        <v>1.5100000000000001E-2</v>
      </c>
      <c r="P106" s="1">
        <v>57.62</v>
      </c>
      <c r="Q106" s="1" t="s">
        <v>79</v>
      </c>
    </row>
    <row r="107" spans="1:17" ht="15.75" customHeight="1" x14ac:dyDescent="0.2">
      <c r="A107" s="4" t="s">
        <v>149</v>
      </c>
      <c r="B107" s="1" t="str">
        <f t="shared" si="0"/>
        <v>AVEBAR</v>
      </c>
      <c r="C107" s="1" t="s">
        <v>42</v>
      </c>
      <c r="D107" s="3">
        <v>45142</v>
      </c>
      <c r="E107" s="1">
        <f>217+658</f>
        <v>875</v>
      </c>
      <c r="F107" s="1">
        <v>1.9800000000000002E-2</v>
      </c>
      <c r="G107" s="1">
        <v>1.9699999999999999E-2</v>
      </c>
      <c r="H107" s="1">
        <v>2.52E-2</v>
      </c>
      <c r="I107" s="1">
        <v>1.4500000000000001E-2</v>
      </c>
      <c r="J107" s="1">
        <v>2.3900000000000001E-2</v>
      </c>
      <c r="K107" s="1">
        <v>1.7600000000000001E-2</v>
      </c>
      <c r="L107" s="1">
        <v>2.1000000000000001E-2</v>
      </c>
      <c r="M107" s="1">
        <v>1.4200000000000001E-2</v>
      </c>
      <c r="N107" s="1">
        <v>1.38E-2</v>
      </c>
      <c r="O107" s="1">
        <v>1.9599999999999999E-2</v>
      </c>
      <c r="P107" s="1">
        <f>0.58+52.57</f>
        <v>53.15</v>
      </c>
      <c r="Q107" s="1" t="s">
        <v>99</v>
      </c>
    </row>
    <row r="108" spans="1:17" ht="15.75" customHeight="1" x14ac:dyDescent="0.2">
      <c r="A108" s="4" t="s">
        <v>150</v>
      </c>
      <c r="B108" s="1" t="str">
        <f t="shared" si="0"/>
        <v>AVEBAR</v>
      </c>
      <c r="C108" s="1" t="s">
        <v>42</v>
      </c>
      <c r="D108" s="1" t="s">
        <v>319</v>
      </c>
      <c r="E108" s="1">
        <f>465+344</f>
        <v>809</v>
      </c>
      <c r="F108" s="1">
        <v>1.3299999999999999E-2</v>
      </c>
      <c r="G108" s="1">
        <v>8.8999999999999999E-3</v>
      </c>
      <c r="H108" s="1">
        <v>2.5000000000000001E-2</v>
      </c>
      <c r="I108" s="1">
        <v>1.3100000000000001E-2</v>
      </c>
      <c r="J108" s="1">
        <v>1.8100000000000002E-2</v>
      </c>
      <c r="K108" s="1">
        <v>1.32E-2</v>
      </c>
      <c r="L108" s="1">
        <v>1.78E-2</v>
      </c>
      <c r="M108" s="1">
        <v>1.52E-2</v>
      </c>
      <c r="N108" s="1">
        <v>1.9199999999999998E-2</v>
      </c>
      <c r="O108" s="1">
        <v>1.9800000000000002E-2</v>
      </c>
      <c r="P108" s="1">
        <f>1.24+21.5</f>
        <v>22.74</v>
      </c>
      <c r="Q108" s="1" t="s">
        <v>151</v>
      </c>
    </row>
    <row r="109" spans="1:17" ht="15.75" customHeight="1" x14ac:dyDescent="0.2">
      <c r="A109" s="10" t="s">
        <v>152</v>
      </c>
      <c r="B109" s="1" t="str">
        <f t="shared" si="0"/>
        <v>AVEBAR</v>
      </c>
      <c r="C109" s="1" t="s">
        <v>42</v>
      </c>
      <c r="D109" s="3">
        <v>45142</v>
      </c>
      <c r="E109" s="1">
        <v>746</v>
      </c>
      <c r="F109" s="1">
        <v>1.7600000000000001E-2</v>
      </c>
      <c r="G109" s="1">
        <v>1.32E-2</v>
      </c>
      <c r="H109" s="1">
        <v>1.5699999999999999E-2</v>
      </c>
      <c r="I109" s="1">
        <v>9.4000000000000004E-3</v>
      </c>
      <c r="J109" s="1">
        <v>1.8599999999999998E-2</v>
      </c>
      <c r="K109" s="1">
        <v>1.52E-2</v>
      </c>
      <c r="L109" s="1">
        <v>1.06E-2</v>
      </c>
      <c r="M109" s="1">
        <v>1.4500000000000001E-2</v>
      </c>
      <c r="N109" s="1">
        <v>1.18E-2</v>
      </c>
      <c r="O109" s="1">
        <v>1.15E-2</v>
      </c>
      <c r="P109" s="1">
        <v>34.590000000000003</v>
      </c>
    </row>
    <row r="110" spans="1:17" ht="15.75" customHeight="1" x14ac:dyDescent="0.2">
      <c r="A110" s="4" t="s">
        <v>153</v>
      </c>
      <c r="B110" s="1" t="str">
        <f t="shared" si="0"/>
        <v>AVEBAR</v>
      </c>
      <c r="C110" s="1" t="s">
        <v>42</v>
      </c>
      <c r="D110" s="3">
        <v>45142</v>
      </c>
      <c r="E110" s="1">
        <f>98+54</f>
        <v>152</v>
      </c>
      <c r="F110" s="1">
        <v>4.1000000000000002E-2</v>
      </c>
      <c r="G110" s="1">
        <v>3.5700000000000003E-2</v>
      </c>
      <c r="H110" s="1">
        <v>4.3900000000000002E-2</v>
      </c>
      <c r="I110" s="1">
        <v>2.41E-2</v>
      </c>
      <c r="J110" s="1">
        <v>3.0300000000000001E-2</v>
      </c>
      <c r="K110" s="1">
        <v>4.9000000000000002E-2</v>
      </c>
      <c r="L110" s="1">
        <v>3.4299999999999997E-2</v>
      </c>
      <c r="M110" s="1">
        <v>4.5199999999999997E-2</v>
      </c>
      <c r="N110" s="1">
        <v>3.2000000000000001E-2</v>
      </c>
      <c r="O110" s="1">
        <v>4.5100000000000001E-2</v>
      </c>
      <c r="P110" s="1">
        <f>0.29+12.7</f>
        <v>12.989999999999998</v>
      </c>
      <c r="Q110" s="1" t="s">
        <v>99</v>
      </c>
    </row>
    <row r="111" spans="1:17" ht="15.75" customHeight="1" x14ac:dyDescent="0.2">
      <c r="A111" s="10" t="s">
        <v>154</v>
      </c>
      <c r="B111" s="1" t="str">
        <f t="shared" si="0"/>
        <v>AVEBAR</v>
      </c>
      <c r="C111" s="1" t="s">
        <v>42</v>
      </c>
      <c r="D111" s="3">
        <v>45230</v>
      </c>
      <c r="E111" s="1">
        <f>1299+339</f>
        <v>1638</v>
      </c>
      <c r="F111" s="1">
        <v>2.1499999999999998E-2</v>
      </c>
      <c r="G111" s="1">
        <v>1.6400000000000001E-2</v>
      </c>
      <c r="H111" s="1">
        <v>1.9099999999999999E-2</v>
      </c>
      <c r="I111" s="1">
        <v>1.7899999999999999E-2</v>
      </c>
      <c r="J111" s="1">
        <v>1.6299999999999999E-2</v>
      </c>
      <c r="K111" s="1">
        <v>2.6100000000000002E-2</v>
      </c>
      <c r="L111" s="1">
        <v>1.8700000000000001E-2</v>
      </c>
      <c r="M111" s="1">
        <v>2.0400000000000001E-2</v>
      </c>
      <c r="N111" s="1">
        <v>1.7899999999999999E-2</v>
      </c>
      <c r="O111" s="1">
        <v>1.89E-2</v>
      </c>
      <c r="P111" s="1">
        <f>75.63+1.29</f>
        <v>76.92</v>
      </c>
      <c r="Q111" s="1" t="s">
        <v>99</v>
      </c>
    </row>
    <row r="112" spans="1:17" ht="15.75" customHeight="1" x14ac:dyDescent="0.2">
      <c r="A112" s="4" t="s">
        <v>155</v>
      </c>
      <c r="B112" s="1" t="str">
        <f t="shared" si="0"/>
        <v>AVEBAR</v>
      </c>
      <c r="C112" s="1" t="s">
        <v>18</v>
      </c>
      <c r="D112" s="3">
        <v>45142</v>
      </c>
      <c r="E112" s="1">
        <v>710</v>
      </c>
      <c r="F112" s="1">
        <v>1.2E-2</v>
      </c>
      <c r="G112" s="1">
        <v>1.67E-2</v>
      </c>
      <c r="H112" s="1">
        <v>1.01E-2</v>
      </c>
      <c r="I112" s="1">
        <v>2.1100000000000001E-2</v>
      </c>
      <c r="J112" s="1">
        <v>1.37E-2</v>
      </c>
      <c r="K112" s="1">
        <v>1.77E-2</v>
      </c>
      <c r="L112" s="1">
        <v>1.5800000000000002E-2</v>
      </c>
      <c r="M112" s="1">
        <v>2.24E-2</v>
      </c>
      <c r="N112" s="1">
        <v>1.7899999999999999E-2</v>
      </c>
      <c r="O112" s="1">
        <v>1.1299999999999999E-2</v>
      </c>
      <c r="P112" s="1">
        <v>32.68</v>
      </c>
    </row>
    <row r="113" spans="1:16" ht="15.75" customHeight="1" x14ac:dyDescent="0.2">
      <c r="A113" s="4" t="s">
        <v>156</v>
      </c>
      <c r="B113" s="1" t="s">
        <v>157</v>
      </c>
      <c r="D113" s="3"/>
    </row>
    <row r="114" spans="1:16" ht="15.75" customHeight="1" x14ac:dyDescent="0.2">
      <c r="A114" s="4" t="s">
        <v>158</v>
      </c>
      <c r="B114" s="1" t="s">
        <v>159</v>
      </c>
      <c r="C114" s="1" t="s">
        <v>42</v>
      </c>
      <c r="D114" s="3">
        <v>45142</v>
      </c>
      <c r="E114" s="1">
        <v>181</v>
      </c>
      <c r="F114" s="1">
        <v>4.3499999999999997E-2</v>
      </c>
      <c r="G114" s="1">
        <v>5.21E-2</v>
      </c>
      <c r="H114" s="1">
        <v>2.4400000000000002E-2</v>
      </c>
      <c r="I114" s="1">
        <v>3.95E-2</v>
      </c>
      <c r="J114" s="1">
        <v>5.3499999999999999E-2</v>
      </c>
      <c r="K114" s="1">
        <v>3.7400000000000003E-2</v>
      </c>
      <c r="L114" s="1">
        <v>6.4299999999999996E-2</v>
      </c>
      <c r="M114" s="1">
        <v>4.6899999999999997E-2</v>
      </c>
      <c r="N114" s="1">
        <v>1.7999999999999999E-2</v>
      </c>
      <c r="O114" s="1">
        <v>4.5100000000000001E-2</v>
      </c>
      <c r="P114" s="1">
        <v>18.809999999999999</v>
      </c>
    </row>
    <row r="115" spans="1:16" ht="15.75" customHeight="1" x14ac:dyDescent="0.2">
      <c r="A115" s="10" t="s">
        <v>160</v>
      </c>
      <c r="B115" s="1" t="s">
        <v>159</v>
      </c>
      <c r="C115" s="1" t="s">
        <v>42</v>
      </c>
      <c r="D115" s="3">
        <v>45142</v>
      </c>
      <c r="E115" s="1">
        <v>280</v>
      </c>
      <c r="F115" s="1">
        <v>2.8799999999999999E-2</v>
      </c>
      <c r="G115" s="1">
        <v>4.3299999999999998E-2</v>
      </c>
      <c r="H115" s="1">
        <v>3.1800000000000002E-2</v>
      </c>
      <c r="I115" s="1">
        <v>2.4E-2</v>
      </c>
      <c r="J115" s="1">
        <v>3.0700000000000002E-2</v>
      </c>
      <c r="K115" s="1">
        <v>1.6199999999999999E-2</v>
      </c>
      <c r="L115" s="1">
        <v>2.81E-2</v>
      </c>
      <c r="M115" s="1">
        <v>2.1499999999999998E-2</v>
      </c>
      <c r="N115" s="1">
        <v>2.4799999999999999E-2</v>
      </c>
      <c r="O115" s="1">
        <v>3.2199999999999999E-2</v>
      </c>
      <c r="P115" s="1">
        <v>11.32</v>
      </c>
    </row>
    <row r="116" spans="1:16" ht="15.75" customHeight="1" x14ac:dyDescent="0.2">
      <c r="A116" s="10" t="s">
        <v>161</v>
      </c>
      <c r="B116" s="1" t="str">
        <f t="shared" ref="B116:B372" si="9">MID(A116,4,6)</f>
        <v>BROARE</v>
      </c>
      <c r="C116" s="1" t="s">
        <v>162</v>
      </c>
      <c r="D116" s="3">
        <v>45065</v>
      </c>
      <c r="E116" s="1">
        <v>107</v>
      </c>
      <c r="F116" s="1">
        <f>0.0031/2</f>
        <v>1.5499999999999999E-3</v>
      </c>
      <c r="G116" s="1">
        <f>0.0077/6</f>
        <v>1.2833333333333334E-3</v>
      </c>
      <c r="H116" s="1">
        <f>0.0076/6</f>
        <v>1.2666666666666666E-3</v>
      </c>
      <c r="I116" s="1">
        <f>0.0061/5</f>
        <v>1.2200000000000002E-3</v>
      </c>
      <c r="J116" s="1">
        <f>0.0031/3</f>
        <v>1.0333333333333334E-3</v>
      </c>
      <c r="K116" s="1">
        <f>0.0023/3</f>
        <v>7.6666666666666669E-4</v>
      </c>
      <c r="L116" s="1">
        <f>0.0093/8</f>
        <v>1.1624999999999999E-3</v>
      </c>
      <c r="M116" s="1">
        <f>0.0066/6</f>
        <v>1.1000000000000001E-3</v>
      </c>
      <c r="N116" s="1">
        <f>0.0013</f>
        <v>1.2999999999999999E-3</v>
      </c>
      <c r="O116" s="1">
        <v>1.1000000000000001E-3</v>
      </c>
      <c r="P116" s="1">
        <v>0.45</v>
      </c>
    </row>
    <row r="117" spans="1:16" ht="15.75" customHeight="1" x14ac:dyDescent="0.2">
      <c r="A117" s="10" t="s">
        <v>163</v>
      </c>
      <c r="B117" s="1" t="str">
        <f t="shared" si="9"/>
        <v>BROARE</v>
      </c>
      <c r="C117" s="1" t="s">
        <v>44</v>
      </c>
      <c r="D117" s="3">
        <v>45088</v>
      </c>
      <c r="E117" s="1">
        <v>421</v>
      </c>
      <c r="F117" s="1">
        <v>8.9999999999999998E-4</v>
      </c>
      <c r="G117" s="1">
        <v>1E-3</v>
      </c>
      <c r="H117" s="1">
        <v>1.5E-3</v>
      </c>
      <c r="I117" s="1">
        <v>1.4E-3</v>
      </c>
      <c r="J117" s="1">
        <v>1E-3</v>
      </c>
      <c r="K117" s="1">
        <v>1.5E-3</v>
      </c>
      <c r="L117" s="1">
        <v>2.3E-3</v>
      </c>
      <c r="M117" s="1">
        <v>2E-3</v>
      </c>
      <c r="N117" s="1">
        <v>1.1000000000000001E-3</v>
      </c>
      <c r="O117" s="1">
        <v>1.5E-3</v>
      </c>
      <c r="P117" s="1">
        <v>1.1599999999999999</v>
      </c>
    </row>
    <row r="118" spans="1:16" ht="15.75" customHeight="1" x14ac:dyDescent="0.2">
      <c r="A118" s="10" t="s">
        <v>164</v>
      </c>
      <c r="B118" s="1" t="str">
        <f t="shared" si="9"/>
        <v>BROARE</v>
      </c>
      <c r="C118" s="1" t="s">
        <v>18</v>
      </c>
      <c r="D118" s="3">
        <v>45068</v>
      </c>
      <c r="E118" s="1">
        <v>250</v>
      </c>
      <c r="F118" s="1">
        <v>1.5E-3</v>
      </c>
      <c r="G118" s="1">
        <f>0.0105/6</f>
        <v>1.75E-3</v>
      </c>
      <c r="H118" s="1">
        <f>0.0025/3</f>
        <v>8.3333333333333339E-4</v>
      </c>
      <c r="I118" s="1">
        <v>2.9999999999999997E-4</v>
      </c>
      <c r="J118" s="1">
        <v>2.2000000000000001E-3</v>
      </c>
      <c r="K118" s="1">
        <v>2.3999999999999998E-3</v>
      </c>
      <c r="L118" s="1">
        <v>1.9E-3</v>
      </c>
      <c r="M118" s="1">
        <v>1.2999999999999999E-3</v>
      </c>
      <c r="N118" s="1">
        <f>0.0063/5</f>
        <v>1.2600000000000001E-3</v>
      </c>
      <c r="O118" s="1">
        <v>1.4E-3</v>
      </c>
      <c r="P118" s="1">
        <v>0.88</v>
      </c>
    </row>
    <row r="119" spans="1:16" ht="15.75" customHeight="1" x14ac:dyDescent="0.2">
      <c r="A119" s="10" t="s">
        <v>165</v>
      </c>
      <c r="B119" s="1" t="str">
        <f t="shared" si="9"/>
        <v>BROARE</v>
      </c>
      <c r="C119" s="1" t="s">
        <v>166</v>
      </c>
      <c r="D119" s="3">
        <v>45126</v>
      </c>
      <c r="E119" s="1">
        <f>517+375+8</f>
        <v>900</v>
      </c>
      <c r="F119" s="1">
        <f>0.0094/6</f>
        <v>1.5666666666666667E-3</v>
      </c>
      <c r="G119" s="1">
        <f>0.004/4</f>
        <v>1E-3</v>
      </c>
      <c r="H119" s="1">
        <f>0.0044/2</f>
        <v>2.2000000000000001E-3</v>
      </c>
      <c r="I119" s="1">
        <f>0.0082/2</f>
        <v>4.1000000000000003E-3</v>
      </c>
      <c r="J119" s="1">
        <v>2E-3</v>
      </c>
      <c r="K119" s="1">
        <f>0.0063/3</f>
        <v>2.0999999999999999E-3</v>
      </c>
      <c r="L119" s="1">
        <f>0.0078/3</f>
        <v>2.5999999999999999E-3</v>
      </c>
      <c r="M119" s="1">
        <f>0.0036/4</f>
        <v>8.9999999999999998E-4</v>
      </c>
      <c r="N119" s="1">
        <f>0.0073/6</f>
        <v>1.2166666666666667E-3</v>
      </c>
      <c r="O119" s="1">
        <v>1.6999999999999999E-3</v>
      </c>
      <c r="P119" s="1">
        <v>1.88</v>
      </c>
    </row>
    <row r="120" spans="1:16" ht="15.75" customHeight="1" x14ac:dyDescent="0.2">
      <c r="A120" s="4" t="s">
        <v>167</v>
      </c>
      <c r="B120" s="1" t="str">
        <f t="shared" si="9"/>
        <v>BROARE</v>
      </c>
      <c r="C120" s="1" t="s">
        <v>18</v>
      </c>
      <c r="D120" s="3">
        <v>45126</v>
      </c>
      <c r="E120" s="1">
        <v>1427</v>
      </c>
      <c r="F120" s="1">
        <f>0.0143/7</f>
        <v>2.0428571428571427E-3</v>
      </c>
      <c r="G120" s="1">
        <v>5.4000000000000003E-3</v>
      </c>
      <c r="H120" s="1">
        <v>2.5999999999999999E-3</v>
      </c>
      <c r="I120" s="1">
        <v>4.4999999999999997E-3</v>
      </c>
      <c r="J120" s="1">
        <v>2.5000000000000001E-3</v>
      </c>
      <c r="K120" s="1">
        <v>4.7999999999999996E-3</v>
      </c>
      <c r="L120" s="1">
        <v>2.3999999999999998E-3</v>
      </c>
      <c r="M120" s="1">
        <v>2.5999999999999999E-3</v>
      </c>
      <c r="N120" s="1">
        <v>1.9E-3</v>
      </c>
      <c r="O120" s="1">
        <v>1.6000000000000001E-3</v>
      </c>
      <c r="P120" s="1">
        <v>2.14</v>
      </c>
    </row>
    <row r="121" spans="1:16" ht="15.75" customHeight="1" x14ac:dyDescent="0.2">
      <c r="A121" s="4" t="s">
        <v>168</v>
      </c>
      <c r="B121" s="1" t="str">
        <f t="shared" si="9"/>
        <v>BROARE</v>
      </c>
      <c r="C121" s="1" t="s">
        <v>169</v>
      </c>
      <c r="D121" s="3">
        <v>45126</v>
      </c>
      <c r="E121" s="1">
        <v>760</v>
      </c>
      <c r="F121" s="1">
        <f>0.0152/7</f>
        <v>2.1714285714285715E-3</v>
      </c>
      <c r="G121" s="1">
        <f>0.0155/9</f>
        <v>1.7222222222222222E-3</v>
      </c>
      <c r="H121" s="1">
        <f>0.0214/11</f>
        <v>1.9454545454545454E-3</v>
      </c>
      <c r="I121" s="1">
        <f>0.0166/8</f>
        <v>2.075E-3</v>
      </c>
      <c r="J121" s="1">
        <f>0.0094/3</f>
        <v>3.1333333333333335E-3</v>
      </c>
      <c r="K121" s="1">
        <f>0.0041/2</f>
        <v>2.0500000000000002E-3</v>
      </c>
      <c r="L121" s="1">
        <f>0.0154/8</f>
        <v>1.9250000000000001E-3</v>
      </c>
      <c r="M121" s="1">
        <f>0.0056/2</f>
        <v>2.8E-3</v>
      </c>
      <c r="N121" s="1">
        <f>0.0083/6</f>
        <v>1.3833333333333334E-3</v>
      </c>
      <c r="O121" s="1">
        <f>0.0064/4</f>
        <v>1.6000000000000001E-3</v>
      </c>
      <c r="P121" s="1">
        <v>1.79</v>
      </c>
    </row>
    <row r="122" spans="1:16" ht="15.75" customHeight="1" x14ac:dyDescent="0.2">
      <c r="A122" s="4" t="s">
        <v>170</v>
      </c>
      <c r="B122" s="1" t="str">
        <f t="shared" si="9"/>
        <v>BROARE</v>
      </c>
      <c r="C122" s="1" t="s">
        <v>169</v>
      </c>
      <c r="D122" s="3">
        <v>45126</v>
      </c>
      <c r="E122" s="1">
        <v>766</v>
      </c>
      <c r="F122" s="1">
        <f>0.0058/4</f>
        <v>1.4499999999999999E-3</v>
      </c>
      <c r="G122" s="1">
        <f>0.0057/3</f>
        <v>1.9E-3</v>
      </c>
      <c r="H122" s="1">
        <v>1.4E-3</v>
      </c>
      <c r="I122" s="1">
        <v>1.6000000000000001E-3</v>
      </c>
      <c r="J122" s="1">
        <f>0.0074/5</f>
        <v>1.48E-3</v>
      </c>
      <c r="K122" s="1">
        <f>0.0055/3</f>
        <v>1.8333333333333333E-3</v>
      </c>
      <c r="L122" s="1">
        <v>2.3E-3</v>
      </c>
      <c r="M122" s="1">
        <v>3.3999999999999998E-3</v>
      </c>
      <c r="N122" s="1">
        <v>2E-3</v>
      </c>
      <c r="O122" s="1">
        <v>2.3999999999999998E-3</v>
      </c>
      <c r="P122" s="1">
        <v>1.75</v>
      </c>
    </row>
    <row r="123" spans="1:16" ht="15.75" customHeight="1" x14ac:dyDescent="0.2">
      <c r="A123" s="10" t="s">
        <v>171</v>
      </c>
      <c r="B123" s="1" t="str">
        <f t="shared" si="9"/>
        <v>BROARE</v>
      </c>
      <c r="C123" s="1" t="s">
        <v>42</v>
      </c>
      <c r="D123" s="3">
        <v>45126</v>
      </c>
      <c r="E123" s="1">
        <v>542</v>
      </c>
      <c r="F123" s="1">
        <v>2.5000000000000001E-3</v>
      </c>
      <c r="G123" s="1">
        <v>2.0999999999999999E-3</v>
      </c>
      <c r="H123" s="1">
        <v>1.2999999999999999E-3</v>
      </c>
      <c r="I123" s="1">
        <v>1.6999999999999999E-3</v>
      </c>
      <c r="J123" s="1">
        <v>3.2000000000000002E-3</v>
      </c>
      <c r="K123" s="1">
        <v>2.5999999999999999E-3</v>
      </c>
      <c r="L123" s="1">
        <v>1.5E-3</v>
      </c>
      <c r="M123" s="1">
        <v>2.3999999999999998E-3</v>
      </c>
      <c r="N123" s="1">
        <v>4.1999999999999997E-3</v>
      </c>
      <c r="O123" s="1">
        <v>2.2000000000000001E-3</v>
      </c>
      <c r="P123" s="1">
        <v>1.2</v>
      </c>
    </row>
    <row r="124" spans="1:16" ht="15.75" customHeight="1" x14ac:dyDescent="0.2">
      <c r="A124" s="10" t="s">
        <v>172</v>
      </c>
      <c r="B124" s="1" t="str">
        <f t="shared" si="9"/>
        <v>BROARE</v>
      </c>
      <c r="C124" s="1" t="s">
        <v>18</v>
      </c>
      <c r="D124" s="3">
        <v>45126</v>
      </c>
      <c r="E124" s="1">
        <v>336</v>
      </c>
      <c r="F124" s="1">
        <f>0.01/4</f>
        <v>2.5000000000000001E-3</v>
      </c>
      <c r="G124" s="1">
        <f>0.0025/2</f>
        <v>1.25E-3</v>
      </c>
      <c r="H124" s="1">
        <v>1.8E-3</v>
      </c>
      <c r="I124" s="1">
        <f>0.003/2</f>
        <v>1.5E-3</v>
      </c>
      <c r="J124" s="1">
        <v>1.1000000000000001E-3</v>
      </c>
      <c r="K124" s="1">
        <v>1.8E-3</v>
      </c>
      <c r="L124" s="1">
        <v>2.7000000000000001E-3</v>
      </c>
      <c r="M124" s="1">
        <v>1.5E-3</v>
      </c>
      <c r="N124" s="1">
        <f>0.0032/2</f>
        <v>1.6000000000000001E-3</v>
      </c>
      <c r="O124" s="1">
        <f>0.0056/2</f>
        <v>2.8E-3</v>
      </c>
      <c r="P124" s="1">
        <v>0.75</v>
      </c>
    </row>
    <row r="125" spans="1:16" ht="15.75" customHeight="1" x14ac:dyDescent="0.2">
      <c r="A125" s="10" t="s">
        <v>173</v>
      </c>
      <c r="B125" s="1" t="str">
        <f t="shared" si="9"/>
        <v>BROARE</v>
      </c>
      <c r="C125" s="1" t="s">
        <v>169</v>
      </c>
      <c r="D125" s="3">
        <v>45126</v>
      </c>
      <c r="E125" s="1">
        <v>330</v>
      </c>
      <c r="F125" s="1">
        <f>0.0042</f>
        <v>4.1999999999999997E-3</v>
      </c>
      <c r="G125" s="1">
        <f>0.012/6</f>
        <v>2E-3</v>
      </c>
      <c r="H125" s="1">
        <v>1.6999999999999999E-3</v>
      </c>
      <c r="I125" s="1">
        <f>0.0085/6</f>
        <v>1.4166666666666668E-3</v>
      </c>
      <c r="J125" s="1">
        <f>0.0052/3</f>
        <v>1.7333333333333333E-3</v>
      </c>
      <c r="K125" s="1">
        <v>3.3999999999999998E-3</v>
      </c>
      <c r="L125" s="1">
        <f>0.0059/3</f>
        <v>1.9666666666666665E-3</v>
      </c>
      <c r="M125" s="1">
        <v>2.7000000000000001E-3</v>
      </c>
      <c r="N125" s="1">
        <v>1.5E-3</v>
      </c>
      <c r="O125" s="1">
        <v>1E-3</v>
      </c>
      <c r="P125" s="1">
        <v>1.1100000000000001</v>
      </c>
    </row>
    <row r="126" spans="1:16" ht="15.75" customHeight="1" x14ac:dyDescent="0.2">
      <c r="A126" s="4" t="s">
        <v>174</v>
      </c>
      <c r="B126" s="1" t="str">
        <f t="shared" si="9"/>
        <v>BROARE</v>
      </c>
      <c r="C126" s="1" t="s">
        <v>18</v>
      </c>
      <c r="D126" s="3">
        <v>45054</v>
      </c>
      <c r="E126" s="1">
        <v>134</v>
      </c>
      <c r="F126" s="1">
        <f>0.0029/2</f>
        <v>1.4499999999999999E-3</v>
      </c>
      <c r="G126" s="1">
        <v>2.7000000000000001E-3</v>
      </c>
      <c r="H126" s="1">
        <v>3.8999999999999998E-3</v>
      </c>
      <c r="I126" s="1">
        <f>0.0053/2</f>
        <v>2.65E-3</v>
      </c>
      <c r="J126" s="1">
        <f>0.0045/2</f>
        <v>2.2499999999999998E-3</v>
      </c>
      <c r="K126" s="1">
        <v>2.3E-3</v>
      </c>
      <c r="L126" s="1">
        <v>1.8E-3</v>
      </c>
      <c r="M126" s="1">
        <v>2.8E-3</v>
      </c>
      <c r="N126" s="1">
        <f>0.0048/2</f>
        <v>2.3999999999999998E-3</v>
      </c>
      <c r="O126" s="1">
        <v>2.3E-3</v>
      </c>
      <c r="P126" s="1">
        <v>0.4</v>
      </c>
    </row>
    <row r="127" spans="1:16" ht="15.75" customHeight="1" x14ac:dyDescent="0.2">
      <c r="A127" s="10" t="s">
        <v>175</v>
      </c>
      <c r="B127" s="1" t="str">
        <f t="shared" si="9"/>
        <v>BROARE</v>
      </c>
      <c r="C127" s="1" t="s">
        <v>44</v>
      </c>
      <c r="D127" s="3">
        <v>45126</v>
      </c>
      <c r="E127" s="1">
        <v>2529</v>
      </c>
      <c r="F127" s="1">
        <v>3.7000000000000002E-3</v>
      </c>
      <c r="G127" s="1">
        <v>2.2000000000000001E-3</v>
      </c>
      <c r="H127" s="1">
        <v>4.4999999999999997E-3</v>
      </c>
      <c r="I127" s="1">
        <v>2.5000000000000001E-3</v>
      </c>
      <c r="J127" s="1">
        <v>2.3E-3</v>
      </c>
      <c r="K127" s="1">
        <v>3.5999999999999999E-3</v>
      </c>
      <c r="L127" s="1">
        <v>2.3999999999999998E-3</v>
      </c>
      <c r="M127" s="1">
        <v>2.5999999999999999E-3</v>
      </c>
      <c r="N127" s="1">
        <v>1.6000000000000001E-3</v>
      </c>
      <c r="O127" s="1">
        <v>2.3E-3</v>
      </c>
      <c r="P127" s="1">
        <v>4.2699999999999996</v>
      </c>
    </row>
    <row r="128" spans="1:16" ht="15.75" customHeight="1" x14ac:dyDescent="0.2">
      <c r="A128" s="4" t="s">
        <v>176</v>
      </c>
      <c r="B128" s="1" t="str">
        <f t="shared" si="9"/>
        <v>BROARE</v>
      </c>
      <c r="C128" s="1" t="s">
        <v>18</v>
      </c>
      <c r="D128" s="3">
        <v>45126</v>
      </c>
      <c r="E128" s="1">
        <v>827</v>
      </c>
      <c r="F128" s="1">
        <v>1.9E-3</v>
      </c>
      <c r="G128" s="1">
        <v>2.5000000000000001E-3</v>
      </c>
      <c r="H128" s="1">
        <v>2.2000000000000001E-3</v>
      </c>
      <c r="I128" s="1">
        <v>2.3E-3</v>
      </c>
      <c r="J128" s="1">
        <v>2E-3</v>
      </c>
      <c r="K128" s="1">
        <f>0.0028/2</f>
        <v>1.4E-3</v>
      </c>
      <c r="L128" s="1">
        <f>0.0072/3</f>
        <v>2.3999999999999998E-3</v>
      </c>
      <c r="M128" s="1">
        <v>1.6999999999999999E-3</v>
      </c>
      <c r="N128" s="1">
        <v>1.6000000000000001E-3</v>
      </c>
      <c r="O128" s="1">
        <v>1.1000000000000001E-3</v>
      </c>
      <c r="P128" s="1">
        <v>2.78</v>
      </c>
    </row>
    <row r="129" spans="1:16" ht="15.75" customHeight="1" x14ac:dyDescent="0.2">
      <c r="A129" s="4" t="s">
        <v>177</v>
      </c>
      <c r="B129" s="1" t="str">
        <f t="shared" si="9"/>
        <v>BROARE</v>
      </c>
      <c r="C129" s="1" t="s">
        <v>18</v>
      </c>
      <c r="D129" s="3">
        <v>45126</v>
      </c>
      <c r="E129" s="1">
        <v>663</v>
      </c>
      <c r="F129" s="1">
        <v>2.7000000000000001E-3</v>
      </c>
      <c r="G129" s="1">
        <v>1E-3</v>
      </c>
      <c r="H129" s="1">
        <v>1.4E-3</v>
      </c>
      <c r="I129" s="1">
        <f>0.0016/2</f>
        <v>8.0000000000000004E-4</v>
      </c>
      <c r="J129" s="1">
        <v>1.6999999999999999E-3</v>
      </c>
      <c r="K129" s="1">
        <v>1.6000000000000001E-3</v>
      </c>
      <c r="L129" s="1">
        <f>0.0073/2</f>
        <v>3.65E-3</v>
      </c>
      <c r="M129" s="1">
        <v>1.1000000000000001E-3</v>
      </c>
      <c r="N129" s="1">
        <v>1.2999999999999999E-3</v>
      </c>
      <c r="O129" s="1">
        <v>3.3999999999999998E-3</v>
      </c>
      <c r="P129" s="1">
        <v>1.35</v>
      </c>
    </row>
    <row r="130" spans="1:16" ht="15.75" customHeight="1" x14ac:dyDescent="0.2">
      <c r="A130" s="10" t="s">
        <v>178</v>
      </c>
      <c r="B130" s="1" t="str">
        <f t="shared" si="9"/>
        <v>BROARE</v>
      </c>
      <c r="C130" s="1" t="s">
        <v>18</v>
      </c>
      <c r="D130" s="3">
        <v>45126</v>
      </c>
      <c r="E130" s="1">
        <v>725</v>
      </c>
      <c r="F130" s="1">
        <f>0.0088/2</f>
        <v>4.4000000000000003E-3</v>
      </c>
      <c r="G130" s="1">
        <v>2.2000000000000001E-3</v>
      </c>
      <c r="H130" s="1">
        <v>1.6000000000000001E-3</v>
      </c>
      <c r="I130" s="1">
        <v>2.3E-3</v>
      </c>
      <c r="J130" s="1">
        <v>1.6000000000000001E-3</v>
      </c>
      <c r="K130" s="1">
        <f>0.0066/2</f>
        <v>3.3E-3</v>
      </c>
      <c r="L130" s="1">
        <v>4.0000000000000001E-3</v>
      </c>
      <c r="M130" s="1">
        <v>1.8E-3</v>
      </c>
      <c r="N130" s="1">
        <f>0.0063/2</f>
        <v>3.15E-3</v>
      </c>
      <c r="O130" s="1">
        <v>6.0000000000000001E-3</v>
      </c>
      <c r="P130" s="1">
        <v>1.68</v>
      </c>
    </row>
    <row r="131" spans="1:16" ht="15.75" customHeight="1" x14ac:dyDescent="0.2">
      <c r="A131" s="4" t="s">
        <v>179</v>
      </c>
      <c r="B131" s="1" t="str">
        <f t="shared" si="9"/>
        <v>BROARE</v>
      </c>
      <c r="C131" s="1" t="s">
        <v>18</v>
      </c>
      <c r="D131" s="3">
        <v>45068</v>
      </c>
      <c r="E131" s="1">
        <v>1030</v>
      </c>
      <c r="F131" s="1">
        <v>3.2000000000000002E-3</v>
      </c>
      <c r="G131" s="1">
        <f>0.0111/3</f>
        <v>3.7000000000000002E-3</v>
      </c>
      <c r="H131" s="1">
        <f>0.0058/2</f>
        <v>2.8999999999999998E-3</v>
      </c>
      <c r="I131" s="1">
        <f>0.0055/2</f>
        <v>2.7499999999999998E-3</v>
      </c>
      <c r="J131" s="1">
        <v>1.8E-3</v>
      </c>
      <c r="K131" s="1">
        <v>1.6000000000000001E-3</v>
      </c>
      <c r="L131" s="1">
        <f>0.0085/2</f>
        <v>4.2500000000000003E-3</v>
      </c>
      <c r="M131" s="1">
        <f>0.0042/2</f>
        <v>2.0999999999999999E-3</v>
      </c>
      <c r="N131" s="1">
        <v>1.6999999999999999E-3</v>
      </c>
      <c r="O131" s="1">
        <v>3.3E-3</v>
      </c>
      <c r="P131" s="1">
        <v>4.62</v>
      </c>
    </row>
    <row r="132" spans="1:16" ht="15.75" customHeight="1" x14ac:dyDescent="0.2">
      <c r="A132" s="4" t="s">
        <v>180</v>
      </c>
      <c r="B132" s="1" t="str">
        <f t="shared" si="9"/>
        <v>BRODIA</v>
      </c>
      <c r="C132" s="1" t="s">
        <v>38</v>
      </c>
      <c r="D132" s="3">
        <v>45068</v>
      </c>
      <c r="E132" s="1">
        <v>633</v>
      </c>
      <c r="F132" s="1">
        <v>3.7000000000000002E-3</v>
      </c>
      <c r="G132" s="1">
        <v>7.0000000000000001E-3</v>
      </c>
      <c r="H132" s="1">
        <v>8.2000000000000007E-3</v>
      </c>
      <c r="I132" s="1">
        <v>8.0000000000000002E-3</v>
      </c>
      <c r="J132" s="1">
        <v>6.1000000000000004E-3</v>
      </c>
      <c r="K132" s="1">
        <v>5.7999999999999996E-3</v>
      </c>
      <c r="L132" s="1">
        <v>6.0000000000000001E-3</v>
      </c>
      <c r="M132" s="1">
        <v>7.4000000000000003E-3</v>
      </c>
      <c r="N132" s="1">
        <v>4.5999999999999999E-3</v>
      </c>
      <c r="O132" s="1">
        <v>4.4999999999999997E-3</v>
      </c>
      <c r="P132" s="1">
        <v>9.35</v>
      </c>
    </row>
    <row r="133" spans="1:16" ht="15.75" customHeight="1" x14ac:dyDescent="0.2">
      <c r="A133" s="10" t="s">
        <v>181</v>
      </c>
      <c r="B133" s="1" t="str">
        <f t="shared" si="9"/>
        <v>BRODIA</v>
      </c>
    </row>
    <row r="134" spans="1:16" ht="15.75" customHeight="1" x14ac:dyDescent="0.2">
      <c r="A134" s="4" t="s">
        <v>182</v>
      </c>
      <c r="B134" s="1" t="str">
        <f t="shared" si="9"/>
        <v>BRODIA</v>
      </c>
      <c r="C134" s="1" t="s">
        <v>183</v>
      </c>
      <c r="D134" s="3">
        <v>45068</v>
      </c>
      <c r="E134" s="1">
        <v>1465</v>
      </c>
      <c r="F134" s="1">
        <v>7.3000000000000001E-3</v>
      </c>
      <c r="G134" s="1">
        <f>0.0063/3</f>
        <v>2.0999999999999999E-3</v>
      </c>
      <c r="H134" s="1">
        <f>0.0144/5</f>
        <v>2.8799999999999997E-3</v>
      </c>
      <c r="I134" s="1">
        <f>0.0066/3</f>
        <v>2.2000000000000001E-3</v>
      </c>
      <c r="J134" s="1">
        <f>0.0123/5</f>
        <v>2.4599999999999999E-3</v>
      </c>
      <c r="K134" s="1">
        <v>9.1999999999999998E-3</v>
      </c>
      <c r="L134" s="1">
        <v>8.3000000000000001E-3</v>
      </c>
      <c r="M134" s="1">
        <f>0.0086/4</f>
        <v>2.15E-3</v>
      </c>
      <c r="N134" s="1">
        <f>0.0139/5</f>
        <v>2.7799999999999999E-3</v>
      </c>
      <c r="O134" s="1">
        <v>1.4E-3</v>
      </c>
      <c r="P134" s="1">
        <v>15</v>
      </c>
    </row>
    <row r="135" spans="1:16" ht="15.75" customHeight="1" x14ac:dyDescent="0.2">
      <c r="A135" s="10" t="s">
        <v>184</v>
      </c>
      <c r="B135" s="1" t="str">
        <f t="shared" si="9"/>
        <v>BRODIA</v>
      </c>
      <c r="C135" s="1" t="s">
        <v>185</v>
      </c>
      <c r="D135" s="3">
        <v>45054</v>
      </c>
      <c r="E135" s="1">
        <v>1145</v>
      </c>
      <c r="F135" s="1">
        <v>7.4000000000000003E-3</v>
      </c>
      <c r="G135" s="1">
        <v>4.1000000000000003E-3</v>
      </c>
      <c r="H135" s="1">
        <v>3.7000000000000002E-3</v>
      </c>
      <c r="I135" s="1">
        <v>6.8999999999999999E-3</v>
      </c>
      <c r="J135" s="1">
        <v>6.6E-3</v>
      </c>
      <c r="K135" s="1">
        <v>5.4000000000000003E-3</v>
      </c>
      <c r="L135" s="1">
        <v>7.1000000000000004E-3</v>
      </c>
      <c r="M135" s="1">
        <v>4.4999999999999997E-3</v>
      </c>
      <c r="N135" s="1">
        <v>5.4000000000000003E-3</v>
      </c>
      <c r="O135" s="1">
        <v>8.0000000000000002E-3</v>
      </c>
      <c r="P135" s="1">
        <v>15.53</v>
      </c>
    </row>
    <row r="136" spans="1:16" ht="15.75" customHeight="1" x14ac:dyDescent="0.2">
      <c r="A136" s="4" t="s">
        <v>186</v>
      </c>
      <c r="B136" s="1" t="str">
        <f t="shared" si="9"/>
        <v>BRODIA</v>
      </c>
      <c r="C136" s="1" t="s">
        <v>169</v>
      </c>
      <c r="D136" s="3">
        <v>45140</v>
      </c>
      <c r="E136" s="1">
        <v>617</v>
      </c>
      <c r="F136" s="1">
        <v>4.3E-3</v>
      </c>
      <c r="G136" s="1">
        <v>3.5999999999999999E-3</v>
      </c>
      <c r="H136" s="1">
        <v>4.0000000000000001E-3</v>
      </c>
      <c r="I136" s="1">
        <f>0.0085/4</f>
        <v>2.1250000000000002E-3</v>
      </c>
      <c r="J136" s="1">
        <v>2.8999999999999998E-3</v>
      </c>
      <c r="K136" s="1">
        <v>2.5000000000000001E-3</v>
      </c>
      <c r="L136" s="1">
        <v>5.1000000000000004E-3</v>
      </c>
      <c r="M136" s="1">
        <f>0.0144/5</f>
        <v>2.8799999999999997E-3</v>
      </c>
      <c r="N136" s="1">
        <v>6.0000000000000001E-3</v>
      </c>
      <c r="O136" s="1">
        <f>0.0042/3</f>
        <v>1.4E-3</v>
      </c>
      <c r="P136" s="1">
        <v>3.86</v>
      </c>
    </row>
    <row r="137" spans="1:16" ht="15.75" customHeight="1" x14ac:dyDescent="0.2">
      <c r="A137" s="10" t="s">
        <v>187</v>
      </c>
      <c r="B137" s="1" t="str">
        <f t="shared" si="9"/>
        <v>BRODIA</v>
      </c>
      <c r="C137" s="1" t="s">
        <v>188</v>
      </c>
      <c r="D137" s="3">
        <v>45140</v>
      </c>
      <c r="E137" s="1">
        <v>737</v>
      </c>
      <c r="F137" s="1">
        <v>1.01E-2</v>
      </c>
      <c r="G137" s="1">
        <v>1.12E-2</v>
      </c>
      <c r="H137" s="1">
        <v>6.3E-3</v>
      </c>
      <c r="I137" s="1">
        <v>1.14E-2</v>
      </c>
      <c r="J137" s="1">
        <v>5.0000000000000001E-3</v>
      </c>
      <c r="K137" s="1">
        <v>9.4999999999999998E-3</v>
      </c>
      <c r="L137" s="1">
        <v>5.8999999999999999E-3</v>
      </c>
      <c r="M137" s="1">
        <v>9.2999999999999992E-3</v>
      </c>
      <c r="N137" s="1">
        <v>1.2999999999999999E-2</v>
      </c>
      <c r="O137" s="1">
        <v>1.04E-2</v>
      </c>
      <c r="P137" s="1">
        <v>5.04</v>
      </c>
    </row>
    <row r="138" spans="1:16" ht="15.75" customHeight="1" x14ac:dyDescent="0.2">
      <c r="A138" s="4" t="s">
        <v>189</v>
      </c>
      <c r="B138" s="1" t="str">
        <f t="shared" si="9"/>
        <v>BRODIA</v>
      </c>
      <c r="C138" s="1" t="s">
        <v>190</v>
      </c>
      <c r="D138" s="3">
        <v>45140</v>
      </c>
      <c r="E138" s="1">
        <v>1241</v>
      </c>
      <c r="F138" s="1">
        <v>1.55E-2</v>
      </c>
      <c r="G138" s="1">
        <v>1.66E-2</v>
      </c>
      <c r="H138" s="1">
        <v>3.7199999999999997E-2</v>
      </c>
      <c r="I138" s="1">
        <v>3.6200000000000003E-2</v>
      </c>
      <c r="J138" s="1">
        <v>5.2299999999999999E-2</v>
      </c>
      <c r="K138" s="1">
        <v>3.1199999999999999E-2</v>
      </c>
      <c r="L138" s="1">
        <v>1.9300000000000001E-2</v>
      </c>
      <c r="M138" s="1">
        <v>1.9199999999999998E-2</v>
      </c>
      <c r="N138" s="1">
        <v>2.3E-2</v>
      </c>
      <c r="O138" s="1">
        <v>3.0800000000000001E-2</v>
      </c>
      <c r="P138" s="1">
        <v>6.56</v>
      </c>
    </row>
    <row r="139" spans="1:16" ht="15.75" customHeight="1" x14ac:dyDescent="0.2">
      <c r="A139" s="10" t="s">
        <v>191</v>
      </c>
      <c r="B139" s="1" t="str">
        <f t="shared" si="9"/>
        <v>BRODIA</v>
      </c>
      <c r="C139" s="1" t="s">
        <v>169</v>
      </c>
      <c r="D139" s="3">
        <v>45069</v>
      </c>
      <c r="E139" s="1">
        <v>220</v>
      </c>
      <c r="F139" s="1">
        <f>0.0089/2</f>
        <v>4.45E-3</v>
      </c>
      <c r="G139" s="1">
        <v>5.3E-3</v>
      </c>
      <c r="H139" s="1">
        <f>0.021/7</f>
        <v>3.0000000000000001E-3</v>
      </c>
      <c r="I139" s="1">
        <f>0.0048/3</f>
        <v>1.5999999999999999E-3</v>
      </c>
      <c r="J139" s="1">
        <v>7.4999999999999997E-3</v>
      </c>
      <c r="K139" s="1">
        <f>0.0066/3</f>
        <v>2.2000000000000001E-3</v>
      </c>
      <c r="L139" s="1">
        <f>0.0077/3</f>
        <v>2.5666666666666667E-3</v>
      </c>
      <c r="M139" s="1">
        <v>9.4000000000000004E-3</v>
      </c>
      <c r="N139" s="1">
        <v>7.4000000000000003E-3</v>
      </c>
      <c r="O139" s="1">
        <f>0.015/3</f>
        <v>5.0000000000000001E-3</v>
      </c>
      <c r="P139" s="1">
        <v>1.53</v>
      </c>
    </row>
    <row r="140" spans="1:16" ht="15.75" customHeight="1" x14ac:dyDescent="0.2">
      <c r="A140" s="4" t="s">
        <v>192</v>
      </c>
      <c r="B140" s="1" t="str">
        <f t="shared" si="9"/>
        <v>BRODIA</v>
      </c>
      <c r="C140" t="s">
        <v>42</v>
      </c>
      <c r="D140" s="9">
        <v>45068</v>
      </c>
      <c r="E140">
        <v>744</v>
      </c>
      <c r="F140">
        <v>5.1000000000000004E-3</v>
      </c>
      <c r="G140">
        <v>9.7000000000000003E-3</v>
      </c>
      <c r="H140">
        <v>1.01E-2</v>
      </c>
      <c r="I140">
        <v>6.4999999999999997E-3</v>
      </c>
      <c r="J140">
        <v>8.6E-3</v>
      </c>
      <c r="K140">
        <v>4.8999999999999998E-3</v>
      </c>
      <c r="L140">
        <v>4.7999999999999996E-3</v>
      </c>
      <c r="M140">
        <v>8.6999999999999994E-3</v>
      </c>
      <c r="N140">
        <v>8.0000000000000002E-3</v>
      </c>
      <c r="O140">
        <v>6.8999999999999999E-3</v>
      </c>
      <c r="P140">
        <v>9.68</v>
      </c>
    </row>
    <row r="141" spans="1:16" ht="15.75" customHeight="1" x14ac:dyDescent="0.2">
      <c r="A141" s="10" t="s">
        <v>193</v>
      </c>
      <c r="B141" s="1" t="str">
        <f t="shared" si="9"/>
        <v>BRODIA</v>
      </c>
      <c r="C141" s="1" t="s">
        <v>169</v>
      </c>
      <c r="D141" s="3">
        <v>45068</v>
      </c>
      <c r="E141" s="1">
        <v>642</v>
      </c>
      <c r="F141" s="1">
        <v>3.0000000000000001E-3</v>
      </c>
      <c r="G141" s="1">
        <v>8.0000000000000002E-3</v>
      </c>
      <c r="H141" s="1">
        <v>7.4000000000000003E-3</v>
      </c>
      <c r="I141" s="1">
        <v>3.2000000000000002E-3</v>
      </c>
      <c r="J141" s="1">
        <v>1.4E-3</v>
      </c>
      <c r="K141" s="1">
        <v>2.8E-3</v>
      </c>
      <c r="L141" s="1">
        <v>1.4E-3</v>
      </c>
      <c r="M141" s="1">
        <v>4.4000000000000003E-3</v>
      </c>
      <c r="N141" s="1">
        <f>0.0099/4</f>
        <v>2.4750000000000002E-3</v>
      </c>
      <c r="O141" s="1">
        <v>4.7999999999999996E-3</v>
      </c>
      <c r="P141" s="1">
        <v>7.9</v>
      </c>
    </row>
    <row r="142" spans="1:16" ht="15.75" customHeight="1" x14ac:dyDescent="0.2">
      <c r="A142" s="4" t="s">
        <v>194</v>
      </c>
      <c r="B142" s="1" t="str">
        <f t="shared" si="9"/>
        <v>BRODIA</v>
      </c>
      <c r="C142" s="1" t="s">
        <v>42</v>
      </c>
      <c r="D142" s="3">
        <v>45068</v>
      </c>
      <c r="E142" s="1">
        <v>806</v>
      </c>
      <c r="F142" s="1">
        <v>5.7000000000000002E-3</v>
      </c>
      <c r="G142" s="1">
        <v>5.4999999999999997E-3</v>
      </c>
      <c r="H142" s="1">
        <v>5.5999999999999999E-3</v>
      </c>
      <c r="I142" s="1">
        <v>4.1000000000000003E-3</v>
      </c>
      <c r="J142" s="1">
        <v>4.7999999999999996E-3</v>
      </c>
      <c r="K142" s="1">
        <v>4.1999999999999997E-3</v>
      </c>
      <c r="L142" s="1">
        <v>5.1000000000000004E-3</v>
      </c>
      <c r="M142" s="1">
        <v>6.1000000000000004E-3</v>
      </c>
      <c r="N142" s="1">
        <v>6.7999999999999996E-3</v>
      </c>
      <c r="O142" s="1">
        <v>6.1000000000000004E-3</v>
      </c>
      <c r="P142" s="1">
        <v>8.4700000000000006</v>
      </c>
    </row>
    <row r="143" spans="1:16" ht="15.75" customHeight="1" x14ac:dyDescent="0.2">
      <c r="A143" s="10" t="s">
        <v>195</v>
      </c>
      <c r="B143" s="1" t="str">
        <f t="shared" si="9"/>
        <v>BRODIA</v>
      </c>
      <c r="C143" s="1" t="s">
        <v>196</v>
      </c>
      <c r="D143" s="3">
        <v>45068</v>
      </c>
      <c r="E143" s="1">
        <v>1653</v>
      </c>
      <c r="F143" s="7">
        <v>1.0999999999999999E-2</v>
      </c>
      <c r="G143" s="7">
        <v>2.8999999999999998E-3</v>
      </c>
      <c r="H143" s="1">
        <f>0.0128/4</f>
        <v>3.2000000000000002E-3</v>
      </c>
      <c r="I143" s="7">
        <v>1.5E-3</v>
      </c>
      <c r="J143" s="1">
        <f>0.00058/3</f>
        <v>1.9333333333333333E-4</v>
      </c>
      <c r="K143" s="7">
        <v>3.0000000000000001E-3</v>
      </c>
      <c r="L143" s="7">
        <v>4.7999999999999996E-3</v>
      </c>
      <c r="M143" s="7">
        <v>2.5999999999999999E-3</v>
      </c>
      <c r="N143" s="7">
        <v>1.01E-2</v>
      </c>
      <c r="O143" s="7">
        <v>4.1000000000000003E-3</v>
      </c>
      <c r="P143" s="7">
        <v>21.02</v>
      </c>
    </row>
    <row r="144" spans="1:16" ht="15.75" customHeight="1" x14ac:dyDescent="0.2">
      <c r="A144" s="4" t="s">
        <v>197</v>
      </c>
      <c r="B144" s="1" t="str">
        <f t="shared" si="9"/>
        <v>BRODIA</v>
      </c>
      <c r="C144" t="s">
        <v>198</v>
      </c>
      <c r="D144" s="9">
        <v>45140</v>
      </c>
      <c r="E144">
        <v>785</v>
      </c>
      <c r="F144">
        <v>5.8999999999999999E-3</v>
      </c>
      <c r="G144">
        <v>3.3E-3</v>
      </c>
      <c r="H144">
        <v>3.2000000000000002E-3</v>
      </c>
      <c r="I144">
        <v>3.7000000000000002E-3</v>
      </c>
      <c r="J144">
        <v>5.3E-3</v>
      </c>
      <c r="K144">
        <v>1.8E-3</v>
      </c>
      <c r="L144">
        <v>3.0000000000000001E-3</v>
      </c>
      <c r="M144">
        <v>6.3E-3</v>
      </c>
      <c r="N144">
        <v>2.5000000000000001E-3</v>
      </c>
      <c r="O144">
        <v>4.5999999999999999E-3</v>
      </c>
      <c r="P144">
        <v>7.34</v>
      </c>
    </row>
    <row r="145" spans="1:16" ht="15.75" customHeight="1" x14ac:dyDescent="0.2">
      <c r="A145" s="10" t="s">
        <v>199</v>
      </c>
      <c r="B145" s="1" t="str">
        <f t="shared" si="9"/>
        <v>BRODIA</v>
      </c>
      <c r="C145" s="1" t="s">
        <v>196</v>
      </c>
      <c r="D145" s="3">
        <v>45140</v>
      </c>
      <c r="E145" s="1">
        <v>598</v>
      </c>
      <c r="F145" s="1">
        <f>0.0237/6</f>
        <v>3.9499999999999995E-3</v>
      </c>
      <c r="G145" s="1">
        <v>6.6E-3</v>
      </c>
      <c r="H145" s="1">
        <f>0.0136/2</f>
        <v>6.7999999999999996E-3</v>
      </c>
      <c r="I145" s="1">
        <v>8.2000000000000007E-3</v>
      </c>
      <c r="J145" s="1">
        <f>0.0133/3</f>
        <v>4.4333333333333334E-3</v>
      </c>
      <c r="K145" s="1">
        <f>0.0311/4</f>
        <v>7.7749999999999998E-3</v>
      </c>
      <c r="L145" s="1">
        <f>0.0117/2</f>
        <v>5.8500000000000002E-3</v>
      </c>
      <c r="M145" s="1">
        <f>0.0221/3</f>
        <v>7.3666666666666672E-3</v>
      </c>
      <c r="N145" s="1">
        <f>0.0061/2</f>
        <v>3.0500000000000002E-3</v>
      </c>
      <c r="O145" s="1">
        <v>4.5999999999999999E-3</v>
      </c>
      <c r="P145" s="1">
        <v>3.81</v>
      </c>
    </row>
    <row r="146" spans="1:16" ht="15.75" customHeight="1" x14ac:dyDescent="0.2">
      <c r="A146" s="4" t="s">
        <v>200</v>
      </c>
      <c r="B146" s="1" t="str">
        <f t="shared" si="9"/>
        <v>BRODIA</v>
      </c>
      <c r="C146" s="1" t="s">
        <v>201</v>
      </c>
      <c r="D146" s="3">
        <v>45068</v>
      </c>
      <c r="E146" s="1">
        <v>763</v>
      </c>
      <c r="F146" s="1">
        <v>4.1999999999999997E-3</v>
      </c>
      <c r="G146" s="1">
        <v>2.8E-3</v>
      </c>
      <c r="H146" s="1">
        <v>4.8999999999999998E-3</v>
      </c>
      <c r="I146" s="1">
        <v>5.3E-3</v>
      </c>
      <c r="J146" s="1">
        <v>4.3E-3</v>
      </c>
      <c r="K146" s="1">
        <v>5.5999999999999999E-3</v>
      </c>
      <c r="L146" s="1">
        <v>8.5000000000000006E-3</v>
      </c>
      <c r="M146" s="1">
        <v>4.7999999999999996E-3</v>
      </c>
      <c r="N146" s="1">
        <v>4.7000000000000002E-3</v>
      </c>
      <c r="O146" s="1">
        <v>5.1999999999999998E-3</v>
      </c>
      <c r="P146" s="1">
        <v>9.2100000000000009</v>
      </c>
    </row>
    <row r="147" spans="1:16" ht="15.75" customHeight="1" x14ac:dyDescent="0.2">
      <c r="A147" s="10" t="s">
        <v>202</v>
      </c>
      <c r="B147" s="1" t="str">
        <f t="shared" si="9"/>
        <v>BRODIA</v>
      </c>
      <c r="C147" s="1" t="s">
        <v>188</v>
      </c>
      <c r="D147" s="3">
        <v>45140</v>
      </c>
      <c r="E147" s="1">
        <v>615</v>
      </c>
      <c r="F147" s="1">
        <v>2.4500000000000001E-2</v>
      </c>
      <c r="G147" s="1">
        <v>2.5100000000000001E-2</v>
      </c>
      <c r="H147" s="1">
        <v>2.41E-2</v>
      </c>
      <c r="I147" s="1">
        <v>2.01E-2</v>
      </c>
      <c r="J147" s="1">
        <v>2.1100000000000001E-2</v>
      </c>
      <c r="K147" s="1">
        <v>3.0499999999999999E-2</v>
      </c>
      <c r="L147" s="1">
        <v>2.4199999999999999E-2</v>
      </c>
      <c r="M147" s="1">
        <v>2.1899999999999999E-2</v>
      </c>
      <c r="N147" s="1">
        <v>1.8700000000000001E-2</v>
      </c>
      <c r="O147" s="1">
        <v>2.63E-2</v>
      </c>
      <c r="P147" s="1">
        <v>4.7300000000000004</v>
      </c>
    </row>
    <row r="148" spans="1:16" ht="15.75" customHeight="1" x14ac:dyDescent="0.2">
      <c r="A148" s="4" t="s">
        <v>203</v>
      </c>
      <c r="B148" s="1" t="str">
        <f t="shared" si="9"/>
        <v>BRODIA</v>
      </c>
      <c r="C148" s="1" t="s">
        <v>169</v>
      </c>
      <c r="D148" s="3">
        <v>45140</v>
      </c>
      <c r="E148" s="1">
        <v>1676</v>
      </c>
      <c r="F148" s="1">
        <f>0.0217/6</f>
        <v>3.6166666666666669E-3</v>
      </c>
      <c r="G148" s="1">
        <f>0.0165/5</f>
        <v>3.3E-3</v>
      </c>
      <c r="H148" s="1">
        <v>6.1000000000000004E-3</v>
      </c>
      <c r="I148" s="1">
        <f>0.0223/4</f>
        <v>5.5750000000000001E-3</v>
      </c>
      <c r="J148" s="1">
        <v>3.6999999999999998E-2</v>
      </c>
      <c r="K148" s="1">
        <f>0.0229/6</f>
        <v>3.8166666666666666E-3</v>
      </c>
      <c r="L148" s="1">
        <v>4.5999999999999999E-3</v>
      </c>
      <c r="M148" s="1">
        <f>0.0198/4</f>
        <v>4.9500000000000004E-3</v>
      </c>
      <c r="N148" s="1">
        <f>0.0115/2</f>
        <v>5.7499999999999999E-3</v>
      </c>
      <c r="O148" s="1">
        <v>3.8E-3</v>
      </c>
      <c r="P148" s="1">
        <v>11.97</v>
      </c>
    </row>
    <row r="149" spans="1:16" ht="15.75" customHeight="1" x14ac:dyDescent="0.2">
      <c r="A149" s="10" t="s">
        <v>204</v>
      </c>
      <c r="B149" s="1" t="str">
        <f t="shared" si="9"/>
        <v>BRODIA</v>
      </c>
      <c r="C149" s="1" t="s">
        <v>42</v>
      </c>
      <c r="D149" s="3">
        <v>45140</v>
      </c>
      <c r="E149" s="1">
        <v>1770</v>
      </c>
      <c r="F149" s="1">
        <v>4.4000000000000003E-3</v>
      </c>
      <c r="G149" s="1">
        <v>5.8999999999999999E-3</v>
      </c>
      <c r="H149" s="1">
        <v>6.8999999999999999E-3</v>
      </c>
      <c r="I149" s="1">
        <v>7.1000000000000004E-3</v>
      </c>
      <c r="J149" s="1">
        <v>7.6E-3</v>
      </c>
      <c r="K149" s="1">
        <v>1.15E-2</v>
      </c>
      <c r="L149" s="1">
        <v>1.14E-2</v>
      </c>
      <c r="M149" s="1">
        <v>1.24E-2</v>
      </c>
      <c r="N149" s="1">
        <v>8.3999999999999995E-3</v>
      </c>
      <c r="O149" s="1">
        <v>5.4999999999999997E-3</v>
      </c>
      <c r="P149" s="1">
        <v>10.11</v>
      </c>
    </row>
    <row r="150" spans="1:16" ht="15.75" customHeight="1" x14ac:dyDescent="0.2">
      <c r="A150" s="4" t="s">
        <v>205</v>
      </c>
      <c r="B150" s="1" t="str">
        <f t="shared" si="9"/>
        <v>BRODIA</v>
      </c>
      <c r="C150" s="1" t="s">
        <v>190</v>
      </c>
      <c r="D150" s="3">
        <v>45068</v>
      </c>
      <c r="E150" s="1">
        <v>1655</v>
      </c>
      <c r="F150" s="1">
        <v>1.1599999999999999E-2</v>
      </c>
      <c r="G150" s="1">
        <v>1.3899999999999999E-2</v>
      </c>
      <c r="H150" s="1">
        <v>3.1E-2</v>
      </c>
      <c r="I150" s="1">
        <v>2.46E-2</v>
      </c>
      <c r="J150" s="1">
        <v>1.4200000000000001E-2</v>
      </c>
      <c r="K150" s="1">
        <v>2.6499999999999999E-2</v>
      </c>
      <c r="L150" s="1">
        <v>3.0200000000000001E-2</v>
      </c>
      <c r="M150" s="1">
        <v>2.5499999999999998E-2</v>
      </c>
      <c r="N150" s="1">
        <v>3.0499999999999999E-2</v>
      </c>
      <c r="O150" s="1">
        <v>3.7999999999999999E-2</v>
      </c>
      <c r="P150" s="1">
        <v>23.87</v>
      </c>
    </row>
    <row r="151" spans="1:16" ht="15.75" customHeight="1" x14ac:dyDescent="0.2">
      <c r="A151" s="10" t="s">
        <v>206</v>
      </c>
      <c r="B151" s="1" t="str">
        <f t="shared" si="9"/>
        <v>BRODIA</v>
      </c>
      <c r="C151" t="s">
        <v>42</v>
      </c>
      <c r="D151" s="9">
        <v>45140</v>
      </c>
      <c r="E151">
        <v>1174</v>
      </c>
      <c r="F151">
        <v>8.0999999999999996E-3</v>
      </c>
      <c r="G151">
        <v>8.0000000000000002E-3</v>
      </c>
      <c r="H151">
        <v>9.7000000000000003E-3</v>
      </c>
      <c r="I151">
        <v>3.7000000000000002E-3</v>
      </c>
      <c r="J151">
        <v>5.1000000000000004E-3</v>
      </c>
      <c r="K151">
        <v>4.7000000000000002E-3</v>
      </c>
      <c r="L151">
        <v>0.01</v>
      </c>
      <c r="M151">
        <v>8.3999999999999995E-3</v>
      </c>
      <c r="N151">
        <v>7.1999999999999998E-3</v>
      </c>
      <c r="O151">
        <v>7.7999999999999996E-3</v>
      </c>
      <c r="P151">
        <v>5.81</v>
      </c>
    </row>
    <row r="152" spans="1:16" ht="15.75" customHeight="1" x14ac:dyDescent="0.2">
      <c r="A152" s="4" t="s">
        <v>207</v>
      </c>
      <c r="B152" s="1" t="str">
        <f t="shared" si="9"/>
        <v>BRODIA</v>
      </c>
      <c r="C152" s="1" t="s">
        <v>198</v>
      </c>
      <c r="D152" s="3">
        <v>45140</v>
      </c>
      <c r="E152" s="1">
        <v>1525</v>
      </c>
      <c r="F152" s="1">
        <v>2.2000000000000001E-3</v>
      </c>
      <c r="G152" s="1">
        <v>5.1000000000000004E-3</v>
      </c>
      <c r="H152" s="1">
        <v>3.0999999999999999E-3</v>
      </c>
      <c r="I152" s="1">
        <v>1.055E-2</v>
      </c>
      <c r="J152" s="1">
        <v>7.6E-3</v>
      </c>
      <c r="K152" s="1">
        <v>4.7999999999999996E-3</v>
      </c>
      <c r="L152" s="1">
        <v>8.3000000000000001E-3</v>
      </c>
      <c r="M152" s="1">
        <v>8.0999999999999996E-3</v>
      </c>
      <c r="N152" s="1">
        <v>2.3E-3</v>
      </c>
      <c r="O152" s="1">
        <v>8.0000000000000002E-3</v>
      </c>
      <c r="P152" s="1">
        <v>15.1</v>
      </c>
    </row>
    <row r="153" spans="1:16" ht="15.75" customHeight="1" x14ac:dyDescent="0.2">
      <c r="A153" s="10" t="s">
        <v>208</v>
      </c>
      <c r="B153" s="1" t="str">
        <f t="shared" si="9"/>
        <v>BRODIA</v>
      </c>
      <c r="C153" s="1" t="s">
        <v>38</v>
      </c>
      <c r="D153" s="3">
        <v>45140</v>
      </c>
      <c r="E153" s="1">
        <v>1534</v>
      </c>
      <c r="F153" s="1">
        <v>6.4999999999999997E-3</v>
      </c>
      <c r="G153" s="1">
        <v>1.3899999999999999E-2</v>
      </c>
      <c r="H153" s="1">
        <v>7.7000000000000002E-3</v>
      </c>
      <c r="I153" s="1">
        <v>6.4999999999999997E-3</v>
      </c>
      <c r="J153" s="1">
        <v>4.7999999999999996E-3</v>
      </c>
      <c r="K153" s="1">
        <v>2.5000000000000001E-3</v>
      </c>
      <c r="L153" s="1">
        <v>9.4000000000000004E-3</v>
      </c>
      <c r="M153" s="1">
        <v>4.7000000000000002E-3</v>
      </c>
      <c r="N153" s="1">
        <v>2.3999999999999998E-3</v>
      </c>
      <c r="O153" s="1">
        <v>5.0000000000000001E-3</v>
      </c>
      <c r="P153" s="1">
        <v>8.42</v>
      </c>
    </row>
    <row r="154" spans="1:16" ht="15.75" customHeight="1" x14ac:dyDescent="0.2">
      <c r="A154" s="4" t="s">
        <v>209</v>
      </c>
      <c r="B154" s="1" t="str">
        <f t="shared" si="9"/>
        <v>BRODIA</v>
      </c>
      <c r="C154" s="1" t="s">
        <v>190</v>
      </c>
      <c r="D154" s="3">
        <v>45068</v>
      </c>
      <c r="E154" s="1">
        <v>925</v>
      </c>
      <c r="F154" s="1">
        <v>2.5899999999999999E-2</v>
      </c>
      <c r="G154" s="1">
        <v>1.6199999999999999E-2</v>
      </c>
      <c r="H154" s="1">
        <v>2.24E-2</v>
      </c>
      <c r="I154" s="1">
        <v>2.4E-2</v>
      </c>
      <c r="J154" s="1">
        <v>2.12E-2</v>
      </c>
      <c r="K154" s="1">
        <v>2.3800000000000002E-2</v>
      </c>
      <c r="L154" s="1">
        <v>2.5000000000000001E-2</v>
      </c>
      <c r="M154" s="1">
        <v>2.8899999999999999E-2</v>
      </c>
      <c r="N154" s="1">
        <v>2.1100000000000001E-2</v>
      </c>
      <c r="O154" s="1">
        <v>2.3300000000000001E-2</v>
      </c>
      <c r="P154" s="1">
        <v>6.89</v>
      </c>
    </row>
    <row r="155" spans="1:16" ht="15.75" customHeight="1" x14ac:dyDescent="0.2">
      <c r="A155" s="10" t="s">
        <v>210</v>
      </c>
      <c r="B155" s="1" t="str">
        <f t="shared" si="9"/>
        <v>BRODIA</v>
      </c>
      <c r="C155" s="1" t="s">
        <v>185</v>
      </c>
      <c r="D155" s="3">
        <v>45068</v>
      </c>
      <c r="E155" s="1">
        <v>827</v>
      </c>
      <c r="F155" s="1">
        <v>6.1999999999999998E-3</v>
      </c>
      <c r="G155" s="1">
        <v>4.1999999999999997E-3</v>
      </c>
      <c r="H155" s="1">
        <v>3.8E-3</v>
      </c>
      <c r="I155" s="1">
        <v>7.7000000000000002E-3</v>
      </c>
      <c r="J155" s="1">
        <v>3.0999999999999999E-3</v>
      </c>
      <c r="K155" s="1">
        <v>4.4000000000000003E-3</v>
      </c>
      <c r="L155" s="1">
        <v>3.8999999999999998E-3</v>
      </c>
      <c r="M155" s="1">
        <v>5.0000000000000001E-3</v>
      </c>
      <c r="N155" s="1">
        <v>4.0000000000000001E-3</v>
      </c>
      <c r="O155" s="1">
        <v>3.8E-3</v>
      </c>
      <c r="P155" s="1">
        <v>9.93</v>
      </c>
    </row>
    <row r="156" spans="1:16" ht="15.75" customHeight="1" x14ac:dyDescent="0.2">
      <c r="A156" s="4" t="s">
        <v>211</v>
      </c>
      <c r="B156" s="1" t="str">
        <f t="shared" si="9"/>
        <v>BRODIA</v>
      </c>
      <c r="C156" s="1" t="s">
        <v>42</v>
      </c>
      <c r="D156" s="3">
        <v>45140</v>
      </c>
      <c r="E156" s="1">
        <v>1077</v>
      </c>
      <c r="F156" s="1">
        <v>6.1000000000000004E-3</v>
      </c>
      <c r="G156" s="1">
        <v>6.1000000000000004E-3</v>
      </c>
      <c r="H156" s="1">
        <v>7.4000000000000003E-3</v>
      </c>
      <c r="I156" s="1">
        <v>6.4999999999999997E-3</v>
      </c>
      <c r="J156" s="1">
        <v>6.8999999999999999E-3</v>
      </c>
      <c r="K156" s="1">
        <v>4.3E-3</v>
      </c>
      <c r="L156" s="1">
        <v>7.1999999999999998E-3</v>
      </c>
      <c r="M156" s="1">
        <v>5.4000000000000003E-3</v>
      </c>
      <c r="N156" s="1">
        <v>5.1000000000000004E-3</v>
      </c>
      <c r="O156" s="1">
        <v>5.8999999999999999E-3</v>
      </c>
      <c r="P156" s="1">
        <v>10.15</v>
      </c>
    </row>
    <row r="157" spans="1:16" ht="15.75" customHeight="1" x14ac:dyDescent="0.2">
      <c r="A157" s="10" t="s">
        <v>212</v>
      </c>
      <c r="B157" s="1" t="str">
        <f t="shared" si="9"/>
        <v>BRODIA</v>
      </c>
    </row>
    <row r="158" spans="1:16" ht="15.75" customHeight="1" x14ac:dyDescent="0.2">
      <c r="A158" s="4" t="s">
        <v>213</v>
      </c>
      <c r="B158" s="1" t="str">
        <f t="shared" si="9"/>
        <v>BRODIA</v>
      </c>
      <c r="C158" s="1" t="s">
        <v>196</v>
      </c>
      <c r="D158" s="3">
        <v>45140</v>
      </c>
      <c r="E158" s="1">
        <v>638</v>
      </c>
      <c r="F158" s="1">
        <f>0.0153/2</f>
        <v>7.6499999999999997E-3</v>
      </c>
      <c r="G158" s="1">
        <f>0.0158/4</f>
        <v>3.9500000000000004E-3</v>
      </c>
      <c r="H158" s="1">
        <f>0.0151/4</f>
        <v>3.7750000000000001E-3</v>
      </c>
      <c r="I158" s="1">
        <f>0.0103/3</f>
        <v>3.4333333333333334E-3</v>
      </c>
      <c r="J158" s="1">
        <v>5.8999999999999999E-3</v>
      </c>
      <c r="K158" s="1">
        <v>8.2000000000000007E-3</v>
      </c>
      <c r="L158" s="1">
        <f>0.0278/6</f>
        <v>4.6333333333333331E-3</v>
      </c>
      <c r="M158" s="1">
        <v>6.7999999999999996E-3</v>
      </c>
      <c r="N158" s="1">
        <v>3.3E-3</v>
      </c>
      <c r="O158" s="1">
        <f>0.0278/6</f>
        <v>4.6333333333333331E-3</v>
      </c>
      <c r="P158" s="1">
        <v>3.19</v>
      </c>
    </row>
    <row r="159" spans="1:16" ht="15.75" customHeight="1" x14ac:dyDescent="0.2">
      <c r="A159" s="10" t="s">
        <v>214</v>
      </c>
      <c r="B159" s="1" t="str">
        <f t="shared" si="9"/>
        <v>BRODIA</v>
      </c>
      <c r="C159" s="1" t="s">
        <v>188</v>
      </c>
      <c r="D159" s="3">
        <v>45069</v>
      </c>
      <c r="E159" s="1">
        <v>290</v>
      </c>
      <c r="F159" s="1">
        <v>1.7399999999999999E-2</v>
      </c>
      <c r="G159" s="1">
        <v>2.2100000000000002E-2</v>
      </c>
      <c r="H159" s="1">
        <v>2.3800000000000002E-2</v>
      </c>
      <c r="I159" s="1">
        <v>2.7300000000000001E-2</v>
      </c>
      <c r="J159" s="1">
        <v>2.2800000000000001E-2</v>
      </c>
      <c r="K159" s="1">
        <v>2.01E-2</v>
      </c>
      <c r="L159" s="1">
        <v>3.0099999999999998E-2</v>
      </c>
      <c r="M159" s="1">
        <v>2.5899999999999999E-2</v>
      </c>
      <c r="N159" s="1">
        <v>1.8700000000000001E-2</v>
      </c>
      <c r="O159" s="1">
        <v>2.6499999999999999E-2</v>
      </c>
      <c r="P159" s="1">
        <v>3.18</v>
      </c>
    </row>
    <row r="160" spans="1:16" ht="15.75" customHeight="1" x14ac:dyDescent="0.2">
      <c r="A160" s="4" t="s">
        <v>215</v>
      </c>
      <c r="B160" s="1" t="str">
        <f t="shared" si="9"/>
        <v>BRODIA</v>
      </c>
      <c r="C160" s="1" t="s">
        <v>185</v>
      </c>
      <c r="D160" s="3">
        <v>45140</v>
      </c>
      <c r="E160" s="1">
        <v>372</v>
      </c>
      <c r="F160" s="1">
        <v>5.0000000000000001E-3</v>
      </c>
      <c r="G160" s="1">
        <v>4.1999999999999997E-3</v>
      </c>
      <c r="H160" s="1">
        <v>5.3E-3</v>
      </c>
      <c r="I160" s="1">
        <v>3.3999999999999998E-3</v>
      </c>
      <c r="J160" s="1">
        <v>5.8999999999999999E-3</v>
      </c>
      <c r="K160" s="1">
        <v>5.4999999999999997E-3</v>
      </c>
      <c r="L160" s="1">
        <v>7.1999999999999998E-3</v>
      </c>
      <c r="M160" s="1">
        <v>6.1999999999999998E-3</v>
      </c>
      <c r="N160" s="1">
        <v>6.7999999999999996E-3</v>
      </c>
      <c r="O160" s="1">
        <v>3.8999999999999998E-3</v>
      </c>
      <c r="P160" s="1">
        <v>2.15</v>
      </c>
    </row>
    <row r="161" spans="1:17" ht="15.75" customHeight="1" x14ac:dyDescent="0.2">
      <c r="A161" s="10" t="s">
        <v>216</v>
      </c>
      <c r="B161" s="1" t="str">
        <f t="shared" si="9"/>
        <v>BRODIA</v>
      </c>
      <c r="C161" t="s">
        <v>201</v>
      </c>
      <c r="D161" s="9">
        <v>45140</v>
      </c>
      <c r="E161">
        <v>640</v>
      </c>
      <c r="F161">
        <v>4.5999999999999999E-3</v>
      </c>
      <c r="G161">
        <v>4.0000000000000001E-3</v>
      </c>
      <c r="H161">
        <v>5.5999999999999999E-3</v>
      </c>
      <c r="I161">
        <v>9.1000000000000004E-3</v>
      </c>
      <c r="J161">
        <v>5.3E-3</v>
      </c>
      <c r="K161">
        <v>8.3000000000000001E-3</v>
      </c>
      <c r="L161">
        <v>3.3999999999999998E-3</v>
      </c>
      <c r="M161">
        <v>5.1000000000000004E-3</v>
      </c>
      <c r="N161">
        <v>4.7999999999999996E-3</v>
      </c>
      <c r="O161">
        <v>7.1999999999999998E-3</v>
      </c>
      <c r="P161">
        <v>3.02</v>
      </c>
    </row>
    <row r="162" spans="1:17" ht="15.75" customHeight="1" x14ac:dyDescent="0.2">
      <c r="A162" s="4" t="s">
        <v>217</v>
      </c>
      <c r="B162" s="1" t="str">
        <f t="shared" si="9"/>
        <v>BRODIA</v>
      </c>
      <c r="C162" t="s">
        <v>185</v>
      </c>
      <c r="D162" s="9">
        <v>45140</v>
      </c>
      <c r="E162">
        <v>901</v>
      </c>
      <c r="F162">
        <v>5.3E-3</v>
      </c>
      <c r="G162">
        <v>7.1999999999999998E-3</v>
      </c>
      <c r="H162">
        <v>4.7000000000000002E-3</v>
      </c>
      <c r="I162">
        <v>5.8999999999999999E-3</v>
      </c>
      <c r="J162">
        <v>5.8999999999999999E-3</v>
      </c>
      <c r="K162">
        <v>5.5999999999999999E-3</v>
      </c>
      <c r="L162">
        <v>5.4000000000000003E-3</v>
      </c>
      <c r="M162">
        <v>8.9999999999999993E-3</v>
      </c>
      <c r="N162">
        <v>4.7999999999999996E-3</v>
      </c>
      <c r="O162">
        <v>6.3E-3</v>
      </c>
      <c r="P162">
        <v>4.0599999999999996</v>
      </c>
    </row>
    <row r="163" spans="1:17" ht="15.75" customHeight="1" x14ac:dyDescent="0.2">
      <c r="A163" s="10" t="s">
        <v>218</v>
      </c>
      <c r="B163" s="1" t="str">
        <f t="shared" si="9"/>
        <v>BRODIA</v>
      </c>
      <c r="C163" s="1" t="s">
        <v>185</v>
      </c>
      <c r="D163" s="1" t="s">
        <v>319</v>
      </c>
      <c r="E163" s="1">
        <v>550</v>
      </c>
      <c r="F163" s="1">
        <v>4.5999999999999999E-3</v>
      </c>
      <c r="G163" s="1">
        <v>4.0000000000000001E-3</v>
      </c>
      <c r="H163" s="1">
        <v>7.4999999999999997E-3</v>
      </c>
      <c r="I163" s="1">
        <v>4.7999999999999996E-3</v>
      </c>
      <c r="J163" s="1">
        <v>4.3E-3</v>
      </c>
      <c r="K163" s="1">
        <v>7.1999999999999998E-3</v>
      </c>
      <c r="L163" s="1">
        <v>5.4000000000000003E-3</v>
      </c>
      <c r="M163" s="1">
        <v>5.7999999999999996E-3</v>
      </c>
      <c r="N163" s="1">
        <v>5.0000000000000001E-3</v>
      </c>
      <c r="O163" s="1">
        <v>7.4999999999999997E-3</v>
      </c>
      <c r="P163" s="1">
        <v>2.93</v>
      </c>
    </row>
    <row r="164" spans="1:17" ht="15.75" customHeight="1" x14ac:dyDescent="0.2">
      <c r="A164" s="4" t="s">
        <v>219</v>
      </c>
      <c r="B164" s="1" t="str">
        <f t="shared" si="9"/>
        <v>BRODIA</v>
      </c>
      <c r="C164" s="1" t="s">
        <v>38</v>
      </c>
      <c r="D164" s="3">
        <v>45088</v>
      </c>
      <c r="E164" s="1">
        <v>960</v>
      </c>
      <c r="F164" s="1">
        <v>1.6E-2</v>
      </c>
      <c r="G164" s="1">
        <v>7.0000000000000001E-3</v>
      </c>
      <c r="H164" s="1">
        <v>1.49E-2</v>
      </c>
      <c r="I164" s="1">
        <v>1.4800000000000001E-2</v>
      </c>
      <c r="J164" s="1">
        <v>7.7999999999999996E-3</v>
      </c>
      <c r="K164" s="1">
        <v>1.12E-2</v>
      </c>
      <c r="L164" s="1">
        <v>4.5999999999999999E-3</v>
      </c>
      <c r="M164" s="1">
        <v>5.5999999999999999E-3</v>
      </c>
      <c r="N164" s="1">
        <v>9.4999999999999998E-3</v>
      </c>
      <c r="O164" s="1">
        <v>5.1999999999999998E-3</v>
      </c>
      <c r="P164" s="1">
        <v>10.06</v>
      </c>
    </row>
    <row r="165" spans="1:17" ht="15.75" customHeight="1" x14ac:dyDescent="0.2">
      <c r="A165" s="10" t="s">
        <v>220</v>
      </c>
      <c r="B165" s="1" t="str">
        <f t="shared" si="9"/>
        <v>BRODIA</v>
      </c>
      <c r="C165" s="1" t="s">
        <v>190</v>
      </c>
      <c r="D165" s="3">
        <v>45140</v>
      </c>
      <c r="E165" s="1">
        <v>662</v>
      </c>
      <c r="F165" s="1">
        <v>2.1299999999999999E-2</v>
      </c>
      <c r="G165" s="1">
        <v>2.0299999999999999E-2</v>
      </c>
      <c r="H165" s="1">
        <v>1.11E-2</v>
      </c>
      <c r="I165" s="1">
        <v>1.14E-2</v>
      </c>
      <c r="J165" s="1">
        <v>7.1999999999999998E-3</v>
      </c>
      <c r="K165" s="1">
        <v>1.1900000000000001E-2</v>
      </c>
      <c r="L165" s="1">
        <v>2.06E-2</v>
      </c>
      <c r="M165" s="1">
        <v>2.2499999999999999E-2</v>
      </c>
      <c r="N165" s="1">
        <v>9.7000000000000003E-3</v>
      </c>
      <c r="O165" s="1">
        <v>8.0000000000000002E-3</v>
      </c>
      <c r="P165" s="1">
        <v>3.26</v>
      </c>
      <c r="Q165" s="1" t="s">
        <v>221</v>
      </c>
    </row>
    <row r="166" spans="1:17" ht="15.75" customHeight="1" x14ac:dyDescent="0.2">
      <c r="A166" s="4" t="s">
        <v>222</v>
      </c>
      <c r="B166" s="1" t="str">
        <f t="shared" si="9"/>
        <v>BRODIA</v>
      </c>
      <c r="C166" t="s">
        <v>196</v>
      </c>
      <c r="D166" s="9">
        <v>45160</v>
      </c>
      <c r="E166">
        <v>3383</v>
      </c>
      <c r="F166">
        <v>4.4999999999999997E-3</v>
      </c>
      <c r="G166">
        <v>4.4999999999999997E-3</v>
      </c>
      <c r="H166">
        <v>8.0999999999999996E-3</v>
      </c>
      <c r="I166">
        <v>4.7000000000000002E-3</v>
      </c>
      <c r="J166">
        <v>6.4999999999999997E-3</v>
      </c>
      <c r="K166">
        <v>3.2000000000000002E-3</v>
      </c>
      <c r="L166">
        <v>6.1000000000000004E-3</v>
      </c>
      <c r="M166">
        <v>4.8999999999999998E-3</v>
      </c>
      <c r="N166">
        <v>4.1000000000000003E-3</v>
      </c>
      <c r="O166">
        <v>3.8E-3</v>
      </c>
      <c r="P166">
        <v>23.81</v>
      </c>
    </row>
    <row r="167" spans="1:17" ht="15.75" customHeight="1" x14ac:dyDescent="0.2">
      <c r="A167" s="10" t="s">
        <v>223</v>
      </c>
      <c r="B167" s="1" t="str">
        <f t="shared" si="9"/>
        <v>BRODIA</v>
      </c>
      <c r="C167" s="1" t="s">
        <v>42</v>
      </c>
      <c r="D167" s="3">
        <v>45140</v>
      </c>
      <c r="E167" s="1">
        <v>181</v>
      </c>
      <c r="F167" s="1">
        <v>7.4999999999999997E-3</v>
      </c>
      <c r="G167" s="1">
        <v>2.5000000000000001E-3</v>
      </c>
      <c r="H167" s="1">
        <v>4.7999999999999996E-3</v>
      </c>
      <c r="I167" s="1">
        <v>2.8E-3</v>
      </c>
      <c r="J167" s="1">
        <v>7.0000000000000001E-3</v>
      </c>
      <c r="K167" s="1">
        <v>8.0999999999999996E-3</v>
      </c>
      <c r="L167" s="1">
        <v>3.3E-3</v>
      </c>
      <c r="M167" s="1">
        <v>4.0000000000000001E-3</v>
      </c>
      <c r="N167" s="1">
        <v>6.6E-3</v>
      </c>
      <c r="O167" s="1">
        <v>8.6E-3</v>
      </c>
      <c r="P167" s="1">
        <v>1.67</v>
      </c>
    </row>
    <row r="168" spans="1:17" ht="15.75" customHeight="1" x14ac:dyDescent="0.2">
      <c r="A168" s="4" t="s">
        <v>224</v>
      </c>
      <c r="B168" s="1" t="str">
        <f t="shared" si="9"/>
        <v>BRODIA</v>
      </c>
      <c r="C168" s="1" t="s">
        <v>190</v>
      </c>
      <c r="D168" s="3">
        <v>45140</v>
      </c>
      <c r="E168" s="1">
        <v>1051</v>
      </c>
      <c r="F168" s="1">
        <v>1.6299999999999999E-2</v>
      </c>
      <c r="G168" s="1">
        <v>2.1899999999999999E-2</v>
      </c>
      <c r="H168" s="1">
        <v>1.18E-2</v>
      </c>
      <c r="I168" s="1">
        <v>9.1000000000000004E-3</v>
      </c>
      <c r="J168" s="1">
        <v>9.7999999999999997E-3</v>
      </c>
      <c r="K168" s="1">
        <v>3.0200000000000001E-2</v>
      </c>
      <c r="L168" s="1">
        <v>1.66E-2</v>
      </c>
      <c r="M168" s="1">
        <v>1.55E-2</v>
      </c>
      <c r="N168" s="1">
        <v>2.4400000000000002E-2</v>
      </c>
      <c r="O168" s="1">
        <v>2.2700000000000001E-2</v>
      </c>
      <c r="P168" s="1">
        <v>4.18</v>
      </c>
    </row>
    <row r="169" spans="1:17" ht="15.75" customHeight="1" x14ac:dyDescent="0.2">
      <c r="A169" s="10" t="s">
        <v>225</v>
      </c>
      <c r="B169" s="1" t="str">
        <f t="shared" si="9"/>
        <v>BRODIA</v>
      </c>
      <c r="C169" s="1" t="s">
        <v>38</v>
      </c>
      <c r="D169" s="3">
        <v>45140</v>
      </c>
      <c r="E169" s="1">
        <v>553</v>
      </c>
      <c r="F169" s="1">
        <v>7.4999999999999997E-3</v>
      </c>
      <c r="G169" s="1">
        <v>2.5999999999999999E-3</v>
      </c>
      <c r="H169" s="1">
        <v>1.6899999999999998E-2</v>
      </c>
      <c r="I169" s="1">
        <v>5.1000000000000004E-3</v>
      </c>
      <c r="J169" s="1">
        <v>1.66E-2</v>
      </c>
      <c r="K169" s="1">
        <v>2.3E-3</v>
      </c>
      <c r="L169" s="1">
        <v>1.46E-2</v>
      </c>
      <c r="M169" s="1">
        <v>8.3999999999999995E-3</v>
      </c>
      <c r="N169" s="1">
        <v>6.4999999999999997E-3</v>
      </c>
      <c r="O169" s="1">
        <v>5.1999999999999998E-3</v>
      </c>
      <c r="P169" s="1">
        <v>3.08</v>
      </c>
    </row>
    <row r="170" spans="1:17" ht="15.75" customHeight="1" x14ac:dyDescent="0.2">
      <c r="A170" s="4" t="s">
        <v>226</v>
      </c>
      <c r="B170" s="1" t="str">
        <f t="shared" si="9"/>
        <v>BRODIA</v>
      </c>
      <c r="C170" s="1" t="s">
        <v>190</v>
      </c>
      <c r="D170" s="3">
        <v>45140</v>
      </c>
      <c r="E170" s="1">
        <v>496</v>
      </c>
      <c r="F170" s="1">
        <v>2.2599999999999999E-2</v>
      </c>
      <c r="G170" s="1">
        <v>1.1299999999999999E-2</v>
      </c>
      <c r="H170" s="1">
        <v>2.1999999999999999E-2</v>
      </c>
      <c r="I170" s="1">
        <v>1.5599999999999999E-2</v>
      </c>
      <c r="J170" s="1">
        <v>1.7999999999999999E-2</v>
      </c>
      <c r="K170" s="1">
        <v>9.9000000000000008E-3</v>
      </c>
      <c r="L170" s="1">
        <v>1.41E-3</v>
      </c>
      <c r="M170" s="1">
        <v>1.3799999999999999E-3</v>
      </c>
      <c r="N170" s="1">
        <v>1.57E-3</v>
      </c>
      <c r="O170" s="1">
        <v>6.4000000000000003E-3</v>
      </c>
      <c r="P170" s="1">
        <v>2.4500000000000002</v>
      </c>
    </row>
    <row r="171" spans="1:17" ht="15.75" customHeight="1" x14ac:dyDescent="0.2">
      <c r="A171" s="10" t="s">
        <v>227</v>
      </c>
      <c r="B171" s="1" t="str">
        <f t="shared" si="9"/>
        <v>BRODIA</v>
      </c>
      <c r="C171" s="1" t="s">
        <v>169</v>
      </c>
      <c r="D171" s="3">
        <v>45140</v>
      </c>
      <c r="E171" s="1">
        <v>747</v>
      </c>
      <c r="F171" s="1">
        <v>6.1000000000000004E-3</v>
      </c>
      <c r="G171" s="1">
        <f>0.0432/8</f>
        <v>5.4000000000000003E-3</v>
      </c>
      <c r="H171" s="1">
        <v>4.7999999999999996E-3</v>
      </c>
      <c r="I171" s="1">
        <f>0.009/4</f>
        <v>2.2499999999999998E-3</v>
      </c>
      <c r="J171" s="1">
        <v>3.3999999999999998E-3</v>
      </c>
      <c r="K171" s="1">
        <f>0.0192/3</f>
        <v>6.3999999999999994E-3</v>
      </c>
      <c r="L171" s="1">
        <v>3.0999999999999999E-3</v>
      </c>
      <c r="M171" s="1">
        <f>0.0372/7</f>
        <v>5.3142857142857141E-3</v>
      </c>
      <c r="N171" s="1">
        <v>5.4999999999999997E-3</v>
      </c>
      <c r="O171" s="1">
        <v>2E-3</v>
      </c>
      <c r="P171" s="1">
        <v>5.84</v>
      </c>
    </row>
    <row r="172" spans="1:17" ht="15.75" customHeight="1" x14ac:dyDescent="0.2">
      <c r="A172" s="4" t="s">
        <v>228</v>
      </c>
      <c r="B172" s="1" t="str">
        <f t="shared" si="9"/>
        <v>BRODIA</v>
      </c>
      <c r="C172" t="s">
        <v>42</v>
      </c>
      <c r="D172" s="9">
        <v>45140</v>
      </c>
      <c r="E172">
        <v>1030</v>
      </c>
      <c r="F172">
        <v>7.7999999999999996E-3</v>
      </c>
      <c r="G172">
        <v>6.7000000000000002E-3</v>
      </c>
      <c r="H172">
        <v>4.4999999999999997E-3</v>
      </c>
      <c r="I172">
        <v>3.5000000000000001E-3</v>
      </c>
      <c r="J172">
        <v>5.1999999999999998E-3</v>
      </c>
      <c r="K172">
        <v>5.5999999999999999E-3</v>
      </c>
      <c r="L172">
        <v>7.1000000000000004E-3</v>
      </c>
      <c r="M172">
        <v>5.1000000000000004E-3</v>
      </c>
      <c r="N172">
        <v>6.7000000000000002E-3</v>
      </c>
      <c r="O172">
        <v>7.3000000000000001E-3</v>
      </c>
      <c r="P172">
        <v>8.75</v>
      </c>
    </row>
    <row r="173" spans="1:17" ht="15.75" customHeight="1" x14ac:dyDescent="0.2">
      <c r="A173" s="10" t="s">
        <v>229</v>
      </c>
      <c r="B173" s="1" t="str">
        <f t="shared" si="9"/>
        <v>BRODIA</v>
      </c>
      <c r="C173" t="s">
        <v>188</v>
      </c>
      <c r="D173" s="9">
        <v>45140</v>
      </c>
      <c r="E173">
        <v>820</v>
      </c>
      <c r="F173">
        <v>9.1999999999999998E-3</v>
      </c>
      <c r="G173">
        <v>7.6E-3</v>
      </c>
      <c r="H173">
        <v>3.3999999999999998E-3</v>
      </c>
      <c r="I173">
        <v>1.01E-2</v>
      </c>
      <c r="J173">
        <v>6.3E-3</v>
      </c>
      <c r="K173">
        <v>7.4000000000000003E-3</v>
      </c>
      <c r="L173">
        <v>4.0000000000000001E-3</v>
      </c>
      <c r="M173">
        <v>6.0000000000000001E-3</v>
      </c>
      <c r="N173">
        <v>4.0000000000000001E-3</v>
      </c>
      <c r="O173">
        <v>5.4999999999999997E-3</v>
      </c>
      <c r="P173">
        <v>6.71</v>
      </c>
    </row>
    <row r="174" spans="1:17" ht="15.75" customHeight="1" x14ac:dyDescent="0.2">
      <c r="A174" s="10" t="s">
        <v>229</v>
      </c>
      <c r="B174" s="1" t="s">
        <v>230</v>
      </c>
      <c r="C174" t="s">
        <v>190</v>
      </c>
      <c r="D174" s="9">
        <v>45140</v>
      </c>
      <c r="E174">
        <v>1242</v>
      </c>
      <c r="F174">
        <v>2.7900000000000001E-2</v>
      </c>
      <c r="G174">
        <v>3.0700000000000002E-2</v>
      </c>
      <c r="H174">
        <v>1.52E-2</v>
      </c>
      <c r="I174">
        <v>2.1700000000000001E-2</v>
      </c>
      <c r="J174">
        <v>1.47E-2</v>
      </c>
      <c r="K174">
        <v>2.23E-2</v>
      </c>
      <c r="L174">
        <v>1.95E-2</v>
      </c>
      <c r="M174">
        <v>2.3E-2</v>
      </c>
      <c r="N174">
        <v>3.9899999999999998E-2</v>
      </c>
      <c r="O174">
        <v>2.93E-2</v>
      </c>
      <c r="P174">
        <v>6.86</v>
      </c>
    </row>
    <row r="175" spans="1:17" ht="15.75" customHeight="1" x14ac:dyDescent="0.2">
      <c r="A175" s="4" t="s">
        <v>231</v>
      </c>
      <c r="B175" s="1" t="str">
        <f t="shared" si="9"/>
        <v>BRODIA</v>
      </c>
      <c r="C175" s="1" t="s">
        <v>38</v>
      </c>
      <c r="D175" s="3">
        <v>45140</v>
      </c>
      <c r="E175" s="1">
        <v>906</v>
      </c>
      <c r="F175" s="1">
        <v>1.21E-2</v>
      </c>
      <c r="G175" s="1">
        <v>9.7000000000000003E-3</v>
      </c>
      <c r="H175" s="1">
        <v>5.7000000000000002E-3</v>
      </c>
      <c r="I175" s="1">
        <v>8.2000000000000007E-3</v>
      </c>
      <c r="J175" s="1">
        <v>4.0000000000000001E-3</v>
      </c>
      <c r="K175" s="1">
        <v>4.5999999999999999E-3</v>
      </c>
      <c r="L175" s="1">
        <v>7.4999999999999997E-3</v>
      </c>
      <c r="M175" s="1">
        <v>9.1000000000000004E-3</v>
      </c>
      <c r="N175" s="1">
        <v>8.3999999999999995E-3</v>
      </c>
      <c r="O175" s="1">
        <v>8.3000000000000001E-3</v>
      </c>
      <c r="P175" s="1">
        <v>10.81</v>
      </c>
    </row>
    <row r="176" spans="1:17" ht="15.75" customHeight="1" x14ac:dyDescent="0.2">
      <c r="A176" s="10" t="s">
        <v>232</v>
      </c>
      <c r="B176" s="1" t="str">
        <f t="shared" si="9"/>
        <v>BRODIA</v>
      </c>
      <c r="C176" t="s">
        <v>201</v>
      </c>
      <c r="D176" s="9">
        <v>45069</v>
      </c>
      <c r="E176">
        <v>768</v>
      </c>
      <c r="F176">
        <v>5.4999999999999997E-3</v>
      </c>
      <c r="G176">
        <v>3.0000000000000001E-3</v>
      </c>
      <c r="H176">
        <v>4.8999999999999998E-3</v>
      </c>
      <c r="I176">
        <v>5.1000000000000004E-3</v>
      </c>
      <c r="J176">
        <v>8.2000000000000007E-3</v>
      </c>
      <c r="K176">
        <v>3.5000000000000001E-3</v>
      </c>
      <c r="L176">
        <v>6.6E-3</v>
      </c>
      <c r="M176">
        <v>3.2000000000000002E-3</v>
      </c>
      <c r="N176">
        <v>4.4000000000000003E-3</v>
      </c>
      <c r="O176">
        <v>4.1000000000000003E-3</v>
      </c>
      <c r="P176">
        <v>7.42</v>
      </c>
    </row>
    <row r="177" spans="1:17" ht="15.75" customHeight="1" x14ac:dyDescent="0.2">
      <c r="A177" s="4" t="s">
        <v>233</v>
      </c>
      <c r="B177" s="1" t="str">
        <f t="shared" si="9"/>
        <v>BRODIA</v>
      </c>
      <c r="C177" s="1" t="s">
        <v>42</v>
      </c>
      <c r="D177" s="3">
        <v>45069</v>
      </c>
      <c r="E177" s="1">
        <v>597</v>
      </c>
      <c r="F177" s="1">
        <v>7.7999999999999996E-3</v>
      </c>
      <c r="G177" s="1">
        <v>6.4999999999999997E-3</v>
      </c>
      <c r="H177" s="1">
        <v>5.0000000000000001E-3</v>
      </c>
      <c r="I177" s="1">
        <v>6.1999999999999998E-3</v>
      </c>
      <c r="J177" s="1">
        <v>5.8999999999999999E-3</v>
      </c>
      <c r="K177" s="1">
        <v>6.1999999999999998E-3</v>
      </c>
      <c r="L177" s="1">
        <v>5.5999999999999999E-3</v>
      </c>
      <c r="M177" s="1">
        <v>6.3E-3</v>
      </c>
      <c r="N177" s="1">
        <v>5.3E-3</v>
      </c>
      <c r="O177" s="1">
        <v>4.7000000000000002E-3</v>
      </c>
      <c r="P177" s="1">
        <v>5.14</v>
      </c>
    </row>
    <row r="178" spans="1:17" ht="15.75" customHeight="1" x14ac:dyDescent="0.2">
      <c r="A178" s="10" t="s">
        <v>234</v>
      </c>
      <c r="B178" s="1" t="str">
        <f t="shared" si="9"/>
        <v>BRODIA</v>
      </c>
      <c r="C178" s="1" t="s">
        <v>38</v>
      </c>
      <c r="D178" s="3">
        <v>45088</v>
      </c>
      <c r="E178" s="1">
        <v>974</v>
      </c>
      <c r="F178" s="1">
        <v>5.1999999999999998E-3</v>
      </c>
      <c r="G178" s="1">
        <v>4.4000000000000003E-3</v>
      </c>
      <c r="H178" s="1">
        <v>5.5999999999999999E-3</v>
      </c>
      <c r="I178" s="1">
        <v>1.1599999999999999E-2</v>
      </c>
      <c r="J178" s="1">
        <v>5.7999999999999996E-3</v>
      </c>
      <c r="K178" s="1">
        <v>1.6199999999999999E-2</v>
      </c>
      <c r="L178" s="1">
        <v>5.8999999999999999E-3</v>
      </c>
      <c r="M178" s="1">
        <v>1.15E-2</v>
      </c>
      <c r="N178" s="1">
        <v>1.4200000000000001E-2</v>
      </c>
      <c r="O178" s="1">
        <v>6.4000000000000003E-3</v>
      </c>
      <c r="P178" s="1">
        <v>6.31</v>
      </c>
    </row>
    <row r="179" spans="1:17" ht="15.75" customHeight="1" x14ac:dyDescent="0.2">
      <c r="A179" s="4" t="s">
        <v>235</v>
      </c>
      <c r="B179" s="1" t="str">
        <f t="shared" si="9"/>
        <v>BRODIA</v>
      </c>
      <c r="C179" s="1" t="s">
        <v>42</v>
      </c>
      <c r="D179" s="3">
        <v>45140</v>
      </c>
      <c r="E179" s="1">
        <v>702</v>
      </c>
      <c r="F179" s="1">
        <v>4.5999999999999999E-3</v>
      </c>
      <c r="G179" s="1">
        <v>6.0000000000000001E-3</v>
      </c>
      <c r="H179" s="1">
        <v>1.38E-2</v>
      </c>
      <c r="I179" s="1">
        <v>8.6E-3</v>
      </c>
      <c r="J179" s="1">
        <v>8.3000000000000001E-3</v>
      </c>
      <c r="K179" s="1">
        <v>6.4999999999999997E-3</v>
      </c>
      <c r="L179" s="1">
        <v>9.4999999999999998E-3</v>
      </c>
      <c r="M179" s="1">
        <v>1.18E-2</v>
      </c>
      <c r="N179" s="1">
        <v>6.1999999999999998E-3</v>
      </c>
      <c r="O179" s="1">
        <v>9.7999999999999997E-3</v>
      </c>
      <c r="P179" s="1">
        <v>4.55</v>
      </c>
    </row>
    <row r="180" spans="1:17" ht="15.75" customHeight="1" x14ac:dyDescent="0.2">
      <c r="A180" s="10" t="s">
        <v>236</v>
      </c>
      <c r="B180" s="1" t="str">
        <f t="shared" si="9"/>
        <v>BRODIA</v>
      </c>
      <c r="C180" t="s">
        <v>38</v>
      </c>
      <c r="D180" s="9">
        <v>45140</v>
      </c>
      <c r="E180">
        <v>1399</v>
      </c>
      <c r="F180">
        <v>3.7000000000000002E-3</v>
      </c>
      <c r="G180">
        <v>2.8999999999999998E-3</v>
      </c>
      <c r="H180">
        <v>7.4000000000000003E-3</v>
      </c>
      <c r="I180">
        <v>1.01E-2</v>
      </c>
      <c r="J180">
        <v>4.7999999999999996E-3</v>
      </c>
      <c r="K180">
        <v>3.8999999999999998E-3</v>
      </c>
      <c r="L180">
        <v>3.2000000000000002E-3</v>
      </c>
      <c r="M180">
        <v>0.01</v>
      </c>
      <c r="N180">
        <v>1.6000000000000001E-3</v>
      </c>
      <c r="O180">
        <v>7.4000000000000003E-3</v>
      </c>
      <c r="P180">
        <v>7.95</v>
      </c>
    </row>
    <row r="181" spans="1:17" ht="15.75" customHeight="1" x14ac:dyDescent="0.2">
      <c r="A181" s="4" t="s">
        <v>237</v>
      </c>
      <c r="B181" s="1" t="str">
        <f t="shared" si="9"/>
        <v>BRODIA</v>
      </c>
      <c r="C181" s="1" t="s">
        <v>42</v>
      </c>
      <c r="D181" s="3">
        <v>45069</v>
      </c>
      <c r="E181" s="1">
        <v>172</v>
      </c>
      <c r="P181" s="1">
        <v>2.34</v>
      </c>
      <c r="Q181" s="1" t="s">
        <v>238</v>
      </c>
    </row>
    <row r="182" spans="1:17" ht="15.75" customHeight="1" x14ac:dyDescent="0.2">
      <c r="A182" s="10" t="s">
        <v>239</v>
      </c>
      <c r="B182" s="1" t="str">
        <f t="shared" si="9"/>
        <v>BRODIA</v>
      </c>
      <c r="C182" s="1" t="s">
        <v>198</v>
      </c>
      <c r="D182" s="3">
        <v>45068</v>
      </c>
      <c r="E182" s="1">
        <v>1029</v>
      </c>
      <c r="F182" s="1">
        <v>2.7000000000000001E-3</v>
      </c>
      <c r="G182" s="1">
        <v>7.7999999999999996E-3</v>
      </c>
      <c r="H182" s="1">
        <v>4.1999999999999997E-3</v>
      </c>
      <c r="I182" s="1">
        <v>3.2000000000000002E-3</v>
      </c>
      <c r="J182" s="1">
        <v>5.8999999999999999E-3</v>
      </c>
      <c r="K182" s="1">
        <v>7.1999999999999998E-3</v>
      </c>
      <c r="L182" s="1">
        <v>8.2000000000000007E-3</v>
      </c>
      <c r="M182" s="1">
        <v>3.0000000000000001E-3</v>
      </c>
      <c r="N182" s="1">
        <v>4.3800000000000002E-3</v>
      </c>
      <c r="O182" s="1">
        <v>3.0999999999999999E-3</v>
      </c>
      <c r="P182" s="1">
        <v>8.61</v>
      </c>
    </row>
    <row r="183" spans="1:17" ht="15.75" customHeight="1" x14ac:dyDescent="0.2">
      <c r="A183" s="4" t="s">
        <v>240</v>
      </c>
      <c r="B183" s="1" t="str">
        <f t="shared" si="9"/>
        <v>BRODIA</v>
      </c>
      <c r="C183" s="1" t="s">
        <v>198</v>
      </c>
      <c r="D183" s="3">
        <v>45088</v>
      </c>
      <c r="E183" s="1">
        <v>1018</v>
      </c>
      <c r="F183" s="1">
        <v>5.5999999999999999E-3</v>
      </c>
      <c r="G183" s="1">
        <v>4.7999999999999996E-3</v>
      </c>
      <c r="H183" s="1">
        <v>1.1900000000000001E-2</v>
      </c>
      <c r="I183" s="1">
        <v>9.4500000000000001E-3</v>
      </c>
      <c r="J183" s="1">
        <v>7.7999999999999996E-3</v>
      </c>
      <c r="K183" s="1">
        <v>6.4000000000000003E-3</v>
      </c>
      <c r="L183" s="1">
        <v>8.5000000000000006E-3</v>
      </c>
      <c r="M183" s="1">
        <v>1.5100000000000001E-2</v>
      </c>
      <c r="N183" s="1">
        <v>8.9999999999999993E-3</v>
      </c>
      <c r="O183" s="1">
        <v>7.7999999999999996E-3</v>
      </c>
      <c r="P183" s="1">
        <v>6.87</v>
      </c>
    </row>
    <row r="184" spans="1:17" ht="15.75" customHeight="1" x14ac:dyDescent="0.2">
      <c r="A184" s="10" t="s">
        <v>241</v>
      </c>
      <c r="B184" s="1" t="str">
        <f t="shared" si="9"/>
        <v>BRODIA</v>
      </c>
      <c r="C184" s="1" t="s">
        <v>196</v>
      </c>
      <c r="D184" s="3">
        <v>45140</v>
      </c>
      <c r="E184" s="1">
        <v>1446</v>
      </c>
      <c r="F184" s="1">
        <f>0.0306/7</f>
        <v>4.3714285714285712E-3</v>
      </c>
      <c r="G184" s="1">
        <f>0.0163/4</f>
        <v>4.0749999999999996E-3</v>
      </c>
      <c r="H184" s="1">
        <v>7.4999999999999997E-3</v>
      </c>
      <c r="I184" s="1">
        <f>0.0398/6</f>
        <v>6.633333333333334E-3</v>
      </c>
      <c r="J184" s="1">
        <v>5.1999999999999998E-3</v>
      </c>
      <c r="K184" s="1">
        <f>0.0155/2</f>
        <v>7.7499999999999999E-3</v>
      </c>
      <c r="L184" s="1">
        <f>0.0162/5</f>
        <v>3.2399999999999998E-3</v>
      </c>
      <c r="M184" s="1">
        <v>1.14E-2</v>
      </c>
      <c r="N184" s="1">
        <f>0.0277/7</f>
        <v>3.957142857142857E-3</v>
      </c>
      <c r="O184" s="1">
        <f>0.0139/2</f>
        <v>6.9499999999999996E-3</v>
      </c>
      <c r="P184" s="1">
        <v>6.39</v>
      </c>
    </row>
    <row r="185" spans="1:17" ht="15.75" customHeight="1" x14ac:dyDescent="0.2">
      <c r="A185" s="4" t="s">
        <v>242</v>
      </c>
      <c r="B185" s="1" t="str">
        <f t="shared" si="9"/>
        <v>BRODIA</v>
      </c>
      <c r="C185" s="1" t="s">
        <v>243</v>
      </c>
      <c r="D185" s="3">
        <v>45069</v>
      </c>
      <c r="E185" s="1">
        <v>575</v>
      </c>
      <c r="F185" s="1">
        <v>8.0000000000000002E-3</v>
      </c>
      <c r="G185" s="1">
        <v>1.11E-2</v>
      </c>
      <c r="H185" s="1">
        <v>1.03E-2</v>
      </c>
      <c r="I185" s="1">
        <v>9.1999999999999998E-3</v>
      </c>
      <c r="J185" s="1">
        <v>1.06E-2</v>
      </c>
      <c r="K185" s="1">
        <v>1.0800000000000001E-2</v>
      </c>
      <c r="L185" s="1">
        <v>1.01E-2</v>
      </c>
      <c r="M185" s="1">
        <v>8.8999999999999999E-3</v>
      </c>
      <c r="N185" s="1">
        <v>1.04E-2</v>
      </c>
      <c r="O185" s="1">
        <v>4.8999999999999998E-3</v>
      </c>
      <c r="P185" s="1">
        <v>6.73</v>
      </c>
    </row>
    <row r="186" spans="1:17" ht="15.75" customHeight="1" x14ac:dyDescent="0.2">
      <c r="A186" s="10" t="s">
        <v>244</v>
      </c>
      <c r="B186" s="1" t="str">
        <f t="shared" si="9"/>
        <v>BRODIA</v>
      </c>
      <c r="C186" s="1" t="s">
        <v>201</v>
      </c>
      <c r="D186" s="3">
        <v>45140</v>
      </c>
      <c r="E186" s="1">
        <v>1117</v>
      </c>
      <c r="F186" s="1">
        <v>5.8999999999999999E-3</v>
      </c>
      <c r="G186" s="1">
        <v>7.7999999999999996E-3</v>
      </c>
      <c r="H186" s="1">
        <v>6.4999999999999997E-3</v>
      </c>
      <c r="I186" s="1">
        <v>3.5999999999999999E-3</v>
      </c>
      <c r="J186" s="1">
        <v>8.0000000000000002E-3</v>
      </c>
      <c r="K186" s="1">
        <v>8.0000000000000002E-3</v>
      </c>
      <c r="L186" s="1">
        <v>4.7000000000000002E-3</v>
      </c>
      <c r="M186" s="1">
        <v>7.6E-3</v>
      </c>
      <c r="N186" s="1">
        <v>7.6E-3</v>
      </c>
      <c r="O186" s="1">
        <v>8.2000000000000007E-3</v>
      </c>
      <c r="P186" s="1">
        <v>7.11</v>
      </c>
    </row>
    <row r="187" spans="1:17" ht="15.75" customHeight="1" x14ac:dyDescent="0.2">
      <c r="A187" s="4" t="s">
        <v>245</v>
      </c>
      <c r="B187" s="1" t="str">
        <f t="shared" si="9"/>
        <v>BRODIA</v>
      </c>
      <c r="C187" s="1" t="s">
        <v>243</v>
      </c>
      <c r="D187" s="3">
        <v>45140</v>
      </c>
      <c r="E187" s="1">
        <v>1550</v>
      </c>
      <c r="F187" s="1">
        <v>6.7000000000000002E-3</v>
      </c>
      <c r="G187" s="1">
        <v>4.7999999999999996E-3</v>
      </c>
      <c r="H187" s="1">
        <v>8.6999999999999994E-3</v>
      </c>
      <c r="I187" s="1">
        <v>4.1000000000000003E-3</v>
      </c>
      <c r="J187" s="1">
        <v>6.6E-3</v>
      </c>
      <c r="K187" s="1">
        <v>6.6E-3</v>
      </c>
      <c r="L187" s="1">
        <v>7.6E-3</v>
      </c>
      <c r="M187" s="1">
        <v>5.7999999999999996E-3</v>
      </c>
      <c r="N187" s="1">
        <v>5.4999999999999997E-3</v>
      </c>
      <c r="O187" s="1">
        <v>5.7000000000000002E-3</v>
      </c>
      <c r="P187" s="1">
        <v>17.21</v>
      </c>
    </row>
    <row r="188" spans="1:17" ht="15.75" customHeight="1" x14ac:dyDescent="0.2">
      <c r="A188" s="10" t="s">
        <v>246</v>
      </c>
      <c r="B188" s="1" t="str">
        <f t="shared" si="9"/>
        <v>BRODIA</v>
      </c>
      <c r="C188" s="1" t="s">
        <v>169</v>
      </c>
      <c r="D188" s="3">
        <v>45069</v>
      </c>
      <c r="E188" s="1">
        <v>230</v>
      </c>
      <c r="F188" s="1">
        <v>5.1000000000000004E-3</v>
      </c>
      <c r="G188" s="1">
        <f>0.0181/5</f>
        <v>3.6200000000000004E-3</v>
      </c>
      <c r="H188" s="1">
        <f>0.0125/5</f>
        <v>2.5000000000000001E-3</v>
      </c>
      <c r="I188" s="1">
        <f>0.0103/2</f>
        <v>5.1500000000000001E-3</v>
      </c>
      <c r="J188" s="1">
        <f>0.0225/5</f>
        <v>4.4999999999999997E-3</v>
      </c>
      <c r="K188" s="1">
        <f>0.02/6</f>
        <v>3.3333333333333335E-3</v>
      </c>
      <c r="L188" s="1">
        <f>0.0022/2</f>
        <v>1.1000000000000001E-3</v>
      </c>
      <c r="M188" s="1">
        <f>0.0151/5</f>
        <v>3.0200000000000001E-3</v>
      </c>
      <c r="N188" s="1">
        <f>0.0112/3</f>
        <v>3.7333333333333333E-3</v>
      </c>
      <c r="O188" s="1">
        <f>0.0172/3</f>
        <v>5.7333333333333333E-3</v>
      </c>
      <c r="P188" s="1">
        <v>1.59</v>
      </c>
    </row>
    <row r="189" spans="1:17" ht="15.75" customHeight="1" x14ac:dyDescent="0.2">
      <c r="A189" s="4" t="s">
        <v>247</v>
      </c>
      <c r="B189" s="1" t="str">
        <f t="shared" si="9"/>
        <v>BRODIA</v>
      </c>
      <c r="C189" t="s">
        <v>185</v>
      </c>
      <c r="D189" s="9">
        <v>45088</v>
      </c>
      <c r="E189">
        <v>1580</v>
      </c>
      <c r="F189">
        <v>4.4999999999999997E-3</v>
      </c>
      <c r="G189">
        <v>6.4000000000000003E-3</v>
      </c>
      <c r="H189">
        <v>5.8999999999999999E-3</v>
      </c>
      <c r="I189">
        <v>3.5000000000000001E-3</v>
      </c>
      <c r="J189">
        <v>7.3000000000000001E-3</v>
      </c>
      <c r="K189">
        <v>1.0500000000000001E-2</v>
      </c>
      <c r="L189">
        <v>4.5999999999999999E-3</v>
      </c>
      <c r="M189">
        <v>4.4000000000000003E-3</v>
      </c>
      <c r="N189">
        <v>5.8999999999999999E-3</v>
      </c>
      <c r="O189">
        <v>4.8999999999999998E-3</v>
      </c>
      <c r="P189">
        <v>12.1</v>
      </c>
      <c r="Q189" t="s">
        <v>248</v>
      </c>
    </row>
    <row r="190" spans="1:17" ht="15.75" customHeight="1" x14ac:dyDescent="0.2">
      <c r="A190" s="10" t="s">
        <v>249</v>
      </c>
      <c r="B190" s="1" t="str">
        <f t="shared" si="9"/>
        <v>BRODIA</v>
      </c>
      <c r="C190" t="s">
        <v>44</v>
      </c>
      <c r="D190" s="9">
        <v>45069</v>
      </c>
      <c r="E190">
        <v>696</v>
      </c>
      <c r="F190">
        <v>6.7000000000000002E-3</v>
      </c>
      <c r="G190">
        <v>2.8E-3</v>
      </c>
      <c r="H190">
        <v>4.8999999999999998E-3</v>
      </c>
      <c r="I190">
        <v>7.7000000000000002E-3</v>
      </c>
      <c r="J190">
        <v>6.4999999999999997E-3</v>
      </c>
      <c r="K190">
        <v>7.1000000000000004E-3</v>
      </c>
      <c r="L190">
        <v>6.7000000000000002E-3</v>
      </c>
      <c r="M190">
        <v>3.0000000000000001E-3</v>
      </c>
      <c r="N190">
        <v>4.7000000000000002E-3</v>
      </c>
      <c r="O190">
        <v>7.4999999999999997E-3</v>
      </c>
      <c r="P190">
        <v>8.06</v>
      </c>
    </row>
    <row r="191" spans="1:17" ht="15.75" customHeight="1" x14ac:dyDescent="0.2">
      <c r="A191" s="4" t="s">
        <v>250</v>
      </c>
      <c r="B191" s="1" t="str">
        <f t="shared" si="9"/>
        <v>BRODIA</v>
      </c>
      <c r="C191" s="1" t="s">
        <v>185</v>
      </c>
      <c r="D191" s="3">
        <v>45140</v>
      </c>
      <c r="E191" s="1">
        <v>973</v>
      </c>
      <c r="F191" s="1">
        <v>4.1000000000000003E-3</v>
      </c>
      <c r="G191" s="1">
        <v>7.6E-3</v>
      </c>
      <c r="H191" s="1">
        <v>2E-3</v>
      </c>
      <c r="I191" s="1">
        <v>7.6E-3</v>
      </c>
      <c r="J191" s="1">
        <v>5.8999999999999999E-3</v>
      </c>
      <c r="K191" s="1">
        <v>3.2000000000000002E-3</v>
      </c>
      <c r="L191" s="1">
        <v>5.7999999999999996E-3</v>
      </c>
      <c r="M191" s="1">
        <v>6.7999999999999996E-3</v>
      </c>
      <c r="N191" s="1">
        <v>9.7999999999999997E-3</v>
      </c>
      <c r="O191" s="1">
        <v>7.1999999999999998E-3</v>
      </c>
      <c r="P191" s="1">
        <v>5.61</v>
      </c>
    </row>
    <row r="192" spans="1:17" ht="15.75" customHeight="1" x14ac:dyDescent="0.2">
      <c r="A192" s="10" t="s">
        <v>251</v>
      </c>
      <c r="B192" s="1" t="str">
        <f t="shared" si="9"/>
        <v>BRODIA</v>
      </c>
      <c r="C192" t="s">
        <v>243</v>
      </c>
      <c r="D192" s="9">
        <v>45069</v>
      </c>
      <c r="E192">
        <v>950</v>
      </c>
      <c r="F192">
        <v>5.3E-3</v>
      </c>
      <c r="G192">
        <v>4.7999999999999996E-3</v>
      </c>
      <c r="H192">
        <v>4.1999999999999997E-3</v>
      </c>
      <c r="I192">
        <v>4.5999999999999999E-3</v>
      </c>
      <c r="J192">
        <v>4.8999999999999998E-3</v>
      </c>
      <c r="K192">
        <v>4.5999999999999999E-3</v>
      </c>
      <c r="L192">
        <v>4.5999999999999999E-3</v>
      </c>
      <c r="M192">
        <v>3.3999999999999998E-3</v>
      </c>
      <c r="N192">
        <v>3.3E-3</v>
      </c>
      <c r="O192">
        <v>3.0000000000000001E-3</v>
      </c>
      <c r="P192">
        <v>8.9</v>
      </c>
    </row>
    <row r="193" spans="1:17" ht="15.75" customHeight="1" x14ac:dyDescent="0.2">
      <c r="A193" s="4" t="s">
        <v>252</v>
      </c>
      <c r="B193" s="1" t="str">
        <f t="shared" si="9"/>
        <v>BRODIA</v>
      </c>
      <c r="C193" s="1" t="s">
        <v>38</v>
      </c>
      <c r="D193" s="3">
        <v>45069</v>
      </c>
      <c r="E193" s="1">
        <v>355</v>
      </c>
      <c r="F193" s="1">
        <v>9.7999999999999997E-3</v>
      </c>
      <c r="G193" s="1">
        <v>4.7999999999999996E-3</v>
      </c>
      <c r="H193" s="1">
        <v>7.7000000000000002E-3</v>
      </c>
      <c r="I193" s="1">
        <v>4.0000000000000001E-3</v>
      </c>
      <c r="J193" s="1">
        <v>4.5999999999999999E-3</v>
      </c>
      <c r="K193" s="1">
        <v>7.9000000000000008E-3</v>
      </c>
      <c r="L193" s="1">
        <v>5.7999999999999996E-3</v>
      </c>
      <c r="M193" s="1">
        <v>8.2000000000000007E-3</v>
      </c>
      <c r="N193" s="1">
        <v>5.4999999999999997E-3</v>
      </c>
      <c r="O193" s="1">
        <v>7.4000000000000003E-3</v>
      </c>
      <c r="P193" s="1">
        <v>5.1100000000000003</v>
      </c>
    </row>
    <row r="194" spans="1:17" ht="15.75" customHeight="1" x14ac:dyDescent="0.2">
      <c r="A194" s="10" t="s">
        <v>253</v>
      </c>
      <c r="B194" s="1" t="str">
        <f t="shared" si="9"/>
        <v>BRODIA</v>
      </c>
      <c r="C194" t="s">
        <v>243</v>
      </c>
      <c r="D194" s="9">
        <v>45069</v>
      </c>
      <c r="E194">
        <v>1339</v>
      </c>
      <c r="F194">
        <v>8.6E-3</v>
      </c>
      <c r="G194">
        <v>7.4999999999999997E-3</v>
      </c>
      <c r="H194">
        <v>7.6E-3</v>
      </c>
      <c r="I194">
        <v>7.4000000000000003E-3</v>
      </c>
      <c r="J194">
        <v>8.5000000000000006E-3</v>
      </c>
      <c r="K194">
        <v>7.4999999999999997E-3</v>
      </c>
      <c r="L194">
        <v>6.8999999999999999E-3</v>
      </c>
      <c r="M194">
        <v>6.4999999999999997E-3</v>
      </c>
      <c r="N194">
        <v>8.5000000000000006E-3</v>
      </c>
      <c r="O194">
        <v>7.7999999999999996E-3</v>
      </c>
      <c r="P194">
        <v>15.9</v>
      </c>
    </row>
    <row r="195" spans="1:17" ht="15.75" customHeight="1" x14ac:dyDescent="0.2">
      <c r="A195" s="4" t="s">
        <v>254</v>
      </c>
      <c r="B195" s="1" t="str">
        <f t="shared" si="9"/>
        <v>BRODIA</v>
      </c>
      <c r="C195" s="1" t="s">
        <v>201</v>
      </c>
      <c r="D195" s="3">
        <v>45069</v>
      </c>
      <c r="E195" s="1">
        <v>308</v>
      </c>
      <c r="F195" s="1">
        <v>2.8999999999999998E-3</v>
      </c>
      <c r="G195" s="1">
        <v>3.5999999999999999E-3</v>
      </c>
      <c r="H195" s="1">
        <v>3.8E-3</v>
      </c>
      <c r="I195" s="1">
        <v>5.5999999999999999E-3</v>
      </c>
      <c r="J195" s="1">
        <v>4.5999999999999999E-3</v>
      </c>
      <c r="K195" s="1">
        <v>3.0999999999999999E-3</v>
      </c>
      <c r="L195" s="1">
        <v>3.5999999999999999E-3</v>
      </c>
      <c r="M195" s="1">
        <v>3.5999999999999999E-3</v>
      </c>
      <c r="N195" s="1">
        <v>4.1000000000000003E-3</v>
      </c>
      <c r="O195" s="1">
        <v>4.7000000000000002E-3</v>
      </c>
      <c r="P195" s="1">
        <v>3.52</v>
      </c>
    </row>
    <row r="196" spans="1:17" ht="15.75" customHeight="1" x14ac:dyDescent="0.2">
      <c r="A196" s="10" t="s">
        <v>255</v>
      </c>
      <c r="B196" s="1" t="str">
        <f t="shared" si="9"/>
        <v>BRODIA</v>
      </c>
      <c r="C196" s="1" t="s">
        <v>42</v>
      </c>
      <c r="D196" s="3">
        <v>45140</v>
      </c>
      <c r="E196" s="1">
        <v>1143</v>
      </c>
      <c r="F196" s="1">
        <v>5.8999999999999999E-3</v>
      </c>
      <c r="G196" s="1">
        <v>6.7000000000000002E-3</v>
      </c>
      <c r="H196" s="1">
        <v>6.7999999999999996E-3</v>
      </c>
      <c r="I196" s="1">
        <v>6.4999999999999997E-3</v>
      </c>
      <c r="J196" s="1">
        <v>4.5999999999999999E-3</v>
      </c>
      <c r="K196" s="1">
        <v>1.2800000000000001E-2</v>
      </c>
      <c r="L196" s="1">
        <v>3.5000000000000001E-3</v>
      </c>
      <c r="M196" s="1">
        <v>5.8999999999999999E-3</v>
      </c>
      <c r="N196" s="1">
        <v>5.0000000000000001E-3</v>
      </c>
      <c r="O196" s="1">
        <v>4.7999999999999996E-3</v>
      </c>
      <c r="P196" s="1">
        <v>5.6</v>
      </c>
    </row>
    <row r="197" spans="1:17" ht="15.75" customHeight="1" x14ac:dyDescent="0.2">
      <c r="A197" s="4" t="s">
        <v>256</v>
      </c>
      <c r="B197" s="1" t="str">
        <f t="shared" si="9"/>
        <v>BRODIA</v>
      </c>
    </row>
    <row r="198" spans="1:17" ht="15.75" customHeight="1" x14ac:dyDescent="0.2">
      <c r="A198" s="10" t="s">
        <v>257</v>
      </c>
      <c r="B198" s="1" t="str">
        <f t="shared" si="9"/>
        <v>BRODIA</v>
      </c>
      <c r="C198" s="1" t="s">
        <v>258</v>
      </c>
      <c r="D198" s="3">
        <v>45088</v>
      </c>
      <c r="E198" s="1">
        <v>1166</v>
      </c>
      <c r="F198" s="1">
        <f>0.0104/4</f>
        <v>2.5999999999999999E-3</v>
      </c>
      <c r="G198" s="1">
        <v>5.1999999999999998E-3</v>
      </c>
      <c r="H198" s="1">
        <f>0.0212/2</f>
        <v>1.06E-2</v>
      </c>
      <c r="I198" s="1">
        <f>0.0093/3</f>
        <v>3.0999999999999999E-3</v>
      </c>
      <c r="J198" s="1">
        <f>0.0252/5</f>
        <v>5.0400000000000002E-3</v>
      </c>
      <c r="K198" s="1">
        <f>0.0223/2</f>
        <v>1.115E-2</v>
      </c>
      <c r="L198" s="1">
        <f>0.0133/4</f>
        <v>3.3249999999999998E-3</v>
      </c>
      <c r="M198" s="1">
        <v>1.37E-2</v>
      </c>
      <c r="N198" s="1">
        <f>0.0278/6</f>
        <v>4.6333333333333331E-3</v>
      </c>
      <c r="O198" s="1">
        <v>8.0000000000000002E-3</v>
      </c>
      <c r="P198" s="1">
        <v>9.43</v>
      </c>
    </row>
    <row r="199" spans="1:17" ht="15.75" customHeight="1" x14ac:dyDescent="0.2">
      <c r="A199" s="4" t="s">
        <v>259</v>
      </c>
      <c r="B199" s="1" t="str">
        <f t="shared" si="9"/>
        <v>BRODIA</v>
      </c>
      <c r="C199" t="s">
        <v>260</v>
      </c>
      <c r="D199" s="9">
        <v>45141</v>
      </c>
      <c r="E199">
        <v>2130</v>
      </c>
      <c r="F199">
        <v>2.8400000000000002E-2</v>
      </c>
      <c r="G199">
        <v>3.7699999999999997E-2</v>
      </c>
      <c r="H199">
        <v>1.9E-2</v>
      </c>
      <c r="I199">
        <v>3.8199999999999998E-2</v>
      </c>
      <c r="J199">
        <v>2.2499999999999999E-2</v>
      </c>
      <c r="K199">
        <v>2.35E-2</v>
      </c>
      <c r="L199">
        <v>2.0299999999999999E-2</v>
      </c>
      <c r="M199">
        <v>2.5700000000000001E-2</v>
      </c>
      <c r="N199">
        <v>2.23E-2</v>
      </c>
      <c r="O199">
        <v>3.2500000000000001E-2</v>
      </c>
      <c r="P199">
        <v>9.67</v>
      </c>
    </row>
    <row r="200" spans="1:17" ht="15.75" customHeight="1" x14ac:dyDescent="0.2">
      <c r="A200" s="10" t="s">
        <v>261</v>
      </c>
      <c r="B200" s="1" t="str">
        <f t="shared" si="9"/>
        <v>BRODIA</v>
      </c>
      <c r="C200" s="1" t="s">
        <v>42</v>
      </c>
      <c r="D200" s="1" t="s">
        <v>319</v>
      </c>
      <c r="E200" s="1" t="s">
        <v>319</v>
      </c>
      <c r="F200" s="1" t="s">
        <v>319</v>
      </c>
      <c r="G200" s="1" t="s">
        <v>319</v>
      </c>
      <c r="H200" s="1" t="s">
        <v>319</v>
      </c>
      <c r="I200" s="1" t="s">
        <v>319</v>
      </c>
      <c r="J200" s="1" t="s">
        <v>319</v>
      </c>
      <c r="K200" s="1" t="s">
        <v>319</v>
      </c>
      <c r="L200" s="1" t="s">
        <v>319</v>
      </c>
      <c r="M200" s="1" t="s">
        <v>319</v>
      </c>
      <c r="N200" s="1" t="s">
        <v>319</v>
      </c>
      <c r="O200" s="1" t="s">
        <v>319</v>
      </c>
      <c r="P200" s="1" t="s">
        <v>319</v>
      </c>
      <c r="Q200" s="1" t="s">
        <v>262</v>
      </c>
    </row>
    <row r="201" spans="1:17" ht="15.75" customHeight="1" x14ac:dyDescent="0.2">
      <c r="A201" s="4" t="s">
        <v>263</v>
      </c>
      <c r="B201" s="1" t="str">
        <f t="shared" si="9"/>
        <v>BRODIA</v>
      </c>
      <c r="C201" s="1" t="s">
        <v>38</v>
      </c>
      <c r="D201" s="3">
        <v>45069</v>
      </c>
      <c r="E201" s="1">
        <v>2540</v>
      </c>
      <c r="F201" s="1">
        <v>2.6700000000000002E-2</v>
      </c>
      <c r="G201" s="1">
        <v>2.64E-2</v>
      </c>
      <c r="H201" s="1">
        <v>1.67E-2</v>
      </c>
      <c r="I201" s="1">
        <v>2.0400000000000001E-2</v>
      </c>
      <c r="J201" s="1">
        <v>2.76E-2</v>
      </c>
      <c r="K201" s="1">
        <v>2.1399999999999999E-2</v>
      </c>
      <c r="L201" s="1">
        <v>3.8600000000000002E-2</v>
      </c>
      <c r="M201" s="1">
        <v>2.3099999999999999E-2</v>
      </c>
      <c r="N201" s="1">
        <v>1.4200000000000001E-2</v>
      </c>
      <c r="O201" s="1">
        <v>9.1000000000000004E-3</v>
      </c>
      <c r="P201" s="1">
        <v>26.98</v>
      </c>
    </row>
    <row r="202" spans="1:17" ht="15.75" customHeight="1" x14ac:dyDescent="0.2">
      <c r="A202" s="10" t="s">
        <v>264</v>
      </c>
      <c r="B202" s="1" t="str">
        <f t="shared" si="9"/>
        <v>BRODIA</v>
      </c>
      <c r="C202" s="1" t="s">
        <v>42</v>
      </c>
      <c r="D202" s="3">
        <v>45141</v>
      </c>
      <c r="E202" s="1">
        <v>1244</v>
      </c>
      <c r="F202" s="1">
        <v>5.4999999999999997E-3</v>
      </c>
      <c r="G202" s="1">
        <v>5.3E-3</v>
      </c>
      <c r="H202" s="1">
        <v>4.8999999999999998E-3</v>
      </c>
      <c r="I202" s="1">
        <v>5.4000000000000003E-3</v>
      </c>
      <c r="J202" s="1">
        <v>7.0000000000000001E-3</v>
      </c>
      <c r="K202" s="1">
        <v>5.7999999999999996E-3</v>
      </c>
      <c r="L202" s="1">
        <v>8.2000000000000007E-3</v>
      </c>
      <c r="M202" s="1">
        <v>4.3E-3</v>
      </c>
      <c r="N202" s="1">
        <v>5.7000000000000002E-3</v>
      </c>
      <c r="O202" s="1">
        <v>6.7000000000000002E-3</v>
      </c>
      <c r="P202" s="1">
        <v>6.29</v>
      </c>
    </row>
    <row r="203" spans="1:17" ht="15.75" customHeight="1" x14ac:dyDescent="0.2">
      <c r="A203" s="4" t="s">
        <v>265</v>
      </c>
      <c r="B203" s="1" t="str">
        <f t="shared" si="9"/>
        <v>BRODIA</v>
      </c>
      <c r="C203" s="1" t="s">
        <v>42</v>
      </c>
      <c r="D203" s="3">
        <v>45069</v>
      </c>
      <c r="E203" s="1">
        <v>1075</v>
      </c>
      <c r="P203" s="1">
        <v>8.49</v>
      </c>
      <c r="Q203" s="1" t="s">
        <v>238</v>
      </c>
    </row>
    <row r="204" spans="1:17" ht="15.75" customHeight="1" x14ac:dyDescent="0.2">
      <c r="A204" s="10" t="s">
        <v>266</v>
      </c>
      <c r="B204" s="1" t="str">
        <f t="shared" si="9"/>
        <v>BRODIA</v>
      </c>
      <c r="C204" s="1" t="s">
        <v>190</v>
      </c>
      <c r="D204" s="3">
        <v>45088</v>
      </c>
      <c r="E204" s="1">
        <v>2276</v>
      </c>
      <c r="F204" s="1">
        <v>1.72E-2</v>
      </c>
      <c r="G204" s="1">
        <v>1.6500000000000001E-2</v>
      </c>
      <c r="H204" s="1">
        <v>2.0400000000000001E-2</v>
      </c>
      <c r="I204" s="1">
        <v>3.2099999999999997E-2</v>
      </c>
      <c r="J204" s="1">
        <v>1.72E-2</v>
      </c>
      <c r="K204" s="1">
        <v>1.6799999999999999E-2</v>
      </c>
      <c r="L204" s="1">
        <v>1.8200000000000001E-2</v>
      </c>
      <c r="M204" s="1">
        <v>2.6800000000000001E-2</v>
      </c>
      <c r="N204" s="1">
        <v>2.0299999999999999E-2</v>
      </c>
      <c r="O204" s="1">
        <v>1.5900000000000001E-2</v>
      </c>
      <c r="P204" s="1">
        <v>4.53</v>
      </c>
    </row>
    <row r="205" spans="1:17" ht="15.75" customHeight="1" x14ac:dyDescent="0.2">
      <c r="A205" s="4" t="s">
        <v>267</v>
      </c>
      <c r="B205" s="1" t="str">
        <f t="shared" si="9"/>
        <v>BRODIA</v>
      </c>
      <c r="C205" t="s">
        <v>198</v>
      </c>
      <c r="D205" s="9">
        <v>45141</v>
      </c>
      <c r="E205">
        <v>228</v>
      </c>
      <c r="F205">
        <v>8.3999999999999995E-3</v>
      </c>
      <c r="G205">
        <v>5.0000000000000001E-3</v>
      </c>
      <c r="H205">
        <v>4.5999999999999999E-3</v>
      </c>
      <c r="I205">
        <v>5.3E-3</v>
      </c>
      <c r="J205">
        <v>2.8E-3</v>
      </c>
      <c r="K205">
        <v>9.1999999999999998E-3</v>
      </c>
      <c r="L205">
        <v>6.6E-3</v>
      </c>
      <c r="M205">
        <v>1.0699999999999999E-2</v>
      </c>
      <c r="N205">
        <v>1.2699999999999999E-2</v>
      </c>
      <c r="O205">
        <v>1.03E-2</v>
      </c>
      <c r="P205">
        <v>3.03</v>
      </c>
    </row>
    <row r="206" spans="1:17" ht="15.75" customHeight="1" x14ac:dyDescent="0.2">
      <c r="A206" s="10" t="s">
        <v>267</v>
      </c>
      <c r="B206" s="1" t="s">
        <v>230</v>
      </c>
      <c r="C206" s="1" t="s">
        <v>38</v>
      </c>
      <c r="D206" s="3">
        <v>45141</v>
      </c>
      <c r="E206" s="1">
        <v>569</v>
      </c>
      <c r="F206" s="1">
        <v>3.3E-3</v>
      </c>
      <c r="G206" s="1">
        <v>3.5000000000000001E-3</v>
      </c>
      <c r="H206" s="1">
        <v>3.8E-3</v>
      </c>
      <c r="I206" s="1">
        <v>9.4999999999999998E-3</v>
      </c>
      <c r="J206" s="1">
        <v>2.0999999999999999E-3</v>
      </c>
      <c r="K206" s="1">
        <v>6.3E-3</v>
      </c>
      <c r="L206" s="1">
        <v>3.0999999999999999E-3</v>
      </c>
      <c r="M206" s="1">
        <v>3.5999999999999999E-3</v>
      </c>
      <c r="N206" s="1">
        <v>9.1000000000000004E-3</v>
      </c>
      <c r="O206" s="1">
        <v>6.1999999999999998E-3</v>
      </c>
      <c r="P206" s="1">
        <v>4.01</v>
      </c>
      <c r="Q206" t="s">
        <v>268</v>
      </c>
    </row>
    <row r="207" spans="1:17" ht="15.75" customHeight="1" x14ac:dyDescent="0.2">
      <c r="A207" s="10" t="s">
        <v>269</v>
      </c>
      <c r="B207" s="1" t="str">
        <f t="shared" si="9"/>
        <v>BRODIA</v>
      </c>
      <c r="C207" s="1" t="s">
        <v>190</v>
      </c>
      <c r="D207" s="3">
        <v>45069</v>
      </c>
      <c r="E207" s="1">
        <v>685</v>
      </c>
      <c r="F207" s="1">
        <v>2.12E-2</v>
      </c>
      <c r="G207" s="1">
        <v>2.3099999999999999E-2</v>
      </c>
      <c r="H207" s="1">
        <v>2.2800000000000001E-2</v>
      </c>
      <c r="I207" s="1">
        <v>2.87E-2</v>
      </c>
      <c r="J207" s="1">
        <v>1.47E-2</v>
      </c>
      <c r="K207" s="1">
        <v>3.04E-2</v>
      </c>
      <c r="L207" s="1">
        <v>2.8799999999999999E-2</v>
      </c>
      <c r="M207" s="1">
        <v>2.9399999999999999E-2</v>
      </c>
      <c r="N207" s="1">
        <v>2.3699999999999999E-2</v>
      </c>
      <c r="O207" s="1">
        <v>2.0199999999999999E-2</v>
      </c>
      <c r="Q207" s="1" t="s">
        <v>270</v>
      </c>
    </row>
    <row r="208" spans="1:17" ht="15.75" customHeight="1" x14ac:dyDescent="0.2">
      <c r="A208" s="4" t="s">
        <v>271</v>
      </c>
      <c r="B208" s="1" t="str">
        <f t="shared" si="9"/>
        <v>BRODIA</v>
      </c>
      <c r="C208" t="s">
        <v>272</v>
      </c>
      <c r="D208" s="9">
        <v>45063</v>
      </c>
      <c r="E208">
        <v>441</v>
      </c>
      <c r="F208">
        <v>8.3000000000000001E-3</v>
      </c>
      <c r="G208">
        <v>6.1999999999999998E-3</v>
      </c>
      <c r="H208">
        <v>4.4000000000000003E-3</v>
      </c>
      <c r="I208">
        <v>4.3E-3</v>
      </c>
      <c r="J208">
        <v>4.0000000000000001E-3</v>
      </c>
      <c r="K208">
        <v>8.6999999999999994E-3</v>
      </c>
      <c r="L208">
        <v>3.7000000000000002E-3</v>
      </c>
      <c r="M208">
        <v>4.4000000000000003E-3</v>
      </c>
      <c r="N208">
        <v>5.4000000000000003E-3</v>
      </c>
      <c r="O208">
        <v>4.3E-3</v>
      </c>
      <c r="P208">
        <v>4.84</v>
      </c>
      <c r="Q208" t="s">
        <v>273</v>
      </c>
    </row>
    <row r="209" spans="1:17" ht="15.75" customHeight="1" x14ac:dyDescent="0.2">
      <c r="A209" s="10" t="s">
        <v>274</v>
      </c>
      <c r="B209" s="1" t="str">
        <f t="shared" si="9"/>
        <v>BRODIA</v>
      </c>
      <c r="C209" t="s">
        <v>188</v>
      </c>
      <c r="D209" s="9">
        <v>45141</v>
      </c>
      <c r="E209">
        <v>677</v>
      </c>
      <c r="F209">
        <v>1.0800000000000001E-2</v>
      </c>
      <c r="G209">
        <v>4.4999999999999997E-3</v>
      </c>
      <c r="H209">
        <v>1.3899999999999999E-2</v>
      </c>
      <c r="I209">
        <v>1.1299999999999999E-2</v>
      </c>
      <c r="J209">
        <v>1.01E-2</v>
      </c>
      <c r="K209">
        <v>1.0800000000000001E-2</v>
      </c>
      <c r="L209">
        <v>8.3999999999999995E-3</v>
      </c>
      <c r="M209">
        <v>1.3599999999999999E-2</v>
      </c>
      <c r="N209">
        <v>8.5000000000000006E-3</v>
      </c>
      <c r="O209">
        <v>1.01E-2</v>
      </c>
      <c r="P209">
        <v>4.08</v>
      </c>
    </row>
    <row r="210" spans="1:17" ht="15.75" customHeight="1" x14ac:dyDescent="0.2">
      <c r="A210" s="4" t="s">
        <v>275</v>
      </c>
      <c r="B210" s="1" t="str">
        <f t="shared" si="9"/>
        <v>BRODIA</v>
      </c>
      <c r="C210" t="s">
        <v>38</v>
      </c>
      <c r="D210" t="s">
        <v>319</v>
      </c>
      <c r="E210">
        <v>618</v>
      </c>
      <c r="F210">
        <v>6.7000000000000002E-3</v>
      </c>
      <c r="G210">
        <v>5.8999999999999999E-3</v>
      </c>
      <c r="H210">
        <v>4.5999999999999999E-3</v>
      </c>
      <c r="I210">
        <v>6.1999999999999998E-3</v>
      </c>
      <c r="J210">
        <v>6.1000000000000004E-3</v>
      </c>
      <c r="K210">
        <v>4.8999999999999998E-3</v>
      </c>
      <c r="L210">
        <v>7.1999999999999998E-3</v>
      </c>
      <c r="M210">
        <v>1.03E-2</v>
      </c>
      <c r="N210">
        <v>3.0999999999999999E-3</v>
      </c>
      <c r="O210">
        <v>2.5999999999999999E-3</v>
      </c>
      <c r="P210">
        <v>0.21</v>
      </c>
    </row>
    <row r="211" spans="1:17" ht="15.75" customHeight="1" x14ac:dyDescent="0.2">
      <c r="A211" s="10" t="s">
        <v>276</v>
      </c>
      <c r="B211" s="1" t="str">
        <f t="shared" si="9"/>
        <v>BRODIA</v>
      </c>
      <c r="C211" t="s">
        <v>38</v>
      </c>
      <c r="D211" s="9">
        <v>45141</v>
      </c>
      <c r="E211">
        <v>905</v>
      </c>
      <c r="F211">
        <v>7.6E-3</v>
      </c>
      <c r="G211">
        <v>8.8000000000000005E-3</v>
      </c>
      <c r="H211">
        <v>9.7000000000000003E-3</v>
      </c>
      <c r="I211">
        <v>4.3E-3</v>
      </c>
      <c r="J211">
        <v>1.0699999999999999E-2</v>
      </c>
      <c r="K211">
        <v>1.0500000000000001E-2</v>
      </c>
      <c r="L211">
        <v>1.11E-2</v>
      </c>
      <c r="M211">
        <v>5.4000000000000003E-3</v>
      </c>
      <c r="N211">
        <v>1.6000000000000001E-3</v>
      </c>
      <c r="O211">
        <v>2.3E-3</v>
      </c>
      <c r="P211">
        <v>14.98</v>
      </c>
    </row>
    <row r="212" spans="1:17" ht="15.75" customHeight="1" x14ac:dyDescent="0.2">
      <c r="A212" s="4" t="s">
        <v>277</v>
      </c>
      <c r="B212" s="1" t="str">
        <f t="shared" si="9"/>
        <v>BRODIA</v>
      </c>
      <c r="C212" s="1" t="s">
        <v>201</v>
      </c>
      <c r="D212" s="3">
        <v>45069</v>
      </c>
      <c r="E212" s="1">
        <v>319</v>
      </c>
      <c r="F212" s="1">
        <v>5.5999999999999999E-3</v>
      </c>
      <c r="G212" s="1">
        <v>9.1999999999999998E-3</v>
      </c>
      <c r="H212" s="1">
        <v>2.8E-3</v>
      </c>
      <c r="I212" s="1">
        <v>9.4999999999999998E-3</v>
      </c>
      <c r="J212" s="1">
        <v>2E-3</v>
      </c>
      <c r="K212" s="1">
        <v>1.11E-2</v>
      </c>
      <c r="L212" s="1">
        <v>1.0999999999999999E-2</v>
      </c>
      <c r="M212" s="1">
        <v>8.3999999999999995E-3</v>
      </c>
      <c r="N212" s="1">
        <v>6.4999999999999997E-3</v>
      </c>
      <c r="O212" s="1">
        <v>1.38E-2</v>
      </c>
      <c r="P212" s="1">
        <v>2.65</v>
      </c>
    </row>
    <row r="213" spans="1:17" ht="15.75" customHeight="1" x14ac:dyDescent="0.2">
      <c r="A213" s="10" t="s">
        <v>278</v>
      </c>
      <c r="B213" s="1" t="str">
        <f t="shared" si="9"/>
        <v>BRODIA</v>
      </c>
      <c r="C213" s="1" t="s">
        <v>190</v>
      </c>
      <c r="D213" s="3">
        <v>45069</v>
      </c>
      <c r="E213" s="1">
        <v>781</v>
      </c>
      <c r="F213" s="1">
        <v>2.23E-2</v>
      </c>
      <c r="G213" s="1">
        <v>2.5100000000000001E-2</v>
      </c>
      <c r="H213" s="1">
        <v>2.5399999999999999E-2</v>
      </c>
      <c r="I213" s="1">
        <v>2.9899999999999999E-2</v>
      </c>
      <c r="J213" s="1">
        <v>2.2800000000000001E-2</v>
      </c>
      <c r="K213" s="1">
        <v>2.98E-2</v>
      </c>
      <c r="L213" s="1">
        <v>3.1399999999999997E-2</v>
      </c>
      <c r="M213" s="1">
        <v>2.64E-2</v>
      </c>
      <c r="N213" s="1">
        <v>3.49E-2</v>
      </c>
      <c r="O213" s="1">
        <v>2.9100000000000001E-2</v>
      </c>
      <c r="P213" s="1">
        <v>7.21</v>
      </c>
    </row>
    <row r="214" spans="1:17" ht="15.75" customHeight="1" x14ac:dyDescent="0.2">
      <c r="A214" s="4" t="s">
        <v>279</v>
      </c>
      <c r="B214" s="1" t="str">
        <f t="shared" si="9"/>
        <v>BROHOR</v>
      </c>
      <c r="C214" t="s">
        <v>38</v>
      </c>
      <c r="D214" s="9">
        <v>45089</v>
      </c>
      <c r="E214">
        <v>971</v>
      </c>
      <c r="F214">
        <v>2.7000000000000001E-3</v>
      </c>
      <c r="G214">
        <v>1.1999999999999999E-3</v>
      </c>
      <c r="H214">
        <v>2.8999999999999998E-3</v>
      </c>
      <c r="I214">
        <v>3.0000000000000001E-3</v>
      </c>
      <c r="J214">
        <v>2.8E-3</v>
      </c>
      <c r="K214">
        <v>3.2000000000000002E-3</v>
      </c>
      <c r="L214">
        <v>3.3E-3</v>
      </c>
      <c r="M214">
        <v>3.0999999999999999E-3</v>
      </c>
      <c r="N214">
        <v>3.8E-3</v>
      </c>
      <c r="O214">
        <v>5.1000000000000004E-3</v>
      </c>
      <c r="P214">
        <v>3.59</v>
      </c>
    </row>
    <row r="215" spans="1:17" ht="15.75" customHeight="1" x14ac:dyDescent="0.2">
      <c r="A215" s="4" t="s">
        <v>280</v>
      </c>
      <c r="B215" s="1" t="str">
        <f t="shared" si="9"/>
        <v>BROHOR</v>
      </c>
      <c r="C215" t="s">
        <v>281</v>
      </c>
      <c r="D215" s="9">
        <v>45062</v>
      </c>
      <c r="E215">
        <v>496</v>
      </c>
      <c r="F215">
        <v>1E-3</v>
      </c>
      <c r="G215">
        <v>1.6999999999999999E-3</v>
      </c>
      <c r="H215">
        <v>8.9999999999999998E-4</v>
      </c>
      <c r="I215">
        <v>8.9999999999999998E-4</v>
      </c>
      <c r="J215">
        <v>1E-3</v>
      </c>
      <c r="K215">
        <v>1.4E-3</v>
      </c>
      <c r="L215">
        <v>8.9999999999999998E-4</v>
      </c>
      <c r="M215">
        <v>6.9999999999999999E-4</v>
      </c>
      <c r="N215">
        <v>8.0000000000000004E-4</v>
      </c>
      <c r="O215">
        <v>6.9999999999999999E-4</v>
      </c>
      <c r="P215">
        <v>1.66</v>
      </c>
    </row>
    <row r="216" spans="1:17" ht="15.75" customHeight="1" x14ac:dyDescent="0.2">
      <c r="A216" s="4" t="s">
        <v>282</v>
      </c>
      <c r="B216" s="1" t="str">
        <f t="shared" si="9"/>
        <v>BROHOR</v>
      </c>
      <c r="C216" t="s">
        <v>44</v>
      </c>
      <c r="D216" s="9">
        <v>45062</v>
      </c>
      <c r="E216">
        <v>226</v>
      </c>
      <c r="F216">
        <v>2E-3</v>
      </c>
      <c r="G216">
        <v>1.2999999999999999E-3</v>
      </c>
      <c r="H216">
        <v>1.6000000000000001E-3</v>
      </c>
      <c r="I216">
        <v>1.1000000000000001E-3</v>
      </c>
      <c r="J216">
        <v>1.1000000000000001E-3</v>
      </c>
      <c r="K216">
        <v>1.5E-3</v>
      </c>
      <c r="L216">
        <v>1.5E-3</v>
      </c>
      <c r="M216">
        <v>1.1999999999999999E-3</v>
      </c>
      <c r="N216">
        <v>8.9999999999999998E-4</v>
      </c>
      <c r="O216">
        <v>6.9999999999999999E-4</v>
      </c>
      <c r="P216">
        <v>0.53</v>
      </c>
    </row>
    <row r="217" spans="1:17" ht="15.75" customHeight="1" x14ac:dyDescent="0.2">
      <c r="A217" s="10" t="s">
        <v>283</v>
      </c>
      <c r="B217" s="1" t="str">
        <f t="shared" si="9"/>
        <v>BROHOR</v>
      </c>
      <c r="C217" t="s">
        <v>42</v>
      </c>
      <c r="D217" s="9">
        <v>45062</v>
      </c>
      <c r="E217">
        <v>624</v>
      </c>
      <c r="F217">
        <v>1.9E-3</v>
      </c>
      <c r="G217">
        <v>1.5E-3</v>
      </c>
      <c r="H217">
        <v>1.2999999999999999E-3</v>
      </c>
      <c r="I217">
        <v>2.0999999999999999E-3</v>
      </c>
      <c r="J217">
        <v>5.0000000000000001E-4</v>
      </c>
      <c r="K217">
        <v>1.5E-3</v>
      </c>
      <c r="L217">
        <v>2.3999999999999998E-3</v>
      </c>
      <c r="M217">
        <v>2E-3</v>
      </c>
      <c r="N217">
        <v>1.8E-3</v>
      </c>
      <c r="O217">
        <v>1.9E-3</v>
      </c>
      <c r="P217">
        <v>1.78</v>
      </c>
    </row>
    <row r="218" spans="1:17" ht="15.75" customHeight="1" x14ac:dyDescent="0.2">
      <c r="A218" s="4" t="s">
        <v>284</v>
      </c>
      <c r="B218" s="1" t="str">
        <f t="shared" si="9"/>
        <v>BROHOR</v>
      </c>
      <c r="C218" t="s">
        <v>42</v>
      </c>
      <c r="D218" s="9">
        <v>45062</v>
      </c>
      <c r="E218">
        <v>1282</v>
      </c>
      <c r="F218">
        <v>1.4E-3</v>
      </c>
      <c r="G218">
        <v>1.8E-3</v>
      </c>
      <c r="H218">
        <v>2E-3</v>
      </c>
      <c r="I218">
        <v>1.9E-3</v>
      </c>
      <c r="J218">
        <v>2E-3</v>
      </c>
      <c r="K218">
        <v>1.6000000000000001E-3</v>
      </c>
      <c r="L218">
        <v>2.0999999999999999E-3</v>
      </c>
      <c r="M218">
        <v>1.5E-3</v>
      </c>
      <c r="N218">
        <v>1.5E-3</v>
      </c>
      <c r="O218">
        <v>2.0999999999999999E-3</v>
      </c>
      <c r="P218">
        <v>2.2000000000000002</v>
      </c>
    </row>
    <row r="219" spans="1:17" ht="15.75" customHeight="1" x14ac:dyDescent="0.2">
      <c r="A219" s="10" t="s">
        <v>285</v>
      </c>
      <c r="B219" s="1" t="str">
        <f t="shared" si="9"/>
        <v>BROHOR</v>
      </c>
      <c r="C219" t="s">
        <v>44</v>
      </c>
      <c r="D219" s="9">
        <v>45062</v>
      </c>
      <c r="E219">
        <v>1057</v>
      </c>
      <c r="F219">
        <v>1.8E-3</v>
      </c>
      <c r="G219">
        <v>2.0999999999999999E-3</v>
      </c>
      <c r="H219">
        <v>2E-3</v>
      </c>
      <c r="I219">
        <v>1.5E-3</v>
      </c>
      <c r="J219">
        <v>2E-3</v>
      </c>
      <c r="K219">
        <v>1.2999999999999999E-3</v>
      </c>
      <c r="L219">
        <v>1.6999999999999999E-3</v>
      </c>
      <c r="M219">
        <v>1.9E-3</v>
      </c>
      <c r="N219">
        <v>8.0000000000000004E-4</v>
      </c>
      <c r="O219">
        <v>1.2999999999999999E-3</v>
      </c>
      <c r="P219">
        <v>2.9</v>
      </c>
    </row>
    <row r="220" spans="1:17" ht="15.75" customHeight="1" x14ac:dyDescent="0.2">
      <c r="A220" s="4" t="s">
        <v>286</v>
      </c>
      <c r="B220" s="1" t="str">
        <f t="shared" si="9"/>
        <v>BROHOR</v>
      </c>
      <c r="C220" t="s">
        <v>42</v>
      </c>
      <c r="D220" s="9">
        <v>45062</v>
      </c>
      <c r="E220">
        <v>611</v>
      </c>
      <c r="F220">
        <v>2.2000000000000001E-3</v>
      </c>
      <c r="G220">
        <v>2.3E-3</v>
      </c>
      <c r="H220">
        <v>1.9E-3</v>
      </c>
      <c r="I220">
        <v>1.8E-3</v>
      </c>
      <c r="J220">
        <v>1.5E-3</v>
      </c>
      <c r="K220">
        <v>2E-3</v>
      </c>
      <c r="L220">
        <v>2.2000000000000001E-3</v>
      </c>
      <c r="M220">
        <v>2.2000000000000001E-3</v>
      </c>
      <c r="N220">
        <v>2.3E-3</v>
      </c>
      <c r="O220">
        <v>2.3999999999999998E-3</v>
      </c>
      <c r="P220">
        <v>2.4700000000000002</v>
      </c>
    </row>
    <row r="221" spans="1:17" ht="15.75" customHeight="1" x14ac:dyDescent="0.2">
      <c r="A221" s="10" t="s">
        <v>287</v>
      </c>
      <c r="B221" s="1" t="str">
        <f t="shared" si="9"/>
        <v>BROHOR</v>
      </c>
      <c r="C221" t="s">
        <v>190</v>
      </c>
      <c r="D221" s="9">
        <v>45062</v>
      </c>
      <c r="E221">
        <v>4915</v>
      </c>
      <c r="F221">
        <v>1.2999999999999999E-3</v>
      </c>
      <c r="G221">
        <v>1.5E-3</v>
      </c>
      <c r="H221">
        <v>2.5000000000000001E-3</v>
      </c>
      <c r="I221">
        <v>2.0999999999999999E-3</v>
      </c>
      <c r="J221">
        <v>1.9E-3</v>
      </c>
      <c r="K221">
        <v>1.8E-3</v>
      </c>
      <c r="L221">
        <v>2.2000000000000001E-3</v>
      </c>
      <c r="M221">
        <v>2.7000000000000001E-3</v>
      </c>
      <c r="N221">
        <v>2.3E-3</v>
      </c>
      <c r="O221">
        <v>1.9E-3</v>
      </c>
      <c r="P221">
        <v>15.12</v>
      </c>
    </row>
    <row r="222" spans="1:17" ht="15.75" customHeight="1" x14ac:dyDescent="0.2">
      <c r="A222" s="4" t="s">
        <v>288</v>
      </c>
      <c r="B222" s="1" t="str">
        <f t="shared" si="9"/>
        <v>BROHOR</v>
      </c>
      <c r="C222" t="s">
        <v>185</v>
      </c>
      <c r="D222" s="9">
        <v>45063</v>
      </c>
      <c r="E222">
        <v>93</v>
      </c>
      <c r="F222">
        <v>1.1000000000000001E-3</v>
      </c>
      <c r="G222">
        <v>8.9999999999999998E-4</v>
      </c>
      <c r="H222">
        <v>5.9999999999999995E-4</v>
      </c>
      <c r="I222">
        <v>8.9999999999999998E-4</v>
      </c>
      <c r="J222">
        <v>1.2999999999999999E-3</v>
      </c>
      <c r="K222">
        <v>1E-3</v>
      </c>
      <c r="L222">
        <v>1.1000000000000001E-3</v>
      </c>
      <c r="M222">
        <v>8.9999999999999998E-4</v>
      </c>
      <c r="N222">
        <v>1.1999999999999999E-3</v>
      </c>
      <c r="O222">
        <v>1E-3</v>
      </c>
      <c r="P222">
        <v>0.21</v>
      </c>
    </row>
    <row r="223" spans="1:17" ht="15.75" customHeight="1" x14ac:dyDescent="0.2">
      <c r="A223" s="10" t="s">
        <v>289</v>
      </c>
      <c r="B223" s="1" t="str">
        <f t="shared" si="9"/>
        <v>BROHOR</v>
      </c>
      <c r="C223" s="1" t="s">
        <v>42</v>
      </c>
      <c r="D223" s="1" t="s">
        <v>319</v>
      </c>
      <c r="E223" s="1" t="s">
        <v>319</v>
      </c>
      <c r="F223" s="1" t="s">
        <v>319</v>
      </c>
      <c r="G223" s="1" t="s">
        <v>319</v>
      </c>
      <c r="H223" s="1" t="s">
        <v>319</v>
      </c>
      <c r="I223" s="1" t="s">
        <v>319</v>
      </c>
      <c r="J223" s="1" t="s">
        <v>319</v>
      </c>
      <c r="K223" s="1" t="s">
        <v>319</v>
      </c>
      <c r="L223" s="1" t="s">
        <v>319</v>
      </c>
      <c r="M223" s="1" t="s">
        <v>319</v>
      </c>
      <c r="N223" s="1" t="s">
        <v>319</v>
      </c>
      <c r="O223" s="1" t="s">
        <v>319</v>
      </c>
      <c r="P223" s="1" t="s">
        <v>319</v>
      </c>
      <c r="Q223" s="1" t="s">
        <v>290</v>
      </c>
    </row>
    <row r="224" spans="1:17" ht="15.75" customHeight="1" x14ac:dyDescent="0.2">
      <c r="A224" s="4" t="s">
        <v>291</v>
      </c>
      <c r="B224" s="1" t="str">
        <f t="shared" si="9"/>
        <v>BROHOR</v>
      </c>
      <c r="C224" t="s">
        <v>42</v>
      </c>
      <c r="D224" s="9">
        <v>45069</v>
      </c>
      <c r="E224">
        <v>224</v>
      </c>
      <c r="F224">
        <v>8.9999999999999998E-4</v>
      </c>
      <c r="G224">
        <v>6.9999999999999999E-4</v>
      </c>
      <c r="H224">
        <v>5.9999999999999995E-4</v>
      </c>
      <c r="I224">
        <v>1.2999999999999999E-3</v>
      </c>
      <c r="J224">
        <v>5.0000000000000001E-4</v>
      </c>
      <c r="K224">
        <v>1.5E-3</v>
      </c>
      <c r="L224">
        <v>1.2999999999999999E-3</v>
      </c>
      <c r="M224">
        <v>1.5E-3</v>
      </c>
      <c r="N224">
        <v>8.9999999999999998E-4</v>
      </c>
      <c r="O224">
        <v>1.6999999999999999E-3</v>
      </c>
      <c r="P224">
        <v>0.48</v>
      </c>
    </row>
    <row r="225" spans="1:17" ht="15.75" customHeight="1" x14ac:dyDescent="0.2">
      <c r="A225" s="10" t="s">
        <v>292</v>
      </c>
      <c r="B225" s="1" t="str">
        <f t="shared" si="9"/>
        <v>BROHOR</v>
      </c>
      <c r="C225" t="s">
        <v>42</v>
      </c>
      <c r="D225" s="9">
        <v>45063</v>
      </c>
      <c r="E225">
        <v>2646</v>
      </c>
      <c r="F225">
        <v>2.2000000000000001E-3</v>
      </c>
      <c r="G225">
        <v>2E-3</v>
      </c>
      <c r="H225">
        <v>2.0999999999999999E-3</v>
      </c>
      <c r="I225">
        <v>2.3999999999999998E-3</v>
      </c>
      <c r="J225">
        <v>1.5E-3</v>
      </c>
      <c r="K225">
        <v>2.3E-3</v>
      </c>
      <c r="L225">
        <v>2.3E-3</v>
      </c>
      <c r="M225">
        <v>1.5E-3</v>
      </c>
      <c r="N225">
        <v>1.6999999999999999E-3</v>
      </c>
      <c r="O225">
        <v>1.6000000000000001E-3</v>
      </c>
      <c r="P225">
        <v>5.73</v>
      </c>
    </row>
    <row r="226" spans="1:17" ht="15.75" customHeight="1" x14ac:dyDescent="0.2">
      <c r="A226" s="4" t="s">
        <v>293</v>
      </c>
      <c r="B226" s="1" t="str">
        <f t="shared" si="9"/>
        <v>BROHOR</v>
      </c>
      <c r="C226" t="s">
        <v>185</v>
      </c>
      <c r="D226" s="9">
        <v>45124</v>
      </c>
      <c r="E226">
        <v>394</v>
      </c>
      <c r="F226">
        <v>2.3E-3</v>
      </c>
      <c r="G226">
        <v>2.3E-3</v>
      </c>
      <c r="H226">
        <v>1.9E-3</v>
      </c>
      <c r="I226">
        <v>2.2000000000000001E-3</v>
      </c>
      <c r="J226">
        <v>2E-3</v>
      </c>
      <c r="K226">
        <v>2.0999999999999999E-3</v>
      </c>
      <c r="L226">
        <v>1.6999999999999999E-3</v>
      </c>
      <c r="M226">
        <v>1.6999999999999999E-3</v>
      </c>
      <c r="N226">
        <v>1.8E-3</v>
      </c>
      <c r="O226">
        <v>1.9E-3</v>
      </c>
      <c r="P226">
        <v>1.97</v>
      </c>
    </row>
    <row r="227" spans="1:17" ht="15.75" customHeight="1" x14ac:dyDescent="0.2">
      <c r="A227" s="4" t="s">
        <v>294</v>
      </c>
      <c r="B227" s="1" t="str">
        <f t="shared" si="9"/>
        <v>BROHOR</v>
      </c>
      <c r="C227" t="s">
        <v>196</v>
      </c>
      <c r="D227" s="9">
        <v>45063</v>
      </c>
      <c r="E227">
        <v>501</v>
      </c>
      <c r="P227">
        <v>1.82</v>
      </c>
      <c r="Q227" t="s">
        <v>295</v>
      </c>
    </row>
    <row r="228" spans="1:17" ht="15.75" customHeight="1" x14ac:dyDescent="0.2">
      <c r="A228" s="10" t="s">
        <v>296</v>
      </c>
      <c r="B228" s="1" t="str">
        <f t="shared" si="9"/>
        <v>BROHOR</v>
      </c>
      <c r="C228" t="s">
        <v>42</v>
      </c>
      <c r="D228" s="9">
        <v>45069</v>
      </c>
      <c r="E228">
        <v>178</v>
      </c>
      <c r="F228">
        <v>6.9999999999999999E-4</v>
      </c>
      <c r="G228">
        <v>2.9999999999999997E-4</v>
      </c>
      <c r="H228">
        <v>2.0000000000000001E-4</v>
      </c>
      <c r="I228">
        <v>4.0000000000000002E-4</v>
      </c>
      <c r="J228">
        <v>5.9999999999999995E-4</v>
      </c>
      <c r="K228">
        <v>4.0000000000000002E-4</v>
      </c>
      <c r="L228">
        <v>2.9999999999999997E-4</v>
      </c>
      <c r="M228">
        <v>4.0000000000000002E-4</v>
      </c>
      <c r="N228">
        <v>2.9999999999999997E-4</v>
      </c>
      <c r="O228">
        <v>5.9999999999999995E-4</v>
      </c>
      <c r="P228">
        <v>0.3</v>
      </c>
    </row>
    <row r="229" spans="1:17" ht="15.75" customHeight="1" x14ac:dyDescent="0.2">
      <c r="A229" s="4" t="s">
        <v>297</v>
      </c>
      <c r="B229" s="1" t="str">
        <f t="shared" si="9"/>
        <v>BROHOR</v>
      </c>
      <c r="C229" t="s">
        <v>198</v>
      </c>
      <c r="D229" s="9">
        <v>45063</v>
      </c>
      <c r="E229">
        <v>435</v>
      </c>
      <c r="F229">
        <v>1E-3</v>
      </c>
      <c r="G229">
        <v>8.9999999999999998E-4</v>
      </c>
      <c r="H229">
        <v>1.4E-3</v>
      </c>
      <c r="I229">
        <v>1E-3</v>
      </c>
      <c r="J229">
        <v>1.5E-3</v>
      </c>
      <c r="K229">
        <v>1.4E-3</v>
      </c>
      <c r="L229">
        <v>8.9999999999999998E-4</v>
      </c>
      <c r="M229">
        <v>1.1000000000000001E-3</v>
      </c>
      <c r="N229">
        <v>1.5E-3</v>
      </c>
      <c r="O229">
        <v>1.1000000000000001E-3</v>
      </c>
      <c r="P229">
        <v>1.36</v>
      </c>
    </row>
    <row r="230" spans="1:17" ht="15.75" customHeight="1" x14ac:dyDescent="0.2">
      <c r="A230" s="10" t="s">
        <v>298</v>
      </c>
      <c r="B230" s="1" t="str">
        <f t="shared" si="9"/>
        <v>BROHOR</v>
      </c>
      <c r="C230" t="s">
        <v>281</v>
      </c>
      <c r="D230" s="9">
        <v>45063</v>
      </c>
      <c r="E230">
        <v>510</v>
      </c>
      <c r="F230">
        <v>1E-3</v>
      </c>
      <c r="G230">
        <v>1.1000000000000001E-3</v>
      </c>
      <c r="H230">
        <v>6.9999999999999999E-4</v>
      </c>
      <c r="I230">
        <v>8.9999999999999998E-4</v>
      </c>
      <c r="J230">
        <v>8.0000000000000004E-4</v>
      </c>
      <c r="K230">
        <v>8.0000000000000004E-4</v>
      </c>
      <c r="L230">
        <v>1.1000000000000001E-3</v>
      </c>
      <c r="M230">
        <v>8.9999999999999998E-4</v>
      </c>
      <c r="N230">
        <v>1.1000000000000001E-3</v>
      </c>
      <c r="O230">
        <v>1.1000000000000001E-3</v>
      </c>
      <c r="P230">
        <v>1.86</v>
      </c>
    </row>
    <row r="231" spans="1:17" ht="15.75" customHeight="1" x14ac:dyDescent="0.2">
      <c r="A231" s="4" t="s">
        <v>299</v>
      </c>
      <c r="B231" s="1" t="str">
        <f t="shared" si="9"/>
        <v>BROHOR</v>
      </c>
      <c r="C231" t="s">
        <v>42</v>
      </c>
      <c r="D231" s="9">
        <v>45063</v>
      </c>
      <c r="E231">
        <v>1104</v>
      </c>
      <c r="F231">
        <v>1.8E-3</v>
      </c>
      <c r="G231">
        <v>1.6999999999999999E-3</v>
      </c>
      <c r="H231">
        <v>2E-3</v>
      </c>
      <c r="I231">
        <v>1.8E-3</v>
      </c>
      <c r="J231">
        <v>1.4E-3</v>
      </c>
      <c r="K231">
        <v>1.9E-3</v>
      </c>
      <c r="L231">
        <v>1.5E-3</v>
      </c>
      <c r="M231">
        <v>1.9E-3</v>
      </c>
      <c r="N231">
        <v>1.6999999999999999E-3</v>
      </c>
      <c r="O231">
        <v>1.6000000000000001E-3</v>
      </c>
      <c r="P231">
        <v>2.85</v>
      </c>
    </row>
    <row r="232" spans="1:17" ht="15.75" customHeight="1" x14ac:dyDescent="0.2">
      <c r="A232" s="10" t="s">
        <v>300</v>
      </c>
      <c r="B232" s="1" t="str">
        <f t="shared" si="9"/>
        <v>BROHOR</v>
      </c>
      <c r="C232" t="s">
        <v>42</v>
      </c>
      <c r="D232" s="9">
        <v>45069</v>
      </c>
      <c r="E232">
        <v>954</v>
      </c>
      <c r="F232">
        <v>2E-3</v>
      </c>
      <c r="G232">
        <v>1.4E-3</v>
      </c>
      <c r="H232">
        <v>1.6999999999999999E-3</v>
      </c>
      <c r="I232">
        <v>1.4E-3</v>
      </c>
      <c r="J232">
        <v>1.2999999999999999E-3</v>
      </c>
      <c r="K232">
        <v>1.4E-3</v>
      </c>
      <c r="L232">
        <v>1.5E-3</v>
      </c>
      <c r="M232">
        <v>1.6999999999999999E-3</v>
      </c>
      <c r="N232">
        <v>1.9E-3</v>
      </c>
      <c r="O232">
        <v>1.6000000000000001E-3</v>
      </c>
      <c r="P232">
        <v>3.89</v>
      </c>
    </row>
    <row r="233" spans="1:17" ht="15.75" customHeight="1" x14ac:dyDescent="0.2">
      <c r="A233" s="4" t="s">
        <v>301</v>
      </c>
      <c r="B233" s="1" t="str">
        <f t="shared" si="9"/>
        <v>BROHOR</v>
      </c>
      <c r="C233" s="9" t="s">
        <v>190</v>
      </c>
      <c r="D233" s="9">
        <v>45070</v>
      </c>
      <c r="E233">
        <v>1113</v>
      </c>
      <c r="F233">
        <v>1.4E-3</v>
      </c>
      <c r="G233">
        <v>1.4E-3</v>
      </c>
      <c r="H233">
        <v>1.2999999999999999E-3</v>
      </c>
      <c r="I233">
        <v>1.1000000000000001E-3</v>
      </c>
      <c r="J233">
        <v>1.5E-3</v>
      </c>
      <c r="K233">
        <v>1E-3</v>
      </c>
      <c r="L233">
        <v>6.9999999999999999E-4</v>
      </c>
      <c r="M233">
        <v>1E-3</v>
      </c>
      <c r="N233">
        <v>1.6000000000000001E-3</v>
      </c>
      <c r="O233">
        <v>6.9999999999999999E-4</v>
      </c>
      <c r="P233">
        <v>4.63</v>
      </c>
    </row>
    <row r="234" spans="1:17" ht="15.75" customHeight="1" x14ac:dyDescent="0.2">
      <c r="A234" s="10" t="s">
        <v>302</v>
      </c>
      <c r="B234" s="1" t="str">
        <f t="shared" si="9"/>
        <v>BROHOR</v>
      </c>
      <c r="C234" t="s">
        <v>188</v>
      </c>
      <c r="D234" s="9">
        <v>45063</v>
      </c>
      <c r="E234">
        <v>351</v>
      </c>
      <c r="F234">
        <v>8.0000000000000004E-4</v>
      </c>
      <c r="G234">
        <v>1.1999999999999999E-3</v>
      </c>
      <c r="H234">
        <v>1.5E-3</v>
      </c>
      <c r="I234">
        <v>1.1999999999999999E-3</v>
      </c>
      <c r="J234">
        <v>1.1999999999999999E-3</v>
      </c>
      <c r="K234">
        <v>1.1000000000000001E-3</v>
      </c>
      <c r="L234">
        <v>1.1999999999999999E-3</v>
      </c>
      <c r="M234">
        <v>1.5E-3</v>
      </c>
      <c r="N234">
        <v>1.1000000000000001E-3</v>
      </c>
      <c r="O234">
        <v>6.9999999999999999E-4</v>
      </c>
      <c r="P234">
        <v>1.42</v>
      </c>
    </row>
    <row r="235" spans="1:17" ht="15.75" customHeight="1" x14ac:dyDescent="0.2">
      <c r="A235" s="10" t="s">
        <v>303</v>
      </c>
      <c r="B235" s="1" t="str">
        <f t="shared" si="9"/>
        <v>BROHOR</v>
      </c>
      <c r="C235" t="s">
        <v>188</v>
      </c>
      <c r="D235" s="9">
        <v>45063</v>
      </c>
      <c r="E235">
        <v>1279</v>
      </c>
      <c r="F235">
        <v>1.4E-3</v>
      </c>
      <c r="G235">
        <v>1.4E-3</v>
      </c>
      <c r="H235">
        <v>1.2999999999999999E-3</v>
      </c>
      <c r="I235">
        <v>1.1999999999999999E-3</v>
      </c>
      <c r="J235">
        <v>1.1999999999999999E-3</v>
      </c>
      <c r="K235">
        <v>1.8E-3</v>
      </c>
      <c r="L235">
        <v>1.5E-3</v>
      </c>
      <c r="M235">
        <v>1.6000000000000001E-3</v>
      </c>
      <c r="N235">
        <v>1.4E-3</v>
      </c>
      <c r="O235">
        <v>1.2999999999999999E-3</v>
      </c>
      <c r="P235">
        <v>3.92</v>
      </c>
      <c r="Q235" t="s">
        <v>304</v>
      </c>
    </row>
    <row r="236" spans="1:17" ht="15.75" customHeight="1" x14ac:dyDescent="0.2">
      <c r="A236" s="10" t="s">
        <v>305</v>
      </c>
      <c r="B236" s="1" t="str">
        <f t="shared" si="9"/>
        <v>BROHOR</v>
      </c>
      <c r="C236" t="s">
        <v>306</v>
      </c>
      <c r="D236" s="9">
        <v>45063</v>
      </c>
      <c r="E236">
        <v>1145</v>
      </c>
      <c r="F236">
        <v>6.0000000000000001E-3</v>
      </c>
      <c r="G236">
        <v>1.2999999999999999E-3</v>
      </c>
      <c r="H236">
        <v>1.6000000000000001E-3</v>
      </c>
      <c r="I236">
        <v>8.0000000000000004E-4</v>
      </c>
      <c r="J236">
        <v>1E-3</v>
      </c>
      <c r="K236">
        <v>1.4E-3</v>
      </c>
      <c r="L236">
        <v>1.1000000000000001E-3</v>
      </c>
      <c r="M236">
        <v>8.9999999999999998E-4</v>
      </c>
      <c r="N236">
        <v>6.9999999999999999E-4</v>
      </c>
      <c r="O236">
        <v>8.9999999999999998E-4</v>
      </c>
      <c r="P236">
        <v>3.01</v>
      </c>
    </row>
    <row r="237" spans="1:17" ht="15.75" customHeight="1" x14ac:dyDescent="0.2">
      <c r="A237" s="4" t="s">
        <v>307</v>
      </c>
      <c r="B237" s="1" t="str">
        <f t="shared" si="9"/>
        <v>BROHOR</v>
      </c>
      <c r="C237" s="1" t="s">
        <v>42</v>
      </c>
      <c r="D237" s="1" t="s">
        <v>319</v>
      </c>
      <c r="E237" s="1" t="s">
        <v>319</v>
      </c>
      <c r="F237" s="1" t="s">
        <v>319</v>
      </c>
      <c r="G237" s="1" t="s">
        <v>319</v>
      </c>
      <c r="H237" s="1" t="s">
        <v>319</v>
      </c>
      <c r="I237" s="1" t="s">
        <v>319</v>
      </c>
      <c r="J237" s="1" t="s">
        <v>319</v>
      </c>
      <c r="K237" s="1" t="s">
        <v>319</v>
      </c>
      <c r="L237" s="1" t="s">
        <v>319</v>
      </c>
      <c r="M237" s="1" t="s">
        <v>319</v>
      </c>
      <c r="N237" s="1" t="s">
        <v>319</v>
      </c>
      <c r="O237" s="1" t="s">
        <v>319</v>
      </c>
      <c r="P237" s="1" t="s">
        <v>319</v>
      </c>
      <c r="Q237" s="1" t="s">
        <v>308</v>
      </c>
    </row>
    <row r="238" spans="1:17" ht="15.75" customHeight="1" x14ac:dyDescent="0.2">
      <c r="A238" s="10" t="s">
        <v>309</v>
      </c>
      <c r="B238" s="1" t="str">
        <f t="shared" si="9"/>
        <v>BROHOR</v>
      </c>
      <c r="C238" t="s">
        <v>190</v>
      </c>
      <c r="D238" s="9">
        <v>45063</v>
      </c>
      <c r="E238">
        <v>708</v>
      </c>
      <c r="F238">
        <v>8.0000000000000004E-4</v>
      </c>
      <c r="G238">
        <v>1.4E-3</v>
      </c>
      <c r="H238">
        <v>1.1000000000000001E-3</v>
      </c>
      <c r="I238">
        <v>1.1999999999999999E-3</v>
      </c>
      <c r="J238">
        <v>1.5E-3</v>
      </c>
      <c r="K238">
        <v>2E-3</v>
      </c>
      <c r="L238">
        <v>1.1000000000000001E-3</v>
      </c>
      <c r="M238">
        <v>1.1000000000000001E-3</v>
      </c>
      <c r="N238">
        <v>1.8E-3</v>
      </c>
      <c r="O238">
        <v>1.2999999999999999E-3</v>
      </c>
      <c r="P238">
        <v>1.19</v>
      </c>
    </row>
    <row r="239" spans="1:17" ht="15.75" customHeight="1" x14ac:dyDescent="0.2">
      <c r="A239" s="4" t="s">
        <v>310</v>
      </c>
      <c r="B239" s="1" t="str">
        <f t="shared" si="9"/>
        <v>BROHOR</v>
      </c>
      <c r="C239" t="s">
        <v>185</v>
      </c>
      <c r="D239" s="9">
        <v>45070</v>
      </c>
      <c r="E239">
        <v>2278</v>
      </c>
      <c r="F239">
        <v>1E-3</v>
      </c>
      <c r="G239">
        <v>1.1999999999999999E-3</v>
      </c>
      <c r="H239">
        <v>1.4E-3</v>
      </c>
      <c r="I239">
        <v>1E-3</v>
      </c>
      <c r="J239">
        <v>8.0000000000000004E-4</v>
      </c>
      <c r="K239">
        <v>6.9999999999999999E-4</v>
      </c>
      <c r="L239">
        <v>1.6000000000000001E-3</v>
      </c>
      <c r="M239">
        <v>1.2999999999999999E-3</v>
      </c>
      <c r="N239">
        <v>8.9999999999999998E-4</v>
      </c>
      <c r="O239">
        <v>8.9999999999999998E-4</v>
      </c>
      <c r="P239">
        <v>9.36</v>
      </c>
    </row>
    <row r="240" spans="1:17" ht="15.75" customHeight="1" x14ac:dyDescent="0.2">
      <c r="A240" s="4" t="s">
        <v>311</v>
      </c>
      <c r="B240" s="1" t="str">
        <f t="shared" si="9"/>
        <v>BROHOR</v>
      </c>
      <c r="C240" t="s">
        <v>312</v>
      </c>
      <c r="D240" s="9">
        <v>45070</v>
      </c>
      <c r="E240">
        <v>902</v>
      </c>
      <c r="F240">
        <v>1.6000000000000001E-3</v>
      </c>
      <c r="G240">
        <v>5.9999999999999995E-4</v>
      </c>
      <c r="H240">
        <v>1E-3</v>
      </c>
      <c r="I240">
        <v>1.2999999999999999E-3</v>
      </c>
      <c r="J240">
        <v>1.5E-3</v>
      </c>
      <c r="K240">
        <v>1.1000000000000001E-3</v>
      </c>
      <c r="L240">
        <v>1.1999999999999999E-3</v>
      </c>
      <c r="M240">
        <v>1.1999999999999999E-3</v>
      </c>
      <c r="N240">
        <v>1.4E-3</v>
      </c>
      <c r="O240">
        <v>1.1000000000000001E-3</v>
      </c>
      <c r="P240">
        <v>8.84</v>
      </c>
    </row>
    <row r="241" spans="1:17" ht="15.75" customHeight="1" x14ac:dyDescent="0.2">
      <c r="A241" s="4" t="s">
        <v>313</v>
      </c>
      <c r="B241" s="1" t="str">
        <f t="shared" si="9"/>
        <v>BROHOR</v>
      </c>
      <c r="C241" t="s">
        <v>38</v>
      </c>
      <c r="D241" s="9">
        <v>45063</v>
      </c>
      <c r="E241">
        <v>515</v>
      </c>
      <c r="F241">
        <v>1.1000000000000001E-3</v>
      </c>
      <c r="G241">
        <v>6.9999999999999999E-4</v>
      </c>
      <c r="H241">
        <v>6.9999999999999999E-4</v>
      </c>
      <c r="I241">
        <v>8.0000000000000004E-4</v>
      </c>
      <c r="J241">
        <v>5.9999999999999995E-4</v>
      </c>
      <c r="K241">
        <v>2.0999999999999999E-3</v>
      </c>
      <c r="L241">
        <v>1.1999999999999999E-3</v>
      </c>
      <c r="M241">
        <v>5.9999999999999995E-4</v>
      </c>
      <c r="N241">
        <v>8.9999999999999998E-4</v>
      </c>
      <c r="O241">
        <v>1E-3</v>
      </c>
      <c r="P241">
        <v>1.43</v>
      </c>
    </row>
    <row r="242" spans="1:17" ht="15.75" customHeight="1" x14ac:dyDescent="0.2">
      <c r="A242" s="10" t="s">
        <v>314</v>
      </c>
      <c r="B242" s="1" t="str">
        <f t="shared" si="9"/>
        <v>BROHOR</v>
      </c>
      <c r="C242" t="s">
        <v>196</v>
      </c>
      <c r="D242" s="9">
        <v>45089</v>
      </c>
      <c r="E242">
        <v>2541</v>
      </c>
      <c r="F242">
        <f>0.0043/4</f>
        <v>1.075E-3</v>
      </c>
      <c r="G242">
        <f>0.0093/8</f>
        <v>1.1624999999999999E-3</v>
      </c>
      <c r="H242">
        <v>8.0000000000000004E-4</v>
      </c>
      <c r="I242">
        <f>0.0084/8</f>
        <v>1.0499999999999999E-3</v>
      </c>
      <c r="J242">
        <f>0.0057/6</f>
        <v>9.5E-4</v>
      </c>
      <c r="K242">
        <f>0.0017/2</f>
        <v>8.4999999999999995E-4</v>
      </c>
      <c r="L242">
        <f>0.0061/6</f>
        <v>1.0166666666666668E-3</v>
      </c>
      <c r="M242">
        <f>0.0018/2</f>
        <v>8.9999999999999998E-4</v>
      </c>
      <c r="N242">
        <f>0.0017/2</f>
        <v>8.4999999999999995E-4</v>
      </c>
      <c r="O242">
        <f>0.0012/2</f>
        <v>5.9999999999999995E-4</v>
      </c>
      <c r="P242">
        <v>5.17</v>
      </c>
    </row>
    <row r="243" spans="1:17" ht="15.75" customHeight="1" x14ac:dyDescent="0.2">
      <c r="A243" s="4" t="s">
        <v>315</v>
      </c>
      <c r="B243" s="1" t="str">
        <f t="shared" si="9"/>
        <v>BROHOR</v>
      </c>
      <c r="C243" t="s">
        <v>316</v>
      </c>
      <c r="D243" s="9">
        <v>45063</v>
      </c>
      <c r="E243">
        <v>1117</v>
      </c>
      <c r="F243">
        <v>8.0000000000000004E-4</v>
      </c>
      <c r="G243">
        <v>1.1999999999999999E-3</v>
      </c>
      <c r="H243">
        <v>8.9999999999999998E-4</v>
      </c>
      <c r="I243">
        <v>0.01</v>
      </c>
      <c r="J243">
        <v>2.9999999999999997E-4</v>
      </c>
      <c r="K243">
        <v>5.9999999999999995E-4</v>
      </c>
      <c r="L243">
        <v>8.9999999999999998E-4</v>
      </c>
      <c r="M243">
        <v>1E-4</v>
      </c>
      <c r="N243">
        <v>5.0000000000000001E-4</v>
      </c>
      <c r="O243">
        <v>1E-4</v>
      </c>
      <c r="P243">
        <v>2.75</v>
      </c>
    </row>
    <row r="244" spans="1:17" ht="15.75" customHeight="1" x14ac:dyDescent="0.2">
      <c r="A244" s="10" t="s">
        <v>317</v>
      </c>
      <c r="B244" s="1" t="str">
        <f t="shared" si="9"/>
        <v>BROHOR</v>
      </c>
      <c r="C244" t="s">
        <v>42</v>
      </c>
      <c r="D244" s="9">
        <v>45063</v>
      </c>
      <c r="E244">
        <v>170</v>
      </c>
      <c r="F244">
        <v>1.9E-3</v>
      </c>
      <c r="G244">
        <v>2.2000000000000001E-3</v>
      </c>
      <c r="H244">
        <v>2.0999999999999999E-3</v>
      </c>
      <c r="I244">
        <v>1.9E-3</v>
      </c>
      <c r="J244">
        <v>1.1999999999999999E-3</v>
      </c>
      <c r="K244">
        <v>1.8E-3</v>
      </c>
      <c r="L244">
        <v>1.1999999999999999E-3</v>
      </c>
      <c r="M244">
        <v>1.1999999999999999E-3</v>
      </c>
      <c r="N244">
        <v>1.4E-3</v>
      </c>
      <c r="O244">
        <v>2E-3</v>
      </c>
      <c r="P244">
        <v>0.57999999999999996</v>
      </c>
    </row>
    <row r="245" spans="1:17" ht="15.75" customHeight="1" x14ac:dyDescent="0.2">
      <c r="A245" s="4" t="s">
        <v>318</v>
      </c>
      <c r="B245" s="1" t="str">
        <f t="shared" si="9"/>
        <v>BROHOR</v>
      </c>
      <c r="C245" t="s">
        <v>190</v>
      </c>
      <c r="D245" t="s">
        <v>319</v>
      </c>
      <c r="E245">
        <v>896</v>
      </c>
      <c r="F245" t="s">
        <v>319</v>
      </c>
      <c r="G245" t="s">
        <v>319</v>
      </c>
      <c r="H245" t="s">
        <v>319</v>
      </c>
      <c r="I245" t="s">
        <v>319</v>
      </c>
      <c r="J245" t="s">
        <v>319</v>
      </c>
      <c r="K245" t="s">
        <v>319</v>
      </c>
      <c r="L245" t="s">
        <v>319</v>
      </c>
      <c r="M245" t="s">
        <v>319</v>
      </c>
      <c r="N245" t="s">
        <v>319</v>
      </c>
      <c r="O245" t="s">
        <v>319</v>
      </c>
      <c r="P245">
        <v>3.92</v>
      </c>
      <c r="Q245" t="s">
        <v>320</v>
      </c>
    </row>
    <row r="246" spans="1:17" ht="15.75" customHeight="1" x14ac:dyDescent="0.2">
      <c r="A246" s="4" t="s">
        <v>321</v>
      </c>
      <c r="B246" s="1" t="str">
        <f t="shared" si="9"/>
        <v>BROHOR</v>
      </c>
      <c r="C246" t="s">
        <v>42</v>
      </c>
      <c r="D246" s="9">
        <v>45062</v>
      </c>
      <c r="E246">
        <v>225</v>
      </c>
      <c r="F246">
        <v>2.0999999999999999E-3</v>
      </c>
      <c r="G246">
        <v>2.0999999999999999E-3</v>
      </c>
      <c r="H246">
        <v>1.9E-3</v>
      </c>
      <c r="I246">
        <v>1E-3</v>
      </c>
      <c r="J246">
        <v>2.2000000000000001E-3</v>
      </c>
      <c r="K246">
        <v>1.5E-3</v>
      </c>
      <c r="L246">
        <v>1.5E-3</v>
      </c>
      <c r="M246">
        <v>1.8E-3</v>
      </c>
      <c r="N246">
        <v>1.8E-3</v>
      </c>
      <c r="O246">
        <v>2.0999999999999999E-3</v>
      </c>
      <c r="P246">
        <v>0.96</v>
      </c>
    </row>
    <row r="247" spans="1:17" ht="15.75" customHeight="1" x14ac:dyDescent="0.2">
      <c r="A247" s="10" t="s">
        <v>322</v>
      </c>
      <c r="B247" s="1" t="str">
        <f t="shared" si="9"/>
        <v>BROHOR</v>
      </c>
      <c r="C247" t="s">
        <v>44</v>
      </c>
      <c r="D247" s="9">
        <v>45062</v>
      </c>
      <c r="E247">
        <v>1574</v>
      </c>
      <c r="F247">
        <v>1.4E-3</v>
      </c>
      <c r="G247">
        <v>1.4E-3</v>
      </c>
      <c r="H247">
        <v>8.9999999999999998E-4</v>
      </c>
      <c r="I247">
        <v>1.2999999999999999E-3</v>
      </c>
      <c r="J247">
        <v>1.1999999999999999E-3</v>
      </c>
      <c r="K247">
        <v>5.9999999999999995E-4</v>
      </c>
      <c r="L247">
        <v>1.1000000000000001E-3</v>
      </c>
      <c r="M247">
        <v>1.1999999999999999E-3</v>
      </c>
      <c r="N247">
        <v>1.1000000000000001E-3</v>
      </c>
      <c r="O247">
        <v>1E-3</v>
      </c>
      <c r="P247">
        <v>4.21</v>
      </c>
    </row>
    <row r="248" spans="1:17" ht="15.75" customHeight="1" x14ac:dyDescent="0.2">
      <c r="A248" s="4" t="s">
        <v>323</v>
      </c>
      <c r="B248" s="1" t="str">
        <f t="shared" si="9"/>
        <v>BROHOR</v>
      </c>
      <c r="C248" t="s">
        <v>185</v>
      </c>
      <c r="D248" s="9">
        <v>45089</v>
      </c>
      <c r="E248">
        <v>333</v>
      </c>
      <c r="F248">
        <v>1.6000000000000001E-3</v>
      </c>
      <c r="G248">
        <v>1.6000000000000001E-3</v>
      </c>
      <c r="H248">
        <v>1.8E-3</v>
      </c>
      <c r="I248">
        <v>1.6000000000000001E-3</v>
      </c>
      <c r="J248">
        <v>1.5E-3</v>
      </c>
      <c r="K248">
        <v>2E-3</v>
      </c>
      <c r="L248">
        <v>1.8E-3</v>
      </c>
      <c r="M248">
        <v>2E-3</v>
      </c>
      <c r="N248">
        <v>1.8E-3</v>
      </c>
      <c r="O248">
        <v>1.6999999999999999E-3</v>
      </c>
      <c r="P248">
        <v>0.03</v>
      </c>
      <c r="Q248" t="s">
        <v>324</v>
      </c>
    </row>
    <row r="249" spans="1:17" ht="15.75" customHeight="1" x14ac:dyDescent="0.2">
      <c r="A249" s="10" t="s">
        <v>325</v>
      </c>
      <c r="B249" s="1" t="str">
        <f t="shared" si="9"/>
        <v>BROHOR</v>
      </c>
      <c r="C249" t="s">
        <v>42</v>
      </c>
      <c r="D249" s="9">
        <v>45062</v>
      </c>
      <c r="E249">
        <v>347</v>
      </c>
      <c r="F249">
        <v>1.6999999999999999E-3</v>
      </c>
      <c r="G249">
        <v>2.0999999999999999E-3</v>
      </c>
      <c r="H249">
        <v>2.2000000000000001E-3</v>
      </c>
      <c r="I249">
        <v>1.4E-3</v>
      </c>
      <c r="J249">
        <v>1.4E-3</v>
      </c>
      <c r="K249">
        <v>1.8E-3</v>
      </c>
      <c r="L249">
        <v>1.9E-3</v>
      </c>
      <c r="M249">
        <v>1.8E-3</v>
      </c>
      <c r="N249">
        <v>1.6000000000000001E-3</v>
      </c>
      <c r="O249">
        <v>1.9E-3</v>
      </c>
      <c r="P249">
        <v>0.67</v>
      </c>
    </row>
    <row r="250" spans="1:17" ht="15.75" customHeight="1" x14ac:dyDescent="0.2">
      <c r="A250" s="10" t="s">
        <v>326</v>
      </c>
      <c r="B250" s="1" t="str">
        <f t="shared" si="9"/>
        <v>BROHOR</v>
      </c>
      <c r="C250" t="s">
        <v>188</v>
      </c>
      <c r="D250" t="s">
        <v>319</v>
      </c>
      <c r="E250">
        <v>1049</v>
      </c>
      <c r="F250">
        <v>1E-3</v>
      </c>
      <c r="G250">
        <v>1.1000000000000001E-3</v>
      </c>
      <c r="H250">
        <v>1E-3</v>
      </c>
      <c r="I250">
        <v>1E-3</v>
      </c>
      <c r="J250">
        <v>2.3999999999999998E-3</v>
      </c>
      <c r="K250">
        <v>5.9999999999999995E-4</v>
      </c>
      <c r="L250">
        <v>1.2999999999999999E-3</v>
      </c>
      <c r="M250">
        <v>1.1000000000000001E-3</v>
      </c>
      <c r="N250">
        <v>1E-3</v>
      </c>
      <c r="O250">
        <v>8.0000000000000004E-4</v>
      </c>
      <c r="P250">
        <v>1.9</v>
      </c>
    </row>
    <row r="251" spans="1:17" ht="15.75" customHeight="1" x14ac:dyDescent="0.2">
      <c r="A251" s="4" t="s">
        <v>327</v>
      </c>
      <c r="B251" s="1" t="str">
        <f t="shared" si="9"/>
        <v>BROHOR</v>
      </c>
      <c r="C251" t="s">
        <v>85</v>
      </c>
      <c r="D251" s="9">
        <v>45063</v>
      </c>
      <c r="E251">
        <v>132</v>
      </c>
      <c r="F251">
        <v>5.0000000000000001E-4</v>
      </c>
      <c r="G251">
        <v>8.0000000000000004E-4</v>
      </c>
      <c r="H251">
        <v>1.2999999999999999E-3</v>
      </c>
      <c r="I251">
        <v>1.6999999999999999E-3</v>
      </c>
      <c r="J251">
        <v>1.4E-3</v>
      </c>
      <c r="K251">
        <v>5.9999999999999995E-4</v>
      </c>
      <c r="L251">
        <v>8.0000000000000004E-4</v>
      </c>
      <c r="M251">
        <v>1.1000000000000001E-3</v>
      </c>
      <c r="N251">
        <v>1.2999999999999999E-3</v>
      </c>
      <c r="O251">
        <v>8.0000000000000004E-4</v>
      </c>
      <c r="P251">
        <v>1.9</v>
      </c>
    </row>
    <row r="252" spans="1:17" ht="15.75" customHeight="1" x14ac:dyDescent="0.2">
      <c r="A252" s="10" t="s">
        <v>328</v>
      </c>
      <c r="B252" s="1" t="str">
        <f t="shared" si="9"/>
        <v>BROHOR</v>
      </c>
      <c r="C252" t="s">
        <v>190</v>
      </c>
      <c r="D252" s="9">
        <v>45063</v>
      </c>
      <c r="E252">
        <v>890</v>
      </c>
      <c r="F252">
        <v>1.1000000000000001E-3</v>
      </c>
      <c r="G252">
        <v>1.5E-3</v>
      </c>
      <c r="H252">
        <v>1.1000000000000001E-3</v>
      </c>
      <c r="I252">
        <v>1.5E-3</v>
      </c>
      <c r="J252">
        <v>2.0999999999999999E-3</v>
      </c>
      <c r="K252">
        <v>1.5E-3</v>
      </c>
      <c r="L252">
        <v>2E-3</v>
      </c>
      <c r="M252">
        <v>1.5E-3</v>
      </c>
      <c r="N252">
        <v>1.5E-3</v>
      </c>
      <c r="O252">
        <v>1.9E-3</v>
      </c>
      <c r="P252">
        <v>2.4500000000000002</v>
      </c>
    </row>
    <row r="253" spans="1:17" ht="15.75" customHeight="1" x14ac:dyDescent="0.2">
      <c r="A253" s="4" t="s">
        <v>329</v>
      </c>
      <c r="B253" s="1" t="str">
        <f t="shared" si="9"/>
        <v>BROHOR</v>
      </c>
      <c r="C253" t="s">
        <v>85</v>
      </c>
      <c r="D253" s="9">
        <v>45063</v>
      </c>
      <c r="E253">
        <v>784</v>
      </c>
      <c r="F253">
        <v>1.9E-3</v>
      </c>
      <c r="G253">
        <v>1.9E-3</v>
      </c>
      <c r="H253">
        <v>1.9E-3</v>
      </c>
      <c r="I253">
        <v>1.5E-3</v>
      </c>
      <c r="J253">
        <v>5.9999999999999995E-4</v>
      </c>
      <c r="K253">
        <v>2.5000000000000001E-3</v>
      </c>
      <c r="L253">
        <v>1.6000000000000001E-3</v>
      </c>
      <c r="M253">
        <v>1.6999999999999999E-3</v>
      </c>
      <c r="N253">
        <v>2.5000000000000001E-3</v>
      </c>
      <c r="O253">
        <v>3.3E-3</v>
      </c>
      <c r="P253">
        <v>1.3</v>
      </c>
    </row>
    <row r="254" spans="1:17" ht="15.75" customHeight="1" x14ac:dyDescent="0.2">
      <c r="A254" s="4" t="s">
        <v>330</v>
      </c>
      <c r="B254" s="1" t="str">
        <f t="shared" si="9"/>
        <v>BROHOR</v>
      </c>
      <c r="D254" s="9">
        <v>45063</v>
      </c>
      <c r="E254">
        <v>596</v>
      </c>
      <c r="F254">
        <v>1.1999999999999999E-3</v>
      </c>
      <c r="G254">
        <v>8.9999999999999998E-4</v>
      </c>
      <c r="H254">
        <v>8.9999999999999998E-4</v>
      </c>
      <c r="I254">
        <v>8.0000000000000004E-4</v>
      </c>
      <c r="J254">
        <v>8.9999999999999998E-4</v>
      </c>
      <c r="K254">
        <v>1.1000000000000001E-3</v>
      </c>
      <c r="L254">
        <v>1.1000000000000001E-3</v>
      </c>
      <c r="M254">
        <v>1E-3</v>
      </c>
      <c r="N254">
        <v>4.0000000000000002E-4</v>
      </c>
      <c r="O254">
        <v>2.0000000000000001E-4</v>
      </c>
      <c r="P254">
        <v>1.77</v>
      </c>
    </row>
    <row r="255" spans="1:17" ht="15.75" customHeight="1" x14ac:dyDescent="0.2">
      <c r="A255" s="10" t="s">
        <v>331</v>
      </c>
      <c r="B255" s="1" t="str">
        <f t="shared" si="9"/>
        <v>BROHOR</v>
      </c>
      <c r="C255" t="s">
        <v>44</v>
      </c>
      <c r="D255" s="9">
        <v>45070</v>
      </c>
      <c r="E255">
        <v>866</v>
      </c>
      <c r="F255">
        <v>1.1999999999999999E-3</v>
      </c>
      <c r="G255">
        <v>1E-3</v>
      </c>
      <c r="H255">
        <v>1.1999999999999999E-3</v>
      </c>
      <c r="I255">
        <v>1.4E-3</v>
      </c>
      <c r="J255">
        <v>1.1000000000000001E-3</v>
      </c>
      <c r="K255">
        <v>1.1000000000000001E-3</v>
      </c>
      <c r="L255">
        <v>1E-3</v>
      </c>
      <c r="M255">
        <v>1.2999999999999999E-3</v>
      </c>
      <c r="N255">
        <v>1E-3</v>
      </c>
      <c r="O255">
        <v>1.1999999999999999E-3</v>
      </c>
      <c r="P255">
        <v>2.52</v>
      </c>
    </row>
    <row r="256" spans="1:17" ht="15.75" customHeight="1" x14ac:dyDescent="0.2">
      <c r="A256" s="4" t="s">
        <v>332</v>
      </c>
      <c r="B256" s="1" t="str">
        <f t="shared" si="9"/>
        <v>BROHOR</v>
      </c>
      <c r="C256" t="s">
        <v>281</v>
      </c>
      <c r="D256" s="9">
        <v>45063</v>
      </c>
      <c r="E256">
        <v>538</v>
      </c>
      <c r="F256">
        <v>1E-3</v>
      </c>
      <c r="G256">
        <v>1E-3</v>
      </c>
      <c r="H256">
        <v>1.1999999999999999E-3</v>
      </c>
      <c r="I256">
        <v>8.0000000000000004E-4</v>
      </c>
      <c r="J256">
        <v>8.9999999999999998E-4</v>
      </c>
      <c r="K256">
        <v>1.2E-2</v>
      </c>
      <c r="L256">
        <v>1.2999999999999999E-3</v>
      </c>
      <c r="M256">
        <v>1.1999999999999999E-3</v>
      </c>
      <c r="N256">
        <v>1.1000000000000001E-3</v>
      </c>
      <c r="O256">
        <v>1E-3</v>
      </c>
      <c r="P256">
        <v>1.43</v>
      </c>
    </row>
    <row r="257" spans="1:17" ht="15.75" customHeight="1" x14ac:dyDescent="0.2">
      <c r="A257" s="10" t="s">
        <v>333</v>
      </c>
      <c r="B257" s="1" t="str">
        <f t="shared" si="9"/>
        <v>BROHOR</v>
      </c>
      <c r="C257" t="s">
        <v>42</v>
      </c>
      <c r="D257" s="9">
        <v>45063</v>
      </c>
      <c r="E257">
        <v>340</v>
      </c>
      <c r="F257">
        <v>2.9999999999999997E-4</v>
      </c>
      <c r="G257">
        <v>8.0000000000000004E-4</v>
      </c>
      <c r="H257">
        <v>2.9999999999999997E-4</v>
      </c>
      <c r="I257">
        <v>1E-4</v>
      </c>
      <c r="J257">
        <v>1E-4</v>
      </c>
      <c r="K257">
        <v>2.0000000000000001E-4</v>
      </c>
      <c r="L257">
        <v>8.0000000000000004E-4</v>
      </c>
      <c r="M257">
        <v>1E-4</v>
      </c>
      <c r="N257">
        <v>1E-4</v>
      </c>
      <c r="O257">
        <v>1E-4</v>
      </c>
      <c r="P257">
        <v>1.1200000000000001</v>
      </c>
    </row>
    <row r="258" spans="1:17" ht="15.75" customHeight="1" x14ac:dyDescent="0.2">
      <c r="A258" s="4" t="s">
        <v>334</v>
      </c>
      <c r="B258" s="1" t="str">
        <f t="shared" si="9"/>
        <v>BROHOR</v>
      </c>
      <c r="C258" t="s">
        <v>42</v>
      </c>
      <c r="D258" s="9">
        <v>45063</v>
      </c>
      <c r="E258">
        <v>1132</v>
      </c>
      <c r="F258">
        <v>1.6000000000000001E-3</v>
      </c>
      <c r="G258">
        <v>1.6999999999999999E-3</v>
      </c>
      <c r="H258">
        <v>1.8E-3</v>
      </c>
      <c r="P258">
        <v>1.21</v>
      </c>
      <c r="Q258" t="s">
        <v>335</v>
      </c>
    </row>
    <row r="259" spans="1:17" ht="15.75" customHeight="1" x14ac:dyDescent="0.2">
      <c r="A259" s="10" t="s">
        <v>336</v>
      </c>
      <c r="B259" s="1" t="str">
        <f t="shared" si="9"/>
        <v>BROHOR</v>
      </c>
      <c r="C259" t="s">
        <v>42</v>
      </c>
      <c r="D259" t="s">
        <v>319</v>
      </c>
      <c r="E259">
        <v>415</v>
      </c>
      <c r="F259">
        <v>1.6000000000000001E-3</v>
      </c>
      <c r="G259">
        <v>1.9E-3</v>
      </c>
      <c r="H259">
        <v>1.2999999999999999E-3</v>
      </c>
      <c r="I259">
        <v>2.0999999999999999E-3</v>
      </c>
      <c r="J259">
        <v>1.9E-3</v>
      </c>
      <c r="K259">
        <v>2.0999999999999999E-3</v>
      </c>
      <c r="L259">
        <v>1.6999999999999999E-3</v>
      </c>
      <c r="M259">
        <v>2E-3</v>
      </c>
      <c r="N259">
        <v>1.8E-3</v>
      </c>
      <c r="O259">
        <v>2.2000000000000001E-3</v>
      </c>
      <c r="P259">
        <v>1.61</v>
      </c>
    </row>
    <row r="260" spans="1:17" ht="15.75" customHeight="1" x14ac:dyDescent="0.2">
      <c r="A260" s="10" t="s">
        <v>337</v>
      </c>
      <c r="B260" s="1" t="str">
        <f t="shared" si="9"/>
        <v>BROHOR</v>
      </c>
      <c r="C260" t="s">
        <v>42</v>
      </c>
      <c r="D260" s="9">
        <v>45063</v>
      </c>
      <c r="E260">
        <v>643</v>
      </c>
      <c r="F260">
        <v>1.6999999999999999E-3</v>
      </c>
      <c r="G260">
        <v>1.6000000000000001E-3</v>
      </c>
      <c r="H260">
        <v>1.6000000000000001E-3</v>
      </c>
      <c r="I260">
        <v>1.6999999999999999E-3</v>
      </c>
      <c r="J260">
        <v>1.8E-3</v>
      </c>
      <c r="K260">
        <v>1.6000000000000001E-3</v>
      </c>
      <c r="L260">
        <v>2E-3</v>
      </c>
      <c r="M260">
        <v>1.8E-3</v>
      </c>
      <c r="N260">
        <v>1.6000000000000001E-3</v>
      </c>
      <c r="O260">
        <v>2.0999999999999999E-3</v>
      </c>
      <c r="P260">
        <v>1.81</v>
      </c>
    </row>
    <row r="261" spans="1:17" ht="15.75" customHeight="1" x14ac:dyDescent="0.2">
      <c r="A261" s="4" t="s">
        <v>338</v>
      </c>
      <c r="B261" s="1" t="str">
        <f t="shared" si="9"/>
        <v>BROHOR</v>
      </c>
      <c r="C261" t="s">
        <v>44</v>
      </c>
      <c r="D261" s="9">
        <v>45070</v>
      </c>
      <c r="E261">
        <v>466</v>
      </c>
      <c r="F261">
        <v>2.0999999999999999E-3</v>
      </c>
      <c r="G261">
        <v>1.6999999999999999E-3</v>
      </c>
      <c r="H261">
        <v>2.3E-3</v>
      </c>
      <c r="I261">
        <v>1.9E-3</v>
      </c>
      <c r="J261">
        <v>1.9E-3</v>
      </c>
      <c r="K261">
        <v>1.9E-3</v>
      </c>
      <c r="L261">
        <v>1.9E-3</v>
      </c>
      <c r="M261">
        <v>1.6999999999999999E-3</v>
      </c>
      <c r="N261">
        <v>1.4E-3</v>
      </c>
      <c r="O261">
        <v>1.5E-3</v>
      </c>
      <c r="P261">
        <v>1.84</v>
      </c>
    </row>
    <row r="262" spans="1:17" ht="15.75" customHeight="1" x14ac:dyDescent="0.2">
      <c r="A262" s="10" t="s">
        <v>339</v>
      </c>
      <c r="B262" s="1" t="str">
        <f t="shared" si="9"/>
        <v>BROHOR</v>
      </c>
      <c r="C262" t="s">
        <v>196</v>
      </c>
      <c r="D262" s="9">
        <v>45070</v>
      </c>
      <c r="E262">
        <v>633</v>
      </c>
      <c r="F262">
        <f>0.0036/3</f>
        <v>1.1999999999999999E-3</v>
      </c>
      <c r="G262">
        <v>5.0000000000000001E-4</v>
      </c>
      <c r="H262">
        <f>0.0058/5</f>
        <v>1.16E-3</v>
      </c>
      <c r="I262">
        <f>0.0019/3</f>
        <v>6.333333333333333E-4</v>
      </c>
      <c r="J262">
        <v>2.0000000000000001E-4</v>
      </c>
      <c r="K262">
        <f>0.007/8</f>
        <v>8.7500000000000002E-4</v>
      </c>
      <c r="L262">
        <f>0.0038/3</f>
        <v>1.2666666666666666E-3</v>
      </c>
      <c r="M262">
        <f>0.0025/2</f>
        <v>1.25E-3</v>
      </c>
      <c r="N262">
        <f>0.0013/3</f>
        <v>4.3333333333333331E-4</v>
      </c>
      <c r="O262">
        <f>0.0016/3</f>
        <v>5.3333333333333336E-4</v>
      </c>
      <c r="P262">
        <v>2.82</v>
      </c>
    </row>
    <row r="263" spans="1:17" ht="15.75" customHeight="1" x14ac:dyDescent="0.2">
      <c r="A263" s="4" t="s">
        <v>340</v>
      </c>
      <c r="B263" s="1" t="str">
        <f t="shared" si="9"/>
        <v>BROHOR</v>
      </c>
      <c r="C263" t="s">
        <v>38</v>
      </c>
      <c r="D263" s="9">
        <v>45063</v>
      </c>
      <c r="E263">
        <v>358</v>
      </c>
      <c r="F263">
        <v>1.9E-3</v>
      </c>
      <c r="G263">
        <v>8.0000000000000004E-4</v>
      </c>
      <c r="H263">
        <v>1.2999999999999999E-3</v>
      </c>
      <c r="I263">
        <v>1.8E-3</v>
      </c>
      <c r="J263">
        <v>6.9999999999999999E-4</v>
      </c>
      <c r="K263">
        <v>1.8E-3</v>
      </c>
      <c r="L263">
        <v>1.1999999999999999E-3</v>
      </c>
      <c r="M263">
        <v>1.5E-3</v>
      </c>
      <c r="N263">
        <v>1.1000000000000001E-3</v>
      </c>
      <c r="O263">
        <v>1.1999999999999999E-3</v>
      </c>
      <c r="P263">
        <v>0.99</v>
      </c>
    </row>
    <row r="264" spans="1:17" ht="15.75" customHeight="1" x14ac:dyDescent="0.2">
      <c r="A264" s="10" t="s">
        <v>341</v>
      </c>
      <c r="B264" s="1" t="str">
        <f t="shared" si="9"/>
        <v>BROHOR</v>
      </c>
      <c r="C264" t="s">
        <v>42</v>
      </c>
      <c r="D264" s="9">
        <v>45063</v>
      </c>
      <c r="E264">
        <v>2430</v>
      </c>
      <c r="F264">
        <v>1.1999999999999999E-3</v>
      </c>
      <c r="G264">
        <v>1E-3</v>
      </c>
      <c r="H264">
        <v>1.6999999999999999E-3</v>
      </c>
      <c r="I264">
        <v>1.9E-3</v>
      </c>
      <c r="J264">
        <v>1.2999999999999999E-3</v>
      </c>
      <c r="K264">
        <v>1.8E-3</v>
      </c>
      <c r="L264">
        <v>1.6999999999999999E-3</v>
      </c>
      <c r="M264">
        <v>1.5E-3</v>
      </c>
      <c r="N264">
        <v>1.1000000000000001E-3</v>
      </c>
      <c r="O264">
        <v>1.5E-3</v>
      </c>
      <c r="P264">
        <v>3.16</v>
      </c>
    </row>
    <row r="265" spans="1:17" ht="15.75" customHeight="1" x14ac:dyDescent="0.2">
      <c r="A265" s="4" t="s">
        <v>342</v>
      </c>
      <c r="B265" s="1" t="str">
        <f t="shared" si="9"/>
        <v>BROHOR</v>
      </c>
      <c r="C265" t="s">
        <v>42</v>
      </c>
      <c r="D265" s="9">
        <v>45063</v>
      </c>
      <c r="E265">
        <v>1045</v>
      </c>
      <c r="F265">
        <v>2.0999999999999999E-3</v>
      </c>
      <c r="G265">
        <v>2E-3</v>
      </c>
      <c r="H265">
        <v>1.1000000000000001E-3</v>
      </c>
      <c r="I265">
        <v>1.9E-3</v>
      </c>
      <c r="J265">
        <v>1.4E-3</v>
      </c>
      <c r="K265">
        <v>1.5E-3</v>
      </c>
      <c r="L265">
        <v>1.1999999999999999E-3</v>
      </c>
      <c r="M265">
        <v>2.0999999999999999E-3</v>
      </c>
      <c r="N265">
        <v>2.3999999999999998E-3</v>
      </c>
      <c r="O265">
        <v>1.6000000000000001E-3</v>
      </c>
      <c r="P265">
        <v>2.54</v>
      </c>
    </row>
    <row r="266" spans="1:17" ht="15.75" customHeight="1" x14ac:dyDescent="0.2">
      <c r="A266" s="10" t="s">
        <v>343</v>
      </c>
      <c r="B266" s="1" t="str">
        <f t="shared" si="9"/>
        <v>BROHOR</v>
      </c>
      <c r="C266" t="s">
        <v>44</v>
      </c>
      <c r="D266" s="9">
        <v>45063</v>
      </c>
      <c r="E266">
        <v>136</v>
      </c>
      <c r="P266">
        <v>0.36</v>
      </c>
      <c r="Q266" t="s">
        <v>344</v>
      </c>
    </row>
    <row r="267" spans="1:17" ht="15.75" customHeight="1" x14ac:dyDescent="0.2">
      <c r="A267" s="10" t="s">
        <v>345</v>
      </c>
      <c r="B267" s="1" t="str">
        <f t="shared" si="9"/>
        <v>BROHOR</v>
      </c>
      <c r="C267" t="s">
        <v>188</v>
      </c>
      <c r="D267" s="9">
        <v>45063</v>
      </c>
      <c r="E267">
        <v>1240</v>
      </c>
      <c r="F267">
        <v>8.9999999999999998E-4</v>
      </c>
      <c r="G267">
        <v>1.8E-3</v>
      </c>
      <c r="H267">
        <v>1.2999999999999999E-3</v>
      </c>
      <c r="I267">
        <v>1.6000000000000001E-3</v>
      </c>
      <c r="J267">
        <v>1.6999999999999999E-3</v>
      </c>
      <c r="K267">
        <v>1.5E-3</v>
      </c>
      <c r="L267">
        <v>2.2000000000000001E-3</v>
      </c>
      <c r="M267">
        <v>1.1000000000000001E-3</v>
      </c>
      <c r="N267">
        <v>1.2999999999999999E-3</v>
      </c>
      <c r="O267">
        <v>2.0999999999999999E-3</v>
      </c>
      <c r="P267">
        <v>6.28</v>
      </c>
    </row>
    <row r="268" spans="1:17" ht="15.75" customHeight="1" x14ac:dyDescent="0.2">
      <c r="A268" s="4" t="s">
        <v>346</v>
      </c>
      <c r="B268" s="1" t="str">
        <f t="shared" si="9"/>
        <v>BROHOR</v>
      </c>
      <c r="C268" t="s">
        <v>198</v>
      </c>
      <c r="D268" s="9">
        <v>45063</v>
      </c>
      <c r="E268">
        <v>772</v>
      </c>
      <c r="F268">
        <v>1.1000000000000001E-3</v>
      </c>
      <c r="G268">
        <v>2E-3</v>
      </c>
      <c r="H268">
        <v>1E-3</v>
      </c>
      <c r="I268">
        <v>1.6000000000000001E-3</v>
      </c>
      <c r="J268">
        <v>8.9999999999999998E-4</v>
      </c>
      <c r="K268">
        <v>1.6999999999999999E-3</v>
      </c>
      <c r="L268">
        <v>1.1999999999999999E-3</v>
      </c>
      <c r="M268">
        <v>1.2999999999999999E-3</v>
      </c>
      <c r="N268">
        <v>1.1000000000000001E-3</v>
      </c>
      <c r="O268">
        <v>1.5E-3</v>
      </c>
      <c r="P268">
        <v>1.88</v>
      </c>
    </row>
    <row r="269" spans="1:17" ht="15.75" customHeight="1" x14ac:dyDescent="0.2">
      <c r="A269" s="10" t="s">
        <v>347</v>
      </c>
      <c r="B269" s="1" t="str">
        <f t="shared" si="9"/>
        <v>BROHOR</v>
      </c>
      <c r="C269" t="s">
        <v>188</v>
      </c>
      <c r="D269" s="9">
        <v>45070</v>
      </c>
      <c r="E269">
        <v>2882</v>
      </c>
      <c r="F269">
        <v>5.0000000000000001E-4</v>
      </c>
      <c r="G269">
        <v>4.0000000000000002E-4</v>
      </c>
      <c r="H269">
        <v>1E-3</v>
      </c>
      <c r="I269">
        <v>8.0000000000000004E-4</v>
      </c>
      <c r="J269">
        <v>1.1000000000000001E-3</v>
      </c>
      <c r="K269">
        <v>1.1999999999999999E-3</v>
      </c>
      <c r="L269">
        <v>8.9999999999999998E-4</v>
      </c>
      <c r="M269">
        <v>6.9999999999999999E-4</v>
      </c>
      <c r="N269">
        <v>8.9999999999999998E-4</v>
      </c>
      <c r="O269">
        <v>6.9999999999999999E-4</v>
      </c>
      <c r="P269">
        <v>9.9600000000000009</v>
      </c>
    </row>
    <row r="270" spans="1:17" ht="15.75" customHeight="1" x14ac:dyDescent="0.2">
      <c r="A270" s="4" t="s">
        <v>348</v>
      </c>
      <c r="B270" s="1" t="str">
        <f t="shared" si="9"/>
        <v>BROHOR</v>
      </c>
      <c r="C270" t="s">
        <v>196</v>
      </c>
      <c r="D270" s="9">
        <v>45063</v>
      </c>
      <c r="E270">
        <v>467</v>
      </c>
      <c r="P270">
        <v>1.43</v>
      </c>
      <c r="Q270" t="s">
        <v>349</v>
      </c>
    </row>
    <row r="271" spans="1:17" ht="15.75" customHeight="1" x14ac:dyDescent="0.2">
      <c r="A271" s="10" t="s">
        <v>350</v>
      </c>
      <c r="B271" s="1" t="str">
        <f t="shared" si="9"/>
        <v>BROHOR</v>
      </c>
      <c r="C271" s="1" t="s">
        <v>42</v>
      </c>
      <c r="D271" s="1" t="s">
        <v>319</v>
      </c>
      <c r="E271" s="1" t="s">
        <v>319</v>
      </c>
      <c r="F271" s="1" t="s">
        <v>319</v>
      </c>
      <c r="G271" s="1" t="s">
        <v>319</v>
      </c>
      <c r="H271" s="1" t="s">
        <v>319</v>
      </c>
      <c r="I271" s="1" t="s">
        <v>319</v>
      </c>
      <c r="J271" s="1" t="s">
        <v>319</v>
      </c>
      <c r="K271" s="1" t="s">
        <v>319</v>
      </c>
      <c r="L271" s="1" t="s">
        <v>319</v>
      </c>
      <c r="M271" s="1" t="s">
        <v>319</v>
      </c>
      <c r="N271" s="1" t="s">
        <v>319</v>
      </c>
      <c r="O271" s="1" t="s">
        <v>319</v>
      </c>
      <c r="P271" s="1" t="s">
        <v>319</v>
      </c>
      <c r="Q271" s="1" t="s">
        <v>308</v>
      </c>
    </row>
    <row r="272" spans="1:17" ht="15.75" customHeight="1" x14ac:dyDescent="0.2">
      <c r="A272" s="4" t="s">
        <v>351</v>
      </c>
      <c r="B272" s="1" t="str">
        <f t="shared" si="9"/>
        <v>BROHOR</v>
      </c>
      <c r="C272" t="s">
        <v>42</v>
      </c>
      <c r="D272" s="9">
        <v>45063</v>
      </c>
      <c r="E272">
        <v>348</v>
      </c>
      <c r="F272">
        <v>1.5E-3</v>
      </c>
      <c r="G272">
        <v>2.5000000000000001E-3</v>
      </c>
      <c r="H272">
        <v>2E-3</v>
      </c>
      <c r="I272">
        <v>1.5E-3</v>
      </c>
      <c r="J272">
        <v>2.7000000000000001E-3</v>
      </c>
      <c r="K272">
        <v>2.2000000000000001E-3</v>
      </c>
      <c r="L272">
        <v>2.5000000000000001E-3</v>
      </c>
      <c r="M272">
        <v>2.5000000000000001E-3</v>
      </c>
      <c r="N272">
        <v>2.3999999999999998E-3</v>
      </c>
      <c r="O272">
        <v>1.8E-3</v>
      </c>
      <c r="P272">
        <v>1.07</v>
      </c>
    </row>
    <row r="273" spans="1:17" ht="15.75" customHeight="1" x14ac:dyDescent="0.2">
      <c r="A273" s="10" t="s">
        <v>352</v>
      </c>
      <c r="B273" s="1" t="str">
        <f t="shared" si="9"/>
        <v>BROHOR</v>
      </c>
      <c r="C273" t="s">
        <v>190</v>
      </c>
      <c r="D273" s="9">
        <v>45063</v>
      </c>
      <c r="E273">
        <v>242</v>
      </c>
      <c r="F273">
        <v>1.9E-3</v>
      </c>
      <c r="G273">
        <v>1.2999999999999999E-3</v>
      </c>
      <c r="H273">
        <v>1.8E-3</v>
      </c>
      <c r="I273">
        <v>1.8E-3</v>
      </c>
      <c r="J273">
        <v>1.9E-3</v>
      </c>
      <c r="K273">
        <v>2.0999999999999999E-3</v>
      </c>
      <c r="L273">
        <v>2.0999999999999999E-3</v>
      </c>
      <c r="M273">
        <v>1.6000000000000001E-3</v>
      </c>
      <c r="N273">
        <v>2.3E-3</v>
      </c>
      <c r="O273">
        <v>2.0999999999999999E-3</v>
      </c>
      <c r="P273">
        <v>0.94</v>
      </c>
    </row>
    <row r="274" spans="1:17" ht="15.75" customHeight="1" x14ac:dyDescent="0.2">
      <c r="A274" s="4" t="s">
        <v>353</v>
      </c>
      <c r="B274" s="1" t="str">
        <f t="shared" si="9"/>
        <v>BROHOR</v>
      </c>
      <c r="C274" t="s">
        <v>196</v>
      </c>
      <c r="D274" s="9">
        <v>45063</v>
      </c>
      <c r="E274">
        <v>305</v>
      </c>
      <c r="P274">
        <v>1.21</v>
      </c>
      <c r="Q274" t="s">
        <v>349</v>
      </c>
    </row>
    <row r="275" spans="1:17" ht="15.75" customHeight="1" x14ac:dyDescent="0.2">
      <c r="A275" s="4" t="s">
        <v>354</v>
      </c>
      <c r="B275" s="1" t="str">
        <f t="shared" si="9"/>
        <v>BROHOR</v>
      </c>
      <c r="C275" t="s">
        <v>190</v>
      </c>
      <c r="D275" s="9">
        <v>45063</v>
      </c>
      <c r="E275">
        <v>561</v>
      </c>
      <c r="F275">
        <v>6.9999999999999999E-4</v>
      </c>
      <c r="G275">
        <v>1.9E-3</v>
      </c>
      <c r="H275">
        <v>1.8E-3</v>
      </c>
      <c r="I275">
        <v>1.5E-3</v>
      </c>
      <c r="J275">
        <v>1.6999999999999999E-3</v>
      </c>
      <c r="K275">
        <v>1.4E-3</v>
      </c>
      <c r="L275">
        <v>1.5E-3</v>
      </c>
      <c r="M275">
        <v>2.2000000000000001E-3</v>
      </c>
      <c r="N275">
        <v>1.6999999999999999E-3</v>
      </c>
      <c r="O275">
        <v>1.6000000000000001E-3</v>
      </c>
      <c r="P275">
        <v>4.5999999999999996</v>
      </c>
    </row>
    <row r="276" spans="1:17" ht="15.75" customHeight="1" x14ac:dyDescent="0.2">
      <c r="A276" s="10" t="s">
        <v>355</v>
      </c>
      <c r="B276" s="1" t="str">
        <f t="shared" si="9"/>
        <v>BROHOR</v>
      </c>
      <c r="C276" t="s">
        <v>185</v>
      </c>
      <c r="D276" s="9">
        <v>45063</v>
      </c>
      <c r="E276">
        <v>687</v>
      </c>
      <c r="F276">
        <v>2E-3</v>
      </c>
      <c r="G276">
        <v>2.3E-3</v>
      </c>
      <c r="H276">
        <v>1.6000000000000001E-3</v>
      </c>
      <c r="I276">
        <v>1.6999999999999999E-3</v>
      </c>
      <c r="J276">
        <v>2E-3</v>
      </c>
      <c r="K276">
        <v>1.8E-3</v>
      </c>
      <c r="L276">
        <v>2.3999999999999998E-3</v>
      </c>
      <c r="M276">
        <v>1.8E-3</v>
      </c>
      <c r="N276">
        <v>2.5999999999999999E-3</v>
      </c>
      <c r="O276">
        <v>2.7000000000000001E-3</v>
      </c>
      <c r="P276">
        <v>2.4</v>
      </c>
    </row>
    <row r="277" spans="1:17" ht="15.75" customHeight="1" x14ac:dyDescent="0.2">
      <c r="A277" s="10" t="s">
        <v>356</v>
      </c>
      <c r="B277" s="1" t="str">
        <f t="shared" si="9"/>
        <v>BROHOR</v>
      </c>
      <c r="C277" t="s">
        <v>201</v>
      </c>
      <c r="D277" s="9">
        <v>45063</v>
      </c>
      <c r="E277">
        <v>805</v>
      </c>
      <c r="F277">
        <v>1.1999999999999999E-3</v>
      </c>
      <c r="G277">
        <v>2.0999999999999999E-3</v>
      </c>
      <c r="H277">
        <v>2.7000000000000001E-3</v>
      </c>
      <c r="I277">
        <v>2.5000000000000001E-3</v>
      </c>
      <c r="J277">
        <v>2.0999999999999999E-3</v>
      </c>
      <c r="K277">
        <v>2.2000000000000001E-3</v>
      </c>
      <c r="L277">
        <v>2.5999999999999999E-3</v>
      </c>
      <c r="M277">
        <v>2E-3</v>
      </c>
      <c r="N277">
        <v>2.5999999999999999E-3</v>
      </c>
      <c r="O277">
        <v>1.1000000000000001E-3</v>
      </c>
      <c r="P277">
        <v>1.69</v>
      </c>
    </row>
    <row r="278" spans="1:17" ht="15.75" customHeight="1" x14ac:dyDescent="0.2">
      <c r="A278" s="10" t="s">
        <v>357</v>
      </c>
      <c r="B278" s="1" t="str">
        <f t="shared" si="9"/>
        <v>BROMAD</v>
      </c>
      <c r="C278" t="s">
        <v>190</v>
      </c>
      <c r="D278" s="9">
        <v>45063</v>
      </c>
      <c r="E278">
        <v>108</v>
      </c>
      <c r="F278">
        <v>1.1000000000000001E-3</v>
      </c>
      <c r="G278">
        <v>8.9999999999999998E-4</v>
      </c>
      <c r="H278">
        <v>1.4E-3</v>
      </c>
      <c r="I278">
        <v>1.1999999999999999E-3</v>
      </c>
      <c r="J278">
        <v>1E-3</v>
      </c>
      <c r="K278">
        <v>1.1000000000000001E-3</v>
      </c>
      <c r="L278">
        <v>8.0000000000000004E-4</v>
      </c>
      <c r="M278">
        <v>1.1000000000000001E-3</v>
      </c>
      <c r="N278">
        <v>8.0000000000000004E-4</v>
      </c>
      <c r="O278">
        <v>8.9999999999999998E-4</v>
      </c>
      <c r="P278">
        <v>0.06</v>
      </c>
    </row>
    <row r="279" spans="1:17" ht="15.75" customHeight="1" x14ac:dyDescent="0.2">
      <c r="A279" s="10" t="s">
        <v>358</v>
      </c>
      <c r="B279" s="1" t="str">
        <f t="shared" si="9"/>
        <v>BROMAD</v>
      </c>
      <c r="C279" t="s">
        <v>188</v>
      </c>
      <c r="D279" s="9">
        <v>45063</v>
      </c>
      <c r="E279">
        <v>812</v>
      </c>
      <c r="F279">
        <v>1.2999999999999999E-3</v>
      </c>
      <c r="G279">
        <v>1.1000000000000001E-3</v>
      </c>
      <c r="H279">
        <v>1.1999999999999999E-3</v>
      </c>
      <c r="I279">
        <v>1.1999999999999999E-3</v>
      </c>
      <c r="J279">
        <v>1.2999999999999999E-3</v>
      </c>
      <c r="K279">
        <v>1.1000000000000001E-3</v>
      </c>
      <c r="L279">
        <v>1.1999999999999999E-3</v>
      </c>
      <c r="M279">
        <v>1.1000000000000001E-3</v>
      </c>
      <c r="N279">
        <v>5.0000000000000001E-4</v>
      </c>
      <c r="O279">
        <v>1.1999999999999999E-3</v>
      </c>
      <c r="P279">
        <v>0.52</v>
      </c>
    </row>
    <row r="280" spans="1:17" ht="15.75" customHeight="1" x14ac:dyDescent="0.2">
      <c r="A280" s="4" t="s">
        <v>359</v>
      </c>
      <c r="B280" s="1" t="str">
        <f t="shared" si="9"/>
        <v>BROMAD</v>
      </c>
      <c r="C280" t="s">
        <v>38</v>
      </c>
      <c r="D280" s="9">
        <v>45063</v>
      </c>
      <c r="E280">
        <v>170</v>
      </c>
      <c r="F280">
        <v>5.0000000000000001E-4</v>
      </c>
      <c r="G280">
        <v>6.9999999999999999E-4</v>
      </c>
      <c r="H280">
        <v>2.9999999999999997E-4</v>
      </c>
      <c r="I280">
        <v>5.0000000000000001E-4</v>
      </c>
      <c r="J280">
        <v>5.9999999999999995E-4</v>
      </c>
      <c r="K280">
        <v>1.1000000000000001E-3</v>
      </c>
      <c r="L280">
        <v>8.0000000000000004E-4</v>
      </c>
      <c r="M280">
        <v>8.0000000000000004E-4</v>
      </c>
      <c r="N280">
        <v>2.9999999999999997E-4</v>
      </c>
      <c r="O280">
        <v>5.9999999999999995E-4</v>
      </c>
      <c r="P280">
        <v>0.23</v>
      </c>
    </row>
    <row r="281" spans="1:17" ht="15.75" customHeight="1" x14ac:dyDescent="0.2">
      <c r="A281" s="10" t="s">
        <v>360</v>
      </c>
      <c r="B281" s="1" t="str">
        <f t="shared" si="9"/>
        <v>BROMAD</v>
      </c>
    </row>
    <row r="282" spans="1:17" ht="15.75" customHeight="1" x14ac:dyDescent="0.2">
      <c r="A282" s="4" t="s">
        <v>361</v>
      </c>
      <c r="B282" s="1" t="str">
        <f t="shared" si="9"/>
        <v>BROMAD</v>
      </c>
      <c r="C282" t="s">
        <v>362</v>
      </c>
      <c r="D282" s="9">
        <v>45063</v>
      </c>
      <c r="E282">
        <v>751</v>
      </c>
      <c r="F282">
        <v>2.9999999999999997E-4</v>
      </c>
      <c r="G282">
        <v>4.0000000000000002E-4</v>
      </c>
      <c r="H282">
        <v>1.5E-3</v>
      </c>
      <c r="I282">
        <v>1.2999999999999999E-3</v>
      </c>
      <c r="J282">
        <v>1.1999999999999999E-3</v>
      </c>
      <c r="K282">
        <v>1.1999999999999999E-3</v>
      </c>
      <c r="L282">
        <v>1.2999999999999999E-3</v>
      </c>
      <c r="M282">
        <v>1.6999999999999999E-3</v>
      </c>
      <c r="N282">
        <v>5.0000000000000001E-4</v>
      </c>
      <c r="O282">
        <v>4.0000000000000002E-4</v>
      </c>
      <c r="P282">
        <v>0.59</v>
      </c>
      <c r="Q282" t="s">
        <v>79</v>
      </c>
    </row>
    <row r="283" spans="1:17" ht="15.75" customHeight="1" x14ac:dyDescent="0.2">
      <c r="A283" s="10" t="s">
        <v>363</v>
      </c>
      <c r="B283" s="1" t="str">
        <f t="shared" si="9"/>
        <v>BROMAD</v>
      </c>
      <c r="C283" t="s">
        <v>38</v>
      </c>
      <c r="D283" s="9">
        <v>45063</v>
      </c>
      <c r="E283">
        <v>188</v>
      </c>
      <c r="F283">
        <v>5.0000000000000001E-4</v>
      </c>
      <c r="G283">
        <v>2.0999999999999999E-3</v>
      </c>
      <c r="H283">
        <v>2.0000000000000001E-4</v>
      </c>
      <c r="I283">
        <v>3.0000000000000001E-3</v>
      </c>
      <c r="J283">
        <v>2.0000000000000001E-4</v>
      </c>
      <c r="K283">
        <v>2.0999999999999999E-3</v>
      </c>
      <c r="L283">
        <v>1E-4</v>
      </c>
      <c r="M283">
        <v>5.9999999999999995E-4</v>
      </c>
      <c r="N283">
        <v>8.9999999999999998E-4</v>
      </c>
      <c r="O283">
        <v>2.5999999999999999E-3</v>
      </c>
      <c r="P283">
        <v>0.16</v>
      </c>
    </row>
    <row r="284" spans="1:17" ht="15.75" customHeight="1" x14ac:dyDescent="0.2">
      <c r="A284" s="10" t="s">
        <v>364</v>
      </c>
      <c r="B284" s="1" t="str">
        <f t="shared" si="9"/>
        <v>BROMAD</v>
      </c>
      <c r="C284" t="s">
        <v>198</v>
      </c>
      <c r="D284" s="9">
        <v>45063</v>
      </c>
      <c r="E284">
        <v>55</v>
      </c>
      <c r="F284" t="s">
        <v>319</v>
      </c>
      <c r="G284" t="s">
        <v>319</v>
      </c>
      <c r="H284" t="s">
        <v>319</v>
      </c>
      <c r="I284" t="s">
        <v>319</v>
      </c>
      <c r="J284" t="s">
        <v>319</v>
      </c>
      <c r="K284" t="s">
        <v>319</v>
      </c>
      <c r="L284" t="s">
        <v>319</v>
      </c>
      <c r="M284" t="s">
        <v>319</v>
      </c>
      <c r="N284" t="s">
        <v>319</v>
      </c>
      <c r="O284" t="s">
        <v>319</v>
      </c>
      <c r="P284" t="s">
        <v>319</v>
      </c>
      <c r="Q284" t="s">
        <v>349</v>
      </c>
    </row>
    <row r="285" spans="1:17" ht="15.75" customHeight="1" x14ac:dyDescent="0.2">
      <c r="A285" s="4" t="s">
        <v>365</v>
      </c>
      <c r="B285" s="1" t="str">
        <f t="shared" si="9"/>
        <v>BROMAD</v>
      </c>
      <c r="C285" t="s">
        <v>196</v>
      </c>
      <c r="D285" s="9">
        <v>45063</v>
      </c>
      <c r="E285">
        <v>1150</v>
      </c>
      <c r="F285">
        <v>1E-3</v>
      </c>
      <c r="G285">
        <v>1.1999999999999999E-3</v>
      </c>
      <c r="H285">
        <v>5.9999999999999995E-4</v>
      </c>
      <c r="I285">
        <v>1.2999999999999999E-3</v>
      </c>
      <c r="J285">
        <v>8.9999999999999998E-4</v>
      </c>
      <c r="K285">
        <v>1.4E-3</v>
      </c>
      <c r="L285">
        <v>1.6999999999999999E-3</v>
      </c>
      <c r="M285">
        <v>1.1999999999999999E-3</v>
      </c>
      <c r="N285">
        <v>8.9999999999999998E-4</v>
      </c>
      <c r="O285">
        <v>1.5E-3</v>
      </c>
      <c r="P285">
        <v>3.39</v>
      </c>
    </row>
    <row r="286" spans="1:17" ht="15.75" customHeight="1" x14ac:dyDescent="0.2">
      <c r="A286" s="4" t="s">
        <v>366</v>
      </c>
      <c r="B286" s="1" t="str">
        <f t="shared" si="9"/>
        <v>BROMAD</v>
      </c>
    </row>
    <row r="287" spans="1:17" ht="15.75" customHeight="1" x14ac:dyDescent="0.2">
      <c r="A287" s="10" t="s">
        <v>367</v>
      </c>
      <c r="B287" s="1" t="str">
        <f t="shared" si="9"/>
        <v>BROMAD</v>
      </c>
      <c r="C287" t="s">
        <v>198</v>
      </c>
      <c r="D287" s="9">
        <v>45063</v>
      </c>
      <c r="E287">
        <v>1046</v>
      </c>
      <c r="F287">
        <v>1.6999999999999999E-3</v>
      </c>
      <c r="G287">
        <v>1.1999999999999999E-3</v>
      </c>
      <c r="H287">
        <v>1.4E-3</v>
      </c>
      <c r="I287">
        <v>1.6000000000000001E-3</v>
      </c>
      <c r="J287">
        <v>5.9999999999999995E-4</v>
      </c>
      <c r="K287">
        <v>1.1999999999999999E-3</v>
      </c>
      <c r="L287">
        <v>8.0000000000000004E-4</v>
      </c>
      <c r="M287">
        <v>8.9999999999999998E-4</v>
      </c>
      <c r="N287">
        <v>2.3999999999999998E-3</v>
      </c>
      <c r="O287">
        <v>1.1000000000000001E-3</v>
      </c>
      <c r="P287">
        <v>1.55</v>
      </c>
    </row>
    <row r="288" spans="1:17" ht="15.75" customHeight="1" x14ac:dyDescent="0.2">
      <c r="A288" s="10" t="s">
        <v>368</v>
      </c>
      <c r="B288" s="1" t="str">
        <f t="shared" si="9"/>
        <v>BROMAD</v>
      </c>
      <c r="C288" t="s">
        <v>201</v>
      </c>
      <c r="D288" s="9">
        <v>45063</v>
      </c>
      <c r="E288">
        <v>642</v>
      </c>
      <c r="F288">
        <v>1.1999999999999999E-3</v>
      </c>
      <c r="G288">
        <v>1.6000000000000001E-3</v>
      </c>
      <c r="H288">
        <v>1.9E-3</v>
      </c>
      <c r="I288">
        <v>1.1999999999999999E-3</v>
      </c>
      <c r="J288">
        <v>5.9999999999999995E-4</v>
      </c>
      <c r="K288">
        <v>1E-3</v>
      </c>
      <c r="L288">
        <v>1.5E-3</v>
      </c>
      <c r="M288">
        <v>1.4E-3</v>
      </c>
      <c r="N288">
        <v>1.1999999999999999E-3</v>
      </c>
      <c r="O288">
        <v>8.9999999999999998E-4</v>
      </c>
      <c r="P288">
        <v>0.79</v>
      </c>
    </row>
    <row r="289" spans="1:17" ht="15.75" customHeight="1" x14ac:dyDescent="0.2">
      <c r="A289" s="4" t="s">
        <v>369</v>
      </c>
      <c r="B289" s="1" t="str">
        <f t="shared" si="9"/>
        <v>BROMAD</v>
      </c>
      <c r="C289" t="s">
        <v>44</v>
      </c>
      <c r="D289" s="9">
        <v>45063</v>
      </c>
      <c r="E289">
        <v>1070</v>
      </c>
      <c r="F289">
        <v>6.9999999999999999E-4</v>
      </c>
      <c r="G289">
        <v>6.9999999999999999E-4</v>
      </c>
      <c r="H289">
        <v>1.1000000000000001E-3</v>
      </c>
      <c r="I289">
        <v>1.1000000000000001E-3</v>
      </c>
      <c r="J289">
        <v>5.9999999999999995E-4</v>
      </c>
      <c r="K289">
        <v>6.9999999999999999E-4</v>
      </c>
      <c r="L289">
        <v>2.0000000000000001E-4</v>
      </c>
      <c r="M289">
        <v>8.0000000000000004E-4</v>
      </c>
      <c r="N289">
        <v>1.2999999999999999E-3</v>
      </c>
      <c r="O289">
        <v>1.1000000000000001E-3</v>
      </c>
      <c r="P289">
        <v>1.45</v>
      </c>
    </row>
    <row r="290" spans="1:17" ht="15.75" customHeight="1" x14ac:dyDescent="0.2">
      <c r="A290" s="10" t="s">
        <v>370</v>
      </c>
      <c r="B290" s="1" t="str">
        <f t="shared" si="9"/>
        <v>BROMAD</v>
      </c>
      <c r="C290" t="s">
        <v>188</v>
      </c>
      <c r="D290" s="9">
        <v>45063</v>
      </c>
      <c r="E290">
        <v>126</v>
      </c>
      <c r="F290">
        <v>1.1000000000000001E-3</v>
      </c>
      <c r="G290">
        <v>1.1999999999999999E-3</v>
      </c>
      <c r="H290">
        <v>1.5E-3</v>
      </c>
      <c r="I290">
        <v>1.1999999999999999E-3</v>
      </c>
      <c r="J290">
        <v>1.4E-3</v>
      </c>
      <c r="K290">
        <v>1.1000000000000001E-3</v>
      </c>
      <c r="L290">
        <v>1.5E-3</v>
      </c>
      <c r="M290">
        <v>1.1999999999999999E-3</v>
      </c>
      <c r="N290">
        <v>1.1000000000000001E-3</v>
      </c>
      <c r="O290">
        <v>8.9999999999999998E-4</v>
      </c>
      <c r="P290">
        <v>0.27</v>
      </c>
    </row>
    <row r="291" spans="1:17" ht="15.75" customHeight="1" x14ac:dyDescent="0.2">
      <c r="A291" s="10" t="s">
        <v>371</v>
      </c>
      <c r="B291" s="1" t="str">
        <f t="shared" si="9"/>
        <v>BROMAD</v>
      </c>
      <c r="C291" t="s">
        <v>188</v>
      </c>
      <c r="D291" s="9">
        <v>45063</v>
      </c>
      <c r="E291">
        <v>700</v>
      </c>
      <c r="F291">
        <v>1.5E-3</v>
      </c>
      <c r="G291">
        <v>8.9999999999999998E-4</v>
      </c>
      <c r="H291">
        <v>8.0000000000000004E-4</v>
      </c>
      <c r="I291">
        <v>8.9999999999999998E-4</v>
      </c>
      <c r="J291">
        <v>1.5E-3</v>
      </c>
      <c r="K291">
        <v>6.9999999999999999E-4</v>
      </c>
      <c r="L291">
        <v>1.6999999999999999E-3</v>
      </c>
      <c r="M291">
        <v>1.6000000000000001E-3</v>
      </c>
      <c r="N291">
        <v>1.4E-3</v>
      </c>
      <c r="O291">
        <v>1.1999999999999999E-3</v>
      </c>
      <c r="P291">
        <v>0.52</v>
      </c>
    </row>
    <row r="292" spans="1:17" ht="15.75" customHeight="1" x14ac:dyDescent="0.2">
      <c r="A292" s="4" t="s">
        <v>372</v>
      </c>
      <c r="B292" s="1" t="str">
        <f t="shared" si="9"/>
        <v>BROMAD</v>
      </c>
      <c r="C292" t="s">
        <v>201</v>
      </c>
      <c r="D292" s="9">
        <v>45063</v>
      </c>
      <c r="E292">
        <v>716</v>
      </c>
      <c r="F292">
        <v>1E-3</v>
      </c>
      <c r="G292">
        <v>1.4E-3</v>
      </c>
      <c r="H292">
        <v>5.9999999999999995E-4</v>
      </c>
      <c r="I292">
        <v>1.6999999999999999E-3</v>
      </c>
      <c r="J292">
        <v>5.9999999999999995E-4</v>
      </c>
      <c r="K292">
        <v>6.9999999999999999E-4</v>
      </c>
      <c r="L292">
        <v>5.9999999999999995E-4</v>
      </c>
      <c r="M292">
        <v>1.1999999999999999E-3</v>
      </c>
      <c r="N292">
        <v>1.5E-3</v>
      </c>
      <c r="O292">
        <v>1.1000000000000001E-3</v>
      </c>
      <c r="P292">
        <v>0.61</v>
      </c>
    </row>
    <row r="293" spans="1:17" ht="15.75" customHeight="1" x14ac:dyDescent="0.2">
      <c r="A293" s="4" t="s">
        <v>373</v>
      </c>
      <c r="B293" s="1" t="str">
        <f t="shared" si="9"/>
        <v>BROMAD</v>
      </c>
      <c r="C293" t="s">
        <v>42</v>
      </c>
      <c r="D293" s="9">
        <v>45063</v>
      </c>
      <c r="E293">
        <v>466</v>
      </c>
      <c r="F293">
        <v>2.5000000000000001E-3</v>
      </c>
      <c r="G293">
        <v>1.1000000000000001E-3</v>
      </c>
      <c r="H293">
        <v>2.3E-3</v>
      </c>
      <c r="I293">
        <v>2.5999999999999999E-3</v>
      </c>
      <c r="J293">
        <v>2.8E-3</v>
      </c>
      <c r="K293">
        <v>2.5999999999999999E-3</v>
      </c>
      <c r="L293">
        <v>2.8E-3</v>
      </c>
      <c r="M293">
        <v>2.7000000000000001E-3</v>
      </c>
      <c r="N293">
        <v>2.3E-3</v>
      </c>
      <c r="O293">
        <v>2.3999999999999998E-3</v>
      </c>
      <c r="P293">
        <v>0.52</v>
      </c>
    </row>
    <row r="294" spans="1:17" ht="15.75" customHeight="1" x14ac:dyDescent="0.2">
      <c r="A294" s="10" t="s">
        <v>374</v>
      </c>
      <c r="B294" s="1" t="str">
        <f t="shared" si="9"/>
        <v>BROMAD</v>
      </c>
      <c r="C294" t="s">
        <v>190</v>
      </c>
      <c r="D294" s="9">
        <v>45063</v>
      </c>
      <c r="E294">
        <v>584</v>
      </c>
      <c r="F294">
        <v>1.5E-3</v>
      </c>
      <c r="G294">
        <v>4.0000000000000002E-4</v>
      </c>
      <c r="H294">
        <v>1.9E-3</v>
      </c>
      <c r="I294">
        <v>1.4E-3</v>
      </c>
      <c r="J294">
        <v>1E-3</v>
      </c>
      <c r="K294">
        <v>1.1999999999999999E-3</v>
      </c>
      <c r="L294">
        <v>1.6000000000000001E-3</v>
      </c>
      <c r="M294">
        <v>2.0999999999999999E-3</v>
      </c>
      <c r="N294">
        <v>5.0000000000000001E-4</v>
      </c>
      <c r="O294">
        <v>1.1999999999999999E-3</v>
      </c>
      <c r="P294">
        <v>0.43</v>
      </c>
    </row>
    <row r="295" spans="1:17" ht="15.75" customHeight="1" x14ac:dyDescent="0.2">
      <c r="A295" s="4" t="s">
        <v>375</v>
      </c>
      <c r="B295" s="1" t="str">
        <f t="shared" si="9"/>
        <v>BROMAD</v>
      </c>
      <c r="C295" t="s">
        <v>272</v>
      </c>
      <c r="D295" s="9">
        <v>45063</v>
      </c>
      <c r="E295">
        <v>148</v>
      </c>
      <c r="F295">
        <v>5.9999999999999995E-4</v>
      </c>
      <c r="G295">
        <v>4.0000000000000002E-4</v>
      </c>
      <c r="H295">
        <v>1.1999999999999999E-3</v>
      </c>
      <c r="I295">
        <v>1.1000000000000001E-3</v>
      </c>
      <c r="J295">
        <v>1.1999999999999999E-3</v>
      </c>
      <c r="K295">
        <v>1E-3</v>
      </c>
      <c r="L295">
        <v>1E-3</v>
      </c>
      <c r="M295">
        <v>1.2999999999999999E-3</v>
      </c>
      <c r="N295">
        <v>1.1999999999999999E-3</v>
      </c>
      <c r="O295">
        <v>6.9999999999999999E-4</v>
      </c>
      <c r="P295">
        <v>0.28999999999999998</v>
      </c>
    </row>
    <row r="296" spans="1:17" ht="15.75" customHeight="1" x14ac:dyDescent="0.2">
      <c r="A296" s="4" t="s">
        <v>376</v>
      </c>
      <c r="B296" s="1" t="str">
        <f t="shared" si="9"/>
        <v>BROMAD</v>
      </c>
      <c r="C296" t="s">
        <v>190</v>
      </c>
      <c r="D296" s="9">
        <v>45063</v>
      </c>
      <c r="E296">
        <v>275</v>
      </c>
      <c r="F296">
        <v>1.4E-3</v>
      </c>
      <c r="G296">
        <v>1.1000000000000001E-3</v>
      </c>
      <c r="H296">
        <v>1.1999999999999999E-3</v>
      </c>
      <c r="I296">
        <v>8.0000000000000004E-4</v>
      </c>
      <c r="J296">
        <v>5.0000000000000001E-4</v>
      </c>
      <c r="K296">
        <v>1.4E-3</v>
      </c>
      <c r="L296">
        <v>1.6000000000000001E-3</v>
      </c>
      <c r="M296">
        <v>1.4E-3</v>
      </c>
      <c r="N296">
        <v>6.9999999999999999E-4</v>
      </c>
      <c r="O296">
        <v>1.1999999999999999E-3</v>
      </c>
      <c r="P296">
        <v>0.28999999999999998</v>
      </c>
    </row>
    <row r="297" spans="1:17" ht="15.75" customHeight="1" x14ac:dyDescent="0.2">
      <c r="A297" s="10" t="s">
        <v>377</v>
      </c>
      <c r="B297" s="1" t="str">
        <f t="shared" si="9"/>
        <v>BROMAD</v>
      </c>
      <c r="C297" t="s">
        <v>196</v>
      </c>
      <c r="D297" s="9">
        <v>45063</v>
      </c>
      <c r="E297">
        <v>423</v>
      </c>
      <c r="F297">
        <f>0.0038/4</f>
        <v>9.5E-4</v>
      </c>
      <c r="G297">
        <f>0.0071/3</f>
        <v>2.3666666666666667E-3</v>
      </c>
      <c r="H297">
        <f>0.0041/2</f>
        <v>2.0500000000000002E-3</v>
      </c>
      <c r="I297">
        <v>2.0999999999999999E-3</v>
      </c>
      <c r="J297">
        <f>0.0026/3</f>
        <v>8.6666666666666663E-4</v>
      </c>
      <c r="K297">
        <v>8.9999999999999998E-4</v>
      </c>
      <c r="L297">
        <f>0.0038/4</f>
        <v>9.5E-4</v>
      </c>
      <c r="M297">
        <v>5.9999999999999995E-4</v>
      </c>
      <c r="N297">
        <v>1.1000000000000001E-3</v>
      </c>
      <c r="O297">
        <f>0.0025/2</f>
        <v>1.25E-3</v>
      </c>
      <c r="P297">
        <v>0.37</v>
      </c>
    </row>
    <row r="298" spans="1:17" ht="15.75" customHeight="1" x14ac:dyDescent="0.2">
      <c r="A298" s="10" t="s">
        <v>378</v>
      </c>
      <c r="B298" s="1" t="str">
        <f t="shared" si="9"/>
        <v>BROMAD</v>
      </c>
      <c r="C298" t="s">
        <v>196</v>
      </c>
      <c r="D298" s="9">
        <v>45063</v>
      </c>
      <c r="E298">
        <v>1286</v>
      </c>
      <c r="F298">
        <f>0.004/2</f>
        <v>2E-3</v>
      </c>
      <c r="G298">
        <f>0.0055/6</f>
        <v>9.1666666666666665E-4</v>
      </c>
      <c r="H298">
        <f>0.0025/3</f>
        <v>8.3333333333333339E-4</v>
      </c>
      <c r="I298">
        <f>0.0061/7</f>
        <v>8.714285714285715E-4</v>
      </c>
      <c r="J298">
        <f>0.0026/2</f>
        <v>1.2999999999999999E-3</v>
      </c>
      <c r="K298">
        <f>0.0022/2</f>
        <v>1.1000000000000001E-3</v>
      </c>
      <c r="L298">
        <f>0.0068/7</f>
        <v>9.7142857142857133E-4</v>
      </c>
      <c r="M298">
        <v>1.4E-3</v>
      </c>
      <c r="N298">
        <f>0.0026/5</f>
        <v>5.1999999999999995E-4</v>
      </c>
      <c r="O298">
        <f>0.00444/5</f>
        <v>8.8800000000000012E-4</v>
      </c>
      <c r="P298">
        <v>1.48</v>
      </c>
    </row>
    <row r="299" spans="1:17" ht="15.75" customHeight="1" x14ac:dyDescent="0.2">
      <c r="A299" s="10" t="s">
        <v>379</v>
      </c>
      <c r="B299" s="1" t="str">
        <f t="shared" si="9"/>
        <v>BROMAD</v>
      </c>
      <c r="C299" t="s">
        <v>272</v>
      </c>
      <c r="D299" s="9">
        <v>45063</v>
      </c>
      <c r="E299">
        <v>733</v>
      </c>
      <c r="F299">
        <v>1E-3</v>
      </c>
      <c r="G299">
        <v>5.9999999999999995E-4</v>
      </c>
      <c r="H299">
        <v>1.1000000000000001E-3</v>
      </c>
      <c r="I299">
        <v>8.0000000000000004E-4</v>
      </c>
      <c r="J299">
        <v>5.9999999999999995E-4</v>
      </c>
      <c r="K299">
        <v>1.1999999999999999E-3</v>
      </c>
      <c r="L299">
        <v>8.9999999999999998E-4</v>
      </c>
      <c r="M299">
        <v>1.6999999999999999E-3</v>
      </c>
      <c r="N299">
        <v>8.0000000000000004E-4</v>
      </c>
      <c r="O299">
        <v>1.2999999999999999E-3</v>
      </c>
      <c r="P299">
        <v>0.92</v>
      </c>
    </row>
    <row r="300" spans="1:17" ht="15.75" customHeight="1" x14ac:dyDescent="0.2">
      <c r="A300" s="4" t="s">
        <v>380</v>
      </c>
      <c r="B300" s="1" t="str">
        <f t="shared" si="9"/>
        <v>BROMAD</v>
      </c>
      <c r="C300" t="s">
        <v>38</v>
      </c>
      <c r="D300" s="9">
        <v>45063</v>
      </c>
      <c r="E300">
        <v>1481</v>
      </c>
      <c r="F300">
        <v>6.9999999999999999E-4</v>
      </c>
      <c r="G300">
        <v>6.9999999999999999E-4</v>
      </c>
      <c r="H300">
        <v>1.6000000000000001E-3</v>
      </c>
      <c r="I300">
        <v>4.0000000000000002E-4</v>
      </c>
      <c r="J300">
        <v>5.9999999999999995E-4</v>
      </c>
      <c r="K300">
        <v>8.0000000000000004E-4</v>
      </c>
      <c r="L300">
        <v>2.9999999999999997E-4</v>
      </c>
      <c r="M300">
        <v>1.9E-3</v>
      </c>
      <c r="N300">
        <v>4.0000000000000002E-4</v>
      </c>
      <c r="O300">
        <v>4.0000000000000002E-4</v>
      </c>
      <c r="P300">
        <v>1.1200000000000001</v>
      </c>
    </row>
    <row r="301" spans="1:17" ht="15.75" customHeight="1" x14ac:dyDescent="0.2">
      <c r="A301" s="10" t="s">
        <v>381</v>
      </c>
      <c r="B301" s="1" t="str">
        <f t="shared" si="9"/>
        <v>BROMAD</v>
      </c>
      <c r="C301" t="s">
        <v>196</v>
      </c>
      <c r="D301" s="9">
        <v>45063</v>
      </c>
      <c r="E301">
        <v>312</v>
      </c>
      <c r="F301">
        <v>1.6999999999999999E-3</v>
      </c>
      <c r="G301">
        <f>0.0061/3</f>
        <v>2.0333333333333336E-3</v>
      </c>
      <c r="H301">
        <v>2.0999999999999999E-3</v>
      </c>
      <c r="I301">
        <v>2.5000000000000001E-3</v>
      </c>
      <c r="J301">
        <f>0.0043/2</f>
        <v>2.15E-3</v>
      </c>
      <c r="K301">
        <v>2E-3</v>
      </c>
      <c r="L301">
        <v>2.9999999999999997E-4</v>
      </c>
      <c r="M301">
        <v>2.3999999999999998E-3</v>
      </c>
      <c r="N301">
        <f>0.0039/2</f>
        <v>1.9499999999999999E-3</v>
      </c>
      <c r="O301">
        <v>2.0000000000000001E-4</v>
      </c>
      <c r="P301">
        <v>0.26</v>
      </c>
    </row>
    <row r="302" spans="1:17" ht="15.75" customHeight="1" x14ac:dyDescent="0.2">
      <c r="A302" s="4" t="s">
        <v>382</v>
      </c>
      <c r="B302" s="1" t="str">
        <f t="shared" si="9"/>
        <v>BROMAD</v>
      </c>
      <c r="C302" t="s">
        <v>42</v>
      </c>
      <c r="D302" s="9">
        <v>45063</v>
      </c>
      <c r="E302">
        <v>108</v>
      </c>
      <c r="F302">
        <v>1.2999999999999999E-3</v>
      </c>
      <c r="G302">
        <v>1.1000000000000001E-3</v>
      </c>
      <c r="H302">
        <v>8.0000000000000004E-4</v>
      </c>
      <c r="I302">
        <v>6.9999999999999999E-4</v>
      </c>
      <c r="J302">
        <v>8.0000000000000004E-4</v>
      </c>
      <c r="K302">
        <v>1E-3</v>
      </c>
      <c r="L302">
        <v>5.0000000000000001E-4</v>
      </c>
      <c r="M302">
        <v>8.9999999999999998E-4</v>
      </c>
      <c r="N302">
        <v>5.9999999999999995E-4</v>
      </c>
      <c r="O302">
        <v>8.0000000000000004E-4</v>
      </c>
      <c r="P302">
        <v>0.1</v>
      </c>
    </row>
    <row r="303" spans="1:17" ht="15.75" customHeight="1" x14ac:dyDescent="0.2">
      <c r="A303" s="10" t="s">
        <v>383</v>
      </c>
      <c r="B303" s="1" t="str">
        <f t="shared" si="9"/>
        <v>BROMAD</v>
      </c>
      <c r="C303" t="s">
        <v>185</v>
      </c>
      <c r="D303" s="9">
        <v>45063</v>
      </c>
      <c r="E303">
        <v>278</v>
      </c>
      <c r="F303">
        <v>1.1999999999999999E-3</v>
      </c>
      <c r="G303">
        <v>1.4E-3</v>
      </c>
      <c r="H303">
        <v>1.2999999999999999E-3</v>
      </c>
      <c r="I303">
        <v>1.1999999999999999E-3</v>
      </c>
      <c r="J303">
        <v>1.1999999999999999E-3</v>
      </c>
      <c r="K303">
        <v>1E-3</v>
      </c>
      <c r="L303">
        <v>1.1999999999999999E-3</v>
      </c>
      <c r="M303">
        <v>1.2999999999999999E-3</v>
      </c>
      <c r="N303">
        <v>1.1000000000000001E-3</v>
      </c>
      <c r="O303">
        <v>7.0000000000000001E-3</v>
      </c>
      <c r="P303">
        <v>0.24</v>
      </c>
      <c r="Q303" t="s">
        <v>384</v>
      </c>
    </row>
    <row r="304" spans="1:17" ht="15.75" customHeight="1" x14ac:dyDescent="0.2">
      <c r="A304" s="10" t="s">
        <v>385</v>
      </c>
      <c r="B304" s="1" t="str">
        <f t="shared" si="9"/>
        <v>BROMAD</v>
      </c>
      <c r="C304" t="s">
        <v>42</v>
      </c>
      <c r="D304" s="9">
        <v>45063</v>
      </c>
      <c r="E304">
        <v>1159</v>
      </c>
      <c r="F304">
        <v>1.6999999999999999E-3</v>
      </c>
      <c r="G304">
        <v>8.9999999999999998E-4</v>
      </c>
      <c r="H304">
        <v>1.5E-3</v>
      </c>
      <c r="I304">
        <v>1.6999999999999999E-3</v>
      </c>
      <c r="J304">
        <v>2E-3</v>
      </c>
      <c r="K304">
        <v>2.2000000000000001E-3</v>
      </c>
      <c r="L304">
        <v>1.8E-3</v>
      </c>
      <c r="M304">
        <v>1.6000000000000001E-3</v>
      </c>
      <c r="N304">
        <v>2.2000000000000001E-3</v>
      </c>
      <c r="O304">
        <v>1.5E-3</v>
      </c>
      <c r="P304">
        <v>0.83</v>
      </c>
    </row>
    <row r="305" spans="1:17" ht="15.75" customHeight="1" x14ac:dyDescent="0.2">
      <c r="A305" s="4" t="s">
        <v>386</v>
      </c>
      <c r="B305" s="1" t="str">
        <f t="shared" si="9"/>
        <v>BROMAD</v>
      </c>
      <c r="C305" t="s">
        <v>190</v>
      </c>
      <c r="D305" s="9">
        <v>45063</v>
      </c>
      <c r="E305">
        <v>925</v>
      </c>
      <c r="F305">
        <v>5.0000000000000001E-4</v>
      </c>
      <c r="G305">
        <v>1.4E-3</v>
      </c>
      <c r="H305">
        <v>5.0000000000000001E-4</v>
      </c>
      <c r="I305">
        <v>1.2999999999999999E-3</v>
      </c>
      <c r="J305">
        <v>2.0000000000000001E-4</v>
      </c>
      <c r="K305">
        <v>2.2000000000000001E-3</v>
      </c>
      <c r="L305">
        <v>5.0000000000000001E-4</v>
      </c>
      <c r="M305">
        <v>8.9999999999999998E-4</v>
      </c>
      <c r="N305">
        <v>1.6000000000000001E-3</v>
      </c>
      <c r="O305">
        <v>8.9999999999999998E-4</v>
      </c>
      <c r="P305">
        <v>0.61</v>
      </c>
    </row>
    <row r="306" spans="1:17" ht="15.75" customHeight="1" x14ac:dyDescent="0.2">
      <c r="A306" s="10" t="s">
        <v>387</v>
      </c>
      <c r="B306" s="1" t="str">
        <f t="shared" si="9"/>
        <v>BROMAD</v>
      </c>
      <c r="C306" t="s">
        <v>201</v>
      </c>
      <c r="D306" s="9">
        <v>45063</v>
      </c>
      <c r="E306">
        <v>466</v>
      </c>
      <c r="F306">
        <v>5.9999999999999995E-4</v>
      </c>
      <c r="G306">
        <v>6.9999999999999999E-4</v>
      </c>
      <c r="H306">
        <v>6.9999999999999999E-4</v>
      </c>
      <c r="I306">
        <v>1E-4</v>
      </c>
      <c r="J306">
        <v>2.0000000000000001E-4</v>
      </c>
      <c r="K306">
        <v>2.0000000000000001E-4</v>
      </c>
      <c r="L306">
        <v>4.0000000000000002E-4</v>
      </c>
      <c r="M306">
        <v>1E-4</v>
      </c>
      <c r="N306">
        <v>1E-4</v>
      </c>
      <c r="O306">
        <v>5.0000000000000001E-4</v>
      </c>
      <c r="P306">
        <v>0.21</v>
      </c>
    </row>
    <row r="307" spans="1:17" ht="15.75" customHeight="1" x14ac:dyDescent="0.2">
      <c r="A307" s="4" t="s">
        <v>388</v>
      </c>
      <c r="B307" s="1" t="str">
        <f t="shared" si="9"/>
        <v>BROMAD</v>
      </c>
      <c r="C307" t="s">
        <v>42</v>
      </c>
      <c r="D307" s="9">
        <v>45063</v>
      </c>
      <c r="E307">
        <v>513</v>
      </c>
      <c r="F307">
        <v>5.0000000000000001E-4</v>
      </c>
      <c r="G307">
        <v>8.0000000000000004E-4</v>
      </c>
      <c r="H307">
        <v>1E-3</v>
      </c>
      <c r="I307">
        <v>1.1000000000000001E-3</v>
      </c>
      <c r="J307">
        <v>8.9999999999999998E-4</v>
      </c>
      <c r="K307">
        <v>5.9999999999999995E-4</v>
      </c>
      <c r="L307">
        <v>1.1000000000000001E-3</v>
      </c>
      <c r="M307">
        <v>8.9999999999999998E-4</v>
      </c>
      <c r="N307">
        <v>8.9999999999999998E-4</v>
      </c>
      <c r="O307">
        <v>1E-3</v>
      </c>
      <c r="P307">
        <v>0.84</v>
      </c>
    </row>
    <row r="308" spans="1:17" ht="15.75" customHeight="1" x14ac:dyDescent="0.2">
      <c r="A308" s="10" t="s">
        <v>389</v>
      </c>
      <c r="B308" s="1" t="str">
        <f t="shared" si="9"/>
        <v>BROMAD</v>
      </c>
      <c r="C308" t="s">
        <v>190</v>
      </c>
      <c r="D308" s="9">
        <v>45063</v>
      </c>
      <c r="E308">
        <v>227</v>
      </c>
      <c r="F308">
        <v>1.9E-3</v>
      </c>
      <c r="G308">
        <v>2.0000000000000001E-4</v>
      </c>
      <c r="H308">
        <v>2.0000000000000001E-4</v>
      </c>
      <c r="I308">
        <v>1.6999999999999999E-3</v>
      </c>
      <c r="J308">
        <v>2.9999999999999997E-4</v>
      </c>
      <c r="K308">
        <v>1.9E-3</v>
      </c>
      <c r="L308">
        <v>1.6000000000000001E-3</v>
      </c>
      <c r="M308">
        <v>1.9E-3</v>
      </c>
      <c r="N308">
        <v>1.6000000000000001E-3</v>
      </c>
      <c r="O308">
        <v>1.6999999999999999E-3</v>
      </c>
      <c r="P308">
        <v>0.1</v>
      </c>
    </row>
    <row r="309" spans="1:17" ht="15.75" customHeight="1" x14ac:dyDescent="0.2">
      <c r="A309" s="4" t="s">
        <v>390</v>
      </c>
      <c r="B309" s="1" t="str">
        <f t="shared" si="9"/>
        <v>BROMAD</v>
      </c>
      <c r="C309" t="s">
        <v>198</v>
      </c>
      <c r="D309" s="9">
        <v>45063</v>
      </c>
      <c r="E309">
        <v>407</v>
      </c>
      <c r="F309">
        <v>6.9999999999999999E-4</v>
      </c>
      <c r="G309">
        <v>1.6000000000000001E-3</v>
      </c>
      <c r="H309">
        <v>2.0999999999999999E-3</v>
      </c>
      <c r="I309">
        <v>1.1000000000000001E-3</v>
      </c>
      <c r="J309">
        <v>2.2000000000000001E-3</v>
      </c>
      <c r="K309">
        <v>2.2000000000000001E-3</v>
      </c>
      <c r="L309">
        <v>1.1999999999999999E-3</v>
      </c>
      <c r="M309">
        <v>1.6000000000000001E-3</v>
      </c>
      <c r="N309">
        <v>8.9999999999999998E-4</v>
      </c>
      <c r="O309">
        <v>5.9999999999999995E-4</v>
      </c>
      <c r="P309">
        <v>0.46</v>
      </c>
    </row>
    <row r="310" spans="1:17" ht="15.75" customHeight="1" x14ac:dyDescent="0.2">
      <c r="A310" s="10" t="s">
        <v>391</v>
      </c>
      <c r="B310" s="1" t="str">
        <f t="shared" si="9"/>
        <v>BROMAD</v>
      </c>
      <c r="C310" t="s">
        <v>185</v>
      </c>
      <c r="D310" s="9">
        <v>45063</v>
      </c>
      <c r="E310">
        <v>151</v>
      </c>
      <c r="F310">
        <v>5.0000000000000001E-4</v>
      </c>
      <c r="G310">
        <v>6.9999999999999999E-4</v>
      </c>
      <c r="H310">
        <v>4.0000000000000002E-4</v>
      </c>
      <c r="I310">
        <v>4.0000000000000002E-4</v>
      </c>
      <c r="J310">
        <v>4.0000000000000002E-4</v>
      </c>
      <c r="K310">
        <v>1.6000000000000001E-3</v>
      </c>
      <c r="L310">
        <v>1.5E-3</v>
      </c>
      <c r="M310">
        <v>4.0000000000000002E-4</v>
      </c>
      <c r="N310">
        <v>4.0000000000000002E-4</v>
      </c>
      <c r="O310">
        <v>1E-3</v>
      </c>
      <c r="P310">
        <v>0.11</v>
      </c>
    </row>
    <row r="311" spans="1:17" ht="15.75" customHeight="1" x14ac:dyDescent="0.2">
      <c r="A311" s="4" t="s">
        <v>392</v>
      </c>
      <c r="B311" s="1" t="str">
        <f t="shared" si="9"/>
        <v>BROMAD</v>
      </c>
      <c r="C311" t="s">
        <v>188</v>
      </c>
      <c r="D311" s="9">
        <v>45063</v>
      </c>
      <c r="E311">
        <v>161</v>
      </c>
      <c r="F311">
        <v>1.1999999999999999E-3</v>
      </c>
      <c r="G311">
        <v>6.9999999999999999E-4</v>
      </c>
      <c r="H311">
        <v>2.9999999999999997E-4</v>
      </c>
      <c r="I311">
        <v>5.9999999999999995E-4</v>
      </c>
      <c r="J311">
        <v>5.9999999999999995E-4</v>
      </c>
      <c r="K311">
        <v>2.9999999999999997E-4</v>
      </c>
      <c r="L311">
        <v>8.0000000000000004E-4</v>
      </c>
      <c r="M311">
        <v>2.0000000000000001E-4</v>
      </c>
      <c r="N311">
        <v>1E-3</v>
      </c>
      <c r="O311">
        <v>6.9999999999999999E-4</v>
      </c>
      <c r="P311">
        <v>0.2</v>
      </c>
    </row>
    <row r="312" spans="1:17" ht="15.75" customHeight="1" x14ac:dyDescent="0.2">
      <c r="A312" s="4" t="s">
        <v>393</v>
      </c>
      <c r="B312" s="1" t="str">
        <f t="shared" si="9"/>
        <v>BROMAD</v>
      </c>
      <c r="C312" t="s">
        <v>190</v>
      </c>
      <c r="D312" s="9">
        <v>45063</v>
      </c>
      <c r="E312">
        <v>176</v>
      </c>
      <c r="F312">
        <v>1.4E-3</v>
      </c>
      <c r="G312">
        <v>1.1000000000000001E-3</v>
      </c>
      <c r="H312">
        <v>1.2999999999999999E-3</v>
      </c>
      <c r="I312">
        <v>1.8E-3</v>
      </c>
      <c r="J312">
        <v>1.2999999999999999E-3</v>
      </c>
      <c r="K312">
        <v>1.5E-3</v>
      </c>
      <c r="L312">
        <v>1.1000000000000001E-3</v>
      </c>
      <c r="M312">
        <v>1E-3</v>
      </c>
      <c r="N312">
        <v>1.2999999999999999E-3</v>
      </c>
      <c r="O312">
        <v>1.4E-3</v>
      </c>
      <c r="P312">
        <v>0.11</v>
      </c>
    </row>
    <row r="313" spans="1:17" ht="15.75" customHeight="1" x14ac:dyDescent="0.2">
      <c r="A313" s="4" t="s">
        <v>394</v>
      </c>
      <c r="B313" s="1" t="str">
        <f t="shared" si="9"/>
        <v>BROMAD</v>
      </c>
      <c r="C313" t="s">
        <v>44</v>
      </c>
      <c r="D313" s="9">
        <v>45063</v>
      </c>
      <c r="E313">
        <v>229</v>
      </c>
      <c r="F313">
        <v>5.9999999999999995E-4</v>
      </c>
      <c r="G313">
        <v>8.9999999999999998E-4</v>
      </c>
      <c r="H313">
        <v>8.9999999999999998E-4</v>
      </c>
      <c r="I313">
        <v>1E-3</v>
      </c>
      <c r="J313">
        <v>1.1999999999999999E-3</v>
      </c>
      <c r="K313">
        <v>1.2999999999999999E-3</v>
      </c>
      <c r="L313">
        <v>1.4E-3</v>
      </c>
      <c r="M313">
        <v>1.2999999999999999E-3</v>
      </c>
      <c r="N313">
        <v>1.1999999999999999E-3</v>
      </c>
      <c r="O313">
        <v>1E-3</v>
      </c>
      <c r="P313">
        <v>0.28999999999999998</v>
      </c>
    </row>
    <row r="314" spans="1:17" ht="15.75" customHeight="1" x14ac:dyDescent="0.2">
      <c r="A314" s="10" t="s">
        <v>395</v>
      </c>
      <c r="B314" s="1" t="str">
        <f t="shared" si="9"/>
        <v>BROMAD</v>
      </c>
      <c r="C314" t="s">
        <v>190</v>
      </c>
      <c r="D314" s="9">
        <v>45063</v>
      </c>
      <c r="E314">
        <v>306</v>
      </c>
      <c r="F314">
        <v>5.9999999999999995E-4</v>
      </c>
      <c r="G314">
        <v>2.0000000000000001E-4</v>
      </c>
      <c r="H314">
        <v>6.9999999999999999E-4</v>
      </c>
      <c r="I314">
        <v>2.3E-3</v>
      </c>
      <c r="J314">
        <v>5.0000000000000001E-4</v>
      </c>
      <c r="K314">
        <v>2.3E-3</v>
      </c>
      <c r="L314">
        <v>4.0000000000000002E-4</v>
      </c>
      <c r="M314">
        <v>2.0999999999999999E-3</v>
      </c>
      <c r="N314">
        <v>2.3E-3</v>
      </c>
      <c r="O314">
        <v>5.9999999999999995E-4</v>
      </c>
      <c r="P314">
        <v>0.25</v>
      </c>
    </row>
    <row r="315" spans="1:17" ht="15.75" customHeight="1" x14ac:dyDescent="0.2">
      <c r="A315" s="4" t="s">
        <v>396</v>
      </c>
      <c r="B315" s="1" t="str">
        <f t="shared" si="9"/>
        <v>BROMAD</v>
      </c>
      <c r="C315" t="s">
        <v>185</v>
      </c>
      <c r="D315" s="9">
        <v>45063</v>
      </c>
      <c r="E315">
        <v>263</v>
      </c>
      <c r="F315">
        <v>1.2999999999999999E-3</v>
      </c>
      <c r="G315">
        <v>2E-3</v>
      </c>
      <c r="H315">
        <v>1.8E-3</v>
      </c>
      <c r="I315">
        <v>8.9999999999999998E-4</v>
      </c>
      <c r="J315">
        <v>2.0999999999999999E-3</v>
      </c>
      <c r="K315">
        <v>2.3E-3</v>
      </c>
      <c r="L315">
        <v>2.0999999999999999E-3</v>
      </c>
      <c r="M315">
        <v>1.1999999999999999E-3</v>
      </c>
      <c r="N315">
        <v>1.1000000000000001E-3</v>
      </c>
      <c r="O315">
        <v>2.3E-3</v>
      </c>
      <c r="P315">
        <v>0.27</v>
      </c>
    </row>
    <row r="316" spans="1:17" ht="15.75" customHeight="1" x14ac:dyDescent="0.2">
      <c r="A316" s="10" t="s">
        <v>397</v>
      </c>
      <c r="B316" s="1" t="str">
        <f t="shared" si="9"/>
        <v>BROMAD</v>
      </c>
      <c r="C316" t="s">
        <v>190</v>
      </c>
      <c r="D316" s="9">
        <v>45063</v>
      </c>
      <c r="E316">
        <v>863</v>
      </c>
      <c r="F316">
        <v>2.0000000000000001E-4</v>
      </c>
      <c r="G316">
        <v>2.9999999999999997E-4</v>
      </c>
      <c r="H316">
        <v>6.9999999999999999E-4</v>
      </c>
      <c r="I316">
        <v>2.8999999999999998E-3</v>
      </c>
      <c r="J316">
        <v>1.1999999999999999E-3</v>
      </c>
      <c r="K316">
        <v>5.0000000000000001E-4</v>
      </c>
      <c r="L316">
        <v>8.0000000000000004E-4</v>
      </c>
      <c r="M316">
        <v>1.1999999999999999E-3</v>
      </c>
      <c r="N316">
        <v>1.1000000000000001E-3</v>
      </c>
      <c r="O316">
        <v>1.4E-3</v>
      </c>
      <c r="P316">
        <v>0.54</v>
      </c>
    </row>
    <row r="317" spans="1:17" ht="15.75" customHeight="1" x14ac:dyDescent="0.2">
      <c r="A317" s="10" t="s">
        <v>398</v>
      </c>
      <c r="B317" s="1" t="str">
        <f t="shared" si="9"/>
        <v>BROMAD</v>
      </c>
      <c r="C317" t="s">
        <v>188</v>
      </c>
      <c r="D317" s="9">
        <v>45063</v>
      </c>
      <c r="E317">
        <v>1021</v>
      </c>
      <c r="F317">
        <v>1.1000000000000001E-3</v>
      </c>
      <c r="G317">
        <v>5.0000000000000001E-4</v>
      </c>
      <c r="H317">
        <v>8.9999999999999998E-4</v>
      </c>
      <c r="I317">
        <v>1E-3</v>
      </c>
      <c r="J317">
        <v>1E-3</v>
      </c>
      <c r="K317">
        <v>8.0000000000000004E-4</v>
      </c>
      <c r="L317">
        <v>8.9999999999999998E-4</v>
      </c>
      <c r="M317">
        <v>6.9999999999999999E-4</v>
      </c>
      <c r="N317">
        <v>5.9999999999999995E-4</v>
      </c>
      <c r="O317">
        <v>8.9999999999999998E-4</v>
      </c>
      <c r="P317">
        <v>0.93</v>
      </c>
    </row>
    <row r="318" spans="1:17" ht="15.75" customHeight="1" x14ac:dyDescent="0.2">
      <c r="A318" s="4" t="s">
        <v>399</v>
      </c>
      <c r="B318" s="1" t="str">
        <f t="shared" si="9"/>
        <v>BROMAD</v>
      </c>
      <c r="C318" t="s">
        <v>201</v>
      </c>
      <c r="D318" s="9">
        <v>45063</v>
      </c>
      <c r="E318">
        <v>1840</v>
      </c>
      <c r="F318">
        <v>8.9999999999999998E-4</v>
      </c>
      <c r="G318">
        <v>5.0000000000000001E-4</v>
      </c>
      <c r="H318">
        <v>1E-3</v>
      </c>
      <c r="I318">
        <v>4.0000000000000002E-4</v>
      </c>
      <c r="J318">
        <v>8.0000000000000004E-4</v>
      </c>
      <c r="K318">
        <v>1.1000000000000001E-3</v>
      </c>
      <c r="L318">
        <v>5.9999999999999995E-4</v>
      </c>
      <c r="M318">
        <v>6.9999999999999999E-4</v>
      </c>
      <c r="N318">
        <v>2.9999999999999997E-4</v>
      </c>
      <c r="O318">
        <v>1E-3</v>
      </c>
      <c r="P318">
        <v>1.36</v>
      </c>
    </row>
    <row r="319" spans="1:17" ht="15.75" customHeight="1" x14ac:dyDescent="0.2">
      <c r="A319" s="4" t="s">
        <v>400</v>
      </c>
      <c r="B319" s="1" t="str">
        <f t="shared" si="9"/>
        <v>BROMAD</v>
      </c>
      <c r="C319" t="s">
        <v>185</v>
      </c>
      <c r="D319" s="9">
        <v>45063</v>
      </c>
      <c r="E319">
        <v>490</v>
      </c>
      <c r="F319" t="s">
        <v>319</v>
      </c>
      <c r="G319" t="s">
        <v>319</v>
      </c>
      <c r="H319" t="s">
        <v>319</v>
      </c>
      <c r="I319" t="s">
        <v>319</v>
      </c>
      <c r="J319" t="s">
        <v>319</v>
      </c>
      <c r="K319" t="s">
        <v>319</v>
      </c>
      <c r="L319" t="s">
        <v>319</v>
      </c>
      <c r="M319" t="s">
        <v>319</v>
      </c>
      <c r="N319" t="s">
        <v>319</v>
      </c>
      <c r="O319" t="s">
        <v>319</v>
      </c>
      <c r="P319">
        <v>0.39</v>
      </c>
      <c r="Q319" t="s">
        <v>295</v>
      </c>
    </row>
    <row r="320" spans="1:17" ht="15.75" customHeight="1" x14ac:dyDescent="0.2">
      <c r="A320" s="4" t="s">
        <v>401</v>
      </c>
      <c r="B320" s="1" t="str">
        <f t="shared" si="9"/>
        <v>BROMAD</v>
      </c>
      <c r="C320" t="s">
        <v>42</v>
      </c>
      <c r="D320" s="9">
        <v>45063</v>
      </c>
      <c r="E320">
        <v>421</v>
      </c>
      <c r="F320">
        <v>2.2000000000000001E-3</v>
      </c>
      <c r="G320">
        <v>8.9999999999999998E-4</v>
      </c>
      <c r="H320">
        <v>2.5999999999999999E-3</v>
      </c>
      <c r="I320">
        <v>2.5999999999999999E-3</v>
      </c>
      <c r="J320">
        <v>1.1999999999999999E-3</v>
      </c>
      <c r="K320">
        <v>2.0999999999999999E-3</v>
      </c>
      <c r="L320">
        <v>2.5999999999999999E-3</v>
      </c>
      <c r="M320">
        <v>2.5000000000000001E-3</v>
      </c>
      <c r="N320">
        <v>2E-3</v>
      </c>
      <c r="O320">
        <v>2.3999999999999998E-3</v>
      </c>
      <c r="P320">
        <v>0.57999999999999996</v>
      </c>
    </row>
    <row r="321" spans="1:17" ht="15.75" customHeight="1" x14ac:dyDescent="0.2">
      <c r="A321" s="10" t="s">
        <v>402</v>
      </c>
      <c r="B321" s="1" t="str">
        <f t="shared" si="9"/>
        <v>BROMAD</v>
      </c>
      <c r="C321" t="s">
        <v>185</v>
      </c>
      <c r="D321" s="9">
        <v>45063</v>
      </c>
      <c r="E321">
        <v>154</v>
      </c>
      <c r="F321">
        <v>6.9999999999999999E-4</v>
      </c>
      <c r="G321">
        <v>8.9999999999999998E-4</v>
      </c>
      <c r="H321">
        <v>1.1999999999999999E-3</v>
      </c>
      <c r="I321">
        <v>1.1000000000000001E-3</v>
      </c>
      <c r="J321">
        <v>1.1000000000000001E-3</v>
      </c>
      <c r="K321">
        <v>8.9999999999999998E-4</v>
      </c>
      <c r="L321">
        <v>6.9999999999999999E-4</v>
      </c>
      <c r="M321">
        <v>1E-3</v>
      </c>
      <c r="N321">
        <v>6.9999999999999999E-4</v>
      </c>
      <c r="O321">
        <v>8.9999999999999998E-4</v>
      </c>
      <c r="P321">
        <v>7.0000000000000007E-2</v>
      </c>
    </row>
    <row r="322" spans="1:17" ht="15.75" customHeight="1" x14ac:dyDescent="0.2">
      <c r="A322" s="4" t="s">
        <v>403</v>
      </c>
      <c r="B322" s="1" t="str">
        <f t="shared" si="9"/>
        <v>BROMAD</v>
      </c>
      <c r="C322" t="s">
        <v>190</v>
      </c>
      <c r="D322" s="9">
        <v>45063</v>
      </c>
      <c r="E322">
        <v>356</v>
      </c>
      <c r="F322">
        <v>1.6999999999999999E-3</v>
      </c>
      <c r="G322">
        <v>1.1999999999999999E-3</v>
      </c>
      <c r="H322">
        <v>1.2999999999999999E-3</v>
      </c>
      <c r="I322">
        <v>1.1999999999999999E-3</v>
      </c>
      <c r="J322">
        <v>1.1999999999999999E-3</v>
      </c>
      <c r="K322">
        <v>1.6000000000000001E-3</v>
      </c>
      <c r="L322">
        <v>4.0000000000000002E-4</v>
      </c>
      <c r="M322">
        <v>1.6000000000000001E-3</v>
      </c>
      <c r="N322">
        <v>5.0000000000000001E-4</v>
      </c>
      <c r="O322">
        <v>6.9999999999999999E-4</v>
      </c>
      <c r="P322">
        <v>0.32</v>
      </c>
    </row>
    <row r="323" spans="1:17" ht="15.75" customHeight="1" x14ac:dyDescent="0.2">
      <c r="A323" s="10" t="s">
        <v>404</v>
      </c>
      <c r="B323" s="1" t="str">
        <f>MID(A323,4,6)</f>
        <v>BROMAD</v>
      </c>
      <c r="C323" t="s">
        <v>42</v>
      </c>
      <c r="D323" s="9">
        <v>45063</v>
      </c>
      <c r="E323">
        <v>796</v>
      </c>
      <c r="P323">
        <v>0.59</v>
      </c>
      <c r="Q323" t="s">
        <v>295</v>
      </c>
    </row>
    <row r="324" spans="1:17" ht="15.75" customHeight="1" x14ac:dyDescent="0.2">
      <c r="A324" s="4" t="s">
        <v>405</v>
      </c>
      <c r="B324" s="1" t="str">
        <f t="shared" si="9"/>
        <v>BROMAD</v>
      </c>
      <c r="C324" s="9" t="s">
        <v>190</v>
      </c>
      <c r="D324" s="9">
        <v>45429</v>
      </c>
      <c r="E324">
        <v>2930</v>
      </c>
      <c r="F324">
        <v>1.1000000000000001E-3</v>
      </c>
      <c r="G324">
        <v>1.1000000000000001E-3</v>
      </c>
      <c r="H324">
        <v>1.6000000000000001E-3</v>
      </c>
      <c r="I324">
        <v>1.5E-3</v>
      </c>
      <c r="J324">
        <v>1.9E-3</v>
      </c>
      <c r="K324">
        <v>1.6999999999999999E-3</v>
      </c>
      <c r="L324">
        <v>1.1999999999999999E-3</v>
      </c>
      <c r="M324">
        <v>5.9999999999999995E-4</v>
      </c>
      <c r="N324">
        <v>5.9999999999999995E-4</v>
      </c>
      <c r="O324">
        <v>1.1000000000000001E-3</v>
      </c>
      <c r="P324">
        <v>2.2999999999999998</v>
      </c>
    </row>
    <row r="325" spans="1:17" ht="15.75" customHeight="1" x14ac:dyDescent="0.2">
      <c r="A325" s="10" t="s">
        <v>406</v>
      </c>
      <c r="B325" s="1" t="str">
        <f t="shared" si="9"/>
        <v>BROMAD</v>
      </c>
      <c r="C325" t="s">
        <v>196</v>
      </c>
      <c r="D325" s="9">
        <v>45063</v>
      </c>
      <c r="E325">
        <v>522</v>
      </c>
      <c r="F325">
        <v>1.1999999999999999E-3</v>
      </c>
      <c r="G325">
        <v>5.0000000000000001E-4</v>
      </c>
      <c r="H325">
        <f>0.0047/5</f>
        <v>9.4000000000000008E-4</v>
      </c>
      <c r="I325">
        <v>8.9999999999999998E-4</v>
      </c>
      <c r="J325">
        <f>0.0026/4</f>
        <v>6.4999999999999997E-4</v>
      </c>
      <c r="K325">
        <f>0.0041/4</f>
        <v>1.0250000000000001E-3</v>
      </c>
      <c r="L325">
        <v>1.1000000000000001E-3</v>
      </c>
      <c r="M325">
        <f>0.0028/4</f>
        <v>6.9999999999999999E-4</v>
      </c>
      <c r="N325">
        <f>0.0024/4</f>
        <v>5.9999999999999995E-4</v>
      </c>
      <c r="O325">
        <v>5.9999999999999995E-4</v>
      </c>
      <c r="P325">
        <v>0.42</v>
      </c>
    </row>
    <row r="326" spans="1:17" ht="15.75" customHeight="1" x14ac:dyDescent="0.2">
      <c r="A326" s="10" t="s">
        <v>407</v>
      </c>
      <c r="B326" s="1" t="str">
        <f t="shared" si="9"/>
        <v>CALMEN</v>
      </c>
    </row>
    <row r="327" spans="1:17" ht="15.75" customHeight="1" x14ac:dyDescent="0.2">
      <c r="A327" s="4" t="s">
        <v>408</v>
      </c>
      <c r="B327" s="1" t="str">
        <f t="shared" si="9"/>
        <v>CALMEN</v>
      </c>
      <c r="C327" s="1" t="s">
        <v>42</v>
      </c>
      <c r="D327" s="1" t="s">
        <v>319</v>
      </c>
      <c r="E327" s="1" t="s">
        <v>319</v>
      </c>
      <c r="F327" s="1" t="s">
        <v>319</v>
      </c>
      <c r="G327" s="1" t="s">
        <v>319</v>
      </c>
      <c r="H327" s="1" t="s">
        <v>319</v>
      </c>
      <c r="I327" s="1" t="s">
        <v>319</v>
      </c>
      <c r="J327" s="1" t="s">
        <v>319</v>
      </c>
      <c r="K327" s="1" t="s">
        <v>319</v>
      </c>
      <c r="L327" s="1" t="s">
        <v>319</v>
      </c>
      <c r="M327" s="1" t="s">
        <v>319</v>
      </c>
      <c r="N327" s="1" t="s">
        <v>319</v>
      </c>
      <c r="O327" s="1" t="s">
        <v>319</v>
      </c>
      <c r="P327" s="1" t="s">
        <v>319</v>
      </c>
      <c r="Q327" s="1" t="s">
        <v>409</v>
      </c>
    </row>
    <row r="328" spans="1:17" ht="15.75" customHeight="1" x14ac:dyDescent="0.2">
      <c r="A328" s="4" t="s">
        <v>410</v>
      </c>
      <c r="B328" s="1" t="str">
        <f t="shared" si="9"/>
        <v>CALMEN</v>
      </c>
      <c r="C328" t="s">
        <v>42</v>
      </c>
      <c r="D328" s="9">
        <v>45063</v>
      </c>
      <c r="E328">
        <v>7</v>
      </c>
      <c r="P328">
        <v>7.0000000000000007E-2</v>
      </c>
      <c r="Q328" t="s">
        <v>238</v>
      </c>
    </row>
    <row r="329" spans="1:17" ht="15.75" customHeight="1" x14ac:dyDescent="0.2">
      <c r="A329" s="10" t="s">
        <v>411</v>
      </c>
      <c r="B329" s="1" t="str">
        <f t="shared" si="9"/>
        <v>CALMEN</v>
      </c>
      <c r="C329" s="1" t="s">
        <v>42</v>
      </c>
      <c r="D329" s="1" t="s">
        <v>319</v>
      </c>
      <c r="E329" s="1" t="s">
        <v>319</v>
      </c>
      <c r="F329" s="1" t="s">
        <v>319</v>
      </c>
      <c r="G329" s="1" t="s">
        <v>319</v>
      </c>
      <c r="H329" s="1" t="s">
        <v>319</v>
      </c>
      <c r="I329" s="1" t="s">
        <v>319</v>
      </c>
      <c r="J329" s="1" t="s">
        <v>319</v>
      </c>
      <c r="K329" s="1" t="s">
        <v>319</v>
      </c>
      <c r="L329" s="1" t="s">
        <v>319</v>
      </c>
      <c r="M329" s="1" t="s">
        <v>319</v>
      </c>
      <c r="N329" s="1" t="s">
        <v>319</v>
      </c>
      <c r="O329" s="1" t="s">
        <v>319</v>
      </c>
      <c r="P329" s="1" t="s">
        <v>319</v>
      </c>
      <c r="Q329" s="1" t="s">
        <v>409</v>
      </c>
    </row>
    <row r="330" spans="1:17" ht="15.75" customHeight="1" x14ac:dyDescent="0.2">
      <c r="A330" s="10" t="s">
        <v>412</v>
      </c>
      <c r="B330" s="1" t="str">
        <f t="shared" si="9"/>
        <v>CALMEN</v>
      </c>
      <c r="C330" t="s">
        <v>42</v>
      </c>
      <c r="D330" s="9">
        <v>45044</v>
      </c>
      <c r="E330">
        <v>3</v>
      </c>
      <c r="P330">
        <v>2.5999999999999999E-3</v>
      </c>
      <c r="Q330" t="s">
        <v>238</v>
      </c>
    </row>
    <row r="331" spans="1:17" ht="15.75" customHeight="1" x14ac:dyDescent="0.2">
      <c r="A331" s="4" t="s">
        <v>413</v>
      </c>
      <c r="B331" s="1" t="str">
        <f t="shared" si="9"/>
        <v>CALMEN</v>
      </c>
    </row>
    <row r="332" spans="1:17" ht="15.75" customHeight="1" x14ac:dyDescent="0.2">
      <c r="A332" s="10" t="s">
        <v>414</v>
      </c>
      <c r="B332" s="1" t="str">
        <f t="shared" si="9"/>
        <v>CALMEN</v>
      </c>
      <c r="C332" s="1" t="s">
        <v>42</v>
      </c>
      <c r="D332" s="1" t="s">
        <v>319</v>
      </c>
      <c r="E332" s="1" t="s">
        <v>319</v>
      </c>
      <c r="F332" s="1" t="s">
        <v>319</v>
      </c>
      <c r="G332" s="1" t="s">
        <v>319</v>
      </c>
      <c r="H332" s="1" t="s">
        <v>319</v>
      </c>
      <c r="I332" s="1" t="s">
        <v>319</v>
      </c>
      <c r="J332" s="1" t="s">
        <v>319</v>
      </c>
      <c r="K332" s="1" t="s">
        <v>319</v>
      </c>
      <c r="L332" s="1" t="s">
        <v>319</v>
      </c>
      <c r="M332" s="1" t="s">
        <v>319</v>
      </c>
      <c r="N332" s="1" t="s">
        <v>319</v>
      </c>
      <c r="O332" s="1" t="s">
        <v>319</v>
      </c>
      <c r="P332" s="1" t="s">
        <v>319</v>
      </c>
      <c r="Q332" s="1" t="s">
        <v>415</v>
      </c>
    </row>
    <row r="333" spans="1:17" ht="15.75" customHeight="1" x14ac:dyDescent="0.2">
      <c r="A333" s="4" t="s">
        <v>416</v>
      </c>
      <c r="B333" s="1" t="str">
        <f t="shared" si="9"/>
        <v>CALMEN</v>
      </c>
      <c r="C333" s="1" t="s">
        <v>42</v>
      </c>
      <c r="D333" s="1" t="s">
        <v>319</v>
      </c>
      <c r="E333" s="1" t="s">
        <v>319</v>
      </c>
      <c r="F333" s="1" t="s">
        <v>319</v>
      </c>
      <c r="G333" s="1" t="s">
        <v>319</v>
      </c>
      <c r="H333" s="1" t="s">
        <v>319</v>
      </c>
      <c r="I333" s="1" t="s">
        <v>319</v>
      </c>
      <c r="J333" s="1" t="s">
        <v>319</v>
      </c>
      <c r="K333" s="1" t="s">
        <v>319</v>
      </c>
      <c r="L333" s="1" t="s">
        <v>319</v>
      </c>
      <c r="M333" s="1" t="s">
        <v>319</v>
      </c>
      <c r="N333" s="1" t="s">
        <v>319</v>
      </c>
      <c r="O333" s="1" t="s">
        <v>319</v>
      </c>
      <c r="P333" s="1" t="s">
        <v>319</v>
      </c>
      <c r="Q333" s="1" t="s">
        <v>409</v>
      </c>
    </row>
    <row r="334" spans="1:17" ht="15.75" customHeight="1" x14ac:dyDescent="0.2">
      <c r="A334" s="10" t="s">
        <v>417</v>
      </c>
      <c r="B334" s="1" t="str">
        <f t="shared" si="9"/>
        <v>CALMEN</v>
      </c>
      <c r="C334" t="s">
        <v>42</v>
      </c>
      <c r="D334" s="9">
        <v>45045</v>
      </c>
      <c r="E334">
        <v>8</v>
      </c>
      <c r="P334">
        <v>0.08</v>
      </c>
      <c r="Q334" t="s">
        <v>238</v>
      </c>
    </row>
    <row r="335" spans="1:17" ht="15.75" customHeight="1" x14ac:dyDescent="0.2">
      <c r="A335" s="10" t="s">
        <v>418</v>
      </c>
      <c r="B335" s="1" t="str">
        <f t="shared" si="9"/>
        <v>CALMEN</v>
      </c>
    </row>
    <row r="336" spans="1:17" ht="15.75" customHeight="1" x14ac:dyDescent="0.2">
      <c r="A336" s="4" t="s">
        <v>419</v>
      </c>
      <c r="B336" s="1" t="str">
        <f t="shared" si="9"/>
        <v>CALMEN</v>
      </c>
    </row>
    <row r="337" spans="1:17" ht="15.75" customHeight="1" x14ac:dyDescent="0.2">
      <c r="A337" s="4" t="s">
        <v>420</v>
      </c>
      <c r="B337" s="1" t="str">
        <f t="shared" si="9"/>
        <v>CALMEN</v>
      </c>
    </row>
    <row r="338" spans="1:17" ht="15.75" customHeight="1" x14ac:dyDescent="0.2">
      <c r="A338" s="10" t="s">
        <v>421</v>
      </c>
      <c r="B338" s="1" t="str">
        <f t="shared" si="9"/>
        <v>CALMEN</v>
      </c>
    </row>
    <row r="339" spans="1:17" ht="15.75" customHeight="1" x14ac:dyDescent="0.2">
      <c r="A339" s="10" t="s">
        <v>422</v>
      </c>
      <c r="B339" s="1" t="str">
        <f t="shared" si="9"/>
        <v>CALMEN</v>
      </c>
      <c r="C339" t="s">
        <v>42</v>
      </c>
      <c r="D339" s="9">
        <v>45057</v>
      </c>
      <c r="E339">
        <v>186</v>
      </c>
      <c r="F339">
        <v>2.8999999999999998E-3</v>
      </c>
      <c r="G339">
        <v>1.9E-3</v>
      </c>
      <c r="H339">
        <v>1.2999999999999999E-3</v>
      </c>
      <c r="I339">
        <v>2.7000000000000001E-3</v>
      </c>
      <c r="J339">
        <v>2.0999999999999999E-3</v>
      </c>
      <c r="K339">
        <v>2.7000000000000001E-3</v>
      </c>
      <c r="L339">
        <v>3.5999999999999999E-3</v>
      </c>
      <c r="M339">
        <v>1.8E-3</v>
      </c>
      <c r="N339">
        <v>3.7000000000000002E-3</v>
      </c>
      <c r="O339">
        <v>3.5000000000000001E-3</v>
      </c>
      <c r="P339">
        <v>1.2</v>
      </c>
    </row>
    <row r="340" spans="1:17" ht="15.75" customHeight="1" x14ac:dyDescent="0.2">
      <c r="A340" s="4" t="s">
        <v>423</v>
      </c>
      <c r="B340" s="1" t="str">
        <f t="shared" si="9"/>
        <v>CALMEN</v>
      </c>
    </row>
    <row r="341" spans="1:17" ht="15.75" customHeight="1" x14ac:dyDescent="0.2">
      <c r="A341" s="10" t="s">
        <v>424</v>
      </c>
      <c r="B341" s="1" t="str">
        <f t="shared" si="9"/>
        <v>CALMEN</v>
      </c>
      <c r="C341" t="s">
        <v>42</v>
      </c>
      <c r="D341" s="9">
        <v>45057</v>
      </c>
      <c r="E341">
        <v>181</v>
      </c>
      <c r="F341">
        <v>1.06E-2</v>
      </c>
      <c r="G341">
        <v>6.4999999999999997E-3</v>
      </c>
      <c r="H341">
        <v>8.9999999999999993E-3</v>
      </c>
      <c r="I341">
        <v>1.3599999999999999E-2</v>
      </c>
      <c r="J341">
        <v>1.14E-2</v>
      </c>
      <c r="K341">
        <v>1.0699999999999999E-2</v>
      </c>
      <c r="L341">
        <v>4.1000000000000003E-3</v>
      </c>
      <c r="M341">
        <v>3.5000000000000001E-3</v>
      </c>
      <c r="N341">
        <v>7.4999999999999997E-3</v>
      </c>
      <c r="O341">
        <v>4.5999999999999999E-3</v>
      </c>
      <c r="P341">
        <v>3.19</v>
      </c>
    </row>
    <row r="342" spans="1:17" ht="15.75" customHeight="1" x14ac:dyDescent="0.2">
      <c r="A342" s="10" t="s">
        <v>425</v>
      </c>
      <c r="B342" s="1" t="str">
        <f t="shared" si="9"/>
        <v>CAUCOU</v>
      </c>
      <c r="C342" s="1" t="s">
        <v>18</v>
      </c>
      <c r="D342" s="3">
        <v>45037</v>
      </c>
      <c r="E342" s="1">
        <v>2</v>
      </c>
      <c r="F342" s="1">
        <v>6.7999999999999996E-3</v>
      </c>
      <c r="G342" s="1">
        <v>5.7999999999999996E-3</v>
      </c>
      <c r="P342" s="1">
        <v>0.18360000000000001</v>
      </c>
      <c r="Q342" s="1" t="s">
        <v>426</v>
      </c>
    </row>
    <row r="343" spans="1:17" ht="15.75" customHeight="1" x14ac:dyDescent="0.2">
      <c r="A343" s="10" t="s">
        <v>427</v>
      </c>
      <c r="B343" s="1" t="str">
        <f t="shared" si="9"/>
        <v>CAUCOU</v>
      </c>
      <c r="C343" t="s">
        <v>185</v>
      </c>
      <c r="D343" s="9">
        <v>45057</v>
      </c>
      <c r="E343">
        <v>183</v>
      </c>
      <c r="F343">
        <v>8.8000000000000005E-3</v>
      </c>
      <c r="G343">
        <v>9.1999999999999998E-3</v>
      </c>
      <c r="H343">
        <v>7.7999999999999996E-3</v>
      </c>
      <c r="I343">
        <v>5.8999999999999999E-3</v>
      </c>
      <c r="J343">
        <v>8.0000000000000002E-3</v>
      </c>
      <c r="K343">
        <v>7.3000000000000001E-3</v>
      </c>
      <c r="L343">
        <v>6.1000000000000004E-3</v>
      </c>
      <c r="M343">
        <v>8.2000000000000007E-3</v>
      </c>
      <c r="N343">
        <v>9.1000000000000004E-3</v>
      </c>
      <c r="O343">
        <v>9.4000000000000004E-3</v>
      </c>
      <c r="P343">
        <v>7.73</v>
      </c>
    </row>
    <row r="344" spans="1:17" ht="15.75" customHeight="1" x14ac:dyDescent="0.2">
      <c r="A344" s="10" t="s">
        <v>428</v>
      </c>
      <c r="B344" s="1" t="str">
        <f t="shared" si="9"/>
        <v>CAUCOU</v>
      </c>
      <c r="C344" t="s">
        <v>319</v>
      </c>
      <c r="D344" t="s">
        <v>319</v>
      </c>
      <c r="E344" t="s">
        <v>319</v>
      </c>
      <c r="F344" t="s">
        <v>319</v>
      </c>
      <c r="G344" t="s">
        <v>319</v>
      </c>
      <c r="H344" t="s">
        <v>319</v>
      </c>
      <c r="I344" t="s">
        <v>319</v>
      </c>
      <c r="J344" t="s">
        <v>319</v>
      </c>
      <c r="K344" t="s">
        <v>319</v>
      </c>
      <c r="L344" t="s">
        <v>319</v>
      </c>
      <c r="M344" t="s">
        <v>319</v>
      </c>
      <c r="N344" t="s">
        <v>319</v>
      </c>
      <c r="O344" t="s">
        <v>319</v>
      </c>
      <c r="P344" t="s">
        <v>319</v>
      </c>
    </row>
    <row r="345" spans="1:17" ht="15.75" customHeight="1" x14ac:dyDescent="0.2">
      <c r="A345" s="10" t="s">
        <v>429</v>
      </c>
      <c r="B345" s="1" t="str">
        <f t="shared" si="9"/>
        <v>CAUCOU</v>
      </c>
      <c r="C345" t="s">
        <v>319</v>
      </c>
      <c r="D345" t="s">
        <v>319</v>
      </c>
      <c r="E345" t="s">
        <v>319</v>
      </c>
      <c r="F345" t="s">
        <v>319</v>
      </c>
      <c r="G345" t="s">
        <v>319</v>
      </c>
      <c r="H345" t="s">
        <v>319</v>
      </c>
      <c r="I345" t="s">
        <v>319</v>
      </c>
      <c r="J345" t="s">
        <v>319</v>
      </c>
      <c r="K345" t="s">
        <v>319</v>
      </c>
      <c r="L345" t="s">
        <v>319</v>
      </c>
      <c r="M345" t="s">
        <v>319</v>
      </c>
      <c r="N345" t="s">
        <v>319</v>
      </c>
      <c r="O345" t="s">
        <v>319</v>
      </c>
      <c r="P345" t="s">
        <v>319</v>
      </c>
    </row>
    <row r="346" spans="1:17" ht="15.75" customHeight="1" x14ac:dyDescent="0.2">
      <c r="A346" s="4" t="s">
        <v>430</v>
      </c>
      <c r="B346" s="1" t="str">
        <f t="shared" si="9"/>
        <v>CAUCOU</v>
      </c>
      <c r="C346" t="s">
        <v>319</v>
      </c>
      <c r="D346" t="s">
        <v>319</v>
      </c>
      <c r="E346" t="s">
        <v>319</v>
      </c>
      <c r="F346" t="s">
        <v>319</v>
      </c>
      <c r="G346" t="s">
        <v>319</v>
      </c>
      <c r="H346" t="s">
        <v>319</v>
      </c>
      <c r="I346" t="s">
        <v>319</v>
      </c>
      <c r="J346" t="s">
        <v>319</v>
      </c>
      <c r="K346" t="s">
        <v>319</v>
      </c>
      <c r="L346" t="s">
        <v>319</v>
      </c>
      <c r="M346" t="s">
        <v>319</v>
      </c>
      <c r="N346" t="s">
        <v>319</v>
      </c>
      <c r="O346" t="s">
        <v>319</v>
      </c>
      <c r="P346" t="s">
        <v>319</v>
      </c>
    </row>
    <row r="347" spans="1:17" ht="15.75" customHeight="1" x14ac:dyDescent="0.2">
      <c r="A347" s="4" t="s">
        <v>431</v>
      </c>
      <c r="B347" s="1" t="str">
        <f t="shared" si="9"/>
        <v>CAUCOU</v>
      </c>
      <c r="C347" t="s">
        <v>319</v>
      </c>
      <c r="D347" t="s">
        <v>319</v>
      </c>
      <c r="E347" t="s">
        <v>319</v>
      </c>
      <c r="F347" t="s">
        <v>319</v>
      </c>
      <c r="G347" t="s">
        <v>319</v>
      </c>
      <c r="H347" t="s">
        <v>319</v>
      </c>
      <c r="I347" t="s">
        <v>319</v>
      </c>
      <c r="J347" t="s">
        <v>319</v>
      </c>
      <c r="K347" t="s">
        <v>319</v>
      </c>
      <c r="L347" t="s">
        <v>319</v>
      </c>
      <c r="M347" t="s">
        <v>319</v>
      </c>
      <c r="N347" t="s">
        <v>319</v>
      </c>
      <c r="O347" t="s">
        <v>319</v>
      </c>
      <c r="P347" t="s">
        <v>319</v>
      </c>
    </row>
    <row r="348" spans="1:17" ht="15.75" customHeight="1" x14ac:dyDescent="0.2">
      <c r="A348" s="4" t="s">
        <v>432</v>
      </c>
      <c r="B348" s="1" t="str">
        <f t="shared" si="9"/>
        <v>CAUCOU</v>
      </c>
      <c r="C348" t="s">
        <v>319</v>
      </c>
      <c r="D348" t="s">
        <v>319</v>
      </c>
      <c r="E348" t="s">
        <v>319</v>
      </c>
      <c r="F348" t="s">
        <v>319</v>
      </c>
      <c r="G348" t="s">
        <v>319</v>
      </c>
      <c r="H348" t="s">
        <v>319</v>
      </c>
      <c r="I348" t="s">
        <v>319</v>
      </c>
      <c r="J348" t="s">
        <v>319</v>
      </c>
      <c r="K348" t="s">
        <v>319</v>
      </c>
      <c r="L348" t="s">
        <v>319</v>
      </c>
      <c r="M348" t="s">
        <v>319</v>
      </c>
      <c r="N348" t="s">
        <v>319</v>
      </c>
      <c r="O348" t="s">
        <v>319</v>
      </c>
      <c r="P348" t="s">
        <v>319</v>
      </c>
    </row>
    <row r="349" spans="1:17" ht="15.75" customHeight="1" x14ac:dyDescent="0.2">
      <c r="A349" s="10" t="s">
        <v>433</v>
      </c>
      <c r="B349" s="1" t="str">
        <f t="shared" si="9"/>
        <v>CAUCOU</v>
      </c>
      <c r="C349" t="s">
        <v>319</v>
      </c>
      <c r="D349" t="s">
        <v>319</v>
      </c>
      <c r="E349" t="s">
        <v>319</v>
      </c>
      <c r="F349" t="s">
        <v>319</v>
      </c>
      <c r="G349" t="s">
        <v>319</v>
      </c>
      <c r="H349" t="s">
        <v>319</v>
      </c>
      <c r="I349" t="s">
        <v>319</v>
      </c>
      <c r="J349" t="s">
        <v>319</v>
      </c>
      <c r="K349" t="s">
        <v>319</v>
      </c>
      <c r="L349" t="s">
        <v>319</v>
      </c>
      <c r="M349" t="s">
        <v>319</v>
      </c>
      <c r="N349" t="s">
        <v>319</v>
      </c>
      <c r="O349" t="s">
        <v>319</v>
      </c>
      <c r="P349" t="s">
        <v>319</v>
      </c>
    </row>
    <row r="350" spans="1:17" ht="15.75" customHeight="1" x14ac:dyDescent="0.2">
      <c r="A350" s="10" t="s">
        <v>434</v>
      </c>
      <c r="B350" s="1" t="str">
        <f t="shared" si="9"/>
        <v>CAUCOU</v>
      </c>
      <c r="C350" t="s">
        <v>319</v>
      </c>
      <c r="D350" t="s">
        <v>319</v>
      </c>
      <c r="E350" t="s">
        <v>319</v>
      </c>
      <c r="F350" t="s">
        <v>319</v>
      </c>
      <c r="G350" t="s">
        <v>319</v>
      </c>
      <c r="H350" t="s">
        <v>319</v>
      </c>
      <c r="I350" t="s">
        <v>319</v>
      </c>
      <c r="J350" t="s">
        <v>319</v>
      </c>
      <c r="K350" t="s">
        <v>319</v>
      </c>
      <c r="L350" t="s">
        <v>319</v>
      </c>
      <c r="M350" t="s">
        <v>319</v>
      </c>
      <c r="N350" t="s">
        <v>319</v>
      </c>
      <c r="O350" t="s">
        <v>319</v>
      </c>
      <c r="P350" t="s">
        <v>319</v>
      </c>
    </row>
    <row r="351" spans="1:17" ht="15.75" customHeight="1" x14ac:dyDescent="0.2">
      <c r="A351" s="10" t="s">
        <v>435</v>
      </c>
      <c r="B351" s="1" t="str">
        <f t="shared" si="9"/>
        <v>CAUCOU</v>
      </c>
      <c r="C351" t="s">
        <v>319</v>
      </c>
      <c r="D351" t="s">
        <v>319</v>
      </c>
      <c r="E351" t="s">
        <v>319</v>
      </c>
      <c r="F351" t="s">
        <v>319</v>
      </c>
      <c r="G351" t="s">
        <v>319</v>
      </c>
      <c r="H351" t="s">
        <v>319</v>
      </c>
      <c r="I351" t="s">
        <v>319</v>
      </c>
      <c r="J351" t="s">
        <v>319</v>
      </c>
      <c r="K351" t="s">
        <v>319</v>
      </c>
      <c r="L351" t="s">
        <v>319</v>
      </c>
      <c r="M351" t="s">
        <v>319</v>
      </c>
      <c r="N351" t="s">
        <v>319</v>
      </c>
      <c r="O351" t="s">
        <v>319</v>
      </c>
      <c r="P351" t="s">
        <v>319</v>
      </c>
    </row>
    <row r="352" spans="1:17" ht="15.75" customHeight="1" x14ac:dyDescent="0.2">
      <c r="A352" s="4" t="s">
        <v>436</v>
      </c>
      <c r="B352" s="1" t="str">
        <f t="shared" si="9"/>
        <v>CAUCOU</v>
      </c>
      <c r="C352" t="s">
        <v>319</v>
      </c>
      <c r="D352" t="s">
        <v>319</v>
      </c>
      <c r="E352" t="s">
        <v>319</v>
      </c>
      <c r="F352" t="s">
        <v>319</v>
      </c>
      <c r="G352" t="s">
        <v>319</v>
      </c>
      <c r="H352" t="s">
        <v>319</v>
      </c>
      <c r="I352" t="s">
        <v>319</v>
      </c>
      <c r="J352" t="s">
        <v>319</v>
      </c>
      <c r="K352" t="s">
        <v>319</v>
      </c>
      <c r="L352" t="s">
        <v>319</v>
      </c>
      <c r="M352" t="s">
        <v>319</v>
      </c>
      <c r="N352" t="s">
        <v>319</v>
      </c>
      <c r="O352" t="s">
        <v>319</v>
      </c>
      <c r="P352" t="s">
        <v>319</v>
      </c>
    </row>
    <row r="353" spans="1:17" ht="15.75" customHeight="1" x14ac:dyDescent="0.2">
      <c r="A353" s="10" t="s">
        <v>437</v>
      </c>
      <c r="B353" s="1" t="str">
        <f t="shared" si="9"/>
        <v>CAUCOU</v>
      </c>
      <c r="C353" t="s">
        <v>319</v>
      </c>
      <c r="D353" t="s">
        <v>319</v>
      </c>
      <c r="E353" t="s">
        <v>319</v>
      </c>
      <c r="F353" t="s">
        <v>319</v>
      </c>
      <c r="G353" t="s">
        <v>319</v>
      </c>
      <c r="H353" t="s">
        <v>319</v>
      </c>
      <c r="I353" t="s">
        <v>319</v>
      </c>
      <c r="J353" t="s">
        <v>319</v>
      </c>
      <c r="K353" t="s">
        <v>319</v>
      </c>
      <c r="L353" t="s">
        <v>319</v>
      </c>
      <c r="M353" t="s">
        <v>319</v>
      </c>
      <c r="N353" t="s">
        <v>319</v>
      </c>
      <c r="O353" t="s">
        <v>319</v>
      </c>
      <c r="P353" t="s">
        <v>319</v>
      </c>
    </row>
    <row r="354" spans="1:17" ht="15.75" customHeight="1" x14ac:dyDescent="0.2">
      <c r="A354" s="4" t="s">
        <v>438</v>
      </c>
      <c r="B354" s="1" t="str">
        <f t="shared" si="9"/>
        <v>CAUCOU</v>
      </c>
      <c r="C354" t="s">
        <v>319</v>
      </c>
      <c r="D354" t="s">
        <v>319</v>
      </c>
      <c r="E354" t="s">
        <v>319</v>
      </c>
      <c r="F354" t="s">
        <v>319</v>
      </c>
      <c r="G354" t="s">
        <v>319</v>
      </c>
      <c r="H354" t="s">
        <v>319</v>
      </c>
      <c r="I354" t="s">
        <v>319</v>
      </c>
      <c r="J354" t="s">
        <v>319</v>
      </c>
      <c r="K354" t="s">
        <v>319</v>
      </c>
      <c r="L354" t="s">
        <v>319</v>
      </c>
      <c r="M354" t="s">
        <v>319</v>
      </c>
      <c r="N354" t="s">
        <v>319</v>
      </c>
      <c r="O354" t="s">
        <v>319</v>
      </c>
      <c r="P354" t="s">
        <v>319</v>
      </c>
    </row>
    <row r="355" spans="1:17" ht="15.75" customHeight="1" x14ac:dyDescent="0.2">
      <c r="A355" s="4" t="s">
        <v>439</v>
      </c>
      <c r="B355" s="1" t="str">
        <f t="shared" si="9"/>
        <v>CAUCOU</v>
      </c>
      <c r="C355" t="s">
        <v>319</v>
      </c>
      <c r="D355" t="s">
        <v>319</v>
      </c>
      <c r="E355" t="s">
        <v>319</v>
      </c>
      <c r="F355" t="s">
        <v>319</v>
      </c>
      <c r="G355" t="s">
        <v>319</v>
      </c>
      <c r="H355" t="s">
        <v>319</v>
      </c>
      <c r="I355" t="s">
        <v>319</v>
      </c>
      <c r="J355" t="s">
        <v>319</v>
      </c>
      <c r="K355" t="s">
        <v>319</v>
      </c>
      <c r="L355" t="s">
        <v>319</v>
      </c>
      <c r="M355" t="s">
        <v>319</v>
      </c>
      <c r="N355" t="s">
        <v>319</v>
      </c>
      <c r="O355" t="s">
        <v>319</v>
      </c>
      <c r="P355" t="s">
        <v>319</v>
      </c>
    </row>
    <row r="356" spans="1:17" ht="15.75" customHeight="1" x14ac:dyDescent="0.2">
      <c r="A356" s="10" t="s">
        <v>440</v>
      </c>
      <c r="B356" s="1" t="str">
        <f t="shared" si="9"/>
        <v>CAUCOU</v>
      </c>
      <c r="C356" t="s">
        <v>319</v>
      </c>
      <c r="D356" t="s">
        <v>319</v>
      </c>
      <c r="E356" t="s">
        <v>319</v>
      </c>
      <c r="F356" t="s">
        <v>319</v>
      </c>
      <c r="G356" t="s">
        <v>319</v>
      </c>
      <c r="H356" t="s">
        <v>319</v>
      </c>
      <c r="I356" t="s">
        <v>319</v>
      </c>
      <c r="J356" t="s">
        <v>319</v>
      </c>
      <c r="K356" t="s">
        <v>319</v>
      </c>
      <c r="L356" t="s">
        <v>319</v>
      </c>
      <c r="M356" t="s">
        <v>319</v>
      </c>
      <c r="N356" t="s">
        <v>319</v>
      </c>
      <c r="O356" t="s">
        <v>319</v>
      </c>
      <c r="P356" t="s">
        <v>319</v>
      </c>
    </row>
    <row r="357" spans="1:17" ht="15.75" customHeight="1" x14ac:dyDescent="0.2">
      <c r="A357" s="4" t="s">
        <v>441</v>
      </c>
      <c r="B357" s="1" t="str">
        <f t="shared" si="9"/>
        <v>CAUCOU</v>
      </c>
      <c r="C357" t="s">
        <v>319</v>
      </c>
      <c r="D357" t="s">
        <v>319</v>
      </c>
      <c r="E357" t="s">
        <v>319</v>
      </c>
      <c r="F357" t="s">
        <v>319</v>
      </c>
      <c r="G357" t="s">
        <v>319</v>
      </c>
      <c r="H357" t="s">
        <v>319</v>
      </c>
      <c r="I357" t="s">
        <v>319</v>
      </c>
      <c r="J357" t="s">
        <v>319</v>
      </c>
      <c r="K357" t="s">
        <v>319</v>
      </c>
      <c r="L357" t="s">
        <v>319</v>
      </c>
      <c r="M357" t="s">
        <v>319</v>
      </c>
      <c r="N357" t="s">
        <v>319</v>
      </c>
      <c r="O357" t="s">
        <v>319</v>
      </c>
      <c r="P357" t="s">
        <v>319</v>
      </c>
    </row>
    <row r="358" spans="1:17" ht="15.75" customHeight="1" x14ac:dyDescent="0.2">
      <c r="A358" s="10" t="s">
        <v>442</v>
      </c>
      <c r="B358" s="1" t="str">
        <f t="shared" si="9"/>
        <v>CENMEL</v>
      </c>
      <c r="C358" t="s">
        <v>198</v>
      </c>
      <c r="D358" s="9">
        <v>45160</v>
      </c>
      <c r="E358">
        <v>747</v>
      </c>
      <c r="F358">
        <v>7.5800000000000006E-2</v>
      </c>
      <c r="G358">
        <v>0.1366</v>
      </c>
      <c r="H358">
        <v>3.8199999999999998E-2</v>
      </c>
      <c r="I358">
        <v>8.2400000000000001E-2</v>
      </c>
      <c r="J358">
        <v>6.1100000000000002E-2</v>
      </c>
      <c r="K358">
        <v>0.105</v>
      </c>
      <c r="L358">
        <v>7.0300000000000001E-2</v>
      </c>
      <c r="M358">
        <v>0.1221</v>
      </c>
      <c r="N358">
        <v>6.2399999999999997E-2</v>
      </c>
      <c r="O358">
        <v>0.13370000000000001</v>
      </c>
      <c r="P358">
        <v>49.76</v>
      </c>
    </row>
    <row r="359" spans="1:17" ht="15.75" customHeight="1" x14ac:dyDescent="0.2">
      <c r="A359" s="4" t="s">
        <v>443</v>
      </c>
      <c r="B359" s="1" t="str">
        <f t="shared" si="9"/>
        <v>CENMEL</v>
      </c>
      <c r="C359" t="s">
        <v>196</v>
      </c>
      <c r="D359" s="9">
        <v>45160</v>
      </c>
      <c r="E359">
        <v>657</v>
      </c>
      <c r="F359">
        <v>8.8999999999999996E-2</v>
      </c>
      <c r="G359">
        <v>8.2799999999999999E-2</v>
      </c>
      <c r="H359">
        <f>0.1502/2</f>
        <v>7.51E-2</v>
      </c>
      <c r="I359">
        <v>9.5100000000000004E-2</v>
      </c>
      <c r="J359">
        <v>2.69E-2</v>
      </c>
      <c r="K359">
        <v>0.1298</v>
      </c>
      <c r="L359">
        <v>5.6500000000000002E-2</v>
      </c>
      <c r="M359">
        <v>0.1159</v>
      </c>
      <c r="N359">
        <v>8.9800000000000005E-2</v>
      </c>
      <c r="O359">
        <f>0.1707/2</f>
        <v>8.5349999999999995E-2</v>
      </c>
      <c r="P359">
        <v>55.85</v>
      </c>
    </row>
    <row r="360" spans="1:17" ht="15.75" customHeight="1" x14ac:dyDescent="0.2">
      <c r="A360" s="4" t="s">
        <v>444</v>
      </c>
      <c r="B360" s="1" t="str">
        <f t="shared" si="9"/>
        <v>CENMEL</v>
      </c>
      <c r="C360" t="s">
        <v>38</v>
      </c>
      <c r="D360" s="9">
        <v>45160</v>
      </c>
      <c r="E360">
        <v>208</v>
      </c>
      <c r="F360">
        <v>0.16320000000000001</v>
      </c>
      <c r="G360">
        <v>0.1729</v>
      </c>
      <c r="H360">
        <v>0.18260000000000001</v>
      </c>
      <c r="I360">
        <v>0.2198</v>
      </c>
      <c r="J360">
        <v>0.1787</v>
      </c>
      <c r="K360">
        <v>0.2455</v>
      </c>
      <c r="L360">
        <v>0.1222</v>
      </c>
      <c r="M360">
        <v>0.2107</v>
      </c>
      <c r="N360">
        <v>0.17699999999999999</v>
      </c>
      <c r="O360">
        <v>9.9000000000000005E-2</v>
      </c>
      <c r="P360">
        <v>43.18</v>
      </c>
    </row>
    <row r="361" spans="1:17" ht="15.75" customHeight="1" x14ac:dyDescent="0.2">
      <c r="A361" s="10" t="s">
        <v>445</v>
      </c>
      <c r="B361" s="1" t="str">
        <f t="shared" si="9"/>
        <v>CENMEL</v>
      </c>
      <c r="C361" t="s">
        <v>42</v>
      </c>
      <c r="D361" s="9">
        <v>45160</v>
      </c>
      <c r="E361">
        <v>699</v>
      </c>
      <c r="F361">
        <v>0.10100000000000001</v>
      </c>
      <c r="G361">
        <v>0.19980000000000001</v>
      </c>
      <c r="H361">
        <v>9.6600000000000005E-2</v>
      </c>
      <c r="I361">
        <v>0.10249999999999999</v>
      </c>
      <c r="J361">
        <v>6.9199999999999998E-2</v>
      </c>
      <c r="K361">
        <v>0.13689999999999999</v>
      </c>
      <c r="L361">
        <v>6.8000000000000005E-2</v>
      </c>
      <c r="M361">
        <v>0.1217</v>
      </c>
      <c r="N361">
        <v>0.16109999999999999</v>
      </c>
      <c r="O361">
        <v>0.15629999999999999</v>
      </c>
      <c r="P361">
        <v>65.63</v>
      </c>
    </row>
    <row r="362" spans="1:17" ht="15.75" customHeight="1" x14ac:dyDescent="0.2">
      <c r="A362" s="10" t="s">
        <v>446</v>
      </c>
      <c r="B362" s="1" t="str">
        <f t="shared" si="9"/>
        <v>CENMEL</v>
      </c>
      <c r="C362" t="s">
        <v>447</v>
      </c>
      <c r="D362" s="9">
        <v>45160</v>
      </c>
      <c r="E362">
        <v>1871</v>
      </c>
      <c r="F362">
        <v>0.15859999999999999</v>
      </c>
      <c r="G362">
        <v>0.18279999999999999</v>
      </c>
      <c r="H362">
        <v>0.2077</v>
      </c>
      <c r="I362">
        <v>0.22070000000000001</v>
      </c>
      <c r="J362">
        <v>0.11566</v>
      </c>
      <c r="K362">
        <v>0.18429999999999999</v>
      </c>
      <c r="L362">
        <v>0.12909999999999999</v>
      </c>
      <c r="M362">
        <v>0.1099</v>
      </c>
      <c r="N362">
        <v>0.14760000000000001</v>
      </c>
      <c r="O362">
        <v>0.1241</v>
      </c>
      <c r="P362">
        <v>77.02</v>
      </c>
      <c r="Q362" t="s">
        <v>79</v>
      </c>
    </row>
    <row r="363" spans="1:17" ht="15.75" customHeight="1" x14ac:dyDescent="0.2">
      <c r="A363" s="4" t="s">
        <v>448</v>
      </c>
      <c r="B363" s="1" t="str">
        <f t="shared" si="9"/>
        <v>CENMEL</v>
      </c>
      <c r="C363" t="s">
        <v>38</v>
      </c>
      <c r="D363" s="9">
        <v>45160</v>
      </c>
      <c r="E363">
        <v>343</v>
      </c>
      <c r="F363">
        <v>0.15840000000000001</v>
      </c>
      <c r="G363">
        <v>0.1386</v>
      </c>
      <c r="H363">
        <v>0.1179</v>
      </c>
      <c r="I363">
        <v>0.18959999999999999</v>
      </c>
      <c r="J363">
        <v>0.14810000000000001</v>
      </c>
      <c r="K363">
        <v>0.1469</v>
      </c>
      <c r="L363">
        <v>0.15720000000000001</v>
      </c>
      <c r="M363">
        <v>0.1087</v>
      </c>
      <c r="N363">
        <v>4.9599999999999998E-2</v>
      </c>
      <c r="O363">
        <v>0.14149999999999999</v>
      </c>
      <c r="P363">
        <v>33.04</v>
      </c>
    </row>
    <row r="364" spans="1:17" ht="15.75" customHeight="1" x14ac:dyDescent="0.2">
      <c r="A364" s="10" t="s">
        <v>449</v>
      </c>
      <c r="B364" s="1" t="str">
        <f t="shared" si="9"/>
        <v>CENMEL</v>
      </c>
      <c r="C364" t="s">
        <v>42</v>
      </c>
      <c r="D364" s="9">
        <v>45160</v>
      </c>
      <c r="E364">
        <v>117</v>
      </c>
      <c r="F364">
        <v>0.16370000000000001</v>
      </c>
      <c r="G364">
        <v>8.8800000000000004E-2</v>
      </c>
      <c r="H364">
        <v>9.6500000000000002E-2</v>
      </c>
      <c r="I364">
        <v>9.98E-2</v>
      </c>
      <c r="J364">
        <v>8.5199999999999998E-2</v>
      </c>
      <c r="K364">
        <v>6.3700000000000007E-2</v>
      </c>
      <c r="L364">
        <v>9.7100000000000006E-2</v>
      </c>
      <c r="M364">
        <v>0.15989999999999999</v>
      </c>
      <c r="N364">
        <v>8.8999999999999996E-2</v>
      </c>
      <c r="O364">
        <v>0.11409999999999999</v>
      </c>
      <c r="P364">
        <v>7.96</v>
      </c>
    </row>
    <row r="365" spans="1:17" ht="15.75" customHeight="1" x14ac:dyDescent="0.2">
      <c r="A365" s="4" t="s">
        <v>450</v>
      </c>
      <c r="B365" s="1" t="str">
        <f t="shared" si="9"/>
        <v>CENMEL</v>
      </c>
      <c r="C365" t="s">
        <v>196</v>
      </c>
      <c r="D365" s="9">
        <v>45160</v>
      </c>
      <c r="E365">
        <v>535</v>
      </c>
      <c r="F365">
        <v>0.1542</v>
      </c>
      <c r="G365">
        <v>0.1079</v>
      </c>
      <c r="H365">
        <v>6.5299999999999997E-2</v>
      </c>
      <c r="I365">
        <v>0.1305</v>
      </c>
      <c r="J365">
        <v>0.11899999999999999</v>
      </c>
      <c r="K365">
        <v>4.2099999999999999E-2</v>
      </c>
      <c r="L365">
        <v>8.0199999999999994E-2</v>
      </c>
      <c r="M365">
        <v>0.14979999999999999</v>
      </c>
      <c r="N365">
        <v>0.1046</v>
      </c>
      <c r="O365">
        <v>4.53E-2</v>
      </c>
      <c r="P365">
        <v>23.4</v>
      </c>
    </row>
    <row r="366" spans="1:17" ht="15.75" customHeight="1" x14ac:dyDescent="0.2">
      <c r="A366" s="10" t="s">
        <v>451</v>
      </c>
      <c r="B366" s="1" t="str">
        <f t="shared" si="9"/>
        <v>CENMEL</v>
      </c>
      <c r="C366" t="s">
        <v>188</v>
      </c>
      <c r="D366" s="9">
        <v>45160</v>
      </c>
      <c r="E366">
        <v>330</v>
      </c>
      <c r="F366">
        <v>4.2099999999999999E-2</v>
      </c>
      <c r="G366">
        <v>7.0800000000000002E-2</v>
      </c>
      <c r="H366">
        <v>9.3299999999999994E-2</v>
      </c>
      <c r="I366">
        <v>9.9599999999999994E-2</v>
      </c>
      <c r="J366">
        <v>0.1024</v>
      </c>
      <c r="K366">
        <v>0.12709999999999999</v>
      </c>
      <c r="L366">
        <v>0.1115</v>
      </c>
      <c r="M366">
        <v>7.6100000000000001E-2</v>
      </c>
      <c r="N366">
        <v>0.13469999999999999</v>
      </c>
      <c r="O366">
        <v>0.17680000000000001</v>
      </c>
      <c r="P366">
        <v>22.71</v>
      </c>
    </row>
    <row r="367" spans="1:17" ht="15.75" customHeight="1" x14ac:dyDescent="0.2">
      <c r="A367" s="10" t="s">
        <v>452</v>
      </c>
      <c r="B367" s="1" t="str">
        <f t="shared" si="9"/>
        <v>CENMEL</v>
      </c>
      <c r="C367" t="s">
        <v>188</v>
      </c>
      <c r="D367" s="9">
        <v>45160</v>
      </c>
      <c r="E367">
        <v>390</v>
      </c>
      <c r="F367">
        <v>0.13730000000000001</v>
      </c>
      <c r="G367">
        <v>0.13339999999999999</v>
      </c>
      <c r="H367">
        <v>0.1641</v>
      </c>
      <c r="I367">
        <v>0.1565</v>
      </c>
      <c r="J367">
        <v>0.1321</v>
      </c>
      <c r="K367">
        <v>0.14280000000000001</v>
      </c>
      <c r="L367">
        <v>0.1535</v>
      </c>
      <c r="M367">
        <v>0.15890000000000001</v>
      </c>
      <c r="N367">
        <v>0.14219999999999999</v>
      </c>
      <c r="O367">
        <v>0.1633</v>
      </c>
      <c r="P367">
        <v>14.73</v>
      </c>
    </row>
    <row r="368" spans="1:17" ht="15.75" customHeight="1" x14ac:dyDescent="0.2">
      <c r="A368" s="4" t="s">
        <v>453</v>
      </c>
      <c r="B368" s="1" t="str">
        <f t="shared" si="9"/>
        <v>CENMEL</v>
      </c>
      <c r="C368" t="s">
        <v>198</v>
      </c>
      <c r="D368" s="9">
        <v>45526</v>
      </c>
      <c r="E368">
        <v>246</v>
      </c>
      <c r="F368">
        <v>5.5E-2</v>
      </c>
      <c r="G368">
        <v>6.3799999999999996E-2</v>
      </c>
      <c r="H368">
        <v>0.1381</v>
      </c>
      <c r="I368">
        <v>0.1799</v>
      </c>
      <c r="J368" t="s">
        <v>319</v>
      </c>
      <c r="K368" t="s">
        <v>319</v>
      </c>
      <c r="L368" t="s">
        <v>319</v>
      </c>
      <c r="M368" t="s">
        <v>319</v>
      </c>
      <c r="N368" t="s">
        <v>319</v>
      </c>
      <c r="O368" t="s">
        <v>319</v>
      </c>
      <c r="P368">
        <v>9.36</v>
      </c>
      <c r="Q368" t="s">
        <v>454</v>
      </c>
    </row>
    <row r="369" spans="1:17" ht="15.75" customHeight="1" x14ac:dyDescent="0.2">
      <c r="A369" s="4" t="s">
        <v>455</v>
      </c>
      <c r="B369" s="1" t="str">
        <f t="shared" si="9"/>
        <v>CENMEL</v>
      </c>
      <c r="C369" t="s">
        <v>196</v>
      </c>
      <c r="D369" s="9">
        <v>45526</v>
      </c>
      <c r="E369">
        <v>685</v>
      </c>
      <c r="F369">
        <v>0.1565</v>
      </c>
      <c r="G369">
        <v>0.1115</v>
      </c>
      <c r="H369">
        <v>0.19600000000000001</v>
      </c>
      <c r="I369">
        <v>0.1071</v>
      </c>
      <c r="J369">
        <v>0.2409</v>
      </c>
      <c r="K369">
        <v>9.6600000000000005E-2</v>
      </c>
      <c r="L369">
        <v>0.18340000000000001</v>
      </c>
      <c r="M369">
        <v>0.21460000000000001</v>
      </c>
      <c r="N369">
        <v>0.18190000000000001</v>
      </c>
      <c r="O369">
        <v>0.12809999999999999</v>
      </c>
      <c r="P369">
        <v>17.170000000000002</v>
      </c>
    </row>
    <row r="370" spans="1:17" ht="15.75" customHeight="1" x14ac:dyDescent="0.2">
      <c r="A370" s="10" t="s">
        <v>456</v>
      </c>
      <c r="B370" s="1" t="str">
        <f t="shared" si="9"/>
        <v>CENMEL</v>
      </c>
      <c r="C370" t="s">
        <v>190</v>
      </c>
      <c r="D370" s="9">
        <v>45160</v>
      </c>
      <c r="E370">
        <v>1046</v>
      </c>
      <c r="F370">
        <v>0.1552</v>
      </c>
      <c r="G370">
        <v>0.1898</v>
      </c>
      <c r="H370">
        <v>0.15390000000000001</v>
      </c>
      <c r="I370">
        <v>0.13109999999999999</v>
      </c>
      <c r="J370">
        <v>0.18240000000000001</v>
      </c>
      <c r="K370">
        <v>0.21299999999999999</v>
      </c>
      <c r="L370">
        <v>0.18679999999999999</v>
      </c>
      <c r="M370">
        <v>0.1167</v>
      </c>
      <c r="N370">
        <v>0.1052</v>
      </c>
      <c r="O370">
        <v>9.6299999999999997E-2</v>
      </c>
      <c r="P370">
        <v>48.73</v>
      </c>
    </row>
    <row r="371" spans="1:17" ht="15.75" customHeight="1" x14ac:dyDescent="0.2">
      <c r="A371" s="10" t="s">
        <v>457</v>
      </c>
      <c r="B371" s="1" t="str">
        <f t="shared" si="9"/>
        <v>CENMEL</v>
      </c>
      <c r="C371" t="s">
        <v>190</v>
      </c>
      <c r="D371" s="9">
        <v>45160</v>
      </c>
      <c r="E371">
        <v>237</v>
      </c>
      <c r="F371">
        <v>2.3199999999999998E-2</v>
      </c>
      <c r="G371">
        <v>7.1400000000000005E-2</v>
      </c>
      <c r="H371">
        <v>5.4300000000000001E-2</v>
      </c>
      <c r="I371">
        <v>7.9000000000000001E-2</v>
      </c>
      <c r="J371">
        <v>3.1699999999999999E-2</v>
      </c>
      <c r="K371">
        <v>6.4199999999999993E-2</v>
      </c>
      <c r="L371">
        <v>2.1299999999999999E-2</v>
      </c>
      <c r="M371">
        <v>8.8700000000000001E-2</v>
      </c>
      <c r="N371">
        <v>2.1000000000000001E-2</v>
      </c>
      <c r="O371">
        <v>1.9599999999999999E-2</v>
      </c>
      <c r="P371">
        <v>4.76</v>
      </c>
    </row>
    <row r="372" spans="1:17" ht="15.75" customHeight="1" x14ac:dyDescent="0.2">
      <c r="A372" s="4" t="s">
        <v>458</v>
      </c>
      <c r="B372" s="1" t="str">
        <f t="shared" si="9"/>
        <v>CENMEL</v>
      </c>
      <c r="C372" t="s">
        <v>196</v>
      </c>
      <c r="D372" s="9">
        <v>45160</v>
      </c>
      <c r="E372">
        <v>1168</v>
      </c>
      <c r="F372" t="s">
        <v>319</v>
      </c>
      <c r="G372" t="s">
        <v>319</v>
      </c>
      <c r="H372" t="s">
        <v>319</v>
      </c>
      <c r="I372" t="s">
        <v>319</v>
      </c>
      <c r="J372" t="s">
        <v>319</v>
      </c>
      <c r="K372" t="s">
        <v>319</v>
      </c>
      <c r="L372" t="s">
        <v>319</v>
      </c>
      <c r="M372" t="s">
        <v>319</v>
      </c>
      <c r="N372" t="s">
        <v>319</v>
      </c>
      <c r="O372" t="s">
        <v>319</v>
      </c>
      <c r="P372">
        <f>33.97+25.12</f>
        <v>59.09</v>
      </c>
    </row>
    <row r="373" spans="1:17" ht="15.75" customHeight="1" x14ac:dyDescent="0.2">
      <c r="A373" s="10" t="s">
        <v>459</v>
      </c>
      <c r="B373" s="1" t="str">
        <f t="shared" ref="B373:B471" si="10">MID(A373,4,6)</f>
        <v>CENMEL</v>
      </c>
      <c r="C373" t="s">
        <v>201</v>
      </c>
      <c r="D373" s="9">
        <v>45160</v>
      </c>
      <c r="E373">
        <v>654</v>
      </c>
      <c r="F373">
        <v>0.1094</v>
      </c>
      <c r="G373">
        <v>6.4399999999999999E-2</v>
      </c>
      <c r="H373">
        <v>0.1067</v>
      </c>
      <c r="I373">
        <v>8.6499999999999994E-2</v>
      </c>
      <c r="J373">
        <v>9.3200000000000005E-2</v>
      </c>
      <c r="K373">
        <v>0.12139999999999999</v>
      </c>
      <c r="L373">
        <v>0.10780000000000001</v>
      </c>
      <c r="M373">
        <v>9.4899999999999998E-2</v>
      </c>
      <c r="N373">
        <v>0.1323</v>
      </c>
      <c r="O373">
        <v>0.12839999999999999</v>
      </c>
      <c r="P373">
        <v>50.53</v>
      </c>
      <c r="Q373" t="s">
        <v>460</v>
      </c>
    </row>
    <row r="374" spans="1:17" ht="15.75" customHeight="1" x14ac:dyDescent="0.2">
      <c r="A374" s="4" t="s">
        <v>461</v>
      </c>
      <c r="B374" s="1" t="str">
        <f t="shared" si="10"/>
        <v>CLAPUR</v>
      </c>
    </row>
    <row r="375" spans="1:17" ht="15.75" customHeight="1" x14ac:dyDescent="0.2">
      <c r="A375" s="4" t="s">
        <v>462</v>
      </c>
      <c r="B375" s="1" t="str">
        <f t="shared" si="10"/>
        <v>CLAPUR</v>
      </c>
    </row>
    <row r="376" spans="1:17" ht="15.75" customHeight="1" x14ac:dyDescent="0.2">
      <c r="A376" s="4" t="s">
        <v>463</v>
      </c>
      <c r="B376" s="1" t="str">
        <f t="shared" si="10"/>
        <v>CLAPUR</v>
      </c>
    </row>
    <row r="377" spans="1:17" ht="15.75" customHeight="1" x14ac:dyDescent="0.2">
      <c r="A377" s="10" t="s">
        <v>464</v>
      </c>
      <c r="B377" s="1" t="str">
        <f t="shared" si="10"/>
        <v>CLAPUR</v>
      </c>
    </row>
    <row r="378" spans="1:17" ht="15.75" customHeight="1" x14ac:dyDescent="0.2">
      <c r="A378" s="4" t="s">
        <v>465</v>
      </c>
      <c r="B378" s="1" t="str">
        <f t="shared" si="10"/>
        <v>CLAPUR</v>
      </c>
    </row>
    <row r="379" spans="1:17" ht="15.75" customHeight="1" x14ac:dyDescent="0.2">
      <c r="A379" s="10" t="s">
        <v>466</v>
      </c>
      <c r="B379" s="1" t="str">
        <f t="shared" si="10"/>
        <v>CLAPUR</v>
      </c>
    </row>
    <row r="380" spans="1:17" ht="15.75" customHeight="1" x14ac:dyDescent="0.2">
      <c r="A380" s="10" t="s">
        <v>467</v>
      </c>
      <c r="B380" s="1" t="str">
        <f t="shared" si="10"/>
        <v>CLAPUR</v>
      </c>
    </row>
    <row r="381" spans="1:17" ht="15.75" customHeight="1" x14ac:dyDescent="0.2">
      <c r="A381" s="4" t="s">
        <v>468</v>
      </c>
      <c r="B381" s="1" t="str">
        <f t="shared" si="10"/>
        <v>CLAPUR</v>
      </c>
    </row>
    <row r="382" spans="1:17" ht="15.75" customHeight="1" x14ac:dyDescent="0.2">
      <c r="A382" s="4" t="s">
        <v>469</v>
      </c>
      <c r="B382" s="1" t="str">
        <f t="shared" si="10"/>
        <v>CLAPUR</v>
      </c>
    </row>
    <row r="383" spans="1:17" ht="15.75" customHeight="1" x14ac:dyDescent="0.2">
      <c r="A383" s="4" t="s">
        <v>470</v>
      </c>
      <c r="B383" s="1" t="str">
        <f t="shared" si="10"/>
        <v>CLAPUR</v>
      </c>
    </row>
    <row r="384" spans="1:17" ht="15.75" customHeight="1" x14ac:dyDescent="0.2">
      <c r="A384" s="4" t="s">
        <v>471</v>
      </c>
      <c r="B384" s="1" t="str">
        <f t="shared" si="10"/>
        <v>CLAPUR</v>
      </c>
    </row>
    <row r="385" spans="1:2" ht="15.75" customHeight="1" x14ac:dyDescent="0.2">
      <c r="A385" s="10" t="s">
        <v>472</v>
      </c>
      <c r="B385" s="1" t="str">
        <f t="shared" si="10"/>
        <v>CLAPUR</v>
      </c>
    </row>
    <row r="386" spans="1:2" ht="15.75" customHeight="1" x14ac:dyDescent="0.2">
      <c r="A386" s="4" t="s">
        <v>473</v>
      </c>
      <c r="B386" s="1" t="str">
        <f t="shared" si="10"/>
        <v>CLAPUR</v>
      </c>
    </row>
    <row r="387" spans="1:2" ht="15.75" customHeight="1" x14ac:dyDescent="0.2">
      <c r="A387" s="10" t="s">
        <v>474</v>
      </c>
      <c r="B387" s="1" t="str">
        <f t="shared" si="10"/>
        <v>CLAPUR</v>
      </c>
    </row>
    <row r="388" spans="1:2" ht="15.75" customHeight="1" x14ac:dyDescent="0.2">
      <c r="A388" s="4" t="s">
        <v>475</v>
      </c>
      <c r="B388" s="1" t="str">
        <f t="shared" si="10"/>
        <v>CLAPUR</v>
      </c>
    </row>
    <row r="389" spans="1:2" ht="15.75" customHeight="1" x14ac:dyDescent="0.2">
      <c r="A389" s="10" t="s">
        <v>476</v>
      </c>
      <c r="B389" s="1" t="str">
        <f t="shared" si="10"/>
        <v>CLAPUR</v>
      </c>
    </row>
    <row r="390" spans="1:2" ht="15.75" customHeight="1" x14ac:dyDescent="0.2">
      <c r="A390" s="10" t="s">
        <v>477</v>
      </c>
      <c r="B390" s="1" t="str">
        <f t="shared" si="10"/>
        <v>CLAPUR</v>
      </c>
    </row>
    <row r="391" spans="1:2" ht="15.75" customHeight="1" x14ac:dyDescent="0.2">
      <c r="A391" s="10" t="s">
        <v>478</v>
      </c>
      <c r="B391" s="1" t="str">
        <f t="shared" si="10"/>
        <v>CLAPUR</v>
      </c>
    </row>
    <row r="392" spans="1:2" ht="15.75" customHeight="1" x14ac:dyDescent="0.2">
      <c r="A392" s="4" t="s">
        <v>479</v>
      </c>
      <c r="B392" s="1" t="str">
        <f t="shared" si="10"/>
        <v>CLAPUR</v>
      </c>
    </row>
    <row r="393" spans="1:2" ht="15.75" customHeight="1" x14ac:dyDescent="0.2">
      <c r="A393" s="4" t="s">
        <v>480</v>
      </c>
      <c r="B393" s="1" t="str">
        <f t="shared" si="10"/>
        <v>CLAPUR</v>
      </c>
    </row>
    <row r="394" spans="1:2" ht="15.75" customHeight="1" x14ac:dyDescent="0.2">
      <c r="A394" s="4" t="s">
        <v>481</v>
      </c>
      <c r="B394" s="1" t="str">
        <f t="shared" si="10"/>
        <v>CLAPUR</v>
      </c>
    </row>
    <row r="395" spans="1:2" ht="15.75" customHeight="1" x14ac:dyDescent="0.2">
      <c r="A395" s="10" t="s">
        <v>482</v>
      </c>
      <c r="B395" s="1" t="str">
        <f t="shared" si="10"/>
        <v>CLAPUR</v>
      </c>
    </row>
    <row r="396" spans="1:2" ht="15.75" customHeight="1" x14ac:dyDescent="0.2">
      <c r="A396" s="4" t="s">
        <v>483</v>
      </c>
      <c r="B396" s="1" t="str">
        <f t="shared" si="10"/>
        <v>CLAPUR</v>
      </c>
    </row>
    <row r="397" spans="1:2" ht="15.75" customHeight="1" x14ac:dyDescent="0.2">
      <c r="A397" s="4" t="s">
        <v>484</v>
      </c>
      <c r="B397" s="1" t="str">
        <f t="shared" si="10"/>
        <v>CLAPUR</v>
      </c>
    </row>
    <row r="398" spans="1:2" ht="15.75" customHeight="1" x14ac:dyDescent="0.2">
      <c r="A398" s="10" t="s">
        <v>485</v>
      </c>
      <c r="B398" s="1" t="str">
        <f t="shared" si="10"/>
        <v>CLAPUR</v>
      </c>
    </row>
    <row r="399" spans="1:2" ht="15.75" customHeight="1" x14ac:dyDescent="0.2">
      <c r="A399" s="4" t="s">
        <v>486</v>
      </c>
      <c r="B399" s="1" t="str">
        <f t="shared" si="10"/>
        <v>CLAPUR</v>
      </c>
    </row>
    <row r="400" spans="1:2" ht="15.75" customHeight="1" x14ac:dyDescent="0.2">
      <c r="A400" s="10" t="s">
        <v>487</v>
      </c>
      <c r="B400" s="1" t="str">
        <f t="shared" si="10"/>
        <v>CLAPUR</v>
      </c>
    </row>
    <row r="401" spans="1:2" ht="15.75" customHeight="1" x14ac:dyDescent="0.2">
      <c r="A401" s="4" t="s">
        <v>488</v>
      </c>
      <c r="B401" s="1" t="str">
        <f t="shared" si="10"/>
        <v>CLAPUR</v>
      </c>
    </row>
    <row r="402" spans="1:2" ht="15.75" customHeight="1" x14ac:dyDescent="0.2">
      <c r="A402" s="10" t="s">
        <v>489</v>
      </c>
      <c r="B402" s="1" t="str">
        <f t="shared" si="10"/>
        <v>CLAPUR</v>
      </c>
    </row>
    <row r="403" spans="1:2" ht="15.75" customHeight="1" x14ac:dyDescent="0.2">
      <c r="A403" s="4" t="s">
        <v>490</v>
      </c>
      <c r="B403" s="1" t="str">
        <f t="shared" si="10"/>
        <v>CLAPUR</v>
      </c>
    </row>
    <row r="404" spans="1:2" ht="15.75" customHeight="1" x14ac:dyDescent="0.2">
      <c r="A404" s="10" t="s">
        <v>491</v>
      </c>
      <c r="B404" s="1" t="str">
        <f t="shared" si="10"/>
        <v>CLAPUR</v>
      </c>
    </row>
    <row r="405" spans="1:2" ht="15.75" customHeight="1" x14ac:dyDescent="0.2">
      <c r="A405" s="4" t="s">
        <v>492</v>
      </c>
      <c r="B405" s="1" t="str">
        <f t="shared" si="10"/>
        <v>CLAPUR</v>
      </c>
    </row>
    <row r="406" spans="1:2" ht="15.75" customHeight="1" x14ac:dyDescent="0.2">
      <c r="A406" s="10" t="s">
        <v>493</v>
      </c>
      <c r="B406" s="1" t="str">
        <f t="shared" si="10"/>
        <v>CLAPUR</v>
      </c>
    </row>
    <row r="407" spans="1:2" ht="15.75" customHeight="1" x14ac:dyDescent="0.2">
      <c r="A407" s="10" t="s">
        <v>494</v>
      </c>
      <c r="B407" s="1" t="str">
        <f t="shared" si="10"/>
        <v>CLAPUR</v>
      </c>
    </row>
    <row r="408" spans="1:2" ht="15.75" customHeight="1" x14ac:dyDescent="0.2">
      <c r="A408" s="10" t="s">
        <v>495</v>
      </c>
      <c r="B408" s="1" t="str">
        <f t="shared" si="10"/>
        <v>CLAPUR</v>
      </c>
    </row>
    <row r="409" spans="1:2" ht="15.75" customHeight="1" x14ac:dyDescent="0.2">
      <c r="A409" s="4" t="s">
        <v>496</v>
      </c>
      <c r="B409" s="1" t="str">
        <f t="shared" si="10"/>
        <v>CLAPUR</v>
      </c>
    </row>
    <row r="410" spans="1:2" ht="15.75" customHeight="1" x14ac:dyDescent="0.2">
      <c r="A410" s="10" t="s">
        <v>497</v>
      </c>
      <c r="B410" s="1" t="str">
        <f t="shared" si="10"/>
        <v>CLAPUR</v>
      </c>
    </row>
    <row r="411" spans="1:2" ht="15.75" customHeight="1" x14ac:dyDescent="0.2">
      <c r="A411" s="4" t="s">
        <v>498</v>
      </c>
      <c r="B411" s="1" t="str">
        <f t="shared" si="10"/>
        <v>CLAPUR</v>
      </c>
    </row>
    <row r="412" spans="1:2" ht="15.75" customHeight="1" x14ac:dyDescent="0.2">
      <c r="A412" s="4" t="s">
        <v>499</v>
      </c>
      <c r="B412" s="1" t="str">
        <f t="shared" si="10"/>
        <v>CLAPUR</v>
      </c>
    </row>
    <row r="413" spans="1:2" ht="15.75" customHeight="1" x14ac:dyDescent="0.2">
      <c r="A413" s="10" t="s">
        <v>500</v>
      </c>
      <c r="B413" s="1" t="str">
        <f t="shared" si="10"/>
        <v>CLAPUR</v>
      </c>
    </row>
    <row r="414" spans="1:2" ht="15.75" customHeight="1" x14ac:dyDescent="0.2">
      <c r="A414" s="4" t="s">
        <v>501</v>
      </c>
      <c r="B414" s="1" t="str">
        <f t="shared" si="10"/>
        <v>CLAPUR</v>
      </c>
    </row>
    <row r="415" spans="1:2" ht="15.75" customHeight="1" x14ac:dyDescent="0.2">
      <c r="A415" s="10" t="s">
        <v>502</v>
      </c>
      <c r="B415" s="1" t="str">
        <f t="shared" si="10"/>
        <v>CLAPUR</v>
      </c>
    </row>
    <row r="416" spans="1:2" ht="15.75" customHeight="1" x14ac:dyDescent="0.2">
      <c r="A416" s="4" t="s">
        <v>503</v>
      </c>
      <c r="B416" s="1" t="str">
        <f t="shared" si="10"/>
        <v>CLAPUR</v>
      </c>
    </row>
    <row r="417" spans="1:2" ht="15.75" customHeight="1" x14ac:dyDescent="0.2">
      <c r="A417" s="10" t="s">
        <v>504</v>
      </c>
      <c r="B417" s="1" t="str">
        <f t="shared" si="10"/>
        <v>CLAPUR</v>
      </c>
    </row>
    <row r="418" spans="1:2" ht="15.75" customHeight="1" x14ac:dyDescent="0.2">
      <c r="A418" s="4" t="s">
        <v>505</v>
      </c>
      <c r="B418" s="1" t="str">
        <f t="shared" si="10"/>
        <v>CLAPUR</v>
      </c>
    </row>
    <row r="419" spans="1:2" ht="15.75" customHeight="1" x14ac:dyDescent="0.2">
      <c r="A419" s="10" t="s">
        <v>506</v>
      </c>
      <c r="B419" s="1" t="str">
        <f t="shared" si="10"/>
        <v>CLAPUR</v>
      </c>
    </row>
    <row r="420" spans="1:2" ht="15.75" customHeight="1" x14ac:dyDescent="0.2">
      <c r="A420" s="4" t="s">
        <v>507</v>
      </c>
      <c r="B420" s="1" t="str">
        <f t="shared" si="10"/>
        <v>CLAPUR</v>
      </c>
    </row>
    <row r="421" spans="1:2" ht="15.75" customHeight="1" x14ac:dyDescent="0.2">
      <c r="A421" s="10" t="s">
        <v>508</v>
      </c>
      <c r="B421" s="1" t="str">
        <f t="shared" si="10"/>
        <v>CLAPUR</v>
      </c>
    </row>
    <row r="422" spans="1:2" ht="15.75" customHeight="1" x14ac:dyDescent="0.2">
      <c r="A422" s="10" t="s">
        <v>509</v>
      </c>
      <c r="B422" s="1" t="str">
        <f t="shared" si="10"/>
        <v>CORFIL</v>
      </c>
    </row>
    <row r="423" spans="1:2" ht="15.75" customHeight="1" x14ac:dyDescent="0.2">
      <c r="A423" s="4" t="s">
        <v>510</v>
      </c>
      <c r="B423" s="1" t="str">
        <f t="shared" si="10"/>
        <v>CORFIL</v>
      </c>
    </row>
    <row r="424" spans="1:2" ht="15.75" customHeight="1" x14ac:dyDescent="0.2">
      <c r="A424" s="4" t="s">
        <v>511</v>
      </c>
      <c r="B424" s="1" t="str">
        <f t="shared" si="10"/>
        <v>CORFIL</v>
      </c>
    </row>
    <row r="425" spans="1:2" ht="15.75" customHeight="1" x14ac:dyDescent="0.2">
      <c r="A425" s="10" t="s">
        <v>512</v>
      </c>
      <c r="B425" s="1" t="str">
        <f t="shared" si="10"/>
        <v>CORFIL</v>
      </c>
    </row>
    <row r="426" spans="1:2" ht="15.75" customHeight="1" x14ac:dyDescent="0.2">
      <c r="A426" s="10" t="s">
        <v>513</v>
      </c>
      <c r="B426" s="1" t="str">
        <f t="shared" si="10"/>
        <v>CORFIL</v>
      </c>
    </row>
    <row r="427" spans="1:2" ht="15.75" customHeight="1" x14ac:dyDescent="0.2">
      <c r="A427" s="4" t="s">
        <v>514</v>
      </c>
      <c r="B427" s="1" t="str">
        <f t="shared" si="10"/>
        <v>CORFIL</v>
      </c>
    </row>
    <row r="428" spans="1:2" ht="15.75" customHeight="1" x14ac:dyDescent="0.2">
      <c r="A428" s="10" t="s">
        <v>515</v>
      </c>
      <c r="B428" s="1" t="str">
        <f t="shared" si="10"/>
        <v>CORFIL</v>
      </c>
    </row>
    <row r="429" spans="1:2" ht="15.75" customHeight="1" x14ac:dyDescent="0.2">
      <c r="A429" s="4" t="s">
        <v>516</v>
      </c>
      <c r="B429" s="1" t="str">
        <f t="shared" si="10"/>
        <v>CORFIL</v>
      </c>
    </row>
    <row r="430" spans="1:2" ht="15.75" customHeight="1" x14ac:dyDescent="0.2">
      <c r="A430" s="10" t="s">
        <v>517</v>
      </c>
      <c r="B430" s="1" t="str">
        <f t="shared" si="10"/>
        <v>CORFIL</v>
      </c>
    </row>
    <row r="431" spans="1:2" ht="15.75" customHeight="1" x14ac:dyDescent="0.2">
      <c r="A431" s="10" t="s">
        <v>518</v>
      </c>
      <c r="B431" s="1" t="str">
        <f t="shared" si="10"/>
        <v>CORFIL</v>
      </c>
    </row>
    <row r="432" spans="1:2" ht="15.75" customHeight="1" x14ac:dyDescent="0.2">
      <c r="A432" s="4" t="s">
        <v>519</v>
      </c>
      <c r="B432" s="1" t="str">
        <f t="shared" si="10"/>
        <v>CORFIL</v>
      </c>
    </row>
    <row r="433" spans="1:16" ht="15.75" customHeight="1" x14ac:dyDescent="0.2">
      <c r="A433" s="4" t="s">
        <v>520</v>
      </c>
      <c r="B433" s="1" t="str">
        <f t="shared" si="10"/>
        <v>CORFIL</v>
      </c>
    </row>
    <row r="434" spans="1:16" ht="15.75" customHeight="1" x14ac:dyDescent="0.2">
      <c r="A434" s="10" t="s">
        <v>521</v>
      </c>
      <c r="B434" s="1" t="str">
        <f t="shared" si="10"/>
        <v>CORFIL</v>
      </c>
    </row>
    <row r="435" spans="1:16" ht="15.75" customHeight="1" x14ac:dyDescent="0.2">
      <c r="A435" s="10" t="s">
        <v>522</v>
      </c>
      <c r="B435" s="1" t="str">
        <f t="shared" si="10"/>
        <v>CORFIL</v>
      </c>
    </row>
    <row r="436" spans="1:16" ht="15.75" customHeight="1" x14ac:dyDescent="0.2">
      <c r="A436" s="4" t="s">
        <v>523</v>
      </c>
      <c r="B436" s="1" t="str">
        <f t="shared" si="10"/>
        <v>CORFIL</v>
      </c>
    </row>
    <row r="437" spans="1:16" ht="15.75" customHeight="1" x14ac:dyDescent="0.2">
      <c r="A437" s="10" t="s">
        <v>524</v>
      </c>
      <c r="B437" s="1" t="str">
        <f t="shared" si="10"/>
        <v>CORFIL</v>
      </c>
    </row>
    <row r="438" spans="1:16" ht="15.75" customHeight="1" x14ac:dyDescent="0.2">
      <c r="A438" s="4" t="s">
        <v>525</v>
      </c>
      <c r="B438" s="1" t="str">
        <f t="shared" si="10"/>
        <v>DANCAL</v>
      </c>
      <c r="C438" t="s">
        <v>319</v>
      </c>
      <c r="D438" t="s">
        <v>319</v>
      </c>
      <c r="E438" t="s">
        <v>319</v>
      </c>
      <c r="F438" t="s">
        <v>319</v>
      </c>
      <c r="G438" t="s">
        <v>319</v>
      </c>
      <c r="H438" t="s">
        <v>319</v>
      </c>
      <c r="I438" t="s">
        <v>319</v>
      </c>
      <c r="J438" t="s">
        <v>319</v>
      </c>
      <c r="K438" t="s">
        <v>319</v>
      </c>
      <c r="L438" t="s">
        <v>319</v>
      </c>
      <c r="M438" t="s">
        <v>319</v>
      </c>
      <c r="N438" t="s">
        <v>319</v>
      </c>
      <c r="O438" t="s">
        <v>319</v>
      </c>
      <c r="P438" t="s">
        <v>319</v>
      </c>
    </row>
    <row r="439" spans="1:16" ht="15.75" customHeight="1" x14ac:dyDescent="0.2">
      <c r="A439" s="10" t="s">
        <v>526</v>
      </c>
      <c r="B439" s="1" t="str">
        <f t="shared" si="10"/>
        <v>DANCAL</v>
      </c>
      <c r="D439" t="s">
        <v>319</v>
      </c>
      <c r="E439" t="s">
        <v>319</v>
      </c>
      <c r="F439" t="s">
        <v>319</v>
      </c>
      <c r="G439" t="s">
        <v>319</v>
      </c>
      <c r="H439" t="s">
        <v>319</v>
      </c>
      <c r="I439" t="s">
        <v>319</v>
      </c>
      <c r="J439" t="s">
        <v>319</v>
      </c>
      <c r="K439" t="s">
        <v>319</v>
      </c>
      <c r="L439" t="s">
        <v>319</v>
      </c>
      <c r="M439" t="s">
        <v>319</v>
      </c>
      <c r="N439" t="s">
        <v>319</v>
      </c>
      <c r="O439" t="s">
        <v>319</v>
      </c>
      <c r="P439" t="s">
        <v>319</v>
      </c>
    </row>
    <row r="440" spans="1:16" ht="15.75" customHeight="1" x14ac:dyDescent="0.2">
      <c r="A440" s="4" t="s">
        <v>527</v>
      </c>
      <c r="B440" s="1" t="str">
        <f t="shared" si="10"/>
        <v>DANCAL</v>
      </c>
      <c r="D440" t="s">
        <v>319</v>
      </c>
      <c r="E440" t="s">
        <v>319</v>
      </c>
      <c r="F440" t="s">
        <v>319</v>
      </c>
      <c r="G440" t="s">
        <v>319</v>
      </c>
      <c r="H440" t="s">
        <v>319</v>
      </c>
      <c r="I440" t="s">
        <v>319</v>
      </c>
      <c r="J440" t="s">
        <v>319</v>
      </c>
      <c r="K440" t="s">
        <v>319</v>
      </c>
      <c r="L440" t="s">
        <v>319</v>
      </c>
      <c r="M440" t="s">
        <v>319</v>
      </c>
      <c r="N440" t="s">
        <v>319</v>
      </c>
      <c r="O440" t="s">
        <v>319</v>
      </c>
      <c r="P440" t="s">
        <v>319</v>
      </c>
    </row>
    <row r="441" spans="1:16" ht="15.75" customHeight="1" x14ac:dyDescent="0.2">
      <c r="A441" s="10" t="s">
        <v>528</v>
      </c>
      <c r="B441" s="1" t="str">
        <f t="shared" si="10"/>
        <v>DANCAL</v>
      </c>
      <c r="D441" t="s">
        <v>319</v>
      </c>
      <c r="E441" t="s">
        <v>319</v>
      </c>
      <c r="F441" t="s">
        <v>319</v>
      </c>
      <c r="G441" t="s">
        <v>319</v>
      </c>
      <c r="H441" t="s">
        <v>319</v>
      </c>
      <c r="I441" t="s">
        <v>319</v>
      </c>
      <c r="J441" t="s">
        <v>319</v>
      </c>
      <c r="K441" t="s">
        <v>319</v>
      </c>
      <c r="L441" t="s">
        <v>319</v>
      </c>
      <c r="M441" t="s">
        <v>319</v>
      </c>
      <c r="N441" t="s">
        <v>319</v>
      </c>
      <c r="O441" t="s">
        <v>319</v>
      </c>
      <c r="P441" t="s">
        <v>319</v>
      </c>
    </row>
    <row r="442" spans="1:16" ht="15.75" customHeight="1" x14ac:dyDescent="0.2">
      <c r="A442" s="4" t="s">
        <v>529</v>
      </c>
      <c r="B442" s="1" t="str">
        <f t="shared" si="10"/>
        <v>DANCAL</v>
      </c>
      <c r="D442" t="s">
        <v>319</v>
      </c>
      <c r="E442" t="s">
        <v>319</v>
      </c>
      <c r="F442" t="s">
        <v>319</v>
      </c>
      <c r="G442" t="s">
        <v>319</v>
      </c>
      <c r="H442" t="s">
        <v>319</v>
      </c>
      <c r="I442" t="s">
        <v>319</v>
      </c>
      <c r="J442" t="s">
        <v>319</v>
      </c>
      <c r="K442" t="s">
        <v>319</v>
      </c>
      <c r="L442" t="s">
        <v>319</v>
      </c>
      <c r="M442" t="s">
        <v>319</v>
      </c>
      <c r="N442" t="s">
        <v>319</v>
      </c>
      <c r="O442" t="s">
        <v>319</v>
      </c>
      <c r="P442" t="s">
        <v>319</v>
      </c>
    </row>
    <row r="443" spans="1:16" ht="15.75" customHeight="1" x14ac:dyDescent="0.2">
      <c r="A443" s="4" t="s">
        <v>530</v>
      </c>
      <c r="B443" s="1" t="str">
        <f t="shared" si="10"/>
        <v>DANCAL</v>
      </c>
      <c r="D443" t="s">
        <v>319</v>
      </c>
      <c r="E443" t="s">
        <v>319</v>
      </c>
      <c r="F443" t="s">
        <v>319</v>
      </c>
      <c r="G443" t="s">
        <v>319</v>
      </c>
      <c r="H443" t="s">
        <v>319</v>
      </c>
      <c r="I443" t="s">
        <v>319</v>
      </c>
      <c r="J443" t="s">
        <v>319</v>
      </c>
      <c r="K443" t="s">
        <v>319</v>
      </c>
      <c r="L443" t="s">
        <v>319</v>
      </c>
      <c r="M443" t="s">
        <v>319</v>
      </c>
      <c r="N443" t="s">
        <v>319</v>
      </c>
      <c r="O443" t="s">
        <v>319</v>
      </c>
      <c r="P443" t="s">
        <v>319</v>
      </c>
    </row>
    <row r="444" spans="1:16" ht="15.75" customHeight="1" x14ac:dyDescent="0.2">
      <c r="A444" s="4" t="s">
        <v>531</v>
      </c>
      <c r="B444" s="1" t="str">
        <f t="shared" si="10"/>
        <v>DANCAL</v>
      </c>
      <c r="D444" t="s">
        <v>319</v>
      </c>
      <c r="E444" t="s">
        <v>319</v>
      </c>
      <c r="F444" t="s">
        <v>319</v>
      </c>
      <c r="G444" t="s">
        <v>319</v>
      </c>
      <c r="H444" t="s">
        <v>319</v>
      </c>
      <c r="I444" t="s">
        <v>319</v>
      </c>
      <c r="J444" t="s">
        <v>319</v>
      </c>
      <c r="K444" t="s">
        <v>319</v>
      </c>
      <c r="L444" t="s">
        <v>319</v>
      </c>
      <c r="M444" t="s">
        <v>319</v>
      </c>
      <c r="N444" t="s">
        <v>319</v>
      </c>
      <c r="O444" t="s">
        <v>319</v>
      </c>
      <c r="P444" t="s">
        <v>319</v>
      </c>
    </row>
    <row r="445" spans="1:16" ht="15.75" customHeight="1" x14ac:dyDescent="0.2">
      <c r="A445" s="4" t="s">
        <v>532</v>
      </c>
      <c r="B445" s="1" t="str">
        <f t="shared" si="10"/>
        <v>DANCAL</v>
      </c>
      <c r="D445" t="s">
        <v>319</v>
      </c>
      <c r="E445" t="s">
        <v>319</v>
      </c>
      <c r="F445" t="s">
        <v>319</v>
      </c>
      <c r="G445" t="s">
        <v>319</v>
      </c>
      <c r="H445" t="s">
        <v>319</v>
      </c>
      <c r="I445" t="s">
        <v>319</v>
      </c>
      <c r="J445" t="s">
        <v>319</v>
      </c>
      <c r="K445" t="s">
        <v>319</v>
      </c>
      <c r="L445" t="s">
        <v>319</v>
      </c>
      <c r="M445" t="s">
        <v>319</v>
      </c>
      <c r="N445" t="s">
        <v>319</v>
      </c>
      <c r="O445" t="s">
        <v>319</v>
      </c>
      <c r="P445" t="s">
        <v>319</v>
      </c>
    </row>
    <row r="446" spans="1:16" ht="15.75" customHeight="1" x14ac:dyDescent="0.2">
      <c r="A446" s="10" t="s">
        <v>533</v>
      </c>
      <c r="B446" s="1" t="str">
        <f t="shared" si="10"/>
        <v>DANCAL</v>
      </c>
      <c r="D446" t="s">
        <v>319</v>
      </c>
      <c r="E446" t="s">
        <v>319</v>
      </c>
      <c r="F446" t="s">
        <v>319</v>
      </c>
      <c r="G446" t="s">
        <v>319</v>
      </c>
      <c r="H446" t="s">
        <v>319</v>
      </c>
      <c r="I446" t="s">
        <v>319</v>
      </c>
      <c r="J446" t="s">
        <v>319</v>
      </c>
      <c r="K446" t="s">
        <v>319</v>
      </c>
      <c r="L446" t="s">
        <v>319</v>
      </c>
      <c r="M446" t="s">
        <v>319</v>
      </c>
      <c r="N446" t="s">
        <v>319</v>
      </c>
      <c r="O446" t="s">
        <v>319</v>
      </c>
      <c r="P446" t="s">
        <v>319</v>
      </c>
    </row>
    <row r="447" spans="1:16" ht="15.75" customHeight="1" x14ac:dyDescent="0.2">
      <c r="A447" s="4" t="s">
        <v>534</v>
      </c>
      <c r="B447" s="1" t="str">
        <f t="shared" si="10"/>
        <v>DANCAL</v>
      </c>
      <c r="D447" t="s">
        <v>319</v>
      </c>
      <c r="E447" t="s">
        <v>319</v>
      </c>
      <c r="F447" t="s">
        <v>319</v>
      </c>
      <c r="G447" t="s">
        <v>319</v>
      </c>
      <c r="H447" t="s">
        <v>319</v>
      </c>
      <c r="I447" t="s">
        <v>319</v>
      </c>
      <c r="J447" t="s">
        <v>319</v>
      </c>
      <c r="K447" t="s">
        <v>319</v>
      </c>
      <c r="L447" t="s">
        <v>319</v>
      </c>
      <c r="M447" t="s">
        <v>319</v>
      </c>
      <c r="N447" t="s">
        <v>319</v>
      </c>
      <c r="O447" t="s">
        <v>319</v>
      </c>
      <c r="P447" t="s">
        <v>319</v>
      </c>
    </row>
    <row r="448" spans="1:16" ht="15.75" customHeight="1" x14ac:dyDescent="0.2">
      <c r="A448" s="10" t="s">
        <v>535</v>
      </c>
      <c r="B448" s="1" t="str">
        <f t="shared" si="10"/>
        <v>DANCAL</v>
      </c>
      <c r="D448" t="s">
        <v>319</v>
      </c>
      <c r="E448" t="s">
        <v>319</v>
      </c>
      <c r="F448" t="s">
        <v>319</v>
      </c>
      <c r="G448" t="s">
        <v>319</v>
      </c>
      <c r="H448" t="s">
        <v>319</v>
      </c>
      <c r="I448" t="s">
        <v>319</v>
      </c>
      <c r="J448" t="s">
        <v>319</v>
      </c>
      <c r="K448" t="s">
        <v>319</v>
      </c>
      <c r="L448" t="s">
        <v>319</v>
      </c>
      <c r="M448" t="s">
        <v>319</v>
      </c>
      <c r="N448" t="s">
        <v>319</v>
      </c>
      <c r="O448" t="s">
        <v>319</v>
      </c>
      <c r="P448" t="s">
        <v>319</v>
      </c>
    </row>
    <row r="449" spans="1:17" ht="15.75" customHeight="1" x14ac:dyDescent="0.2">
      <c r="A449" s="10" t="s">
        <v>536</v>
      </c>
      <c r="B449" s="1" t="str">
        <f t="shared" si="10"/>
        <v>DANCAL</v>
      </c>
      <c r="D449" t="s">
        <v>319</v>
      </c>
      <c r="E449" t="s">
        <v>319</v>
      </c>
      <c r="F449" t="s">
        <v>319</v>
      </c>
      <c r="G449" t="s">
        <v>319</v>
      </c>
      <c r="H449" t="s">
        <v>319</v>
      </c>
      <c r="I449" t="s">
        <v>319</v>
      </c>
      <c r="J449" t="s">
        <v>319</v>
      </c>
      <c r="K449" t="s">
        <v>319</v>
      </c>
      <c r="L449" t="s">
        <v>319</v>
      </c>
      <c r="M449" t="s">
        <v>319</v>
      </c>
      <c r="N449" t="s">
        <v>319</v>
      </c>
      <c r="O449" t="s">
        <v>319</v>
      </c>
      <c r="P449" t="s">
        <v>319</v>
      </c>
    </row>
    <row r="450" spans="1:17" ht="15.75" customHeight="1" x14ac:dyDescent="0.2">
      <c r="A450" s="4" t="s">
        <v>537</v>
      </c>
      <c r="B450" s="1" t="str">
        <f t="shared" si="10"/>
        <v>DANCAL</v>
      </c>
      <c r="D450" t="s">
        <v>319</v>
      </c>
      <c r="E450" t="s">
        <v>319</v>
      </c>
      <c r="F450" t="s">
        <v>319</v>
      </c>
      <c r="G450" t="s">
        <v>319</v>
      </c>
      <c r="H450" t="s">
        <v>319</v>
      </c>
      <c r="I450" t="s">
        <v>319</v>
      </c>
      <c r="J450" t="s">
        <v>319</v>
      </c>
      <c r="K450" t="s">
        <v>319</v>
      </c>
      <c r="L450" t="s">
        <v>319</v>
      </c>
      <c r="M450" t="s">
        <v>319</v>
      </c>
      <c r="N450" t="s">
        <v>319</v>
      </c>
      <c r="O450" t="s">
        <v>319</v>
      </c>
      <c r="P450" t="s">
        <v>319</v>
      </c>
    </row>
    <row r="451" spans="1:17" ht="15.75" customHeight="1" x14ac:dyDescent="0.2">
      <c r="A451" s="10" t="s">
        <v>538</v>
      </c>
      <c r="B451" s="1" t="str">
        <f t="shared" si="10"/>
        <v>DANCAL</v>
      </c>
      <c r="D451" t="s">
        <v>319</v>
      </c>
      <c r="E451" t="s">
        <v>319</v>
      </c>
      <c r="F451" t="s">
        <v>319</v>
      </c>
      <c r="G451" t="s">
        <v>319</v>
      </c>
      <c r="H451" t="s">
        <v>319</v>
      </c>
      <c r="I451" t="s">
        <v>319</v>
      </c>
      <c r="J451" t="s">
        <v>319</v>
      </c>
      <c r="K451" t="s">
        <v>319</v>
      </c>
      <c r="L451" t="s">
        <v>319</v>
      </c>
      <c r="M451" t="s">
        <v>319</v>
      </c>
      <c r="N451" t="s">
        <v>319</v>
      </c>
      <c r="O451" t="s">
        <v>319</v>
      </c>
      <c r="P451" t="s">
        <v>319</v>
      </c>
    </row>
    <row r="452" spans="1:17" ht="15.75" customHeight="1" x14ac:dyDescent="0.2">
      <c r="A452" s="10" t="s">
        <v>539</v>
      </c>
      <c r="B452" s="1" t="str">
        <f t="shared" si="10"/>
        <v>DANCAL</v>
      </c>
      <c r="D452" t="s">
        <v>319</v>
      </c>
      <c r="E452" t="s">
        <v>319</v>
      </c>
      <c r="F452" t="s">
        <v>319</v>
      </c>
      <c r="G452" t="s">
        <v>319</v>
      </c>
      <c r="H452" t="s">
        <v>319</v>
      </c>
      <c r="I452" t="s">
        <v>319</v>
      </c>
      <c r="J452" t="s">
        <v>319</v>
      </c>
      <c r="K452" t="s">
        <v>319</v>
      </c>
      <c r="L452" t="s">
        <v>319</v>
      </c>
      <c r="M452" t="s">
        <v>319</v>
      </c>
      <c r="N452" t="s">
        <v>319</v>
      </c>
      <c r="O452" t="s">
        <v>319</v>
      </c>
      <c r="P452" t="s">
        <v>319</v>
      </c>
    </row>
    <row r="453" spans="1:17" ht="15.75" customHeight="1" x14ac:dyDescent="0.2">
      <c r="A453" s="10" t="s">
        <v>540</v>
      </c>
      <c r="B453" s="1" t="str">
        <f t="shared" si="10"/>
        <v>DANCAL</v>
      </c>
      <c r="D453" t="s">
        <v>319</v>
      </c>
      <c r="E453" t="s">
        <v>319</v>
      </c>
      <c r="F453" t="s">
        <v>319</v>
      </c>
      <c r="G453" t="s">
        <v>319</v>
      </c>
      <c r="H453" t="s">
        <v>319</v>
      </c>
      <c r="I453" t="s">
        <v>319</v>
      </c>
      <c r="J453" t="s">
        <v>319</v>
      </c>
      <c r="K453" t="s">
        <v>319</v>
      </c>
      <c r="L453" t="s">
        <v>319</v>
      </c>
      <c r="M453" t="s">
        <v>319</v>
      </c>
      <c r="N453" t="s">
        <v>319</v>
      </c>
      <c r="O453" t="s">
        <v>319</v>
      </c>
      <c r="P453" t="s">
        <v>319</v>
      </c>
    </row>
    <row r="454" spans="1:17" ht="15.75" customHeight="1" x14ac:dyDescent="0.2">
      <c r="A454" s="4" t="s">
        <v>541</v>
      </c>
      <c r="B454" s="1" t="str">
        <f t="shared" si="10"/>
        <v>DAUPUS</v>
      </c>
      <c r="C454" t="s">
        <v>542</v>
      </c>
      <c r="D454" s="9">
        <v>45141</v>
      </c>
      <c r="E454">
        <v>278</v>
      </c>
      <c r="F454">
        <v>6.9999999999999999E-4</v>
      </c>
      <c r="G454">
        <v>3.5E-4</v>
      </c>
      <c r="H454">
        <v>4.0000000000000002E-4</v>
      </c>
      <c r="I454">
        <v>2.0000000000000001E-4</v>
      </c>
      <c r="J454">
        <v>2.5000000000000001E-4</v>
      </c>
      <c r="K454">
        <v>2.0000000000000002E-5</v>
      </c>
      <c r="L454">
        <v>8.0000000000000004E-4</v>
      </c>
      <c r="M454">
        <v>7.4999999999999993E-5</v>
      </c>
      <c r="N454">
        <v>2.9999999999999997E-4</v>
      </c>
      <c r="O454">
        <v>1.6699999999999999E-4</v>
      </c>
      <c r="P454">
        <v>0.56999999999999995</v>
      </c>
    </row>
    <row r="455" spans="1:17" ht="15.75" customHeight="1" x14ac:dyDescent="0.2">
      <c r="A455" s="4" t="s">
        <v>543</v>
      </c>
      <c r="B455" s="1" t="str">
        <f t="shared" si="10"/>
        <v>DAUPUS</v>
      </c>
      <c r="C455" t="s">
        <v>196</v>
      </c>
      <c r="D455" s="9">
        <v>45141</v>
      </c>
      <c r="E455">
        <v>1120</v>
      </c>
      <c r="F455">
        <f>0.0018/4</f>
        <v>4.4999999999999999E-4</v>
      </c>
      <c r="G455">
        <f>0.0025/5</f>
        <v>5.0000000000000001E-4</v>
      </c>
      <c r="H455">
        <f>0.0021/5</f>
        <v>4.1999999999999996E-4</v>
      </c>
      <c r="I455">
        <f>0.0017/5</f>
        <v>3.3999999999999997E-4</v>
      </c>
      <c r="J455">
        <f>0.002/6</f>
        <v>3.3333333333333332E-4</v>
      </c>
      <c r="K455">
        <f>0.0017/5</f>
        <v>3.3999999999999997E-4</v>
      </c>
      <c r="L455">
        <f>0.0023/5</f>
        <v>4.6000000000000001E-4</v>
      </c>
      <c r="M455">
        <f>0.0024/6</f>
        <v>3.9999999999999996E-4</v>
      </c>
      <c r="N455">
        <f>0.0016/4</f>
        <v>4.0000000000000002E-4</v>
      </c>
      <c r="O455">
        <f>0.0012/3</f>
        <v>3.9999999999999996E-4</v>
      </c>
      <c r="P455">
        <v>2.48</v>
      </c>
    </row>
    <row r="456" spans="1:17" ht="15.75" customHeight="1" x14ac:dyDescent="0.2">
      <c r="A456" s="4" t="s">
        <v>544</v>
      </c>
      <c r="B456" s="1" t="str">
        <f t="shared" si="10"/>
        <v>DAUPUS</v>
      </c>
      <c r="C456" t="s">
        <v>201</v>
      </c>
      <c r="D456" s="9">
        <v>45089</v>
      </c>
      <c r="E456">
        <v>96</v>
      </c>
      <c r="F456">
        <v>2.0000000000000001E-4</v>
      </c>
      <c r="G456">
        <v>1E-4</v>
      </c>
      <c r="H456">
        <v>1E-4</v>
      </c>
      <c r="I456">
        <v>2.9999999999999997E-4</v>
      </c>
      <c r="J456">
        <v>2.0000000000000001E-4</v>
      </c>
      <c r="K456">
        <v>2.9999999999999997E-4</v>
      </c>
      <c r="L456">
        <v>2.9999999999999997E-4</v>
      </c>
      <c r="M456">
        <v>1E-4</v>
      </c>
      <c r="N456">
        <v>1E-4</v>
      </c>
      <c r="O456">
        <v>1E-4</v>
      </c>
      <c r="P456">
        <v>0.15</v>
      </c>
    </row>
    <row r="457" spans="1:17" ht="15.75" customHeight="1" x14ac:dyDescent="0.2">
      <c r="A457" s="10" t="s">
        <v>545</v>
      </c>
      <c r="B457" s="1" t="str">
        <f t="shared" si="10"/>
        <v>DAUPUS</v>
      </c>
    </row>
    <row r="458" spans="1:17" ht="15.75" customHeight="1" x14ac:dyDescent="0.2">
      <c r="A458" s="4" t="s">
        <v>546</v>
      </c>
      <c r="B458" s="1" t="str">
        <f t="shared" si="10"/>
        <v>DAUPUS</v>
      </c>
    </row>
    <row r="459" spans="1:17" ht="15.75" customHeight="1" x14ac:dyDescent="0.2">
      <c r="A459" s="4" t="s">
        <v>547</v>
      </c>
      <c r="B459" s="1" t="str">
        <f t="shared" si="10"/>
        <v>DAUPUS</v>
      </c>
    </row>
    <row r="460" spans="1:17" ht="15.75" customHeight="1" x14ac:dyDescent="0.2">
      <c r="A460" s="10" t="s">
        <v>548</v>
      </c>
      <c r="B460" s="1" t="str">
        <f t="shared" si="10"/>
        <v>DAUPUS</v>
      </c>
      <c r="C460" t="s">
        <v>201</v>
      </c>
      <c r="D460" s="9">
        <v>45141</v>
      </c>
      <c r="E460">
        <v>248</v>
      </c>
      <c r="F460">
        <v>3.5E-4</v>
      </c>
      <c r="G460">
        <v>5.5000000000000003E-4</v>
      </c>
      <c r="H460">
        <v>2.0000000000000001E-4</v>
      </c>
      <c r="I460">
        <v>5.9999999999999995E-4</v>
      </c>
      <c r="J460">
        <v>5.0000000000000001E-4</v>
      </c>
      <c r="K460">
        <v>2.0000000000000002E-5</v>
      </c>
      <c r="L460">
        <v>2.5000000000000001E-5</v>
      </c>
      <c r="M460">
        <v>1E-4</v>
      </c>
      <c r="N460">
        <v>6.9999999999999999E-4</v>
      </c>
      <c r="O460">
        <v>6.9999999999999999E-4</v>
      </c>
      <c r="P460">
        <v>0.44</v>
      </c>
    </row>
    <row r="461" spans="1:17" ht="15.75" customHeight="1" x14ac:dyDescent="0.2">
      <c r="A461" s="4" t="s">
        <v>549</v>
      </c>
      <c r="B461" s="1" t="str">
        <f t="shared" si="10"/>
        <v>DAUPUS</v>
      </c>
    </row>
    <row r="462" spans="1:17" ht="15.75" customHeight="1" x14ac:dyDescent="0.2">
      <c r="A462" s="10" t="s">
        <v>550</v>
      </c>
      <c r="B462" s="1" t="str">
        <f t="shared" si="10"/>
        <v>DAUPUS</v>
      </c>
      <c r="C462" t="s">
        <v>42</v>
      </c>
      <c r="D462" s="9">
        <v>45089</v>
      </c>
      <c r="E462">
        <v>3804</v>
      </c>
      <c r="F462">
        <v>2.0000000000000001E-4</v>
      </c>
      <c r="G462">
        <v>3.5E-4</v>
      </c>
      <c r="H462">
        <v>5.0000000000000001E-4</v>
      </c>
      <c r="I462">
        <v>4.0000000000000002E-4</v>
      </c>
      <c r="J462">
        <v>5.9999999999999995E-4</v>
      </c>
      <c r="K462">
        <v>8.9999999999999998E-4</v>
      </c>
      <c r="L462">
        <v>4.0000000000000002E-4</v>
      </c>
      <c r="M462">
        <v>2.0000000000000001E-4</v>
      </c>
      <c r="N462">
        <v>2.0000000000000001E-4</v>
      </c>
      <c r="O462">
        <v>2.0000000000000001E-4</v>
      </c>
      <c r="P462">
        <v>7.02</v>
      </c>
    </row>
    <row r="463" spans="1:17" ht="15.75" customHeight="1" x14ac:dyDescent="0.2">
      <c r="A463" s="4" t="s">
        <v>551</v>
      </c>
      <c r="B463" s="1" t="str">
        <f t="shared" si="10"/>
        <v>DAUPUS</v>
      </c>
    </row>
    <row r="464" spans="1:17" ht="15.75" customHeight="1" x14ac:dyDescent="0.2">
      <c r="A464" s="10" t="s">
        <v>552</v>
      </c>
      <c r="B464" s="1" t="str">
        <f t="shared" si="10"/>
        <v>DAUPUS</v>
      </c>
      <c r="C464" t="s">
        <v>42</v>
      </c>
      <c r="D464" s="9">
        <v>45141</v>
      </c>
      <c r="E464">
        <v>485</v>
      </c>
      <c r="P464">
        <v>1.21</v>
      </c>
      <c r="Q464" t="s">
        <v>553</v>
      </c>
    </row>
    <row r="465" spans="1:17" ht="15.75" customHeight="1" x14ac:dyDescent="0.2">
      <c r="A465" s="10" t="s">
        <v>554</v>
      </c>
      <c r="B465" s="1" t="str">
        <f t="shared" si="10"/>
        <v>DAUPUS</v>
      </c>
      <c r="C465" t="s">
        <v>190</v>
      </c>
      <c r="D465" s="9">
        <v>45141</v>
      </c>
      <c r="E465">
        <v>98</v>
      </c>
      <c r="F465">
        <v>1.75E-4</v>
      </c>
      <c r="G465">
        <v>1.6000000000000001E-4</v>
      </c>
      <c r="H465">
        <v>1.75E-4</v>
      </c>
      <c r="I465">
        <v>2.9999999999999997E-4</v>
      </c>
      <c r="J465">
        <v>4.0000000000000002E-4</v>
      </c>
      <c r="K465">
        <v>6.9999999999999999E-4</v>
      </c>
      <c r="L465">
        <v>2.9999999999999997E-4</v>
      </c>
      <c r="M465">
        <v>4.0000000000000002E-4</v>
      </c>
      <c r="N465">
        <v>2.3000000000000001E-4</v>
      </c>
      <c r="O465">
        <v>1.6000000000000001E-3</v>
      </c>
      <c r="P465">
        <v>0.14000000000000001</v>
      </c>
    </row>
    <row r="466" spans="1:17" ht="15.75" customHeight="1" x14ac:dyDescent="0.2">
      <c r="A466" s="4" t="s">
        <v>555</v>
      </c>
      <c r="B466" s="1" t="str">
        <f t="shared" si="10"/>
        <v>DAUPUS</v>
      </c>
      <c r="C466" t="s">
        <v>196</v>
      </c>
      <c r="D466" s="9">
        <v>45141</v>
      </c>
      <c r="E466">
        <v>722</v>
      </c>
      <c r="F466">
        <f>0.0022/4</f>
        <v>5.5000000000000003E-4</v>
      </c>
      <c r="G466">
        <f>0.0016/3</f>
        <v>5.3333333333333336E-4</v>
      </c>
      <c r="H466">
        <f>0.0032/5</f>
        <v>6.4000000000000005E-4</v>
      </c>
      <c r="I466">
        <f>0.0021/5</f>
        <v>4.1999999999999996E-4</v>
      </c>
      <c r="J466">
        <f>0.0017/3</f>
        <v>5.666666666666666E-4</v>
      </c>
      <c r="K466">
        <f>0.0023/5</f>
        <v>4.6000000000000001E-4</v>
      </c>
      <c r="L466">
        <f>0.0027/4</f>
        <v>6.7500000000000004E-4</v>
      </c>
      <c r="M466">
        <f>0.0016/3</f>
        <v>5.3333333333333336E-4</v>
      </c>
      <c r="N466">
        <v>1E-3</v>
      </c>
      <c r="O466">
        <f>0.001/3</f>
        <v>3.3333333333333332E-4</v>
      </c>
      <c r="P466">
        <v>0.78</v>
      </c>
    </row>
    <row r="467" spans="1:17" ht="15.75" customHeight="1" x14ac:dyDescent="0.2">
      <c r="A467" s="4" t="s">
        <v>556</v>
      </c>
      <c r="B467" s="1" t="str">
        <f t="shared" si="10"/>
        <v>DAUPUS</v>
      </c>
      <c r="C467" t="s">
        <v>201</v>
      </c>
      <c r="D467" s="9">
        <v>45141</v>
      </c>
      <c r="E467">
        <v>788</v>
      </c>
      <c r="F467">
        <v>1.4999999999999999E-4</v>
      </c>
      <c r="G467">
        <v>1E-4</v>
      </c>
      <c r="H467">
        <v>2.0000000000000001E-4</v>
      </c>
      <c r="I467">
        <v>5.0000000000000002E-5</v>
      </c>
      <c r="J467">
        <v>3.5E-4</v>
      </c>
      <c r="K467">
        <v>1E-4</v>
      </c>
      <c r="L467">
        <v>2.0000000000000001E-4</v>
      </c>
      <c r="M467">
        <v>2.0000000000000001E-4</v>
      </c>
      <c r="N467">
        <v>2.0000000000000001E-4</v>
      </c>
      <c r="O467">
        <v>2.0000000000000001E-4</v>
      </c>
      <c r="P467">
        <v>1.35</v>
      </c>
    </row>
    <row r="468" spans="1:17" ht="15.75" customHeight="1" x14ac:dyDescent="0.2">
      <c r="A468" s="10" t="s">
        <v>557</v>
      </c>
      <c r="B468" s="1" t="str">
        <f t="shared" si="10"/>
        <v>DAUPUS</v>
      </c>
      <c r="C468" t="s">
        <v>196</v>
      </c>
      <c r="D468" s="9">
        <v>45141</v>
      </c>
      <c r="E468">
        <v>60</v>
      </c>
      <c r="F468" t="s">
        <v>319</v>
      </c>
      <c r="G468" t="s">
        <v>319</v>
      </c>
      <c r="H468" t="s">
        <v>319</v>
      </c>
      <c r="I468" t="s">
        <v>319</v>
      </c>
      <c r="J468" t="s">
        <v>319</v>
      </c>
      <c r="K468" t="s">
        <v>319</v>
      </c>
      <c r="L468" t="s">
        <v>319</v>
      </c>
      <c r="M468" t="s">
        <v>319</v>
      </c>
      <c r="N468" t="s">
        <v>319</v>
      </c>
      <c r="O468" t="s">
        <v>319</v>
      </c>
      <c r="Q468" t="s">
        <v>558</v>
      </c>
    </row>
    <row r="469" spans="1:17" ht="15.75" customHeight="1" x14ac:dyDescent="0.2">
      <c r="A469" s="4" t="s">
        <v>559</v>
      </c>
      <c r="B469" s="1" t="str">
        <f t="shared" si="10"/>
        <v>DAUPUS</v>
      </c>
    </row>
    <row r="470" spans="1:17" ht="15.75" customHeight="1" x14ac:dyDescent="0.2">
      <c r="A470" s="4" t="s">
        <v>560</v>
      </c>
      <c r="B470" s="1" t="str">
        <f t="shared" si="10"/>
        <v>DAUPUS</v>
      </c>
      <c r="C470" t="s">
        <v>190</v>
      </c>
      <c r="D470" s="9">
        <v>45077</v>
      </c>
      <c r="E470">
        <v>31</v>
      </c>
      <c r="F470" t="s">
        <v>319</v>
      </c>
      <c r="G470" t="s">
        <v>319</v>
      </c>
      <c r="H470" t="s">
        <v>319</v>
      </c>
      <c r="I470" t="s">
        <v>319</v>
      </c>
      <c r="J470" t="s">
        <v>319</v>
      </c>
      <c r="K470" t="s">
        <v>319</v>
      </c>
      <c r="L470" t="s">
        <v>319</v>
      </c>
      <c r="M470" t="s">
        <v>319</v>
      </c>
      <c r="N470" t="s">
        <v>319</v>
      </c>
      <c r="O470" t="s">
        <v>319</v>
      </c>
      <c r="P470">
        <v>0.09</v>
      </c>
      <c r="Q470" t="s">
        <v>553</v>
      </c>
    </row>
    <row r="471" spans="1:17" ht="15.75" customHeight="1" x14ac:dyDescent="0.2">
      <c r="A471" s="10" t="s">
        <v>561</v>
      </c>
      <c r="B471" s="1" t="str">
        <f t="shared" si="10"/>
        <v>DAUPUS</v>
      </c>
      <c r="C471" t="s">
        <v>196</v>
      </c>
      <c r="D471" s="9">
        <v>45141</v>
      </c>
      <c r="E471">
        <v>171</v>
      </c>
      <c r="F471" t="s">
        <v>319</v>
      </c>
      <c r="G471" t="s">
        <v>319</v>
      </c>
      <c r="H471" t="s">
        <v>319</v>
      </c>
      <c r="I471" t="s">
        <v>319</v>
      </c>
      <c r="J471" t="s">
        <v>319</v>
      </c>
      <c r="K471" t="s">
        <v>319</v>
      </c>
      <c r="L471" t="s">
        <v>319</v>
      </c>
      <c r="M471" t="s">
        <v>319</v>
      </c>
      <c r="N471" t="s">
        <v>319</v>
      </c>
      <c r="O471" t="s">
        <v>319</v>
      </c>
      <c r="P471">
        <v>0.21</v>
      </c>
      <c r="Q471" t="s">
        <v>295</v>
      </c>
    </row>
    <row r="472" spans="1:17" ht="15.75" customHeight="1" x14ac:dyDescent="0.2">
      <c r="A472" s="10" t="s">
        <v>562</v>
      </c>
      <c r="B472" s="1" t="s">
        <v>563</v>
      </c>
    </row>
    <row r="473" spans="1:17" ht="15.75" customHeight="1" x14ac:dyDescent="0.2">
      <c r="A473" s="4" t="s">
        <v>564</v>
      </c>
      <c r="B473" s="1" t="str">
        <f t="shared" ref="B473:B554" si="11">MID(A473,4,6)</f>
        <v>DAUPUS</v>
      </c>
      <c r="C473" s="1" t="s">
        <v>42</v>
      </c>
      <c r="D473" s="1" t="s">
        <v>319</v>
      </c>
      <c r="E473" s="1" t="s">
        <v>319</v>
      </c>
      <c r="F473" s="1" t="s">
        <v>319</v>
      </c>
      <c r="G473" s="1" t="s">
        <v>319</v>
      </c>
      <c r="H473" s="1" t="s">
        <v>319</v>
      </c>
      <c r="I473" s="1" t="s">
        <v>319</v>
      </c>
      <c r="J473" s="1" t="s">
        <v>319</v>
      </c>
      <c r="K473" s="1" t="s">
        <v>319</v>
      </c>
      <c r="L473" s="1" t="s">
        <v>319</v>
      </c>
      <c r="M473" s="1" t="s">
        <v>319</v>
      </c>
      <c r="N473" s="1" t="s">
        <v>319</v>
      </c>
      <c r="O473" s="1" t="s">
        <v>319</v>
      </c>
      <c r="P473" s="1" t="s">
        <v>319</v>
      </c>
      <c r="Q473" s="1" t="s">
        <v>565</v>
      </c>
    </row>
    <row r="474" spans="1:17" ht="15.75" customHeight="1" x14ac:dyDescent="0.2">
      <c r="A474" s="10" t="s">
        <v>566</v>
      </c>
      <c r="B474" s="1" t="str">
        <f t="shared" si="11"/>
        <v>DAUPUS</v>
      </c>
    </row>
    <row r="475" spans="1:17" ht="15.75" customHeight="1" x14ac:dyDescent="0.2">
      <c r="A475" s="4" t="s">
        <v>567</v>
      </c>
      <c r="B475" s="1" t="str">
        <f t="shared" si="11"/>
        <v>DAUPUS</v>
      </c>
      <c r="C475" t="s">
        <v>568</v>
      </c>
      <c r="D475" s="9">
        <v>45141</v>
      </c>
      <c r="E475">
        <v>2949</v>
      </c>
      <c r="F475">
        <v>2.9999999999999997E-4</v>
      </c>
      <c r="G475">
        <v>2.0000000000000001E-4</v>
      </c>
      <c r="H475">
        <v>1E-4</v>
      </c>
      <c r="I475">
        <v>1E-4</v>
      </c>
      <c r="J475">
        <v>5.5000000000000003E-4</v>
      </c>
      <c r="K475">
        <v>2.0000000000000001E-4</v>
      </c>
      <c r="L475">
        <v>2.9999999999999997E-4</v>
      </c>
      <c r="M475">
        <v>1E-4</v>
      </c>
      <c r="N475">
        <v>5.0000000000000001E-4</v>
      </c>
      <c r="O475">
        <v>1E-4</v>
      </c>
      <c r="P475">
        <v>5.26</v>
      </c>
    </row>
    <row r="476" spans="1:17" ht="15.75" customHeight="1" x14ac:dyDescent="0.2">
      <c r="A476" s="10" t="s">
        <v>569</v>
      </c>
      <c r="B476" s="1" t="str">
        <f t="shared" si="11"/>
        <v>DAUPUS</v>
      </c>
    </row>
    <row r="477" spans="1:17" ht="15.75" customHeight="1" x14ac:dyDescent="0.2">
      <c r="A477" s="10" t="s">
        <v>570</v>
      </c>
      <c r="B477" s="1" t="str">
        <f t="shared" si="11"/>
        <v>DAUPUS</v>
      </c>
    </row>
    <row r="478" spans="1:17" ht="15.75" customHeight="1" x14ac:dyDescent="0.2">
      <c r="A478" s="4" t="s">
        <v>571</v>
      </c>
      <c r="B478" s="1" t="str">
        <f t="shared" si="11"/>
        <v>DAUPUS</v>
      </c>
    </row>
    <row r="479" spans="1:17" ht="15.75" customHeight="1" x14ac:dyDescent="0.2">
      <c r="A479" s="10" t="s">
        <v>572</v>
      </c>
      <c r="B479" s="1" t="str">
        <f t="shared" si="11"/>
        <v>DAUPUS</v>
      </c>
    </row>
    <row r="480" spans="1:17" ht="15.75" customHeight="1" x14ac:dyDescent="0.2">
      <c r="A480" s="4" t="s">
        <v>573</v>
      </c>
      <c r="B480" s="1" t="str">
        <f t="shared" si="11"/>
        <v>DAUPUS</v>
      </c>
    </row>
    <row r="481" spans="1:17" ht="15.75" customHeight="1" x14ac:dyDescent="0.2">
      <c r="A481" s="10" t="s">
        <v>574</v>
      </c>
      <c r="B481" s="1" t="str">
        <f t="shared" si="11"/>
        <v>DAUPUS</v>
      </c>
      <c r="C481" s="1" t="s">
        <v>42</v>
      </c>
      <c r="D481" s="1" t="s">
        <v>319</v>
      </c>
      <c r="E481" s="1" t="s">
        <v>319</v>
      </c>
      <c r="F481" s="1" t="s">
        <v>319</v>
      </c>
      <c r="G481" s="1" t="s">
        <v>319</v>
      </c>
      <c r="H481" s="1" t="s">
        <v>319</v>
      </c>
      <c r="I481" s="1" t="s">
        <v>319</v>
      </c>
      <c r="J481" s="1" t="s">
        <v>319</v>
      </c>
      <c r="K481" s="1" t="s">
        <v>319</v>
      </c>
      <c r="L481" s="1" t="s">
        <v>319</v>
      </c>
      <c r="M481" s="1" t="s">
        <v>319</v>
      </c>
      <c r="N481" s="1" t="s">
        <v>319</v>
      </c>
      <c r="O481" s="1" t="s">
        <v>319</v>
      </c>
      <c r="P481" s="1" t="s">
        <v>319</v>
      </c>
      <c r="Q481" s="1" t="s">
        <v>575</v>
      </c>
    </row>
    <row r="482" spans="1:17" ht="15.75" customHeight="1" x14ac:dyDescent="0.2">
      <c r="A482" s="4" t="s">
        <v>576</v>
      </c>
      <c r="B482" s="1" t="str">
        <f t="shared" si="11"/>
        <v>DAUPUS</v>
      </c>
      <c r="C482" s="1" t="s">
        <v>42</v>
      </c>
      <c r="D482" s="1" t="s">
        <v>319</v>
      </c>
      <c r="E482" s="1" t="s">
        <v>319</v>
      </c>
      <c r="F482" s="1" t="s">
        <v>319</v>
      </c>
      <c r="G482" s="1" t="s">
        <v>319</v>
      </c>
      <c r="H482" s="1" t="s">
        <v>319</v>
      </c>
      <c r="I482" s="1" t="s">
        <v>319</v>
      </c>
      <c r="J482" s="1" t="s">
        <v>319</v>
      </c>
      <c r="K482" s="1" t="s">
        <v>319</v>
      </c>
      <c r="L482" s="1" t="s">
        <v>319</v>
      </c>
      <c r="M482" s="1" t="s">
        <v>319</v>
      </c>
      <c r="N482" s="1" t="s">
        <v>319</v>
      </c>
      <c r="O482" s="1" t="s">
        <v>319</v>
      </c>
      <c r="P482" s="1" t="s">
        <v>319</v>
      </c>
      <c r="Q482" s="1" t="s">
        <v>577</v>
      </c>
    </row>
    <row r="483" spans="1:17" ht="15.75" customHeight="1" x14ac:dyDescent="0.2">
      <c r="A483" s="10" t="s">
        <v>578</v>
      </c>
      <c r="B483" s="1" t="str">
        <f t="shared" si="11"/>
        <v>DAUPUS</v>
      </c>
      <c r="C483" s="1" t="s">
        <v>42</v>
      </c>
      <c r="D483" s="1" t="s">
        <v>319</v>
      </c>
      <c r="E483" s="1" t="s">
        <v>319</v>
      </c>
      <c r="F483" s="1" t="s">
        <v>319</v>
      </c>
      <c r="G483" s="1" t="s">
        <v>319</v>
      </c>
      <c r="H483" s="1" t="s">
        <v>319</v>
      </c>
      <c r="I483" s="1" t="s">
        <v>319</v>
      </c>
      <c r="J483" s="1" t="s">
        <v>319</v>
      </c>
      <c r="K483" s="1" t="s">
        <v>319</v>
      </c>
      <c r="L483" s="1" t="s">
        <v>319</v>
      </c>
      <c r="M483" s="1" t="s">
        <v>319</v>
      </c>
      <c r="N483" s="1" t="s">
        <v>319</v>
      </c>
      <c r="O483" s="1" t="s">
        <v>319</v>
      </c>
      <c r="P483" s="1" t="s">
        <v>319</v>
      </c>
      <c r="Q483" s="1" t="s">
        <v>577</v>
      </c>
    </row>
    <row r="484" spans="1:17" ht="15.75" customHeight="1" x14ac:dyDescent="0.2">
      <c r="A484" s="10" t="s">
        <v>579</v>
      </c>
      <c r="B484" s="1" t="str">
        <f t="shared" si="11"/>
        <v>DAUPUS</v>
      </c>
      <c r="C484" t="s">
        <v>190</v>
      </c>
      <c r="D484" s="9">
        <v>45077</v>
      </c>
      <c r="E484">
        <v>71</v>
      </c>
      <c r="F484">
        <v>6.9999999999999999E-4</v>
      </c>
      <c r="G484">
        <v>2.0000000000000001E-4</v>
      </c>
      <c r="H484">
        <v>4.0000000000000002E-4</v>
      </c>
      <c r="I484">
        <v>5.0000000000000001E-4</v>
      </c>
      <c r="J484">
        <v>1.6000000000000001E-3</v>
      </c>
      <c r="K484">
        <v>4.0000000000000002E-4</v>
      </c>
      <c r="L484">
        <v>2.0000000000000001E-4</v>
      </c>
      <c r="M484">
        <v>2.9999999999999997E-4</v>
      </c>
      <c r="N484">
        <v>4.4999999999999999E-4</v>
      </c>
      <c r="O484">
        <v>1E-4</v>
      </c>
      <c r="P484">
        <v>0.39</v>
      </c>
    </row>
    <row r="485" spans="1:17" ht="15.75" customHeight="1" x14ac:dyDescent="0.2">
      <c r="A485" s="4" t="s">
        <v>580</v>
      </c>
      <c r="B485" s="1" t="str">
        <f t="shared" si="11"/>
        <v>DAUPUS</v>
      </c>
      <c r="C485" t="s">
        <v>196</v>
      </c>
      <c r="D485" s="9">
        <v>45141</v>
      </c>
      <c r="E485">
        <v>164</v>
      </c>
      <c r="F485">
        <f>0.0021/7</f>
        <v>2.9999999999999997E-4</v>
      </c>
      <c r="G485">
        <f>0.0016/4</f>
        <v>4.0000000000000002E-4</v>
      </c>
      <c r="H485">
        <f>0.002/5</f>
        <v>4.0000000000000002E-4</v>
      </c>
      <c r="I485">
        <f>0.0017/4</f>
        <v>4.2499999999999998E-4</v>
      </c>
      <c r="J485" s="1" t="s">
        <v>319</v>
      </c>
      <c r="K485" s="1" t="s">
        <v>319</v>
      </c>
      <c r="L485" s="1" t="s">
        <v>319</v>
      </c>
      <c r="M485" s="1" t="s">
        <v>319</v>
      </c>
      <c r="N485" s="1" t="s">
        <v>319</v>
      </c>
      <c r="O485" s="1" t="s">
        <v>319</v>
      </c>
      <c r="P485">
        <v>0.22</v>
      </c>
      <c r="Q485" t="s">
        <v>581</v>
      </c>
    </row>
    <row r="486" spans="1:17" ht="15.75" customHeight="1" x14ac:dyDescent="0.2">
      <c r="A486" s="10" t="s">
        <v>582</v>
      </c>
      <c r="B486" s="1" t="str">
        <f t="shared" si="11"/>
        <v>DAUPUS</v>
      </c>
    </row>
    <row r="487" spans="1:17" ht="15.75" customHeight="1" x14ac:dyDescent="0.2">
      <c r="A487" s="4" t="s">
        <v>583</v>
      </c>
      <c r="B487" s="1" t="str">
        <f t="shared" si="11"/>
        <v>ELYCAP</v>
      </c>
      <c r="C487" t="s">
        <v>185</v>
      </c>
      <c r="D487" s="9">
        <v>45072</v>
      </c>
      <c r="E487">
        <v>36</v>
      </c>
      <c r="F487">
        <v>3.5999999999999999E-3</v>
      </c>
      <c r="G487">
        <v>2.2000000000000001E-3</v>
      </c>
      <c r="H487">
        <v>4.1999999999999997E-3</v>
      </c>
      <c r="I487">
        <v>3.8999999999999998E-3</v>
      </c>
      <c r="J487">
        <v>3.8999999999999998E-3</v>
      </c>
      <c r="K487">
        <v>2.3999999999999998E-3</v>
      </c>
      <c r="L487">
        <v>3.7000000000000002E-3</v>
      </c>
      <c r="M487">
        <v>2.0999999999999999E-3</v>
      </c>
      <c r="N487">
        <v>2E-3</v>
      </c>
      <c r="O487">
        <v>2.0999999999999999E-3</v>
      </c>
      <c r="P487">
        <v>0.34</v>
      </c>
    </row>
    <row r="488" spans="1:17" ht="15.75" customHeight="1" x14ac:dyDescent="0.2">
      <c r="A488" s="10" t="s">
        <v>584</v>
      </c>
      <c r="B488" s="1" t="str">
        <f t="shared" si="11"/>
        <v>ELYCAP</v>
      </c>
      <c r="C488" t="s">
        <v>185</v>
      </c>
      <c r="D488" s="9">
        <v>45072</v>
      </c>
      <c r="E488">
        <v>81</v>
      </c>
      <c r="F488">
        <v>5.4999999999999997E-3</v>
      </c>
      <c r="G488">
        <v>5.5999999999999999E-3</v>
      </c>
      <c r="H488">
        <v>5.3E-3</v>
      </c>
      <c r="I488">
        <v>5.8999999999999999E-3</v>
      </c>
      <c r="J488">
        <v>6.0000000000000001E-3</v>
      </c>
      <c r="K488">
        <v>6.0000000000000001E-3</v>
      </c>
      <c r="L488">
        <v>5.7999999999999996E-3</v>
      </c>
      <c r="M488">
        <v>5.5999999999999999E-3</v>
      </c>
      <c r="N488">
        <v>6.4999999999999997E-3</v>
      </c>
      <c r="O488">
        <v>4.1999999999999997E-3</v>
      </c>
      <c r="P488">
        <v>0.66</v>
      </c>
    </row>
    <row r="489" spans="1:17" ht="15.75" customHeight="1" x14ac:dyDescent="0.2">
      <c r="A489" s="10" t="s">
        <v>585</v>
      </c>
      <c r="B489" s="1" t="str">
        <f t="shared" si="11"/>
        <v>ELYCAP</v>
      </c>
      <c r="C489" t="s">
        <v>42</v>
      </c>
      <c r="D489" s="9">
        <v>45072</v>
      </c>
      <c r="E489">
        <v>991</v>
      </c>
      <c r="F489">
        <v>7.4999999999999997E-3</v>
      </c>
      <c r="G489">
        <v>4.8999999999999998E-3</v>
      </c>
      <c r="H489">
        <v>5.7000000000000002E-3</v>
      </c>
      <c r="I489">
        <v>7.3000000000000001E-3</v>
      </c>
      <c r="J489">
        <v>4.3E-3</v>
      </c>
      <c r="K489">
        <v>7.9000000000000008E-3</v>
      </c>
      <c r="L489">
        <v>4.3E-3</v>
      </c>
      <c r="M489">
        <v>3.7000000000000002E-3</v>
      </c>
      <c r="N489">
        <v>3.3E-3</v>
      </c>
      <c r="O489">
        <v>5.4000000000000003E-3</v>
      </c>
      <c r="P489">
        <v>10.15</v>
      </c>
    </row>
    <row r="490" spans="1:17" ht="15.75" customHeight="1" x14ac:dyDescent="0.2">
      <c r="A490" s="4" t="s">
        <v>586</v>
      </c>
      <c r="B490" s="1" t="str">
        <f t="shared" si="11"/>
        <v>ELYCAP</v>
      </c>
      <c r="C490" t="s">
        <v>196</v>
      </c>
      <c r="D490" s="9">
        <v>45455</v>
      </c>
      <c r="E490">
        <v>546</v>
      </c>
      <c r="F490">
        <v>5.3E-3</v>
      </c>
      <c r="G490">
        <v>6.1999999999999998E-3</v>
      </c>
      <c r="H490">
        <v>6.0000000000000001E-3</v>
      </c>
      <c r="I490">
        <v>5.5999999999999999E-3</v>
      </c>
      <c r="J490">
        <v>5.7000000000000002E-3</v>
      </c>
      <c r="K490">
        <v>6.6E-3</v>
      </c>
      <c r="L490">
        <v>5.0000000000000001E-3</v>
      </c>
      <c r="M490">
        <v>5.7000000000000002E-3</v>
      </c>
      <c r="N490">
        <v>5.7999999999999996E-3</v>
      </c>
      <c r="O490">
        <v>6.1999999999999998E-3</v>
      </c>
      <c r="P490">
        <v>4.25</v>
      </c>
    </row>
    <row r="491" spans="1:17" ht="15.75" customHeight="1" x14ac:dyDescent="0.2">
      <c r="A491" s="4" t="s">
        <v>587</v>
      </c>
      <c r="B491" s="1" t="str">
        <f t="shared" si="11"/>
        <v>ELYCAP</v>
      </c>
      <c r="C491" t="s">
        <v>42</v>
      </c>
      <c r="D491" s="9">
        <v>45072</v>
      </c>
      <c r="E491">
        <v>257</v>
      </c>
      <c r="F491">
        <v>5.3E-3</v>
      </c>
      <c r="G491">
        <v>5.3E-3</v>
      </c>
      <c r="H491">
        <v>5.8999999999999999E-3</v>
      </c>
      <c r="I491">
        <v>6.1000000000000004E-3</v>
      </c>
      <c r="J491">
        <v>5.7999999999999996E-3</v>
      </c>
      <c r="K491">
        <v>6.1999999999999998E-3</v>
      </c>
      <c r="L491">
        <v>3.3999999999999998E-3</v>
      </c>
      <c r="M491">
        <v>6.6E-3</v>
      </c>
      <c r="N491">
        <v>6.3E-3</v>
      </c>
      <c r="O491">
        <v>6.4000000000000003E-3</v>
      </c>
      <c r="P491">
        <v>2.0499999999999998</v>
      </c>
    </row>
    <row r="492" spans="1:17" ht="15.75" customHeight="1" x14ac:dyDescent="0.2">
      <c r="A492" s="10" t="s">
        <v>588</v>
      </c>
      <c r="B492" s="1" t="str">
        <f t="shared" si="11"/>
        <v>ELYCAP</v>
      </c>
      <c r="C492" t="s">
        <v>188</v>
      </c>
      <c r="D492" s="9">
        <v>45072</v>
      </c>
      <c r="E492">
        <v>326</v>
      </c>
      <c r="F492">
        <v>4.3E-3</v>
      </c>
      <c r="G492">
        <v>4.0000000000000001E-3</v>
      </c>
      <c r="H492">
        <v>4.0000000000000001E-3</v>
      </c>
      <c r="I492">
        <v>4.1999999999999997E-3</v>
      </c>
      <c r="J492">
        <v>3.5999999999999999E-3</v>
      </c>
      <c r="K492">
        <v>3.2000000000000002E-3</v>
      </c>
      <c r="L492">
        <v>4.1999999999999997E-3</v>
      </c>
      <c r="M492">
        <v>4.0000000000000001E-3</v>
      </c>
      <c r="N492">
        <v>4.1000000000000003E-3</v>
      </c>
      <c r="O492">
        <v>3.5000000000000001E-3</v>
      </c>
      <c r="P492">
        <v>1.82</v>
      </c>
    </row>
    <row r="493" spans="1:17" ht="15.75" customHeight="1" x14ac:dyDescent="0.2">
      <c r="A493" s="4" t="s">
        <v>589</v>
      </c>
      <c r="B493" s="1" t="str">
        <f t="shared" si="11"/>
        <v>ELYCAP</v>
      </c>
      <c r="C493" t="s">
        <v>38</v>
      </c>
      <c r="D493" s="9">
        <v>45072</v>
      </c>
      <c r="E493">
        <v>163</v>
      </c>
      <c r="F493">
        <v>2.7000000000000001E-3</v>
      </c>
      <c r="G493">
        <v>4.3E-3</v>
      </c>
      <c r="H493">
        <v>4.3E-3</v>
      </c>
      <c r="I493">
        <v>4.4000000000000003E-3</v>
      </c>
      <c r="J493">
        <v>3.0000000000000001E-3</v>
      </c>
      <c r="K493">
        <v>4.5999999999999999E-3</v>
      </c>
      <c r="L493">
        <v>4.7999999999999996E-3</v>
      </c>
      <c r="M493">
        <v>4.7000000000000002E-3</v>
      </c>
      <c r="N493">
        <v>4.7999999999999996E-3</v>
      </c>
      <c r="O493">
        <v>4.4999999999999997E-3</v>
      </c>
      <c r="P493">
        <v>1.1499999999999999</v>
      </c>
    </row>
    <row r="494" spans="1:17" ht="15.75" customHeight="1" x14ac:dyDescent="0.2">
      <c r="A494" s="10" t="s">
        <v>590</v>
      </c>
      <c r="B494" s="1" t="str">
        <f t="shared" si="11"/>
        <v>ELYCAP</v>
      </c>
      <c r="C494" t="s">
        <v>196</v>
      </c>
      <c r="D494" s="9">
        <v>45262</v>
      </c>
      <c r="E494">
        <v>1055</v>
      </c>
      <c r="F494">
        <v>3.2000000000000002E-3</v>
      </c>
      <c r="G494">
        <v>5.8999999999999999E-3</v>
      </c>
      <c r="H494">
        <v>3.3E-3</v>
      </c>
      <c r="I494">
        <v>2.3999999999999998E-3</v>
      </c>
      <c r="J494">
        <v>3.7000000000000002E-3</v>
      </c>
      <c r="K494">
        <v>2.8E-3</v>
      </c>
      <c r="L494">
        <v>1.9E-3</v>
      </c>
      <c r="M494">
        <v>6.4000000000000003E-3</v>
      </c>
      <c r="N494">
        <v>3.0000000000000001E-3</v>
      </c>
      <c r="O494">
        <v>7.6E-3</v>
      </c>
      <c r="P494">
        <v>5.43</v>
      </c>
    </row>
    <row r="495" spans="1:17" ht="15.75" customHeight="1" x14ac:dyDescent="0.2">
      <c r="A495" s="4" t="s">
        <v>591</v>
      </c>
      <c r="B495" s="1" t="str">
        <f t="shared" si="11"/>
        <v>ELYCAP</v>
      </c>
      <c r="C495" t="s">
        <v>196</v>
      </c>
      <c r="D495" s="9">
        <v>45089</v>
      </c>
      <c r="E495">
        <v>126</v>
      </c>
      <c r="F495">
        <v>4.1999999999999997E-3</v>
      </c>
      <c r="G495">
        <v>1.6999999999999999E-3</v>
      </c>
      <c r="H495">
        <v>4.7999999999999996E-3</v>
      </c>
      <c r="I495">
        <v>2.0999999999999999E-3</v>
      </c>
      <c r="J495">
        <v>3.5000000000000001E-3</v>
      </c>
      <c r="K495">
        <v>3.3E-3</v>
      </c>
      <c r="L495">
        <v>4.4999999999999997E-3</v>
      </c>
      <c r="M495">
        <v>3.8999999999999998E-3</v>
      </c>
      <c r="N495">
        <v>3.7000000000000002E-3</v>
      </c>
      <c r="O495">
        <v>4.3E-3</v>
      </c>
      <c r="P495">
        <v>0.97</v>
      </c>
    </row>
    <row r="496" spans="1:17" ht="15.75" customHeight="1" x14ac:dyDescent="0.2">
      <c r="A496" s="10" t="s">
        <v>592</v>
      </c>
      <c r="B496" s="1" t="str">
        <f t="shared" si="11"/>
        <v>ELYCAP</v>
      </c>
      <c r="C496" t="s">
        <v>272</v>
      </c>
      <c r="D496" s="9">
        <v>45161</v>
      </c>
      <c r="E496">
        <v>1032</v>
      </c>
      <c r="F496">
        <v>4.4000000000000003E-3</v>
      </c>
      <c r="G496">
        <v>3.2000000000000002E-3</v>
      </c>
      <c r="H496">
        <v>2.2000000000000001E-3</v>
      </c>
      <c r="I496">
        <v>3.8E-3</v>
      </c>
      <c r="J496">
        <v>4.4999999999999997E-3</v>
      </c>
      <c r="K496">
        <v>2.5000000000000001E-3</v>
      </c>
      <c r="L496">
        <v>4.0000000000000001E-3</v>
      </c>
      <c r="M496">
        <v>3.0999999999999999E-3</v>
      </c>
      <c r="N496">
        <v>2.5000000000000001E-3</v>
      </c>
      <c r="O496">
        <v>3.3E-3</v>
      </c>
      <c r="P496">
        <v>5.61</v>
      </c>
    </row>
    <row r="497" spans="1:17" ht="15.75" customHeight="1" x14ac:dyDescent="0.2">
      <c r="A497" s="4" t="s">
        <v>593</v>
      </c>
      <c r="B497" s="1" t="str">
        <f t="shared" si="11"/>
        <v>ELYCAP</v>
      </c>
      <c r="C497" t="s">
        <v>188</v>
      </c>
      <c r="D497" s="9">
        <v>45161</v>
      </c>
      <c r="E497">
        <v>473</v>
      </c>
      <c r="F497">
        <v>4.7999999999999996E-3</v>
      </c>
      <c r="G497">
        <v>4.7999999999999996E-3</v>
      </c>
      <c r="H497">
        <v>4.7000000000000002E-3</v>
      </c>
      <c r="I497">
        <v>4.8999999999999998E-3</v>
      </c>
      <c r="J497">
        <v>4.4000000000000003E-3</v>
      </c>
      <c r="K497">
        <v>4.1999999999999997E-3</v>
      </c>
      <c r="L497">
        <v>5.1999999999999998E-3</v>
      </c>
      <c r="M497">
        <v>5.1000000000000004E-3</v>
      </c>
      <c r="N497">
        <v>5.0000000000000001E-3</v>
      </c>
      <c r="O497">
        <v>4.7000000000000002E-3</v>
      </c>
      <c r="P497">
        <v>2.2799999999999998</v>
      </c>
    </row>
    <row r="498" spans="1:17" ht="15.75" customHeight="1" x14ac:dyDescent="0.2">
      <c r="A498" s="10" t="s">
        <v>594</v>
      </c>
      <c r="B498" s="1" t="str">
        <f t="shared" si="11"/>
        <v>ELYCAP</v>
      </c>
      <c r="C498" t="s">
        <v>196</v>
      </c>
      <c r="D498" s="9">
        <v>45089</v>
      </c>
      <c r="E498">
        <v>117</v>
      </c>
      <c r="F498">
        <v>3.5000000000000001E-3</v>
      </c>
      <c r="G498">
        <v>3.8E-3</v>
      </c>
      <c r="H498">
        <v>4.8999999999999998E-3</v>
      </c>
      <c r="I498">
        <v>4.5999999999999999E-3</v>
      </c>
      <c r="J498">
        <v>3.7000000000000002E-3</v>
      </c>
      <c r="K498">
        <v>4.0000000000000001E-3</v>
      </c>
      <c r="L498">
        <v>4.4999999999999997E-3</v>
      </c>
      <c r="M498">
        <v>5.1000000000000004E-3</v>
      </c>
      <c r="N498">
        <v>3.3999999999999998E-3</v>
      </c>
      <c r="O498">
        <v>5.1999999999999998E-3</v>
      </c>
      <c r="P498">
        <v>0.67</v>
      </c>
    </row>
    <row r="499" spans="1:17" ht="15.75" customHeight="1" x14ac:dyDescent="0.2">
      <c r="A499" s="4" t="s">
        <v>595</v>
      </c>
      <c r="B499" s="1" t="str">
        <f t="shared" si="11"/>
        <v>ELYCAP</v>
      </c>
      <c r="C499" t="s">
        <v>188</v>
      </c>
      <c r="D499" s="9">
        <v>45072</v>
      </c>
      <c r="E499">
        <v>494</v>
      </c>
      <c r="F499">
        <v>4.4000000000000003E-3</v>
      </c>
      <c r="G499">
        <v>4.0000000000000001E-3</v>
      </c>
      <c r="H499">
        <v>3.8999999999999998E-3</v>
      </c>
      <c r="I499">
        <v>3.8999999999999998E-3</v>
      </c>
      <c r="J499">
        <v>3.8999999999999998E-3</v>
      </c>
      <c r="K499">
        <v>2.3999999999999998E-3</v>
      </c>
      <c r="L499">
        <v>3.8999999999999998E-3</v>
      </c>
      <c r="M499">
        <v>4.5999999999999999E-3</v>
      </c>
      <c r="N499">
        <v>3.0999999999999999E-3</v>
      </c>
      <c r="O499">
        <v>4.1000000000000003E-3</v>
      </c>
      <c r="P499">
        <v>2.91</v>
      </c>
    </row>
    <row r="500" spans="1:17" ht="15.75" customHeight="1" x14ac:dyDescent="0.2">
      <c r="A500" s="4" t="s">
        <v>596</v>
      </c>
      <c r="B500" s="1" t="str">
        <f t="shared" si="11"/>
        <v>ELYCAP</v>
      </c>
      <c r="C500" t="s">
        <v>196</v>
      </c>
      <c r="D500" s="9">
        <v>45527</v>
      </c>
      <c r="E500">
        <v>1081</v>
      </c>
      <c r="F500">
        <v>5.5999999999999999E-3</v>
      </c>
      <c r="G500">
        <v>3.5999999999999999E-3</v>
      </c>
      <c r="H500">
        <v>5.5999999999999999E-3</v>
      </c>
      <c r="I500">
        <v>5.1999999999999998E-3</v>
      </c>
      <c r="J500">
        <v>4.7999999999999996E-3</v>
      </c>
      <c r="K500">
        <v>2.8E-3</v>
      </c>
      <c r="L500">
        <v>6.1999999999999998E-3</v>
      </c>
      <c r="M500">
        <v>5.7000000000000002E-3</v>
      </c>
      <c r="N500">
        <v>5.4000000000000003E-3</v>
      </c>
      <c r="O500">
        <v>5.8999999999999999E-3</v>
      </c>
      <c r="P500">
        <v>13.67</v>
      </c>
    </row>
    <row r="501" spans="1:17" ht="15.75" customHeight="1" x14ac:dyDescent="0.2">
      <c r="A501" s="4" t="s">
        <v>597</v>
      </c>
      <c r="B501" s="1" t="str">
        <f t="shared" si="11"/>
        <v>ELYCAP</v>
      </c>
      <c r="C501" t="s">
        <v>185</v>
      </c>
      <c r="D501" s="9">
        <v>45161</v>
      </c>
      <c r="E501">
        <v>423</v>
      </c>
      <c r="F501">
        <v>5.4999999999999997E-3</v>
      </c>
      <c r="G501">
        <v>4.7999999999999996E-3</v>
      </c>
      <c r="H501">
        <v>5.7000000000000002E-3</v>
      </c>
      <c r="I501">
        <v>4.8999999999999998E-3</v>
      </c>
      <c r="J501">
        <v>5.1000000000000004E-3</v>
      </c>
      <c r="K501">
        <v>4.1000000000000003E-3</v>
      </c>
      <c r="L501">
        <v>5.0000000000000001E-3</v>
      </c>
      <c r="M501">
        <v>4.5999999999999999E-3</v>
      </c>
      <c r="N501">
        <v>5.4999999999999997E-3</v>
      </c>
      <c r="O501">
        <v>6.1999999999999998E-3</v>
      </c>
      <c r="P501">
        <v>2.4900000000000002</v>
      </c>
    </row>
    <row r="502" spans="1:17" ht="15.75" customHeight="1" x14ac:dyDescent="0.2">
      <c r="A502" s="10" t="s">
        <v>598</v>
      </c>
      <c r="B502" s="1" t="str">
        <f t="shared" si="11"/>
        <v>ELYCAP</v>
      </c>
      <c r="C502" t="s">
        <v>185</v>
      </c>
      <c r="D502" s="9">
        <v>45161</v>
      </c>
      <c r="E502">
        <v>1797</v>
      </c>
      <c r="F502">
        <v>2.8999999999999998E-3</v>
      </c>
      <c r="G502">
        <v>3.3999999999999998E-3</v>
      </c>
      <c r="H502">
        <v>7.0000000000000001E-3</v>
      </c>
      <c r="I502">
        <v>7.7999999999999996E-3</v>
      </c>
      <c r="J502">
        <v>8.5000000000000006E-3</v>
      </c>
      <c r="K502">
        <v>7.7000000000000002E-3</v>
      </c>
      <c r="L502">
        <v>3.8E-3</v>
      </c>
      <c r="M502">
        <v>7.3000000000000001E-3</v>
      </c>
      <c r="N502">
        <v>3.7000000000000002E-3</v>
      </c>
      <c r="O502">
        <v>2.5999999999999999E-3</v>
      </c>
      <c r="P502">
        <v>9.25</v>
      </c>
    </row>
    <row r="503" spans="1:17" ht="15.75" customHeight="1" x14ac:dyDescent="0.2">
      <c r="A503" s="4" t="s">
        <v>599</v>
      </c>
      <c r="B503" s="1" t="str">
        <f t="shared" si="11"/>
        <v>EROBOT</v>
      </c>
      <c r="C503" t="s">
        <v>281</v>
      </c>
      <c r="D503" s="9">
        <v>45073</v>
      </c>
      <c r="E503">
        <v>357</v>
      </c>
      <c r="F503">
        <v>1.35E-2</v>
      </c>
      <c r="G503">
        <v>6.0000000000000001E-3</v>
      </c>
      <c r="H503">
        <v>6.1999999999999998E-3</v>
      </c>
      <c r="I503">
        <v>8.6E-3</v>
      </c>
      <c r="J503">
        <v>6.0000000000000001E-3</v>
      </c>
      <c r="K503">
        <v>6.3E-3</v>
      </c>
      <c r="L503">
        <v>3.2000000000000002E-3</v>
      </c>
      <c r="M503">
        <v>6.6E-3</v>
      </c>
      <c r="N503">
        <v>4.7000000000000002E-3</v>
      </c>
      <c r="O503">
        <v>5.7999999999999996E-3</v>
      </c>
      <c r="P503">
        <v>18.649999999999999</v>
      </c>
    </row>
    <row r="504" spans="1:17" ht="15.75" customHeight="1" x14ac:dyDescent="0.2">
      <c r="A504" s="4" t="s">
        <v>600</v>
      </c>
      <c r="B504" s="1" t="str">
        <f t="shared" si="11"/>
        <v>EROBOT</v>
      </c>
      <c r="C504" s="1" t="s">
        <v>42</v>
      </c>
      <c r="D504" s="1" t="s">
        <v>319</v>
      </c>
      <c r="E504" s="1" t="s">
        <v>319</v>
      </c>
      <c r="F504" s="1" t="s">
        <v>319</v>
      </c>
      <c r="G504" s="1" t="s">
        <v>319</v>
      </c>
      <c r="H504" s="1" t="s">
        <v>319</v>
      </c>
      <c r="I504" s="1" t="s">
        <v>319</v>
      </c>
      <c r="J504" s="1" t="s">
        <v>319</v>
      </c>
      <c r="K504" s="1" t="s">
        <v>319</v>
      </c>
      <c r="L504" s="1" t="s">
        <v>319</v>
      </c>
      <c r="M504" s="1" t="s">
        <v>319</v>
      </c>
      <c r="N504" s="1" t="s">
        <v>319</v>
      </c>
      <c r="O504" s="1" t="s">
        <v>319</v>
      </c>
      <c r="P504" s="1" t="s">
        <v>319</v>
      </c>
      <c r="Q504" s="1" t="s">
        <v>409</v>
      </c>
    </row>
    <row r="505" spans="1:17" ht="15.75" customHeight="1" x14ac:dyDescent="0.2">
      <c r="A505" s="10" t="s">
        <v>601</v>
      </c>
      <c r="B505" s="1" t="str">
        <f t="shared" si="11"/>
        <v>EROBOT</v>
      </c>
    </row>
    <row r="506" spans="1:17" ht="15.75" customHeight="1" x14ac:dyDescent="0.2">
      <c r="A506" s="4" t="s">
        <v>602</v>
      </c>
      <c r="B506" s="1" t="str">
        <f t="shared" si="11"/>
        <v>EROBOT</v>
      </c>
    </row>
    <row r="507" spans="1:17" ht="15.75" customHeight="1" x14ac:dyDescent="0.2">
      <c r="A507" s="10" t="s">
        <v>603</v>
      </c>
      <c r="B507" s="1" t="str">
        <f t="shared" si="11"/>
        <v>EROBOT</v>
      </c>
      <c r="C507" s="1" t="s">
        <v>42</v>
      </c>
      <c r="D507" s="1" t="s">
        <v>319</v>
      </c>
      <c r="E507" s="1" t="s">
        <v>319</v>
      </c>
      <c r="F507" s="1" t="s">
        <v>319</v>
      </c>
      <c r="G507" s="1" t="s">
        <v>319</v>
      </c>
      <c r="H507" s="1" t="s">
        <v>319</v>
      </c>
      <c r="I507" s="1" t="s">
        <v>319</v>
      </c>
      <c r="J507" s="1" t="s">
        <v>319</v>
      </c>
      <c r="K507" s="1" t="s">
        <v>319</v>
      </c>
      <c r="L507" s="1" t="s">
        <v>319</v>
      </c>
      <c r="M507" s="1" t="s">
        <v>319</v>
      </c>
      <c r="N507" s="1" t="s">
        <v>319</v>
      </c>
      <c r="O507" s="1" t="s">
        <v>319</v>
      </c>
      <c r="P507" s="1" t="s">
        <v>319</v>
      </c>
      <c r="Q507" s="1" t="s">
        <v>409</v>
      </c>
    </row>
    <row r="508" spans="1:17" ht="15.75" customHeight="1" x14ac:dyDescent="0.2">
      <c r="A508" s="4" t="s">
        <v>604</v>
      </c>
      <c r="B508" s="1" t="str">
        <f t="shared" si="11"/>
        <v>EROBOT</v>
      </c>
      <c r="C508" t="s">
        <v>196</v>
      </c>
      <c r="D508" s="9" t="s">
        <v>605</v>
      </c>
      <c r="E508">
        <f>195+256</f>
        <v>451</v>
      </c>
      <c r="F508">
        <v>6.7000000000000002E-3</v>
      </c>
      <c r="G508" s="1" t="s">
        <v>319</v>
      </c>
      <c r="H508" s="1" t="s">
        <v>319</v>
      </c>
      <c r="I508" s="1" t="s">
        <v>319</v>
      </c>
      <c r="J508" s="1" t="s">
        <v>319</v>
      </c>
      <c r="K508" s="1" t="s">
        <v>319</v>
      </c>
      <c r="L508" s="1" t="s">
        <v>319</v>
      </c>
      <c r="M508" s="1" t="s">
        <v>319</v>
      </c>
      <c r="N508" s="1" t="s">
        <v>319</v>
      </c>
      <c r="O508" s="1" t="s">
        <v>319</v>
      </c>
      <c r="P508" s="1">
        <v>16.61</v>
      </c>
      <c r="Q508" s="1" t="s">
        <v>606</v>
      </c>
    </row>
    <row r="509" spans="1:17" ht="15.75" customHeight="1" x14ac:dyDescent="0.2">
      <c r="A509" s="4" t="s">
        <v>607</v>
      </c>
      <c r="B509" s="1" t="str">
        <f t="shared" si="11"/>
        <v>EROBOT</v>
      </c>
    </row>
    <row r="510" spans="1:17" ht="15.75" customHeight="1" x14ac:dyDescent="0.2">
      <c r="A510" s="4" t="s">
        <v>608</v>
      </c>
      <c r="B510" s="1" t="str">
        <f t="shared" si="11"/>
        <v>EROBOT</v>
      </c>
    </row>
    <row r="511" spans="1:17" ht="15.75" customHeight="1" x14ac:dyDescent="0.2">
      <c r="A511" s="10" t="s">
        <v>609</v>
      </c>
      <c r="B511" s="1" t="str">
        <f t="shared" si="11"/>
        <v>EROBOT</v>
      </c>
    </row>
    <row r="512" spans="1:17" ht="15.75" customHeight="1" x14ac:dyDescent="0.2">
      <c r="A512" s="4" t="s">
        <v>610</v>
      </c>
      <c r="B512" s="1" t="str">
        <f t="shared" si="11"/>
        <v>EROBOT</v>
      </c>
      <c r="C512" t="s">
        <v>196</v>
      </c>
      <c r="D512" t="s">
        <v>611</v>
      </c>
      <c r="E512">
        <f>95+227</f>
        <v>322</v>
      </c>
      <c r="F512" s="1" t="s">
        <v>319</v>
      </c>
      <c r="G512" s="1" t="s">
        <v>319</v>
      </c>
      <c r="H512" s="1" t="s">
        <v>319</v>
      </c>
      <c r="I512" s="1" t="s">
        <v>319</v>
      </c>
      <c r="J512" s="1" t="s">
        <v>319</v>
      </c>
      <c r="K512" s="1" t="s">
        <v>319</v>
      </c>
      <c r="L512" s="1" t="s">
        <v>319</v>
      </c>
      <c r="M512" s="1" t="s">
        <v>319</v>
      </c>
      <c r="N512" s="1" t="s">
        <v>319</v>
      </c>
      <c r="O512" s="1" t="s">
        <v>319</v>
      </c>
      <c r="P512">
        <f>0.46+16.05</f>
        <v>16.510000000000002</v>
      </c>
    </row>
    <row r="513" spans="1:17" ht="15.75" customHeight="1" x14ac:dyDescent="0.2">
      <c r="A513" s="10" t="s">
        <v>612</v>
      </c>
      <c r="B513" s="1" t="str">
        <f t="shared" si="11"/>
        <v>EROBOT</v>
      </c>
    </row>
    <row r="514" spans="1:17" ht="15.75" customHeight="1" x14ac:dyDescent="0.2">
      <c r="A514" s="10" t="s">
        <v>613</v>
      </c>
      <c r="B514" s="1" t="str">
        <f t="shared" si="11"/>
        <v>EROBOT</v>
      </c>
    </row>
    <row r="515" spans="1:17" ht="15.75" customHeight="1" x14ac:dyDescent="0.2">
      <c r="A515" s="10" t="s">
        <v>614</v>
      </c>
      <c r="B515" s="1" t="str">
        <f t="shared" si="11"/>
        <v>EROBOT</v>
      </c>
      <c r="C515" s="1" t="s">
        <v>42</v>
      </c>
      <c r="D515" s="1" t="s">
        <v>319</v>
      </c>
      <c r="E515" s="1" t="s">
        <v>319</v>
      </c>
      <c r="F515" s="1" t="s">
        <v>319</v>
      </c>
      <c r="G515" s="1" t="s">
        <v>319</v>
      </c>
      <c r="H515" s="1" t="s">
        <v>319</v>
      </c>
      <c r="I515" s="1" t="s">
        <v>319</v>
      </c>
      <c r="J515" s="1" t="s">
        <v>319</v>
      </c>
      <c r="K515" s="1" t="s">
        <v>319</v>
      </c>
      <c r="L515" s="1" t="s">
        <v>319</v>
      </c>
      <c r="M515" s="1" t="s">
        <v>319</v>
      </c>
      <c r="N515" s="1" t="s">
        <v>319</v>
      </c>
      <c r="O515" s="1" t="s">
        <v>319</v>
      </c>
      <c r="P515" s="1" t="s">
        <v>319</v>
      </c>
      <c r="Q515" s="1" t="s">
        <v>615</v>
      </c>
    </row>
    <row r="516" spans="1:17" ht="15.75" customHeight="1" x14ac:dyDescent="0.2">
      <c r="A516" s="4" t="s">
        <v>616</v>
      </c>
      <c r="B516" s="1" t="str">
        <f t="shared" si="11"/>
        <v>EROBOT</v>
      </c>
      <c r="C516" t="s">
        <v>38</v>
      </c>
      <c r="D516" s="9">
        <v>45126</v>
      </c>
      <c r="E516">
        <v>6</v>
      </c>
      <c r="F516" t="s">
        <v>319</v>
      </c>
      <c r="G516" t="s">
        <v>319</v>
      </c>
      <c r="H516" t="s">
        <v>319</v>
      </c>
      <c r="I516" t="s">
        <v>319</v>
      </c>
      <c r="J516" t="s">
        <v>319</v>
      </c>
      <c r="K516" t="s">
        <v>319</v>
      </c>
      <c r="L516" t="s">
        <v>319</v>
      </c>
      <c r="M516" t="s">
        <v>319</v>
      </c>
      <c r="N516" t="s">
        <v>319</v>
      </c>
      <c r="O516" t="s">
        <v>319</v>
      </c>
      <c r="P516">
        <v>0.12</v>
      </c>
      <c r="Q516" t="s">
        <v>617</v>
      </c>
    </row>
    <row r="517" spans="1:17" ht="15.75" customHeight="1" x14ac:dyDescent="0.2">
      <c r="A517" s="10" t="s">
        <v>618</v>
      </c>
      <c r="B517" s="1" t="str">
        <f t="shared" si="11"/>
        <v>EROBOT</v>
      </c>
      <c r="C517" t="s">
        <v>196</v>
      </c>
      <c r="D517" s="9">
        <v>45126</v>
      </c>
      <c r="E517">
        <v>203</v>
      </c>
      <c r="F517" s="1" t="s">
        <v>319</v>
      </c>
      <c r="G517" s="1" t="s">
        <v>319</v>
      </c>
      <c r="H517" s="1" t="s">
        <v>319</v>
      </c>
      <c r="I517" s="1" t="s">
        <v>319</v>
      </c>
      <c r="J517" s="1" t="s">
        <v>319</v>
      </c>
      <c r="K517" s="1" t="s">
        <v>319</v>
      </c>
      <c r="L517" s="1" t="s">
        <v>319</v>
      </c>
      <c r="M517" s="1" t="s">
        <v>319</v>
      </c>
      <c r="N517" s="1" t="s">
        <v>319</v>
      </c>
      <c r="O517" s="1" t="s">
        <v>319</v>
      </c>
      <c r="P517">
        <v>11.41</v>
      </c>
    </row>
    <row r="518" spans="1:17" ht="15.75" customHeight="1" x14ac:dyDescent="0.2">
      <c r="A518" s="4" t="s">
        <v>619</v>
      </c>
      <c r="B518" s="1" t="str">
        <f t="shared" si="11"/>
        <v>EROBOT</v>
      </c>
      <c r="C518" t="s">
        <v>196</v>
      </c>
      <c r="D518" s="9">
        <v>45126</v>
      </c>
      <c r="E518">
        <v>283</v>
      </c>
      <c r="F518">
        <v>6.6E-3</v>
      </c>
      <c r="G518" t="s">
        <v>319</v>
      </c>
      <c r="H518" t="s">
        <v>319</v>
      </c>
      <c r="I518" t="s">
        <v>319</v>
      </c>
      <c r="J518" t="s">
        <v>319</v>
      </c>
      <c r="K518" t="s">
        <v>319</v>
      </c>
      <c r="L518" t="s">
        <v>319</v>
      </c>
      <c r="M518" t="s">
        <v>319</v>
      </c>
      <c r="N518" t="s">
        <v>319</v>
      </c>
      <c r="O518" t="s">
        <v>319</v>
      </c>
      <c r="P518">
        <v>13.07</v>
      </c>
      <c r="Q518" t="s">
        <v>620</v>
      </c>
    </row>
    <row r="519" spans="1:17" ht="15.75" customHeight="1" x14ac:dyDescent="0.2">
      <c r="A519" s="10" t="s">
        <v>621</v>
      </c>
      <c r="B519" s="1" t="str">
        <f t="shared" si="11"/>
        <v>EROBOT</v>
      </c>
    </row>
    <row r="520" spans="1:17" ht="15.75" customHeight="1" x14ac:dyDescent="0.2">
      <c r="A520" s="4" t="s">
        <v>622</v>
      </c>
      <c r="B520" s="1" t="str">
        <f t="shared" si="11"/>
        <v>EROBOT</v>
      </c>
    </row>
    <row r="521" spans="1:17" ht="15.75" customHeight="1" x14ac:dyDescent="0.2">
      <c r="A521" s="10" t="s">
        <v>623</v>
      </c>
      <c r="B521" s="1" t="str">
        <f t="shared" si="11"/>
        <v>EROBOT</v>
      </c>
      <c r="C521" t="s">
        <v>188</v>
      </c>
      <c r="D521" s="9">
        <v>45126</v>
      </c>
      <c r="E521">
        <v>116</v>
      </c>
      <c r="F521">
        <v>4.7999999999999996E-3</v>
      </c>
      <c r="G521">
        <v>2.7000000000000001E-3</v>
      </c>
      <c r="H521">
        <v>5.1999999999999998E-3</v>
      </c>
      <c r="I521">
        <v>6.3E-3</v>
      </c>
      <c r="J521">
        <v>3.3E-3</v>
      </c>
      <c r="K521">
        <v>5.4000000000000003E-3</v>
      </c>
      <c r="L521">
        <v>5.4999999999999997E-3</v>
      </c>
      <c r="M521">
        <v>5.7999999999999996E-3</v>
      </c>
      <c r="N521">
        <v>5.4999999999999997E-3</v>
      </c>
      <c r="O521">
        <v>4.3E-3</v>
      </c>
      <c r="P521">
        <v>6.49</v>
      </c>
    </row>
    <row r="522" spans="1:17" ht="15.75" customHeight="1" x14ac:dyDescent="0.2">
      <c r="A522" s="4" t="s">
        <v>624</v>
      </c>
      <c r="B522" s="1" t="str">
        <f t="shared" si="11"/>
        <v>EROBOT</v>
      </c>
      <c r="C522" s="1" t="s">
        <v>42</v>
      </c>
      <c r="D522" s="1" t="s">
        <v>319</v>
      </c>
      <c r="E522" s="1" t="s">
        <v>319</v>
      </c>
      <c r="F522" s="1" t="s">
        <v>319</v>
      </c>
      <c r="G522" s="1" t="s">
        <v>319</v>
      </c>
      <c r="H522" s="1" t="s">
        <v>319</v>
      </c>
      <c r="I522" s="1" t="s">
        <v>319</v>
      </c>
      <c r="J522" s="1" t="s">
        <v>319</v>
      </c>
      <c r="K522" s="1" t="s">
        <v>319</v>
      </c>
      <c r="L522" s="1" t="s">
        <v>319</v>
      </c>
      <c r="M522" s="1" t="s">
        <v>319</v>
      </c>
      <c r="N522" s="1" t="s">
        <v>319</v>
      </c>
      <c r="O522" s="1" t="s">
        <v>319</v>
      </c>
      <c r="P522" s="1" t="s">
        <v>319</v>
      </c>
      <c r="Q522" s="1" t="s">
        <v>409</v>
      </c>
    </row>
    <row r="523" spans="1:17" ht="15.75" customHeight="1" x14ac:dyDescent="0.2">
      <c r="A523" s="10" t="s">
        <v>625</v>
      </c>
      <c r="B523" s="1" t="str">
        <f t="shared" si="11"/>
        <v>EROBOT</v>
      </c>
    </row>
    <row r="524" spans="1:17" ht="15.75" customHeight="1" x14ac:dyDescent="0.2">
      <c r="A524" s="4" t="s">
        <v>626</v>
      </c>
      <c r="B524" s="1" t="str">
        <f t="shared" si="11"/>
        <v>EROBOT</v>
      </c>
      <c r="C524" t="s">
        <v>188</v>
      </c>
      <c r="D524" s="9">
        <v>45126</v>
      </c>
      <c r="E524">
        <v>340</v>
      </c>
      <c r="F524">
        <v>3.5000000000000001E-3</v>
      </c>
      <c r="G524">
        <v>5.5999999999999999E-3</v>
      </c>
      <c r="H524">
        <v>5.0000000000000001E-3</v>
      </c>
      <c r="I524">
        <v>7.1000000000000004E-3</v>
      </c>
      <c r="J524">
        <v>5.1000000000000004E-3</v>
      </c>
      <c r="K524">
        <v>5.7000000000000002E-3</v>
      </c>
      <c r="L524">
        <v>9.7999999999999997E-3</v>
      </c>
      <c r="M524">
        <v>5.5999999999999999E-3</v>
      </c>
      <c r="N524">
        <v>6.4000000000000003E-3</v>
      </c>
      <c r="O524">
        <v>6.1000000000000004E-3</v>
      </c>
      <c r="P524">
        <v>15.6</v>
      </c>
    </row>
    <row r="525" spans="1:17" ht="15.75" customHeight="1" x14ac:dyDescent="0.2">
      <c r="A525" s="10" t="s">
        <v>627</v>
      </c>
      <c r="B525" s="1" t="str">
        <f t="shared" si="11"/>
        <v>EROBOT</v>
      </c>
      <c r="C525" t="s">
        <v>38</v>
      </c>
      <c r="D525" s="9">
        <v>45126</v>
      </c>
      <c r="E525">
        <v>26</v>
      </c>
      <c r="F525">
        <v>5.1999999999999998E-3</v>
      </c>
      <c r="G525">
        <v>7.4000000000000003E-3</v>
      </c>
      <c r="H525" t="s">
        <v>319</v>
      </c>
      <c r="I525" t="s">
        <v>319</v>
      </c>
      <c r="J525" t="s">
        <v>319</v>
      </c>
      <c r="K525" t="s">
        <v>319</v>
      </c>
      <c r="L525" t="s">
        <v>319</v>
      </c>
      <c r="M525" t="s">
        <v>319</v>
      </c>
      <c r="N525" t="s">
        <v>319</v>
      </c>
      <c r="O525" t="s">
        <v>319</v>
      </c>
      <c r="P525">
        <v>1.01</v>
      </c>
      <c r="Q525" t="s">
        <v>628</v>
      </c>
    </row>
    <row r="526" spans="1:17" ht="15.75" customHeight="1" x14ac:dyDescent="0.2">
      <c r="A526" s="10" t="s">
        <v>629</v>
      </c>
      <c r="B526" s="1" t="str">
        <f t="shared" si="11"/>
        <v>EROBOT</v>
      </c>
    </row>
    <row r="527" spans="1:17" ht="15.75" customHeight="1" x14ac:dyDescent="0.2">
      <c r="A527" s="4" t="s">
        <v>630</v>
      </c>
      <c r="B527" s="1" t="str">
        <f t="shared" si="11"/>
        <v>EROBOT</v>
      </c>
    </row>
    <row r="528" spans="1:17" ht="15.75" customHeight="1" x14ac:dyDescent="0.2">
      <c r="A528" s="4" t="s">
        <v>631</v>
      </c>
      <c r="B528" s="1" t="str">
        <f t="shared" si="11"/>
        <v>EROBOT</v>
      </c>
      <c r="C528" t="s">
        <v>38</v>
      </c>
      <c r="D528" s="9">
        <v>45126</v>
      </c>
      <c r="E528">
        <v>204</v>
      </c>
      <c r="F528">
        <v>8.2000000000000007E-3</v>
      </c>
      <c r="G528">
        <v>5.7999999999999996E-3</v>
      </c>
      <c r="H528">
        <v>4.7000000000000002E-3</v>
      </c>
      <c r="I528">
        <v>7.7999999999999996E-3</v>
      </c>
      <c r="J528">
        <v>3.8E-3</v>
      </c>
      <c r="K528">
        <v>4.7999999999999996E-3</v>
      </c>
      <c r="L528">
        <v>5.8999999999999999E-3</v>
      </c>
      <c r="M528">
        <v>7.4000000000000003E-3</v>
      </c>
      <c r="N528">
        <v>4.3E-3</v>
      </c>
      <c r="O528">
        <v>5.0000000000000001E-3</v>
      </c>
      <c r="P528">
        <v>9.43</v>
      </c>
    </row>
    <row r="529" spans="1:17" ht="15.75" customHeight="1" x14ac:dyDescent="0.2">
      <c r="A529" s="4" t="s">
        <v>632</v>
      </c>
      <c r="B529" s="1" t="str">
        <f t="shared" si="11"/>
        <v>EROBOT</v>
      </c>
    </row>
    <row r="530" spans="1:17" ht="15.75" customHeight="1" x14ac:dyDescent="0.2">
      <c r="A530" s="10" t="s">
        <v>633</v>
      </c>
      <c r="B530" s="1" t="str">
        <f t="shared" si="11"/>
        <v>EROBOT</v>
      </c>
      <c r="C530" s="1" t="s">
        <v>42</v>
      </c>
      <c r="D530" s="1" t="s">
        <v>319</v>
      </c>
      <c r="E530" s="1" t="s">
        <v>319</v>
      </c>
      <c r="F530" s="1" t="s">
        <v>319</v>
      </c>
      <c r="G530" s="1" t="s">
        <v>319</v>
      </c>
      <c r="H530" s="1" t="s">
        <v>319</v>
      </c>
      <c r="I530" s="1" t="s">
        <v>319</v>
      </c>
      <c r="J530" s="1" t="s">
        <v>319</v>
      </c>
      <c r="K530" s="1" t="s">
        <v>319</v>
      </c>
      <c r="L530" s="1" t="s">
        <v>319</v>
      </c>
      <c r="M530" s="1" t="s">
        <v>319</v>
      </c>
      <c r="N530" s="1" t="s">
        <v>319</v>
      </c>
      <c r="O530" s="1" t="s">
        <v>319</v>
      </c>
      <c r="P530" s="1" t="s">
        <v>319</v>
      </c>
      <c r="Q530" s="1" t="s">
        <v>409</v>
      </c>
    </row>
    <row r="531" spans="1:17" ht="15.75" customHeight="1" x14ac:dyDescent="0.2">
      <c r="A531" s="4" t="s">
        <v>634</v>
      </c>
      <c r="B531" s="1" t="str">
        <f t="shared" si="11"/>
        <v>EROBOT</v>
      </c>
    </row>
    <row r="532" spans="1:17" ht="15.75" customHeight="1" x14ac:dyDescent="0.2">
      <c r="A532" s="4" t="s">
        <v>635</v>
      </c>
      <c r="B532" s="1" t="str">
        <f t="shared" si="11"/>
        <v>EROBOT</v>
      </c>
      <c r="C532" t="s">
        <v>198</v>
      </c>
      <c r="D532" s="9">
        <v>45161</v>
      </c>
      <c r="E532">
        <v>508</v>
      </c>
      <c r="F532">
        <v>4.4999999999999997E-3</v>
      </c>
      <c r="G532">
        <v>6.4000000000000003E-3</v>
      </c>
      <c r="H532">
        <v>5.1000000000000004E-3</v>
      </c>
      <c r="I532">
        <v>5.3E-3</v>
      </c>
      <c r="J532">
        <v>7.6E-3</v>
      </c>
      <c r="K532">
        <v>6.7000000000000002E-3</v>
      </c>
      <c r="L532">
        <v>9.4999999999999998E-3</v>
      </c>
      <c r="M532">
        <v>5.8999999999999999E-3</v>
      </c>
      <c r="N532">
        <v>5.4000000000000003E-3</v>
      </c>
      <c r="O532">
        <v>6.3E-3</v>
      </c>
      <c r="P532">
        <v>21.59</v>
      </c>
    </row>
    <row r="533" spans="1:17" ht="15.75" customHeight="1" x14ac:dyDescent="0.2">
      <c r="A533" s="4" t="s">
        <v>636</v>
      </c>
      <c r="B533" s="1" t="str">
        <f t="shared" si="11"/>
        <v>EROBOT</v>
      </c>
      <c r="C533" t="s">
        <v>38</v>
      </c>
      <c r="D533" s="9">
        <v>45126</v>
      </c>
      <c r="E533">
        <v>12</v>
      </c>
      <c r="F533">
        <v>6.4000000000000003E-3</v>
      </c>
      <c r="G533">
        <v>4.1999999999999997E-3</v>
      </c>
      <c r="H533">
        <v>1.3299999999999999E-2</v>
      </c>
      <c r="I533">
        <v>7.7999999999999996E-3</v>
      </c>
      <c r="J533" t="s">
        <v>319</v>
      </c>
      <c r="K533" t="s">
        <v>319</v>
      </c>
      <c r="L533" t="s">
        <v>319</v>
      </c>
      <c r="M533" t="s">
        <v>319</v>
      </c>
      <c r="N533" t="s">
        <v>319</v>
      </c>
      <c r="O533" t="s">
        <v>319</v>
      </c>
      <c r="P533">
        <v>0.28000000000000003</v>
      </c>
      <c r="Q533" t="s">
        <v>637</v>
      </c>
    </row>
    <row r="534" spans="1:17" ht="15.75" customHeight="1" x14ac:dyDescent="0.2">
      <c r="A534" s="10" t="s">
        <v>638</v>
      </c>
      <c r="B534" s="1" t="str">
        <f t="shared" si="11"/>
        <v>EROBOT</v>
      </c>
    </row>
    <row r="535" spans="1:17" ht="15.75" customHeight="1" x14ac:dyDescent="0.2">
      <c r="A535" s="10" t="s">
        <v>639</v>
      </c>
      <c r="B535" s="1" t="str">
        <f t="shared" si="11"/>
        <v>EROCIC</v>
      </c>
    </row>
    <row r="536" spans="1:17" ht="15.75" customHeight="1" x14ac:dyDescent="0.2">
      <c r="A536" s="10" t="s">
        <v>640</v>
      </c>
      <c r="B536" s="1" t="str">
        <f t="shared" si="11"/>
        <v>EROCIC</v>
      </c>
      <c r="C536" s="1" t="s">
        <v>641</v>
      </c>
      <c r="D536" s="3">
        <v>45091</v>
      </c>
      <c r="E536" s="1">
        <v>22</v>
      </c>
      <c r="F536" s="1">
        <v>1.5E-3</v>
      </c>
      <c r="G536" s="1">
        <v>2.3999999999999998E-3</v>
      </c>
      <c r="H536" s="1">
        <v>2.8E-3</v>
      </c>
      <c r="I536" s="1">
        <v>3.8E-3</v>
      </c>
      <c r="J536" s="1">
        <v>1.9E-3</v>
      </c>
      <c r="P536" s="1">
        <v>0.34</v>
      </c>
    </row>
    <row r="537" spans="1:17" ht="15.75" customHeight="1" x14ac:dyDescent="0.2">
      <c r="A537" s="10" t="s">
        <v>642</v>
      </c>
      <c r="B537" s="1" t="str">
        <f t="shared" si="11"/>
        <v>EROCIC</v>
      </c>
      <c r="C537" t="s">
        <v>42</v>
      </c>
      <c r="D537" s="9">
        <v>45126</v>
      </c>
      <c r="E537">
        <v>315</v>
      </c>
      <c r="F537">
        <v>2.3E-3</v>
      </c>
      <c r="G537">
        <v>1.2999999999999999E-3</v>
      </c>
      <c r="H537">
        <v>1.2999999999999999E-3</v>
      </c>
      <c r="I537">
        <v>1.2999999999999999E-3</v>
      </c>
      <c r="J537">
        <v>1.6000000000000001E-3</v>
      </c>
      <c r="K537">
        <v>1.9E-3</v>
      </c>
      <c r="L537">
        <v>1.9E-3</v>
      </c>
      <c r="M537">
        <v>2.7000000000000001E-3</v>
      </c>
      <c r="N537">
        <v>2.0999999999999999E-3</v>
      </c>
      <c r="O537">
        <v>2.0999999999999999E-3</v>
      </c>
      <c r="P537">
        <v>2.4900000000000002</v>
      </c>
    </row>
    <row r="538" spans="1:17" ht="15.75" customHeight="1" x14ac:dyDescent="0.2">
      <c r="A538" s="4" t="s">
        <v>643</v>
      </c>
      <c r="B538" s="1" t="str">
        <f t="shared" si="11"/>
        <v>EROCIC</v>
      </c>
      <c r="C538" s="1" t="s">
        <v>44</v>
      </c>
      <c r="D538" s="3">
        <v>45126</v>
      </c>
      <c r="E538" s="1">
        <v>92</v>
      </c>
      <c r="F538" s="1">
        <v>1.9E-3</v>
      </c>
      <c r="G538" s="1">
        <v>2.2000000000000001E-3</v>
      </c>
      <c r="H538" s="1">
        <v>1.1999999999999999E-3</v>
      </c>
      <c r="I538" s="1">
        <v>1.8E-3</v>
      </c>
      <c r="J538" s="1">
        <v>1.6000000000000001E-3</v>
      </c>
      <c r="K538" s="1">
        <v>3.0000000000000001E-3</v>
      </c>
      <c r="L538" s="1">
        <v>1.2999999999999999E-3</v>
      </c>
      <c r="M538" s="1">
        <v>8.9999999999999998E-4</v>
      </c>
      <c r="N538" s="1">
        <v>1.2999999999999999E-3</v>
      </c>
      <c r="O538" s="1">
        <v>1.2999999999999999E-3</v>
      </c>
    </row>
    <row r="539" spans="1:17" ht="15.75" customHeight="1" x14ac:dyDescent="0.2">
      <c r="A539" s="10" t="s">
        <v>644</v>
      </c>
      <c r="B539" s="1" t="str">
        <f t="shared" si="11"/>
        <v>EROCIC</v>
      </c>
    </row>
    <row r="540" spans="1:17" ht="15.75" customHeight="1" x14ac:dyDescent="0.2">
      <c r="A540" s="10" t="s">
        <v>645</v>
      </c>
      <c r="B540" s="1" t="str">
        <f t="shared" si="11"/>
        <v>EROCIC</v>
      </c>
      <c r="C540" s="1" t="s">
        <v>201</v>
      </c>
      <c r="D540" s="3">
        <v>45126</v>
      </c>
      <c r="E540" s="1">
        <v>831</v>
      </c>
      <c r="F540" s="1">
        <v>1.6999999999999999E-3</v>
      </c>
      <c r="G540" s="1">
        <v>3.7000000000000002E-3</v>
      </c>
      <c r="H540" s="1">
        <v>4.4000000000000003E-3</v>
      </c>
      <c r="I540" s="1">
        <v>4.1000000000000003E-3</v>
      </c>
      <c r="J540" s="1">
        <v>0.03</v>
      </c>
      <c r="K540" s="1">
        <v>3.0999999999999999E-3</v>
      </c>
      <c r="L540" s="1">
        <v>2.8E-3</v>
      </c>
      <c r="M540" s="1">
        <v>1.9E-3</v>
      </c>
      <c r="N540" s="1">
        <v>1.1000000000000001E-3</v>
      </c>
      <c r="O540" s="1">
        <v>2.7000000000000001E-3</v>
      </c>
      <c r="P540" s="1">
        <v>5.99</v>
      </c>
    </row>
    <row r="541" spans="1:17" ht="15.75" customHeight="1" x14ac:dyDescent="0.2">
      <c r="A541" s="10" t="s">
        <v>646</v>
      </c>
      <c r="B541" s="1" t="str">
        <f t="shared" si="11"/>
        <v>EROCIC</v>
      </c>
    </row>
    <row r="542" spans="1:17" ht="15.75" customHeight="1" x14ac:dyDescent="0.2">
      <c r="A542" s="10" t="s">
        <v>647</v>
      </c>
      <c r="B542" s="1" t="str">
        <f t="shared" si="11"/>
        <v>EROCIC</v>
      </c>
    </row>
    <row r="543" spans="1:17" ht="15.75" customHeight="1" x14ac:dyDescent="0.2">
      <c r="A543" s="4" t="s">
        <v>648</v>
      </c>
      <c r="B543" s="1" t="str">
        <f t="shared" si="11"/>
        <v>EROCIC</v>
      </c>
      <c r="C543" s="1" t="s">
        <v>18</v>
      </c>
      <c r="D543" s="3">
        <v>45028</v>
      </c>
      <c r="E543" s="1" t="s">
        <v>319</v>
      </c>
      <c r="F543" s="1" t="s">
        <v>319</v>
      </c>
      <c r="G543" s="1" t="s">
        <v>319</v>
      </c>
      <c r="H543" s="1" t="s">
        <v>319</v>
      </c>
      <c r="I543" s="1" t="s">
        <v>319</v>
      </c>
      <c r="J543" s="1" t="s">
        <v>319</v>
      </c>
      <c r="K543" s="1" t="s">
        <v>319</v>
      </c>
      <c r="L543" s="1" t="s">
        <v>319</v>
      </c>
      <c r="M543" s="1" t="s">
        <v>319</v>
      </c>
      <c r="N543" s="1" t="s">
        <v>319</v>
      </c>
      <c r="O543" s="1" t="s">
        <v>319</v>
      </c>
      <c r="P543" s="1">
        <v>0.21110000000000001</v>
      </c>
      <c r="Q543" s="1" t="s">
        <v>62</v>
      </c>
    </row>
    <row r="544" spans="1:17" ht="15.75" customHeight="1" x14ac:dyDescent="0.2">
      <c r="A544" s="4" t="s">
        <v>649</v>
      </c>
      <c r="B544" s="1" t="str">
        <f t="shared" si="11"/>
        <v>EROCIC</v>
      </c>
      <c r="C544" s="1" t="s">
        <v>272</v>
      </c>
      <c r="D544" s="3">
        <v>45077</v>
      </c>
      <c r="E544" s="1">
        <v>25</v>
      </c>
      <c r="F544" s="1">
        <v>3.3E-3</v>
      </c>
      <c r="G544" s="1">
        <v>1.2999999999999999E-3</v>
      </c>
      <c r="H544" s="1">
        <v>1.2999999999999999E-3</v>
      </c>
      <c r="I544" s="1">
        <v>1.4E-3</v>
      </c>
    </row>
    <row r="545" spans="1:17" ht="15.75" customHeight="1" x14ac:dyDescent="0.2">
      <c r="A545" s="4" t="s">
        <v>650</v>
      </c>
      <c r="B545" s="1" t="str">
        <f t="shared" si="11"/>
        <v>EROCIC</v>
      </c>
      <c r="C545" s="1" t="s">
        <v>42</v>
      </c>
      <c r="D545" s="1" t="s">
        <v>319</v>
      </c>
      <c r="E545" s="1" t="s">
        <v>319</v>
      </c>
      <c r="F545" s="1" t="s">
        <v>319</v>
      </c>
      <c r="G545" s="1" t="s">
        <v>319</v>
      </c>
      <c r="H545" s="1" t="s">
        <v>319</v>
      </c>
      <c r="I545" s="1" t="s">
        <v>319</v>
      </c>
      <c r="J545" s="1" t="s">
        <v>319</v>
      </c>
      <c r="K545" s="1" t="s">
        <v>319</v>
      </c>
      <c r="L545" s="1" t="s">
        <v>319</v>
      </c>
      <c r="M545" s="1" t="s">
        <v>319</v>
      </c>
      <c r="N545" s="1" t="s">
        <v>319</v>
      </c>
      <c r="O545" s="1" t="s">
        <v>319</v>
      </c>
      <c r="P545" s="1" t="s">
        <v>319</v>
      </c>
      <c r="Q545" s="1" t="s">
        <v>651</v>
      </c>
    </row>
    <row r="546" spans="1:17" ht="15.75" customHeight="1" x14ac:dyDescent="0.2">
      <c r="A546" s="4" t="s">
        <v>652</v>
      </c>
      <c r="B546" s="1" t="str">
        <f t="shared" si="11"/>
        <v>EROCIC</v>
      </c>
    </row>
    <row r="547" spans="1:17" ht="15.75" customHeight="1" x14ac:dyDescent="0.2">
      <c r="A547" s="10" t="s">
        <v>653</v>
      </c>
      <c r="B547" s="1" t="str">
        <f t="shared" si="11"/>
        <v>EROCIC</v>
      </c>
    </row>
    <row r="548" spans="1:17" ht="15.75" customHeight="1" x14ac:dyDescent="0.2">
      <c r="A548" s="10" t="s">
        <v>654</v>
      </c>
      <c r="B548" s="1" t="str">
        <f t="shared" si="11"/>
        <v>EROCIC</v>
      </c>
      <c r="C548" s="1" t="s">
        <v>655</v>
      </c>
      <c r="D548" s="3">
        <v>45126</v>
      </c>
      <c r="E548" s="1">
        <v>137</v>
      </c>
      <c r="F548" s="1">
        <v>2.7000000000000001E-3</v>
      </c>
      <c r="G548" s="1">
        <v>3.3999999999999998E-3</v>
      </c>
      <c r="H548" s="1">
        <v>1.5E-3</v>
      </c>
      <c r="I548" s="1">
        <v>1.6000000000000001E-3</v>
      </c>
      <c r="J548" s="1">
        <v>1.6000000000000001E-3</v>
      </c>
      <c r="K548" s="1">
        <v>1.8E-3</v>
      </c>
      <c r="L548" s="1">
        <v>1.6999999999999999E-3</v>
      </c>
      <c r="M548" s="1">
        <v>3.0000000000000001E-3</v>
      </c>
      <c r="N548" s="1">
        <v>1.5E-3</v>
      </c>
      <c r="O548" s="1">
        <v>1.5E-3</v>
      </c>
    </row>
    <row r="549" spans="1:17" ht="15.75" customHeight="1" x14ac:dyDescent="0.2">
      <c r="A549" s="10" t="s">
        <v>656</v>
      </c>
      <c r="B549" s="1" t="str">
        <f t="shared" si="11"/>
        <v>EROCIC</v>
      </c>
      <c r="C549" s="1" t="s">
        <v>42</v>
      </c>
      <c r="D549" s="1" t="s">
        <v>319</v>
      </c>
      <c r="E549" s="1" t="s">
        <v>319</v>
      </c>
      <c r="F549" s="1" t="s">
        <v>319</v>
      </c>
      <c r="G549" s="1" t="s">
        <v>319</v>
      </c>
      <c r="H549" s="1" t="s">
        <v>319</v>
      </c>
      <c r="I549" s="1" t="s">
        <v>319</v>
      </c>
      <c r="J549" s="1" t="s">
        <v>319</v>
      </c>
      <c r="K549" s="1" t="s">
        <v>319</v>
      </c>
      <c r="L549" s="1" t="s">
        <v>319</v>
      </c>
      <c r="M549" s="1" t="s">
        <v>319</v>
      </c>
      <c r="N549" s="1" t="s">
        <v>319</v>
      </c>
      <c r="O549" s="1" t="s">
        <v>319</v>
      </c>
      <c r="P549" s="1" t="s">
        <v>319</v>
      </c>
      <c r="Q549" s="1" t="s">
        <v>651</v>
      </c>
    </row>
    <row r="550" spans="1:17" ht="15.75" customHeight="1" x14ac:dyDescent="0.2">
      <c r="A550" s="4" t="s">
        <v>657</v>
      </c>
      <c r="B550" s="1" t="str">
        <f t="shared" si="11"/>
        <v>EROCIC</v>
      </c>
      <c r="C550" s="1" t="s">
        <v>201</v>
      </c>
      <c r="D550" s="3">
        <v>45126</v>
      </c>
      <c r="E550" s="1">
        <v>432</v>
      </c>
      <c r="F550" s="1">
        <v>1.9E-3</v>
      </c>
      <c r="G550" s="1">
        <v>1.2999999999999999E-3</v>
      </c>
      <c r="H550" s="1">
        <v>1.8E-3</v>
      </c>
      <c r="I550" s="1">
        <v>2.3999999999999998E-3</v>
      </c>
      <c r="J550" s="1">
        <v>2.2000000000000001E-3</v>
      </c>
      <c r="K550" s="1">
        <v>1.6000000000000001E-3</v>
      </c>
      <c r="L550" s="1">
        <v>2.7000000000000001E-3</v>
      </c>
      <c r="M550" s="1">
        <v>2.9999999999999997E-4</v>
      </c>
      <c r="N550" s="1">
        <v>1.6000000000000001E-3</v>
      </c>
      <c r="O550" s="1">
        <v>1.9E-3</v>
      </c>
      <c r="P550" s="1">
        <v>2.2799999999999998</v>
      </c>
    </row>
    <row r="551" spans="1:17" ht="15.75" customHeight="1" x14ac:dyDescent="0.2">
      <c r="A551" s="10" t="s">
        <v>658</v>
      </c>
      <c r="B551" s="1" t="str">
        <f t="shared" si="11"/>
        <v>EROCIC</v>
      </c>
      <c r="C551" s="1" t="s">
        <v>655</v>
      </c>
      <c r="D551" s="3">
        <v>45049</v>
      </c>
      <c r="E551" s="1">
        <v>13</v>
      </c>
      <c r="F551" s="1">
        <v>3.3E-3</v>
      </c>
      <c r="G551" s="1">
        <v>2.0999999999999999E-3</v>
      </c>
      <c r="H551" s="1">
        <v>1.2999999999999999E-3</v>
      </c>
      <c r="I551" s="1">
        <v>1.1000000000000001E-3</v>
      </c>
      <c r="J551" s="1">
        <v>1E-3</v>
      </c>
    </row>
    <row r="552" spans="1:17" ht="15.75" customHeight="1" x14ac:dyDescent="0.2">
      <c r="A552" s="10" t="s">
        <v>659</v>
      </c>
      <c r="B552" s="1" t="str">
        <f t="shared" si="11"/>
        <v>EROCIC</v>
      </c>
      <c r="C552" s="1" t="s">
        <v>201</v>
      </c>
      <c r="D552" s="3">
        <v>45077</v>
      </c>
      <c r="E552" s="1">
        <v>231</v>
      </c>
      <c r="F552" s="1">
        <v>1.8E-3</v>
      </c>
      <c r="G552" s="1">
        <v>2.7000000000000001E-3</v>
      </c>
      <c r="H552" s="1">
        <v>1.5E-3</v>
      </c>
      <c r="I552" s="1">
        <v>3.3E-3</v>
      </c>
      <c r="J552" s="1">
        <v>2.8E-3</v>
      </c>
      <c r="K552" s="1">
        <v>2.5000000000000001E-3</v>
      </c>
      <c r="L552" s="1">
        <v>2.5999999999999999E-3</v>
      </c>
      <c r="M552" s="1">
        <v>2.3999999999999998E-3</v>
      </c>
      <c r="N552" s="1">
        <v>2.2000000000000001E-3</v>
      </c>
      <c r="O552" s="1">
        <v>1.9E-3</v>
      </c>
      <c r="P552" s="1">
        <v>2.2000000000000002</v>
      </c>
    </row>
    <row r="553" spans="1:17" ht="15.75" customHeight="1" x14ac:dyDescent="0.2">
      <c r="A553" s="10" t="s">
        <v>660</v>
      </c>
      <c r="B553" s="1" t="str">
        <f t="shared" si="11"/>
        <v>EROCIC</v>
      </c>
      <c r="C553" s="1" t="s">
        <v>44</v>
      </c>
      <c r="D553" s="3">
        <v>45126</v>
      </c>
      <c r="E553" s="1">
        <v>740</v>
      </c>
      <c r="F553" s="1">
        <v>3.0999999999999999E-3</v>
      </c>
      <c r="G553" s="1">
        <v>1.9E-3</v>
      </c>
      <c r="H553" s="1">
        <v>1.6999999999999999E-3</v>
      </c>
      <c r="I553" s="1">
        <v>1.9E-3</v>
      </c>
      <c r="J553" s="1">
        <v>1.9E-3</v>
      </c>
      <c r="K553" s="1">
        <v>1.9E-3</v>
      </c>
      <c r="L553" s="1">
        <v>2E-3</v>
      </c>
      <c r="M553" s="1">
        <v>2.5999999999999999E-3</v>
      </c>
      <c r="N553" s="1">
        <v>2E-3</v>
      </c>
      <c r="O553" s="1">
        <v>2.2000000000000001E-3</v>
      </c>
    </row>
    <row r="554" spans="1:17" ht="15.75" customHeight="1" x14ac:dyDescent="0.2">
      <c r="A554" s="10" t="s">
        <v>661</v>
      </c>
      <c r="B554" s="1" t="str">
        <f t="shared" si="11"/>
        <v>EROCIC</v>
      </c>
      <c r="D554" s="3"/>
    </row>
    <row r="555" spans="1:17" ht="15.75" customHeight="1" x14ac:dyDescent="0.2">
      <c r="A555" s="4" t="s">
        <v>662</v>
      </c>
      <c r="B555" s="1" t="str">
        <f t="shared" ref="B555" si="12">MID(A555,4,6)</f>
        <v>EROCIC</v>
      </c>
      <c r="C555" s="1" t="s">
        <v>42</v>
      </c>
      <c r="D555" s="1" t="s">
        <v>319</v>
      </c>
      <c r="E555" s="1" t="s">
        <v>319</v>
      </c>
      <c r="F555" s="1" t="s">
        <v>319</v>
      </c>
      <c r="G555" s="1" t="s">
        <v>319</v>
      </c>
      <c r="H555" s="1" t="s">
        <v>319</v>
      </c>
      <c r="I555" s="1" t="s">
        <v>319</v>
      </c>
      <c r="J555" s="1" t="s">
        <v>319</v>
      </c>
      <c r="K555" s="1" t="s">
        <v>319</v>
      </c>
      <c r="L555" s="1" t="s">
        <v>319</v>
      </c>
      <c r="M555" s="1" t="s">
        <v>319</v>
      </c>
      <c r="N555" s="1" t="s">
        <v>319</v>
      </c>
      <c r="O555" s="1" t="s">
        <v>319</v>
      </c>
      <c r="P555" s="1" t="s">
        <v>319</v>
      </c>
      <c r="Q555" s="1" t="s">
        <v>663</v>
      </c>
    </row>
    <row r="556" spans="1:17" ht="15.75" customHeight="1" x14ac:dyDescent="0.2">
      <c r="A556" s="4" t="s">
        <v>664</v>
      </c>
      <c r="B556" s="1" t="str">
        <f t="shared" ref="B556:B809" si="13">MID(A556,4,6)</f>
        <v>EROCIC</v>
      </c>
      <c r="C556" s="1" t="s">
        <v>641</v>
      </c>
      <c r="D556" s="3">
        <v>45126</v>
      </c>
      <c r="E556" s="1">
        <v>375</v>
      </c>
      <c r="F556" s="1">
        <v>2.8999999999999998E-3</v>
      </c>
      <c r="G556" s="1">
        <v>4.1999999999999997E-3</v>
      </c>
      <c r="H556" s="1">
        <v>4.3E-3</v>
      </c>
      <c r="I556" s="1">
        <v>2.7000000000000001E-3</v>
      </c>
      <c r="J556" s="1">
        <v>2.8999999999999998E-3</v>
      </c>
      <c r="K556" s="1">
        <v>3.3999999999999998E-3</v>
      </c>
      <c r="L556" s="1">
        <v>2.8E-3</v>
      </c>
      <c r="M556" s="1">
        <v>3.0999999999999999E-3</v>
      </c>
      <c r="N556" s="1">
        <v>5.4999999999999997E-3</v>
      </c>
      <c r="O556" s="1">
        <v>2.3E-3</v>
      </c>
      <c r="P556" s="1">
        <v>3.62</v>
      </c>
    </row>
    <row r="557" spans="1:17" ht="15.75" customHeight="1" x14ac:dyDescent="0.2">
      <c r="A557" s="10" t="s">
        <v>665</v>
      </c>
      <c r="B557" s="1" t="str">
        <f t="shared" si="13"/>
        <v>EROCIC</v>
      </c>
      <c r="D557" s="3"/>
    </row>
    <row r="558" spans="1:17" ht="15.75" customHeight="1" x14ac:dyDescent="0.2">
      <c r="A558" s="4" t="s">
        <v>666</v>
      </c>
      <c r="B558" s="1" t="str">
        <f t="shared" si="13"/>
        <v>EROCIC</v>
      </c>
    </row>
    <row r="559" spans="1:17" ht="15.75" customHeight="1" x14ac:dyDescent="0.2">
      <c r="A559" s="4" t="s">
        <v>667</v>
      </c>
      <c r="B559" s="1" t="str">
        <f t="shared" si="13"/>
        <v>EROCIC</v>
      </c>
    </row>
    <row r="560" spans="1:17" ht="15.75" customHeight="1" x14ac:dyDescent="0.2">
      <c r="A560" s="4" t="s">
        <v>668</v>
      </c>
      <c r="B560" s="1" t="str">
        <f t="shared" si="13"/>
        <v>EROCIC</v>
      </c>
      <c r="D560" s="9">
        <v>45126</v>
      </c>
      <c r="E560">
        <v>592</v>
      </c>
      <c r="F560">
        <v>3.8E-3</v>
      </c>
      <c r="G560">
        <v>2.7000000000000001E-3</v>
      </c>
      <c r="H560">
        <v>2.2000000000000001E-3</v>
      </c>
      <c r="I560">
        <v>2.5000000000000001E-3</v>
      </c>
      <c r="J560">
        <v>3.0999999999999999E-3</v>
      </c>
      <c r="K560">
        <v>3.3E-3</v>
      </c>
      <c r="L560">
        <v>1.8E-3</v>
      </c>
      <c r="M560">
        <v>2.5999999999999999E-3</v>
      </c>
      <c r="N560">
        <v>1.5E-3</v>
      </c>
      <c r="O560">
        <v>3.3E-3</v>
      </c>
      <c r="P560">
        <v>15.89</v>
      </c>
    </row>
    <row r="561" spans="1:18" ht="15.75" customHeight="1" x14ac:dyDescent="0.2">
      <c r="A561" s="10" t="s">
        <v>669</v>
      </c>
      <c r="B561" s="1" t="str">
        <f t="shared" si="13"/>
        <v>EROCIC</v>
      </c>
    </row>
    <row r="562" spans="1:18" ht="15.75" customHeight="1" x14ac:dyDescent="0.2">
      <c r="A562" s="10" t="s">
        <v>670</v>
      </c>
      <c r="B562" s="1" t="str">
        <f t="shared" si="13"/>
        <v>EROCIC</v>
      </c>
    </row>
    <row r="563" spans="1:18" ht="15.75" customHeight="1" x14ac:dyDescent="0.2">
      <c r="A563" s="4" t="s">
        <v>671</v>
      </c>
      <c r="B563" s="1" t="str">
        <f t="shared" si="13"/>
        <v>EROCIC</v>
      </c>
      <c r="C563" s="1" t="s">
        <v>44</v>
      </c>
      <c r="D563" s="6">
        <v>45126</v>
      </c>
      <c r="E563" s="8">
        <v>409</v>
      </c>
      <c r="F563" s="8">
        <v>1.9E-3</v>
      </c>
      <c r="G563" s="8">
        <v>3.3E-3</v>
      </c>
      <c r="H563" s="8">
        <v>3.7000000000000002E-3</v>
      </c>
      <c r="I563" s="8">
        <v>2.2000000000000001E-3</v>
      </c>
      <c r="J563" s="8">
        <v>2.3E-3</v>
      </c>
      <c r="K563" s="8">
        <v>1.6999999999999999E-3</v>
      </c>
      <c r="L563" s="8">
        <v>1.5E-3</v>
      </c>
      <c r="M563" s="8">
        <v>1.6999999999999999E-3</v>
      </c>
      <c r="N563" s="8">
        <v>1.4E-3</v>
      </c>
      <c r="O563" s="8">
        <v>1.9E-3</v>
      </c>
      <c r="P563" s="8">
        <v>4.58</v>
      </c>
      <c r="R563" s="8"/>
    </row>
    <row r="564" spans="1:18" ht="15.75" customHeight="1" x14ac:dyDescent="0.2">
      <c r="A564" s="10" t="s">
        <v>672</v>
      </c>
      <c r="B564" s="1" t="str">
        <f t="shared" si="13"/>
        <v>EROCIC</v>
      </c>
      <c r="C564" s="1" t="s">
        <v>44</v>
      </c>
      <c r="D564" s="3">
        <v>45077</v>
      </c>
      <c r="E564" s="1">
        <v>8</v>
      </c>
      <c r="F564" s="1">
        <v>2.5999999999999999E-3</v>
      </c>
      <c r="G564" s="1">
        <v>2.0999999999999999E-3</v>
      </c>
      <c r="H564" s="1">
        <v>1.5E-3</v>
      </c>
      <c r="I564" s="1">
        <v>1.8E-3</v>
      </c>
      <c r="P564" s="1">
        <v>0.1017</v>
      </c>
    </row>
    <row r="565" spans="1:18" ht="15.75" customHeight="1" x14ac:dyDescent="0.2">
      <c r="A565" s="4" t="s">
        <v>673</v>
      </c>
      <c r="B565" s="1" t="str">
        <f t="shared" si="13"/>
        <v>EROCIC</v>
      </c>
      <c r="C565" s="1" t="s">
        <v>44</v>
      </c>
      <c r="D565" s="3">
        <v>45126</v>
      </c>
      <c r="E565" s="1">
        <v>152</v>
      </c>
      <c r="F565" s="1">
        <v>3.2000000000000002E-3</v>
      </c>
      <c r="G565" s="1">
        <v>2.2000000000000001E-3</v>
      </c>
      <c r="H565" s="1">
        <v>1.9E-3</v>
      </c>
      <c r="I565" s="1">
        <v>2.5999999999999999E-3</v>
      </c>
      <c r="J565" s="1">
        <v>1.5E-3</v>
      </c>
      <c r="K565" s="1">
        <v>2.8E-3</v>
      </c>
      <c r="L565" s="1">
        <v>2.3999999999999998E-3</v>
      </c>
      <c r="M565" s="1">
        <v>2.7000000000000001E-3</v>
      </c>
      <c r="N565" s="1">
        <v>2.5000000000000001E-3</v>
      </c>
      <c r="O565" s="1">
        <v>1.6999999999999999E-3</v>
      </c>
      <c r="P565" s="1">
        <v>1.55</v>
      </c>
    </row>
    <row r="566" spans="1:18" ht="15.75" customHeight="1" x14ac:dyDescent="0.2">
      <c r="A566" s="4" t="s">
        <v>674</v>
      </c>
      <c r="B566" s="1" t="str">
        <f t="shared" si="13"/>
        <v>EROCIC</v>
      </c>
      <c r="C566" s="1" t="s">
        <v>44</v>
      </c>
      <c r="D566" s="3">
        <v>45091</v>
      </c>
      <c r="E566" s="1">
        <v>36</v>
      </c>
      <c r="F566" s="1">
        <v>1.9E-3</v>
      </c>
      <c r="G566" s="1">
        <v>1.6999999999999999E-3</v>
      </c>
      <c r="H566" s="1">
        <v>1.8E-3</v>
      </c>
      <c r="I566" s="1">
        <v>3.5000000000000001E-3</v>
      </c>
      <c r="J566" s="1">
        <v>2.3999999999999998E-3</v>
      </c>
      <c r="K566" s="1">
        <v>2.5000000000000001E-3</v>
      </c>
      <c r="L566" s="1">
        <v>2.8E-3</v>
      </c>
      <c r="M566" s="1">
        <v>2.0999999999999999E-3</v>
      </c>
      <c r="N566" s="1">
        <v>1.2999999999999999E-3</v>
      </c>
      <c r="O566" s="1">
        <v>1.8E-3</v>
      </c>
      <c r="P566" s="1">
        <v>0.2064</v>
      </c>
    </row>
    <row r="567" spans="1:18" ht="15.75" customHeight="1" x14ac:dyDescent="0.2">
      <c r="A567" s="10" t="s">
        <v>675</v>
      </c>
      <c r="B567" s="1" t="str">
        <f t="shared" si="13"/>
        <v>EROCIC</v>
      </c>
      <c r="C567" s="1" t="s">
        <v>44</v>
      </c>
      <c r="D567" s="3">
        <v>45077</v>
      </c>
      <c r="E567" s="1">
        <v>7</v>
      </c>
      <c r="P567" s="1">
        <v>4.9399999999999999E-2</v>
      </c>
      <c r="Q567" s="1" t="s">
        <v>676</v>
      </c>
    </row>
    <row r="568" spans="1:18" ht="15.75" customHeight="1" x14ac:dyDescent="0.2">
      <c r="A568" s="4" t="s">
        <v>677</v>
      </c>
      <c r="B568" s="1" t="str">
        <f t="shared" si="13"/>
        <v>ESCCAL</v>
      </c>
    </row>
    <row r="569" spans="1:18" ht="15.75" customHeight="1" x14ac:dyDescent="0.2">
      <c r="A569" s="10" t="s">
        <v>678</v>
      </c>
      <c r="B569" s="1" t="str">
        <f t="shared" si="13"/>
        <v>ESCCAL</v>
      </c>
    </row>
    <row r="570" spans="1:18" ht="15.75" customHeight="1" x14ac:dyDescent="0.2">
      <c r="A570" s="10" t="s">
        <v>679</v>
      </c>
      <c r="B570" s="1" t="str">
        <f t="shared" si="13"/>
        <v>ESCCAL</v>
      </c>
      <c r="C570" s="1" t="s">
        <v>18</v>
      </c>
      <c r="D570" s="3">
        <v>45029</v>
      </c>
      <c r="E570" s="1">
        <v>1</v>
      </c>
      <c r="F570" s="1">
        <v>3.7100000000000001E-2</v>
      </c>
      <c r="P570" s="1">
        <v>0.20860000000000001</v>
      </c>
      <c r="Q570" s="1" t="s">
        <v>680</v>
      </c>
    </row>
    <row r="571" spans="1:18" ht="15.75" customHeight="1" x14ac:dyDescent="0.2">
      <c r="A571" s="10" t="s">
        <v>681</v>
      </c>
      <c r="B571" s="1" t="str">
        <f t="shared" si="13"/>
        <v>ESCCAL</v>
      </c>
    </row>
    <row r="572" spans="1:18" ht="15.75" customHeight="1" x14ac:dyDescent="0.2">
      <c r="A572" s="4" t="s">
        <v>682</v>
      </c>
      <c r="B572" s="1" t="str">
        <f t="shared" si="13"/>
        <v>ESCCAL</v>
      </c>
    </row>
    <row r="573" spans="1:18" ht="15.75" customHeight="1" x14ac:dyDescent="0.2">
      <c r="A573" s="4" t="s">
        <v>683</v>
      </c>
      <c r="B573" s="1" t="str">
        <f t="shared" si="13"/>
        <v>ESCCAL</v>
      </c>
    </row>
    <row r="574" spans="1:18" ht="15.75" customHeight="1" x14ac:dyDescent="0.2">
      <c r="A574" s="10" t="s">
        <v>684</v>
      </c>
      <c r="B574" s="1" t="str">
        <f t="shared" si="13"/>
        <v>ESCCAL</v>
      </c>
    </row>
    <row r="575" spans="1:18" ht="15.75" customHeight="1" x14ac:dyDescent="0.2">
      <c r="A575" s="10" t="s">
        <v>685</v>
      </c>
      <c r="B575" s="1" t="str">
        <f t="shared" si="13"/>
        <v>ESCCAL</v>
      </c>
    </row>
    <row r="576" spans="1:18" ht="15.75" customHeight="1" x14ac:dyDescent="0.2">
      <c r="A576" s="10" t="s">
        <v>686</v>
      </c>
      <c r="B576" s="1" t="str">
        <f t="shared" si="13"/>
        <v>ESCCAL</v>
      </c>
    </row>
    <row r="577" spans="1:17" ht="15.75" customHeight="1" x14ac:dyDescent="0.2">
      <c r="A577" s="10" t="s">
        <v>687</v>
      </c>
      <c r="B577" s="1" t="str">
        <f t="shared" si="13"/>
        <v>ESCCAL</v>
      </c>
    </row>
    <row r="578" spans="1:17" ht="15.75" customHeight="1" x14ac:dyDescent="0.2">
      <c r="A578" s="4" t="s">
        <v>688</v>
      </c>
      <c r="B578" s="1" t="str">
        <f t="shared" si="13"/>
        <v>ESCCAL</v>
      </c>
    </row>
    <row r="579" spans="1:17" ht="15.75" customHeight="1" x14ac:dyDescent="0.2">
      <c r="A579" s="10" t="s">
        <v>689</v>
      </c>
      <c r="B579" s="1" t="str">
        <f t="shared" si="13"/>
        <v>ESCCAL</v>
      </c>
    </row>
    <row r="580" spans="1:17" ht="15.75" customHeight="1" x14ac:dyDescent="0.2">
      <c r="A580" s="4" t="s">
        <v>690</v>
      </c>
      <c r="B580" s="1" t="str">
        <f t="shared" si="13"/>
        <v>ESCCAL</v>
      </c>
      <c r="C580" s="1" t="s">
        <v>18</v>
      </c>
      <c r="D580" s="3">
        <v>45045</v>
      </c>
      <c r="E580" s="1" t="s">
        <v>319</v>
      </c>
      <c r="F580" s="1" t="s">
        <v>319</v>
      </c>
      <c r="G580" s="1" t="s">
        <v>319</v>
      </c>
      <c r="H580" s="1" t="s">
        <v>319</v>
      </c>
      <c r="I580" s="1" t="s">
        <v>319</v>
      </c>
      <c r="J580" s="1" t="s">
        <v>319</v>
      </c>
      <c r="K580" s="1" t="s">
        <v>319</v>
      </c>
      <c r="L580" s="1" t="s">
        <v>319</v>
      </c>
      <c r="M580" s="1" t="s">
        <v>319</v>
      </c>
      <c r="N580" s="1" t="s">
        <v>319</v>
      </c>
      <c r="O580" s="1" t="s">
        <v>319</v>
      </c>
      <c r="P580" s="1">
        <v>1.1359999999999999</v>
      </c>
      <c r="Q580" s="1" t="s">
        <v>691</v>
      </c>
    </row>
    <row r="581" spans="1:17" ht="15.75" customHeight="1" x14ac:dyDescent="0.2">
      <c r="A581" s="10" t="s">
        <v>692</v>
      </c>
      <c r="B581" s="1" t="str">
        <f t="shared" si="13"/>
        <v>ESCCAL</v>
      </c>
    </row>
    <row r="582" spans="1:17" ht="15.75" customHeight="1" x14ac:dyDescent="0.2">
      <c r="A582" s="4" t="s">
        <v>693</v>
      </c>
      <c r="B582" s="1" t="str">
        <f t="shared" si="13"/>
        <v>ESCCAL</v>
      </c>
    </row>
    <row r="583" spans="1:17" ht="15.75" customHeight="1" x14ac:dyDescent="0.2">
      <c r="A583" s="4" t="s">
        <v>694</v>
      </c>
      <c r="B583" s="1" t="str">
        <f t="shared" si="13"/>
        <v>ESCCAL</v>
      </c>
      <c r="C583" s="1" t="s">
        <v>18</v>
      </c>
      <c r="D583" s="3">
        <v>45040</v>
      </c>
      <c r="E583" s="1" t="s">
        <v>319</v>
      </c>
      <c r="F583" s="1" t="s">
        <v>319</v>
      </c>
      <c r="G583" s="1" t="s">
        <v>319</v>
      </c>
      <c r="H583" s="1" t="s">
        <v>319</v>
      </c>
      <c r="I583" s="1" t="s">
        <v>319</v>
      </c>
      <c r="J583" s="1" t="s">
        <v>319</v>
      </c>
      <c r="K583" s="1" t="s">
        <v>319</v>
      </c>
      <c r="L583" s="1" t="s">
        <v>319</v>
      </c>
      <c r="M583" s="1" t="s">
        <v>319</v>
      </c>
      <c r="N583" s="1" t="s">
        <v>319</v>
      </c>
      <c r="O583" s="1" t="s">
        <v>319</v>
      </c>
      <c r="P583" s="1">
        <v>9.0800000000000006E-2</v>
      </c>
      <c r="Q583" s="1" t="s">
        <v>695</v>
      </c>
    </row>
    <row r="584" spans="1:17" ht="15.75" customHeight="1" x14ac:dyDescent="0.2">
      <c r="A584" s="4" t="s">
        <v>696</v>
      </c>
      <c r="B584" s="1" t="str">
        <f t="shared" si="13"/>
        <v>ESCCAL</v>
      </c>
    </row>
    <row r="585" spans="1:17" ht="15.75" customHeight="1" x14ac:dyDescent="0.2">
      <c r="A585" s="4" t="s">
        <v>697</v>
      </c>
      <c r="B585" s="1" t="str">
        <f t="shared" si="13"/>
        <v>ESCCAL</v>
      </c>
    </row>
    <row r="586" spans="1:17" ht="15.75" customHeight="1" x14ac:dyDescent="0.2">
      <c r="A586" s="10" t="s">
        <v>698</v>
      </c>
      <c r="B586" s="1" t="str">
        <f t="shared" si="13"/>
        <v>ESCCAL</v>
      </c>
    </row>
    <row r="587" spans="1:17" ht="15.75" customHeight="1" x14ac:dyDescent="0.2">
      <c r="A587" s="4" t="s">
        <v>699</v>
      </c>
      <c r="B587" s="1" t="str">
        <f t="shared" si="13"/>
        <v>ESCCAL</v>
      </c>
    </row>
    <row r="588" spans="1:17" ht="15.75" customHeight="1" x14ac:dyDescent="0.2">
      <c r="A588" s="10" t="s">
        <v>700</v>
      </c>
      <c r="B588" s="1" t="str">
        <f t="shared" si="13"/>
        <v>ESCCAL</v>
      </c>
    </row>
    <row r="589" spans="1:17" ht="15.75" customHeight="1" x14ac:dyDescent="0.2">
      <c r="A589" s="4" t="s">
        <v>701</v>
      </c>
      <c r="B589" s="1" t="str">
        <f t="shared" si="13"/>
        <v>ESCCAL</v>
      </c>
    </row>
    <row r="590" spans="1:17" ht="15.75" customHeight="1" x14ac:dyDescent="0.2">
      <c r="A590" s="10" t="s">
        <v>702</v>
      </c>
      <c r="B590" s="1" t="str">
        <f t="shared" si="13"/>
        <v>ESCCAL</v>
      </c>
    </row>
    <row r="591" spans="1:17" ht="15.75" customHeight="1" x14ac:dyDescent="0.2">
      <c r="A591" s="4" t="s">
        <v>703</v>
      </c>
      <c r="B591" s="1" t="str">
        <f t="shared" si="13"/>
        <v>ESCCAL</v>
      </c>
    </row>
    <row r="592" spans="1:17" ht="15.75" customHeight="1" x14ac:dyDescent="0.2">
      <c r="A592" s="10" t="s">
        <v>704</v>
      </c>
      <c r="B592" s="1" t="str">
        <f t="shared" si="13"/>
        <v>ESCCAL</v>
      </c>
    </row>
    <row r="593" spans="1:2" ht="15.75" customHeight="1" x14ac:dyDescent="0.2">
      <c r="A593" s="4" t="s">
        <v>705</v>
      </c>
      <c r="B593" s="1" t="str">
        <f t="shared" si="13"/>
        <v>ESCCAL</v>
      </c>
    </row>
    <row r="594" spans="1:2" ht="15.75" customHeight="1" x14ac:dyDescent="0.2">
      <c r="A594" s="10" t="s">
        <v>706</v>
      </c>
      <c r="B594" s="1" t="str">
        <f t="shared" si="13"/>
        <v>ESCCAL</v>
      </c>
    </row>
    <row r="595" spans="1:2" ht="15.75" customHeight="1" x14ac:dyDescent="0.2">
      <c r="A595" s="10" t="s">
        <v>707</v>
      </c>
      <c r="B595" s="1" t="str">
        <f t="shared" si="13"/>
        <v>ESCCAL</v>
      </c>
    </row>
    <row r="596" spans="1:2" ht="15.75" customHeight="1" x14ac:dyDescent="0.2">
      <c r="A596" s="4" t="s">
        <v>708</v>
      </c>
      <c r="B596" s="1" t="str">
        <f t="shared" si="13"/>
        <v>ESCCAL</v>
      </c>
    </row>
    <row r="597" spans="1:2" ht="15.75" customHeight="1" x14ac:dyDescent="0.2">
      <c r="A597" s="4" t="s">
        <v>709</v>
      </c>
      <c r="B597" s="1" t="str">
        <f t="shared" si="13"/>
        <v>ESCCAL</v>
      </c>
    </row>
    <row r="598" spans="1:2" ht="15.75" customHeight="1" x14ac:dyDescent="0.2">
      <c r="A598" s="10" t="s">
        <v>710</v>
      </c>
      <c r="B598" s="1" t="str">
        <f t="shared" si="13"/>
        <v>ESCCAL</v>
      </c>
    </row>
    <row r="599" spans="1:2" ht="15.75" customHeight="1" x14ac:dyDescent="0.2">
      <c r="A599" s="10" t="s">
        <v>711</v>
      </c>
      <c r="B599" s="1" t="str">
        <f t="shared" si="13"/>
        <v>ESCCAL</v>
      </c>
    </row>
    <row r="600" spans="1:2" ht="15.75" customHeight="1" x14ac:dyDescent="0.2">
      <c r="A600" s="4" t="s">
        <v>712</v>
      </c>
      <c r="B600" s="1" t="str">
        <f t="shared" si="13"/>
        <v>ESCCAL</v>
      </c>
    </row>
    <row r="601" spans="1:2" ht="15.75" customHeight="1" x14ac:dyDescent="0.2">
      <c r="A601" s="4" t="s">
        <v>713</v>
      </c>
      <c r="B601" s="1" t="str">
        <f t="shared" si="13"/>
        <v>ESCCAL</v>
      </c>
    </row>
    <row r="602" spans="1:2" ht="15.75" customHeight="1" x14ac:dyDescent="0.2">
      <c r="A602" s="10" t="s">
        <v>714</v>
      </c>
      <c r="B602" s="1" t="str">
        <f t="shared" si="13"/>
        <v>ESCCAL</v>
      </c>
    </row>
    <row r="603" spans="1:2" ht="15.75" customHeight="1" x14ac:dyDescent="0.2">
      <c r="A603" s="4" t="s">
        <v>715</v>
      </c>
      <c r="B603" s="1" t="str">
        <f t="shared" si="13"/>
        <v>ESCCAL</v>
      </c>
    </row>
    <row r="604" spans="1:2" ht="15.75" customHeight="1" x14ac:dyDescent="0.2">
      <c r="A604" s="10" t="s">
        <v>716</v>
      </c>
      <c r="B604" s="1" t="str">
        <f t="shared" si="13"/>
        <v>ESCCAL</v>
      </c>
    </row>
    <row r="605" spans="1:2" ht="15.75" customHeight="1" x14ac:dyDescent="0.2">
      <c r="A605" s="10" t="s">
        <v>717</v>
      </c>
      <c r="B605" s="1" t="str">
        <f t="shared" si="13"/>
        <v>ESCCAL</v>
      </c>
    </row>
    <row r="606" spans="1:2" ht="15.75" customHeight="1" x14ac:dyDescent="0.2">
      <c r="A606" s="10" t="s">
        <v>718</v>
      </c>
      <c r="B606" s="1" t="str">
        <f t="shared" si="13"/>
        <v>ESCCAL</v>
      </c>
    </row>
    <row r="607" spans="1:2" ht="15.75" customHeight="1" x14ac:dyDescent="0.2">
      <c r="A607" s="4" t="s">
        <v>719</v>
      </c>
      <c r="B607" s="1" t="str">
        <f t="shared" si="13"/>
        <v>ESCCAL</v>
      </c>
    </row>
    <row r="608" spans="1:2" ht="15.75" customHeight="1" x14ac:dyDescent="0.2">
      <c r="A608" s="4" t="s">
        <v>720</v>
      </c>
      <c r="B608" s="1" t="str">
        <f t="shared" si="13"/>
        <v>ESCCAL</v>
      </c>
    </row>
    <row r="609" spans="1:17" ht="15.75" customHeight="1" x14ac:dyDescent="0.2">
      <c r="A609" s="10" t="s">
        <v>721</v>
      </c>
      <c r="B609" s="1" t="str">
        <f t="shared" si="13"/>
        <v>ESCCAL</v>
      </c>
    </row>
    <row r="610" spans="1:17" ht="15.75" customHeight="1" x14ac:dyDescent="0.2">
      <c r="A610" s="10" t="s">
        <v>722</v>
      </c>
      <c r="B610" s="1" t="str">
        <f t="shared" si="13"/>
        <v>ESCCAL</v>
      </c>
    </row>
    <row r="611" spans="1:17" ht="15.75" customHeight="1" x14ac:dyDescent="0.2">
      <c r="A611" s="10" t="s">
        <v>723</v>
      </c>
      <c r="B611" s="1" t="str">
        <f t="shared" si="13"/>
        <v>ESCCAL</v>
      </c>
    </row>
    <row r="612" spans="1:17" ht="15.75" customHeight="1" x14ac:dyDescent="0.2">
      <c r="A612" s="10" t="s">
        <v>724</v>
      </c>
      <c r="B612" s="1" t="str">
        <f t="shared" si="13"/>
        <v>ESCCAL</v>
      </c>
    </row>
    <row r="613" spans="1:17" ht="15.75" customHeight="1" x14ac:dyDescent="0.2">
      <c r="A613" s="4" t="s">
        <v>725</v>
      </c>
      <c r="B613" s="1" t="str">
        <f t="shared" si="13"/>
        <v>ESCCAL</v>
      </c>
    </row>
    <row r="614" spans="1:17" ht="15.75" customHeight="1" x14ac:dyDescent="0.2">
      <c r="A614" s="4" t="s">
        <v>726</v>
      </c>
      <c r="B614" s="1" t="str">
        <f t="shared" si="13"/>
        <v>ESCCAL</v>
      </c>
    </row>
    <row r="615" spans="1:17" ht="15.75" customHeight="1" x14ac:dyDescent="0.2">
      <c r="A615" s="10" t="s">
        <v>727</v>
      </c>
      <c r="B615" s="1" t="str">
        <f t="shared" si="13"/>
        <v>ESCCAL</v>
      </c>
    </row>
    <row r="616" spans="1:17" ht="15.75" customHeight="1" x14ac:dyDescent="0.2">
      <c r="A616" s="4" t="s">
        <v>728</v>
      </c>
      <c r="B616" s="1" t="str">
        <f t="shared" si="13"/>
        <v>GALPAR</v>
      </c>
      <c r="C616" t="s">
        <v>196</v>
      </c>
      <c r="D616" s="9">
        <v>45161</v>
      </c>
      <c r="E616">
        <v>199</v>
      </c>
      <c r="F616">
        <f>0.0015/10</f>
        <v>1.5000000000000001E-4</v>
      </c>
      <c r="G616">
        <f>0.0015/10</f>
        <v>1.5000000000000001E-4</v>
      </c>
      <c r="H616">
        <f>0.0013/8</f>
        <v>1.6249999999999999E-4</v>
      </c>
      <c r="I616">
        <f>0.0015/8</f>
        <v>1.875E-4</v>
      </c>
      <c r="J616">
        <f>0.0012/6</f>
        <v>1.9999999999999998E-4</v>
      </c>
      <c r="K616">
        <f>0.0014/7</f>
        <v>2.0000000000000001E-4</v>
      </c>
      <c r="L616">
        <f>0.0012/6</f>
        <v>1.9999999999999998E-4</v>
      </c>
      <c r="M616">
        <f>0.001/6</f>
        <v>1.6666666666666666E-4</v>
      </c>
      <c r="N616">
        <f>0.0011/5</f>
        <v>2.2000000000000001E-4</v>
      </c>
      <c r="O616">
        <f>0.0013/6</f>
        <v>2.1666666666666666E-4</v>
      </c>
      <c r="P616">
        <v>7.0000000000000007E-2</v>
      </c>
      <c r="Q616" t="s">
        <v>729</v>
      </c>
    </row>
    <row r="617" spans="1:17" ht="15.75" customHeight="1" x14ac:dyDescent="0.2">
      <c r="A617" s="10" t="s">
        <v>730</v>
      </c>
      <c r="B617" s="1" t="str">
        <f t="shared" si="13"/>
        <v>GALPAR</v>
      </c>
      <c r="C617" t="s">
        <v>42</v>
      </c>
      <c r="D617" s="9">
        <v>45077</v>
      </c>
      <c r="E617">
        <v>643</v>
      </c>
      <c r="F617">
        <f>0.0009/6</f>
        <v>1.4999999999999999E-4</v>
      </c>
      <c r="G617">
        <f>0.0014/10</f>
        <v>1.3999999999999999E-4</v>
      </c>
      <c r="H617">
        <f>0.0013/10</f>
        <v>1.2999999999999999E-4</v>
      </c>
      <c r="I617">
        <f>0.0012/5</f>
        <v>2.3999999999999998E-4</v>
      </c>
      <c r="J617">
        <f>0.001/8</f>
        <v>1.25E-4</v>
      </c>
      <c r="K617">
        <f>0.0012/8</f>
        <v>1.4999999999999999E-4</v>
      </c>
      <c r="L617">
        <f>0.0008/10</f>
        <v>8.0000000000000007E-5</v>
      </c>
      <c r="M617">
        <f>0.0007/6</f>
        <v>1.1666666666666667E-4</v>
      </c>
      <c r="N617">
        <f>0.0008/6</f>
        <v>1.3333333333333334E-4</v>
      </c>
      <c r="O617">
        <f>0.0014/10</f>
        <v>1.3999999999999999E-4</v>
      </c>
      <c r="P617">
        <v>0.23</v>
      </c>
      <c r="Q617" t="s">
        <v>729</v>
      </c>
    </row>
    <row r="618" spans="1:17" ht="15.75" customHeight="1" x14ac:dyDescent="0.2">
      <c r="A618" s="4" t="s">
        <v>731</v>
      </c>
      <c r="B618" s="1" t="str">
        <f t="shared" si="13"/>
        <v>GALPAR</v>
      </c>
      <c r="C618" t="s">
        <v>196</v>
      </c>
      <c r="D618" s="9">
        <v>45161</v>
      </c>
      <c r="E618" s="12">
        <v>1295</v>
      </c>
      <c r="F618">
        <f>0.0018/11</f>
        <v>1.6363636363636363E-4</v>
      </c>
      <c r="G618">
        <f>0.0009/8</f>
        <v>1.125E-4</v>
      </c>
      <c r="H618">
        <f>0.0015/10</f>
        <v>1.5000000000000001E-4</v>
      </c>
      <c r="I618">
        <f>0.0017/10</f>
        <v>1.6999999999999999E-4</v>
      </c>
      <c r="J618">
        <f>0.0005/7</f>
        <v>7.1428571428571434E-5</v>
      </c>
      <c r="K618">
        <f>0.0011/9</f>
        <v>1.2222222222222224E-4</v>
      </c>
      <c r="L618">
        <f>0.0007/7</f>
        <v>1E-4</v>
      </c>
      <c r="M618">
        <f>0.0013/9</f>
        <v>1.4444444444444444E-4</v>
      </c>
      <c r="N618">
        <f>0.0009/6</f>
        <v>1.4999999999999999E-4</v>
      </c>
      <c r="O618">
        <f>0.0009/8</f>
        <v>1.125E-4</v>
      </c>
      <c r="P618">
        <v>0.55000000000000004</v>
      </c>
      <c r="Q618" t="s">
        <v>729</v>
      </c>
    </row>
    <row r="619" spans="1:17" ht="15.75" customHeight="1" x14ac:dyDescent="0.2">
      <c r="A619" s="10" t="s">
        <v>732</v>
      </c>
      <c r="B619" s="1" t="str">
        <f t="shared" si="13"/>
        <v>GALPAR</v>
      </c>
      <c r="C619" s="1" t="s">
        <v>42</v>
      </c>
      <c r="D619" s="1" t="s">
        <v>319</v>
      </c>
      <c r="E619" s="1" t="s">
        <v>319</v>
      </c>
      <c r="F619" s="1" t="s">
        <v>319</v>
      </c>
      <c r="G619" s="1" t="s">
        <v>319</v>
      </c>
      <c r="H619" s="1" t="s">
        <v>319</v>
      </c>
      <c r="I619" s="1" t="s">
        <v>319</v>
      </c>
      <c r="J619" s="1" t="s">
        <v>319</v>
      </c>
      <c r="K619" s="1" t="s">
        <v>319</v>
      </c>
      <c r="L619" s="1" t="s">
        <v>319</v>
      </c>
      <c r="M619" s="1" t="s">
        <v>319</v>
      </c>
      <c r="N619" s="1" t="s">
        <v>319</v>
      </c>
      <c r="O619" s="1" t="s">
        <v>319</v>
      </c>
      <c r="P619" s="1" t="s">
        <v>319</v>
      </c>
      <c r="Q619" s="1" t="s">
        <v>733</v>
      </c>
    </row>
    <row r="620" spans="1:17" ht="15.75" customHeight="1" x14ac:dyDescent="0.2">
      <c r="A620" s="4" t="s">
        <v>734</v>
      </c>
      <c r="B620" s="1" t="str">
        <f t="shared" si="13"/>
        <v>GALPAR</v>
      </c>
      <c r="C620" s="1" t="s">
        <v>42</v>
      </c>
      <c r="D620" s="1" t="s">
        <v>319</v>
      </c>
      <c r="E620" s="1" t="s">
        <v>319</v>
      </c>
      <c r="F620" s="1" t="s">
        <v>319</v>
      </c>
      <c r="G620" s="1" t="s">
        <v>319</v>
      </c>
      <c r="H620" s="1" t="s">
        <v>319</v>
      </c>
      <c r="I620" s="1" t="s">
        <v>319</v>
      </c>
      <c r="J620" s="1" t="s">
        <v>319</v>
      </c>
      <c r="K620" s="1" t="s">
        <v>319</v>
      </c>
      <c r="L620" s="1" t="s">
        <v>319</v>
      </c>
      <c r="M620" s="1" t="s">
        <v>319</v>
      </c>
      <c r="N620" s="1" t="s">
        <v>319</v>
      </c>
      <c r="O620" s="1" t="s">
        <v>319</v>
      </c>
      <c r="P620" s="1" t="s">
        <v>319</v>
      </c>
      <c r="Q620" s="1" t="s">
        <v>735</v>
      </c>
    </row>
    <row r="621" spans="1:17" ht="15.75" customHeight="1" x14ac:dyDescent="0.2">
      <c r="A621" s="4" t="s">
        <v>736</v>
      </c>
      <c r="B621" s="1" t="str">
        <f t="shared" si="13"/>
        <v>GALPAR</v>
      </c>
      <c r="C621" t="s">
        <v>85</v>
      </c>
      <c r="E621">
        <v>1162</v>
      </c>
      <c r="F621">
        <v>1.1900000000000001E-4</v>
      </c>
      <c r="G621">
        <v>1.2999999999999999E-4</v>
      </c>
      <c r="H621">
        <v>1.17E-4</v>
      </c>
      <c r="I621">
        <v>1.4999999999999999E-4</v>
      </c>
      <c r="J621">
        <v>1.05E-4</v>
      </c>
      <c r="K621">
        <v>1.18E-4</v>
      </c>
      <c r="L621">
        <v>1.17E-4</v>
      </c>
      <c r="M621">
        <v>1.2E-4</v>
      </c>
      <c r="N621">
        <v>1.4999999999999999E-4</v>
      </c>
      <c r="O621" s="11">
        <v>9.2307692299999997E-5</v>
      </c>
      <c r="P621">
        <v>0.24</v>
      </c>
      <c r="Q621" t="s">
        <v>729</v>
      </c>
    </row>
    <row r="622" spans="1:17" ht="15.75" customHeight="1" x14ac:dyDescent="0.2">
      <c r="A622" s="4" t="s">
        <v>737</v>
      </c>
      <c r="B622" s="1" t="str">
        <f t="shared" si="13"/>
        <v>GALPAR</v>
      </c>
      <c r="C622" t="s">
        <v>196</v>
      </c>
      <c r="D622" s="9">
        <v>45077</v>
      </c>
      <c r="E622">
        <v>143</v>
      </c>
      <c r="F622">
        <f>0.0005/6</f>
        <v>8.3333333333333331E-5</v>
      </c>
      <c r="G622">
        <f>0.0004/6</f>
        <v>6.666666666666667E-5</v>
      </c>
      <c r="H622">
        <f>0.0006/8</f>
        <v>7.4999999999999993E-5</v>
      </c>
      <c r="I622">
        <f>0.0006/9</f>
        <v>6.6666666666666656E-5</v>
      </c>
      <c r="J622">
        <f>0.0006/6</f>
        <v>9.9999999999999991E-5</v>
      </c>
      <c r="K622">
        <f>0.0012/10</f>
        <v>1.1999999999999999E-4</v>
      </c>
      <c r="L622">
        <f>0.0003/7</f>
        <v>4.2857142857142856E-5</v>
      </c>
      <c r="M622">
        <f>0.0006/6</f>
        <v>9.9999999999999991E-5</v>
      </c>
      <c r="N622">
        <f>0.0002/5</f>
        <v>4.0000000000000003E-5</v>
      </c>
      <c r="O622">
        <f>0.0008/7</f>
        <v>1.142857142857143E-4</v>
      </c>
      <c r="P622">
        <v>0.04</v>
      </c>
      <c r="Q622" t="s">
        <v>729</v>
      </c>
    </row>
    <row r="623" spans="1:17" ht="15.75" customHeight="1" x14ac:dyDescent="0.2">
      <c r="A623" s="4" t="s">
        <v>738</v>
      </c>
      <c r="B623" s="1" t="str">
        <f t="shared" si="13"/>
        <v>GALPAR</v>
      </c>
      <c r="C623" t="s">
        <v>196</v>
      </c>
      <c r="D623" s="9">
        <v>45098</v>
      </c>
      <c r="E623">
        <v>423</v>
      </c>
      <c r="F623">
        <f>0.0012/8</f>
        <v>1.4999999999999999E-4</v>
      </c>
      <c r="G623">
        <f>0.0006/6</f>
        <v>9.9999999999999991E-5</v>
      </c>
      <c r="H623">
        <f>0.0011/8</f>
        <v>1.3750000000000001E-4</v>
      </c>
      <c r="I623">
        <f>0.0014/10</f>
        <v>1.3999999999999999E-4</v>
      </c>
      <c r="J623">
        <f>0.0012/9</f>
        <v>1.3333333333333331E-4</v>
      </c>
      <c r="K623">
        <f>0.0006/7</f>
        <v>8.5714285714285713E-5</v>
      </c>
      <c r="L623">
        <f>0.0009/8</f>
        <v>1.125E-4</v>
      </c>
      <c r="M623">
        <f>0.0006/6</f>
        <v>9.9999999999999991E-5</v>
      </c>
      <c r="N623">
        <f>0.001/9</f>
        <v>1.1111111111111112E-4</v>
      </c>
      <c r="O623">
        <f>0.001/8</f>
        <v>1.25E-4</v>
      </c>
      <c r="P623">
        <v>0.15</v>
      </c>
      <c r="Q623" t="s">
        <v>729</v>
      </c>
    </row>
    <row r="624" spans="1:17" ht="15.75" customHeight="1" x14ac:dyDescent="0.2">
      <c r="A624" s="10" t="s">
        <v>739</v>
      </c>
      <c r="B624" s="1" t="str">
        <f t="shared" si="13"/>
        <v>GALPAR</v>
      </c>
      <c r="C624" t="s">
        <v>196</v>
      </c>
      <c r="D624" s="9">
        <v>45098</v>
      </c>
      <c r="E624">
        <v>1501</v>
      </c>
      <c r="F624">
        <f>0.0008/6</f>
        <v>1.3333333333333334E-4</v>
      </c>
      <c r="G624">
        <f>0.001/7</f>
        <v>1.4285714285714287E-4</v>
      </c>
      <c r="H624">
        <f>0.0013/11</f>
        <v>1.1818181818181818E-4</v>
      </c>
      <c r="I624">
        <f>0.0012/11</f>
        <v>1.0909090909090908E-4</v>
      </c>
      <c r="J624">
        <f>0.0014/12</f>
        <v>1.1666666666666667E-4</v>
      </c>
      <c r="K624">
        <f>0.0011/7</f>
        <v>1.5714285714285716E-4</v>
      </c>
      <c r="L624">
        <f>0.0009/7</f>
        <v>1.2857142857142858E-4</v>
      </c>
      <c r="M624">
        <f>0.0021/16</f>
        <v>1.3124999999999999E-4</v>
      </c>
      <c r="N624">
        <f>0.0013/13</f>
        <v>9.9999999999999991E-5</v>
      </c>
      <c r="O624">
        <f>0.0012/7</f>
        <v>1.7142857142857143E-4</v>
      </c>
      <c r="P624">
        <v>0.45</v>
      </c>
      <c r="Q624" t="s">
        <v>729</v>
      </c>
    </row>
    <row r="625" spans="1:17" ht="15.75" customHeight="1" x14ac:dyDescent="0.2">
      <c r="A625" s="4" t="s">
        <v>740</v>
      </c>
      <c r="B625" s="1" t="str">
        <f t="shared" si="13"/>
        <v>GALPAR</v>
      </c>
      <c r="C625" t="s">
        <v>38</v>
      </c>
      <c r="D625" s="9">
        <v>11861</v>
      </c>
      <c r="E625">
        <v>847</v>
      </c>
      <c r="F625">
        <f>0.0003/4</f>
        <v>7.4999999999999993E-5</v>
      </c>
      <c r="G625">
        <f>0.0001/4</f>
        <v>2.5000000000000001E-5</v>
      </c>
      <c r="H625">
        <f>0.0003/4</f>
        <v>7.4999999999999993E-5</v>
      </c>
      <c r="I625">
        <f>0.0001/2</f>
        <v>5.0000000000000002E-5</v>
      </c>
      <c r="J625">
        <f>0.0003/5</f>
        <v>5.9999999999999995E-5</v>
      </c>
      <c r="K625">
        <f>0.0002/4</f>
        <v>5.0000000000000002E-5</v>
      </c>
      <c r="L625">
        <f>0.0004/4</f>
        <v>1E-4</v>
      </c>
      <c r="M625">
        <f>0.0001/12</f>
        <v>8.3333333333333337E-6</v>
      </c>
      <c r="N625">
        <f>0.0001/15</f>
        <v>6.6666666666666666E-6</v>
      </c>
      <c r="O625">
        <f>0.0004/5</f>
        <v>8.0000000000000007E-5</v>
      </c>
      <c r="P625">
        <v>0.16</v>
      </c>
      <c r="Q625" t="s">
        <v>729</v>
      </c>
    </row>
    <row r="626" spans="1:17" ht="15.75" customHeight="1" x14ac:dyDescent="0.2">
      <c r="A626" s="10" t="s">
        <v>741</v>
      </c>
      <c r="B626" s="1" t="str">
        <f t="shared" si="13"/>
        <v>GALPAR</v>
      </c>
      <c r="C626" t="s">
        <v>196</v>
      </c>
      <c r="D626" s="9">
        <v>45098</v>
      </c>
      <c r="E626">
        <v>408</v>
      </c>
      <c r="F626">
        <f>0.013/9</f>
        <v>1.4444444444444444E-3</v>
      </c>
      <c r="G626">
        <f>0.0009/9</f>
        <v>9.9999999999999991E-5</v>
      </c>
      <c r="H626">
        <f>0.008/6</f>
        <v>1.3333333333333333E-3</v>
      </c>
      <c r="I626">
        <f>0.0005/7</f>
        <v>7.1428571428571434E-5</v>
      </c>
      <c r="J626">
        <f>0.0009/9</f>
        <v>9.9999999999999991E-5</v>
      </c>
      <c r="K626">
        <f>0.0011/8</f>
        <v>1.3750000000000001E-4</v>
      </c>
      <c r="L626">
        <f>0.0008/7</f>
        <v>1.142857142857143E-4</v>
      </c>
      <c r="M626">
        <f>0.001/5</f>
        <v>2.0000000000000001E-4</v>
      </c>
      <c r="N626">
        <f>0.0008/7</f>
        <v>1.142857142857143E-4</v>
      </c>
      <c r="O626">
        <f>0.0003/6</f>
        <v>4.9999999999999996E-5</v>
      </c>
      <c r="P626">
        <v>0.1</v>
      </c>
      <c r="Q626" t="s">
        <v>729</v>
      </c>
    </row>
    <row r="627" spans="1:17" ht="15.75" customHeight="1" x14ac:dyDescent="0.2">
      <c r="A627" s="10" t="s">
        <v>742</v>
      </c>
      <c r="B627" s="1" t="str">
        <f t="shared" si="13"/>
        <v>GALPAR</v>
      </c>
      <c r="C627" t="s">
        <v>42</v>
      </c>
      <c r="D627" s="9">
        <v>45098</v>
      </c>
      <c r="E627">
        <v>133</v>
      </c>
      <c r="F627">
        <f>0.0011/10</f>
        <v>1.1E-4</v>
      </c>
      <c r="G627">
        <f>0.0005/6</f>
        <v>8.3333333333333331E-5</v>
      </c>
      <c r="H627">
        <f>0.0009/6</f>
        <v>1.4999999999999999E-4</v>
      </c>
      <c r="I627">
        <f>0.0005/7</f>
        <v>7.1428571428571434E-5</v>
      </c>
      <c r="J627">
        <f>0.0005/6</f>
        <v>8.3333333333333331E-5</v>
      </c>
      <c r="K627">
        <f>0.0011/8</f>
        <v>1.3750000000000001E-4</v>
      </c>
      <c r="L627">
        <f>0.0009/8</f>
        <v>1.125E-4</v>
      </c>
      <c r="M627">
        <f>0.0011/8</f>
        <v>1.3750000000000001E-4</v>
      </c>
      <c r="N627">
        <f>0.0008/6</f>
        <v>1.3333333333333334E-4</v>
      </c>
      <c r="O627">
        <f>0.0007/7</f>
        <v>1E-4</v>
      </c>
      <c r="P627">
        <v>0.05</v>
      </c>
      <c r="Q627" t="s">
        <v>729</v>
      </c>
    </row>
    <row r="628" spans="1:17" ht="15.75" customHeight="1" x14ac:dyDescent="0.2">
      <c r="A628" s="4" t="s">
        <v>743</v>
      </c>
      <c r="B628" s="1" t="str">
        <f t="shared" si="13"/>
        <v>GALPAR</v>
      </c>
      <c r="C628" t="s">
        <v>42</v>
      </c>
      <c r="D628" s="9">
        <v>45161</v>
      </c>
      <c r="E628">
        <v>1225</v>
      </c>
      <c r="F628">
        <f>0.0012/7</f>
        <v>1.7142857142857143E-4</v>
      </c>
      <c r="G628">
        <f>0.012/9</f>
        <v>1.3333333333333333E-3</v>
      </c>
      <c r="H628">
        <f>0.0011/9</f>
        <v>1.2222222222222224E-4</v>
      </c>
      <c r="I628">
        <f>0.0014/10</f>
        <v>1.3999999999999999E-4</v>
      </c>
      <c r="J628">
        <f>0.0008/7</f>
        <v>1.142857142857143E-4</v>
      </c>
      <c r="K628">
        <f>0.0012/10</f>
        <v>1.1999999999999999E-4</v>
      </c>
      <c r="L628">
        <f>0.0009/8</f>
        <v>1.125E-4</v>
      </c>
      <c r="M628">
        <f>0.0024/16</f>
        <v>1.4999999999999999E-4</v>
      </c>
      <c r="N628">
        <f>0.002/14</f>
        <v>1.4285714285714287E-4</v>
      </c>
      <c r="O628">
        <f>0.0014/10</f>
        <v>1.3999999999999999E-4</v>
      </c>
      <c r="P628">
        <v>0.22</v>
      </c>
      <c r="Q628" t="s">
        <v>729</v>
      </c>
    </row>
    <row r="629" spans="1:17" ht="15.75" customHeight="1" x14ac:dyDescent="0.2">
      <c r="A629" s="10" t="s">
        <v>744</v>
      </c>
      <c r="B629" s="1" t="str">
        <f t="shared" si="13"/>
        <v>GALPAR</v>
      </c>
      <c r="C629" t="s">
        <v>196</v>
      </c>
      <c r="D629" s="9">
        <v>45077</v>
      </c>
      <c r="E629">
        <v>209</v>
      </c>
      <c r="F629">
        <f>0.0009/5</f>
        <v>1.7999999999999998E-4</v>
      </c>
      <c r="G629">
        <f>0.0009/5</f>
        <v>1.7999999999999998E-4</v>
      </c>
      <c r="H629">
        <f>0.0011/6</f>
        <v>1.8333333333333334E-4</v>
      </c>
      <c r="I629">
        <f>0.0014/6</f>
        <v>2.3333333333333333E-4</v>
      </c>
      <c r="J629">
        <f>0.0015/10</f>
        <v>1.5000000000000001E-4</v>
      </c>
      <c r="K629">
        <f>0.0004/6</f>
        <v>6.666666666666667E-5</v>
      </c>
      <c r="L629">
        <f>0.0013/7</f>
        <v>1.8571428571428572E-4</v>
      </c>
      <c r="M629">
        <f>0.0012/6</f>
        <v>1.9999999999999998E-4</v>
      </c>
      <c r="N629">
        <f>0.0011/5</f>
        <v>2.2000000000000001E-4</v>
      </c>
      <c r="O629">
        <f>0.0011/7</f>
        <v>1.5714285714285716E-4</v>
      </c>
      <c r="P629">
        <v>0.09</v>
      </c>
      <c r="Q629" t="s">
        <v>729</v>
      </c>
    </row>
    <row r="630" spans="1:17" ht="15.75" customHeight="1" x14ac:dyDescent="0.2">
      <c r="A630" s="10" t="s">
        <v>745</v>
      </c>
      <c r="B630" s="1" t="str">
        <f t="shared" si="13"/>
        <v>GALPAR</v>
      </c>
      <c r="C630" s="1" t="s">
        <v>42</v>
      </c>
      <c r="D630" s="1" t="s">
        <v>319</v>
      </c>
      <c r="E630" s="1" t="s">
        <v>319</v>
      </c>
      <c r="F630" s="1" t="s">
        <v>319</v>
      </c>
      <c r="G630" s="1" t="s">
        <v>319</v>
      </c>
      <c r="H630" s="1" t="s">
        <v>319</v>
      </c>
      <c r="I630" s="1" t="s">
        <v>319</v>
      </c>
      <c r="J630" s="1" t="s">
        <v>319</v>
      </c>
      <c r="K630" s="1" t="s">
        <v>319</v>
      </c>
      <c r="L630" s="1" t="s">
        <v>319</v>
      </c>
      <c r="M630" s="1" t="s">
        <v>319</v>
      </c>
      <c r="N630" s="1" t="s">
        <v>319</v>
      </c>
      <c r="O630" s="1" t="s">
        <v>319</v>
      </c>
      <c r="P630" s="1" t="s">
        <v>319</v>
      </c>
      <c r="Q630" s="1" t="s">
        <v>746</v>
      </c>
    </row>
    <row r="631" spans="1:17" ht="15.75" customHeight="1" x14ac:dyDescent="0.2">
      <c r="A631" s="10" t="s">
        <v>747</v>
      </c>
      <c r="B631" s="1" t="str">
        <f t="shared" si="13"/>
        <v>GALPAR</v>
      </c>
      <c r="C631" t="s">
        <v>196</v>
      </c>
      <c r="D631" s="9">
        <v>45098</v>
      </c>
      <c r="E631">
        <v>179</v>
      </c>
      <c r="F631">
        <f>0.001/7</f>
        <v>1.4285714285714287E-4</v>
      </c>
      <c r="G631">
        <f>0.0007/6</f>
        <v>1.1666666666666667E-4</v>
      </c>
      <c r="H631">
        <f>0.0008/7</f>
        <v>1.142857142857143E-4</v>
      </c>
      <c r="I631">
        <f>0.001/8</f>
        <v>1.25E-4</v>
      </c>
      <c r="J631">
        <f>0.0008/6</f>
        <v>1.3333333333333334E-4</v>
      </c>
      <c r="K631">
        <f>0.0009/8</f>
        <v>1.125E-4</v>
      </c>
      <c r="L631">
        <f>0.0009/7</f>
        <v>1.2857142857142858E-4</v>
      </c>
      <c r="M631">
        <f>0.001/8</f>
        <v>1.25E-4</v>
      </c>
      <c r="N631">
        <f>0.0006/6</f>
        <v>9.9999999999999991E-5</v>
      </c>
      <c r="O631">
        <f>0.001/8</f>
        <v>1.25E-4</v>
      </c>
      <c r="P631">
        <v>0.06</v>
      </c>
    </row>
    <row r="632" spans="1:17" ht="15.75" customHeight="1" x14ac:dyDescent="0.2">
      <c r="A632" s="4" t="s">
        <v>748</v>
      </c>
      <c r="B632" s="1" t="str">
        <f t="shared" si="13"/>
        <v>GERDIS</v>
      </c>
    </row>
    <row r="633" spans="1:17" ht="15.75" customHeight="1" x14ac:dyDescent="0.2">
      <c r="A633" s="4" t="s">
        <v>749</v>
      </c>
      <c r="B633" s="1" t="str">
        <f t="shared" si="13"/>
        <v>GERDIS</v>
      </c>
    </row>
    <row r="634" spans="1:17" ht="15.75" customHeight="1" x14ac:dyDescent="0.2">
      <c r="A634" s="4" t="s">
        <v>750</v>
      </c>
      <c r="B634" s="1" t="str">
        <f t="shared" si="13"/>
        <v>GERDIS</v>
      </c>
    </row>
    <row r="635" spans="1:17" ht="15.75" customHeight="1" x14ac:dyDescent="0.2">
      <c r="A635" s="10" t="s">
        <v>751</v>
      </c>
      <c r="B635" s="1" t="str">
        <f t="shared" si="13"/>
        <v>GERDIS</v>
      </c>
    </row>
    <row r="636" spans="1:17" ht="15.75" customHeight="1" x14ac:dyDescent="0.2">
      <c r="A636" s="4" t="s">
        <v>752</v>
      </c>
      <c r="B636" s="1" t="str">
        <f t="shared" si="13"/>
        <v>GERDIS</v>
      </c>
    </row>
    <row r="637" spans="1:17" ht="15.75" customHeight="1" x14ac:dyDescent="0.2">
      <c r="A637" s="10" t="s">
        <v>753</v>
      </c>
      <c r="B637" s="1" t="str">
        <f t="shared" si="13"/>
        <v>GERDIS</v>
      </c>
    </row>
    <row r="638" spans="1:17" ht="15.75" customHeight="1" x14ac:dyDescent="0.2">
      <c r="A638" s="10" t="s">
        <v>754</v>
      </c>
      <c r="B638" s="1" t="str">
        <f t="shared" si="13"/>
        <v>GERDIS</v>
      </c>
    </row>
    <row r="639" spans="1:17" ht="15.75" customHeight="1" x14ac:dyDescent="0.2">
      <c r="A639" s="10" t="s">
        <v>755</v>
      </c>
      <c r="B639" s="1" t="str">
        <f t="shared" si="13"/>
        <v>GERDIS</v>
      </c>
    </row>
    <row r="640" spans="1:17" ht="15.75" customHeight="1" x14ac:dyDescent="0.2">
      <c r="A640" s="4" t="s">
        <v>756</v>
      </c>
      <c r="B640" s="1" t="str">
        <f t="shared" si="13"/>
        <v>GERDIS</v>
      </c>
    </row>
    <row r="641" spans="1:16" ht="15.75" customHeight="1" x14ac:dyDescent="0.2">
      <c r="A641" s="10" t="s">
        <v>757</v>
      </c>
      <c r="B641" s="1" t="str">
        <f t="shared" si="13"/>
        <v>GERDIS</v>
      </c>
    </row>
    <row r="642" spans="1:16" ht="15.75" customHeight="1" x14ac:dyDescent="0.2">
      <c r="A642" s="4" t="s">
        <v>758</v>
      </c>
      <c r="B642" s="1" t="str">
        <f t="shared" si="13"/>
        <v>GERDIS</v>
      </c>
    </row>
    <row r="643" spans="1:16" ht="15.75" customHeight="1" x14ac:dyDescent="0.2">
      <c r="A643" s="10" t="s">
        <v>759</v>
      </c>
      <c r="B643" s="1" t="str">
        <f t="shared" si="13"/>
        <v>GERDIS</v>
      </c>
    </row>
    <row r="644" spans="1:16" ht="15.75" customHeight="1" x14ac:dyDescent="0.2">
      <c r="A644" s="4" t="s">
        <v>760</v>
      </c>
      <c r="B644" s="1" t="str">
        <f t="shared" si="13"/>
        <v>GERDIS</v>
      </c>
    </row>
    <row r="645" spans="1:16" ht="15.75" customHeight="1" x14ac:dyDescent="0.2">
      <c r="A645" s="4" t="s">
        <v>761</v>
      </c>
      <c r="B645" s="1" t="str">
        <f t="shared" si="13"/>
        <v>GERDIS</v>
      </c>
    </row>
    <row r="646" spans="1:16" ht="15.75" customHeight="1" x14ac:dyDescent="0.2">
      <c r="A646" s="10" t="s">
        <v>762</v>
      </c>
      <c r="B646" s="1" t="str">
        <f t="shared" si="13"/>
        <v>GERDIS</v>
      </c>
    </row>
    <row r="647" spans="1:16" ht="15.75" customHeight="1" x14ac:dyDescent="0.2">
      <c r="A647" s="4" t="s">
        <v>763</v>
      </c>
      <c r="B647" s="1" t="str">
        <f t="shared" si="13"/>
        <v>GERDIS</v>
      </c>
    </row>
    <row r="648" spans="1:16" ht="15.75" customHeight="1" x14ac:dyDescent="0.2">
      <c r="A648" s="4" t="s">
        <v>764</v>
      </c>
      <c r="B648" s="1" t="str">
        <f t="shared" si="13"/>
        <v>HOLVIR</v>
      </c>
      <c r="C648" t="s">
        <v>319</v>
      </c>
      <c r="D648" t="s">
        <v>319</v>
      </c>
      <c r="E648" t="s">
        <v>319</v>
      </c>
      <c r="F648" t="s">
        <v>319</v>
      </c>
      <c r="G648" t="s">
        <v>319</v>
      </c>
      <c r="H648" t="s">
        <v>319</v>
      </c>
      <c r="I648" t="s">
        <v>319</v>
      </c>
      <c r="J648" t="s">
        <v>319</v>
      </c>
      <c r="K648" t="s">
        <v>319</v>
      </c>
      <c r="L648" t="s">
        <v>319</v>
      </c>
      <c r="M648" t="s">
        <v>319</v>
      </c>
      <c r="N648" t="s">
        <v>319</v>
      </c>
      <c r="O648" t="s">
        <v>319</v>
      </c>
      <c r="P648" t="s">
        <v>319</v>
      </c>
    </row>
    <row r="649" spans="1:16" ht="15.75" customHeight="1" x14ac:dyDescent="0.2">
      <c r="A649" s="10" t="s">
        <v>765</v>
      </c>
      <c r="B649" s="1" t="str">
        <f t="shared" si="13"/>
        <v>HOLVIR</v>
      </c>
      <c r="C649" t="s">
        <v>319</v>
      </c>
      <c r="D649" t="s">
        <v>319</v>
      </c>
      <c r="E649" t="s">
        <v>319</v>
      </c>
      <c r="F649" t="s">
        <v>319</v>
      </c>
      <c r="G649" t="s">
        <v>319</v>
      </c>
      <c r="H649" t="s">
        <v>319</v>
      </c>
      <c r="I649" t="s">
        <v>319</v>
      </c>
      <c r="J649" t="s">
        <v>319</v>
      </c>
      <c r="K649" t="s">
        <v>319</v>
      </c>
      <c r="L649" t="s">
        <v>319</v>
      </c>
      <c r="M649" t="s">
        <v>319</v>
      </c>
      <c r="N649" t="s">
        <v>319</v>
      </c>
      <c r="O649" t="s">
        <v>319</v>
      </c>
      <c r="P649" t="s">
        <v>319</v>
      </c>
    </row>
    <row r="650" spans="1:16" ht="15.75" customHeight="1" x14ac:dyDescent="0.2">
      <c r="A650" s="10" t="s">
        <v>766</v>
      </c>
      <c r="B650" s="1" t="str">
        <f t="shared" si="13"/>
        <v>HOLVIR</v>
      </c>
      <c r="C650" t="s">
        <v>319</v>
      </c>
      <c r="D650" t="s">
        <v>319</v>
      </c>
      <c r="E650" t="s">
        <v>319</v>
      </c>
      <c r="F650" t="s">
        <v>319</v>
      </c>
      <c r="G650" t="s">
        <v>319</v>
      </c>
      <c r="H650" t="s">
        <v>319</v>
      </c>
      <c r="I650" t="s">
        <v>319</v>
      </c>
      <c r="J650" t="s">
        <v>319</v>
      </c>
      <c r="K650" t="s">
        <v>319</v>
      </c>
      <c r="L650" t="s">
        <v>319</v>
      </c>
      <c r="M650" t="s">
        <v>319</v>
      </c>
      <c r="N650" t="s">
        <v>319</v>
      </c>
      <c r="O650" t="s">
        <v>319</v>
      </c>
      <c r="P650" t="s">
        <v>319</v>
      </c>
    </row>
    <row r="651" spans="1:16" ht="15.75" customHeight="1" x14ac:dyDescent="0.2">
      <c r="A651" s="4" t="s">
        <v>767</v>
      </c>
      <c r="B651" s="1" t="str">
        <f t="shared" si="13"/>
        <v>HOLVIR</v>
      </c>
      <c r="C651" t="s">
        <v>319</v>
      </c>
      <c r="D651" t="s">
        <v>319</v>
      </c>
      <c r="E651" t="s">
        <v>319</v>
      </c>
      <c r="F651" t="s">
        <v>319</v>
      </c>
      <c r="G651" t="s">
        <v>319</v>
      </c>
      <c r="H651" t="s">
        <v>319</v>
      </c>
      <c r="I651" t="s">
        <v>319</v>
      </c>
      <c r="J651" t="s">
        <v>319</v>
      </c>
      <c r="K651" t="s">
        <v>319</v>
      </c>
      <c r="L651" t="s">
        <v>319</v>
      </c>
      <c r="M651" t="s">
        <v>319</v>
      </c>
      <c r="N651" t="s">
        <v>319</v>
      </c>
      <c r="O651" t="s">
        <v>319</v>
      </c>
      <c r="P651" t="s">
        <v>319</v>
      </c>
    </row>
    <row r="652" spans="1:16" ht="15.75" customHeight="1" x14ac:dyDescent="0.2">
      <c r="A652" s="4" t="s">
        <v>768</v>
      </c>
      <c r="B652" s="1" t="str">
        <f t="shared" si="13"/>
        <v>HOLVIR</v>
      </c>
      <c r="C652" t="s">
        <v>319</v>
      </c>
      <c r="D652" t="s">
        <v>319</v>
      </c>
      <c r="E652" t="s">
        <v>319</v>
      </c>
      <c r="F652" t="s">
        <v>319</v>
      </c>
      <c r="G652" t="s">
        <v>319</v>
      </c>
      <c r="H652" t="s">
        <v>319</v>
      </c>
      <c r="I652" t="s">
        <v>319</v>
      </c>
      <c r="J652" t="s">
        <v>319</v>
      </c>
      <c r="K652" t="s">
        <v>319</v>
      </c>
      <c r="L652" t="s">
        <v>319</v>
      </c>
      <c r="M652" t="s">
        <v>319</v>
      </c>
      <c r="N652" t="s">
        <v>319</v>
      </c>
      <c r="O652" t="s">
        <v>319</v>
      </c>
      <c r="P652" t="s">
        <v>319</v>
      </c>
    </row>
    <row r="653" spans="1:16" ht="15.75" customHeight="1" x14ac:dyDescent="0.2">
      <c r="A653" s="10" t="s">
        <v>769</v>
      </c>
      <c r="B653" s="1" t="str">
        <f t="shared" si="13"/>
        <v>HOLVIR</v>
      </c>
      <c r="C653" t="s">
        <v>319</v>
      </c>
      <c r="D653" t="s">
        <v>319</v>
      </c>
      <c r="E653" t="s">
        <v>319</v>
      </c>
      <c r="F653" t="s">
        <v>319</v>
      </c>
      <c r="G653" t="s">
        <v>319</v>
      </c>
      <c r="H653" t="s">
        <v>319</v>
      </c>
      <c r="I653" t="s">
        <v>319</v>
      </c>
      <c r="J653" t="s">
        <v>319</v>
      </c>
      <c r="K653" t="s">
        <v>319</v>
      </c>
      <c r="L653" t="s">
        <v>319</v>
      </c>
      <c r="M653" t="s">
        <v>319</v>
      </c>
      <c r="N653" t="s">
        <v>319</v>
      </c>
      <c r="O653" t="s">
        <v>319</v>
      </c>
      <c r="P653" t="s">
        <v>319</v>
      </c>
    </row>
    <row r="654" spans="1:16" ht="15.75" customHeight="1" x14ac:dyDescent="0.2">
      <c r="A654" s="4" t="s">
        <v>770</v>
      </c>
      <c r="B654" s="1" t="str">
        <f t="shared" si="13"/>
        <v>HOLVIR</v>
      </c>
      <c r="C654" t="s">
        <v>319</v>
      </c>
      <c r="D654" t="s">
        <v>319</v>
      </c>
      <c r="E654" t="s">
        <v>319</v>
      </c>
      <c r="F654" t="s">
        <v>319</v>
      </c>
      <c r="G654" t="s">
        <v>319</v>
      </c>
      <c r="H654" t="s">
        <v>319</v>
      </c>
      <c r="I654" t="s">
        <v>319</v>
      </c>
      <c r="J654" t="s">
        <v>319</v>
      </c>
      <c r="K654" t="s">
        <v>319</v>
      </c>
      <c r="L654" t="s">
        <v>319</v>
      </c>
      <c r="M654" t="s">
        <v>319</v>
      </c>
      <c r="N654" t="s">
        <v>319</v>
      </c>
      <c r="O654" t="s">
        <v>319</v>
      </c>
      <c r="P654" t="s">
        <v>319</v>
      </c>
    </row>
    <row r="655" spans="1:16" ht="15.75" customHeight="1" x14ac:dyDescent="0.2">
      <c r="A655" s="10" t="s">
        <v>771</v>
      </c>
      <c r="B655" s="1" t="str">
        <f t="shared" si="13"/>
        <v>HOLVIR</v>
      </c>
      <c r="C655" t="s">
        <v>319</v>
      </c>
      <c r="D655" t="s">
        <v>319</v>
      </c>
      <c r="E655" t="s">
        <v>319</v>
      </c>
      <c r="F655" t="s">
        <v>319</v>
      </c>
      <c r="G655" t="s">
        <v>319</v>
      </c>
      <c r="H655" t="s">
        <v>319</v>
      </c>
      <c r="I655" t="s">
        <v>319</v>
      </c>
      <c r="J655" t="s">
        <v>319</v>
      </c>
      <c r="K655" t="s">
        <v>319</v>
      </c>
      <c r="L655" t="s">
        <v>319</v>
      </c>
      <c r="M655" t="s">
        <v>319</v>
      </c>
      <c r="N655" t="s">
        <v>319</v>
      </c>
      <c r="O655" t="s">
        <v>319</v>
      </c>
      <c r="P655" t="s">
        <v>319</v>
      </c>
    </row>
    <row r="656" spans="1:16" ht="15.75" customHeight="1" x14ac:dyDescent="0.2">
      <c r="A656" s="4" t="s">
        <v>772</v>
      </c>
      <c r="B656" s="1" t="str">
        <f t="shared" si="13"/>
        <v>HOLVIR</v>
      </c>
      <c r="C656" t="s">
        <v>319</v>
      </c>
      <c r="D656" t="s">
        <v>319</v>
      </c>
      <c r="E656" t="s">
        <v>319</v>
      </c>
      <c r="F656" t="s">
        <v>319</v>
      </c>
      <c r="G656" t="s">
        <v>319</v>
      </c>
      <c r="H656" t="s">
        <v>319</v>
      </c>
      <c r="I656" t="s">
        <v>319</v>
      </c>
      <c r="J656" t="s">
        <v>319</v>
      </c>
      <c r="K656" t="s">
        <v>319</v>
      </c>
      <c r="L656" t="s">
        <v>319</v>
      </c>
      <c r="M656" t="s">
        <v>319</v>
      </c>
      <c r="N656" t="s">
        <v>319</v>
      </c>
      <c r="O656" t="s">
        <v>319</v>
      </c>
      <c r="P656" t="s">
        <v>319</v>
      </c>
    </row>
    <row r="657" spans="1:16" ht="15.75" customHeight="1" x14ac:dyDescent="0.2">
      <c r="A657" s="10" t="s">
        <v>773</v>
      </c>
      <c r="B657" s="1" t="str">
        <f t="shared" si="13"/>
        <v>HOLVIR</v>
      </c>
      <c r="C657" t="s">
        <v>319</v>
      </c>
      <c r="D657" t="s">
        <v>319</v>
      </c>
      <c r="E657" t="s">
        <v>319</v>
      </c>
      <c r="F657" t="s">
        <v>319</v>
      </c>
      <c r="G657" t="s">
        <v>319</v>
      </c>
      <c r="H657" t="s">
        <v>319</v>
      </c>
      <c r="I657" t="s">
        <v>319</v>
      </c>
      <c r="J657" t="s">
        <v>319</v>
      </c>
      <c r="K657" t="s">
        <v>319</v>
      </c>
      <c r="L657" t="s">
        <v>319</v>
      </c>
      <c r="M657" t="s">
        <v>319</v>
      </c>
      <c r="N657" t="s">
        <v>319</v>
      </c>
      <c r="O657" t="s">
        <v>319</v>
      </c>
      <c r="P657" t="s">
        <v>319</v>
      </c>
    </row>
    <row r="658" spans="1:16" ht="15.75" customHeight="1" x14ac:dyDescent="0.2">
      <c r="A658" s="4" t="s">
        <v>774</v>
      </c>
      <c r="B658" s="1" t="str">
        <f t="shared" si="13"/>
        <v>HOLVIR</v>
      </c>
      <c r="C658" t="s">
        <v>319</v>
      </c>
      <c r="D658" t="s">
        <v>319</v>
      </c>
      <c r="E658" t="s">
        <v>319</v>
      </c>
      <c r="F658" t="s">
        <v>319</v>
      </c>
      <c r="G658" t="s">
        <v>319</v>
      </c>
      <c r="H658" t="s">
        <v>319</v>
      </c>
      <c r="I658" t="s">
        <v>319</v>
      </c>
      <c r="J658" t="s">
        <v>319</v>
      </c>
      <c r="K658" t="s">
        <v>319</v>
      </c>
      <c r="L658" t="s">
        <v>319</v>
      </c>
      <c r="M658" t="s">
        <v>319</v>
      </c>
      <c r="N658" t="s">
        <v>319</v>
      </c>
      <c r="O658" t="s">
        <v>319</v>
      </c>
      <c r="P658" t="s">
        <v>319</v>
      </c>
    </row>
    <row r="659" spans="1:16" ht="15.75" customHeight="1" x14ac:dyDescent="0.2">
      <c r="A659" s="10" t="s">
        <v>775</v>
      </c>
      <c r="B659" s="1" t="str">
        <f t="shared" si="13"/>
        <v>HOLVIR</v>
      </c>
      <c r="C659" t="s">
        <v>319</v>
      </c>
      <c r="D659" t="s">
        <v>319</v>
      </c>
      <c r="E659" t="s">
        <v>319</v>
      </c>
      <c r="F659" t="s">
        <v>319</v>
      </c>
      <c r="G659" t="s">
        <v>319</v>
      </c>
      <c r="H659" t="s">
        <v>319</v>
      </c>
      <c r="I659" t="s">
        <v>319</v>
      </c>
      <c r="J659" t="s">
        <v>319</v>
      </c>
      <c r="K659" t="s">
        <v>319</v>
      </c>
      <c r="L659" t="s">
        <v>319</v>
      </c>
      <c r="M659" t="s">
        <v>319</v>
      </c>
      <c r="N659" t="s">
        <v>319</v>
      </c>
      <c r="O659" t="s">
        <v>319</v>
      </c>
      <c r="P659" t="s">
        <v>319</v>
      </c>
    </row>
    <row r="660" spans="1:16" ht="15.75" customHeight="1" x14ac:dyDescent="0.2">
      <c r="A660" s="4" t="s">
        <v>776</v>
      </c>
      <c r="B660" s="1" t="str">
        <f t="shared" si="13"/>
        <v>HOLVIR</v>
      </c>
      <c r="C660" t="s">
        <v>319</v>
      </c>
      <c r="D660" t="s">
        <v>319</v>
      </c>
      <c r="E660" t="s">
        <v>319</v>
      </c>
      <c r="F660" t="s">
        <v>319</v>
      </c>
      <c r="G660" t="s">
        <v>319</v>
      </c>
      <c r="H660" t="s">
        <v>319</v>
      </c>
      <c r="I660" t="s">
        <v>319</v>
      </c>
      <c r="J660" t="s">
        <v>319</v>
      </c>
      <c r="K660" t="s">
        <v>319</v>
      </c>
      <c r="L660" t="s">
        <v>319</v>
      </c>
      <c r="M660" t="s">
        <v>319</v>
      </c>
      <c r="N660" t="s">
        <v>319</v>
      </c>
      <c r="O660" t="s">
        <v>319</v>
      </c>
      <c r="P660" t="s">
        <v>319</v>
      </c>
    </row>
    <row r="661" spans="1:16" ht="15.75" customHeight="1" x14ac:dyDescent="0.2">
      <c r="A661" s="4" t="s">
        <v>777</v>
      </c>
      <c r="B661" s="1" t="str">
        <f t="shared" si="13"/>
        <v>HOLVIR</v>
      </c>
      <c r="C661" t="s">
        <v>319</v>
      </c>
      <c r="D661" t="s">
        <v>319</v>
      </c>
      <c r="E661" t="s">
        <v>319</v>
      </c>
      <c r="F661" t="s">
        <v>319</v>
      </c>
      <c r="G661" t="s">
        <v>319</v>
      </c>
      <c r="H661" t="s">
        <v>319</v>
      </c>
      <c r="I661" t="s">
        <v>319</v>
      </c>
      <c r="J661" t="s">
        <v>319</v>
      </c>
      <c r="K661" t="s">
        <v>319</v>
      </c>
      <c r="L661" t="s">
        <v>319</v>
      </c>
      <c r="M661" t="s">
        <v>319</v>
      </c>
      <c r="N661" t="s">
        <v>319</v>
      </c>
      <c r="O661" t="s">
        <v>319</v>
      </c>
      <c r="P661" t="s">
        <v>319</v>
      </c>
    </row>
    <row r="662" spans="1:16" ht="15.75" customHeight="1" x14ac:dyDescent="0.2">
      <c r="A662" s="4" t="s">
        <v>778</v>
      </c>
      <c r="B662" s="1" t="str">
        <f t="shared" si="13"/>
        <v>HOLVIR</v>
      </c>
      <c r="C662" t="s">
        <v>319</v>
      </c>
      <c r="D662" t="s">
        <v>319</v>
      </c>
      <c r="E662" t="s">
        <v>319</v>
      </c>
      <c r="F662" t="s">
        <v>319</v>
      </c>
      <c r="G662" t="s">
        <v>319</v>
      </c>
      <c r="H662" t="s">
        <v>319</v>
      </c>
      <c r="I662" t="s">
        <v>319</v>
      </c>
      <c r="J662" t="s">
        <v>319</v>
      </c>
      <c r="K662" t="s">
        <v>319</v>
      </c>
      <c r="L662" t="s">
        <v>319</v>
      </c>
      <c r="M662" t="s">
        <v>319</v>
      </c>
      <c r="N662" t="s">
        <v>319</v>
      </c>
      <c r="O662" t="s">
        <v>319</v>
      </c>
      <c r="P662" t="s">
        <v>319</v>
      </c>
    </row>
    <row r="663" spans="1:16" ht="15.75" customHeight="1" x14ac:dyDescent="0.2">
      <c r="A663" s="10" t="s">
        <v>779</v>
      </c>
      <c r="B663" s="1" t="str">
        <f t="shared" si="13"/>
        <v>HOLVIR</v>
      </c>
      <c r="C663" t="s">
        <v>319</v>
      </c>
      <c r="D663" t="s">
        <v>319</v>
      </c>
      <c r="E663" t="s">
        <v>319</v>
      </c>
      <c r="F663" t="s">
        <v>319</v>
      </c>
      <c r="G663" t="s">
        <v>319</v>
      </c>
      <c r="H663" t="s">
        <v>319</v>
      </c>
      <c r="I663" t="s">
        <v>319</v>
      </c>
      <c r="J663" t="s">
        <v>319</v>
      </c>
      <c r="K663" t="s">
        <v>319</v>
      </c>
      <c r="L663" t="s">
        <v>319</v>
      </c>
      <c r="M663" t="s">
        <v>319</v>
      </c>
      <c r="N663" t="s">
        <v>319</v>
      </c>
      <c r="O663" t="s">
        <v>319</v>
      </c>
      <c r="P663" t="s">
        <v>319</v>
      </c>
    </row>
    <row r="664" spans="1:16" ht="15.75" customHeight="1" x14ac:dyDescent="0.2">
      <c r="A664" s="4" t="s">
        <v>780</v>
      </c>
      <c r="B664" s="1" t="str">
        <f t="shared" si="13"/>
        <v>HYPGLA</v>
      </c>
    </row>
    <row r="665" spans="1:16" ht="15.75" customHeight="1" x14ac:dyDescent="0.2">
      <c r="A665" s="10" t="s">
        <v>781</v>
      </c>
      <c r="B665" s="1" t="str">
        <f t="shared" si="13"/>
        <v>HYPGLA</v>
      </c>
    </row>
    <row r="666" spans="1:16" ht="15.75" customHeight="1" x14ac:dyDescent="0.2">
      <c r="A666" s="4" t="s">
        <v>782</v>
      </c>
      <c r="B666" s="1" t="str">
        <f t="shared" si="13"/>
        <v>HYPGLA</v>
      </c>
    </row>
    <row r="667" spans="1:16" ht="15.75" customHeight="1" x14ac:dyDescent="0.2">
      <c r="A667" s="10" t="s">
        <v>783</v>
      </c>
      <c r="B667" s="1" t="str">
        <f t="shared" si="13"/>
        <v>HYPGLA</v>
      </c>
    </row>
    <row r="668" spans="1:16" ht="15.75" customHeight="1" x14ac:dyDescent="0.2">
      <c r="A668" s="4" t="s">
        <v>784</v>
      </c>
      <c r="B668" s="1" t="str">
        <f t="shared" si="13"/>
        <v>HYPGLA</v>
      </c>
    </row>
    <row r="669" spans="1:16" ht="15.75" customHeight="1" x14ac:dyDescent="0.2">
      <c r="A669" s="4" t="s">
        <v>785</v>
      </c>
      <c r="B669" s="1" t="str">
        <f t="shared" si="13"/>
        <v>HYPGLA</v>
      </c>
    </row>
    <row r="670" spans="1:16" ht="15.75" customHeight="1" x14ac:dyDescent="0.2">
      <c r="A670" s="4" t="s">
        <v>786</v>
      </c>
      <c r="B670" s="1" t="str">
        <f t="shared" si="13"/>
        <v>HYPGLA</v>
      </c>
    </row>
    <row r="671" spans="1:16" ht="15.75" customHeight="1" x14ac:dyDescent="0.2">
      <c r="A671" s="4" t="s">
        <v>787</v>
      </c>
      <c r="B671" s="1" t="str">
        <f t="shared" si="13"/>
        <v>HYPGLA</v>
      </c>
    </row>
    <row r="672" spans="1:16" ht="15.75" customHeight="1" x14ac:dyDescent="0.2">
      <c r="A672" s="10" t="s">
        <v>788</v>
      </c>
      <c r="B672" s="1" t="str">
        <f t="shared" si="13"/>
        <v>HYPGLA</v>
      </c>
    </row>
    <row r="673" spans="1:17" ht="15.75" customHeight="1" x14ac:dyDescent="0.2">
      <c r="A673" s="4" t="s">
        <v>789</v>
      </c>
      <c r="B673" s="1" t="str">
        <f t="shared" si="13"/>
        <v>HYPGLA</v>
      </c>
    </row>
    <row r="674" spans="1:17" ht="15.75" customHeight="1" x14ac:dyDescent="0.2">
      <c r="A674" s="10" t="s">
        <v>790</v>
      </c>
      <c r="B674" s="1" t="str">
        <f t="shared" si="13"/>
        <v>HYPGLA</v>
      </c>
    </row>
    <row r="675" spans="1:17" ht="15.75" customHeight="1" x14ac:dyDescent="0.2">
      <c r="A675" s="10" t="s">
        <v>791</v>
      </c>
      <c r="B675" s="1" t="str">
        <f t="shared" si="13"/>
        <v>HYPGLA</v>
      </c>
    </row>
    <row r="676" spans="1:17" ht="15.75" customHeight="1" x14ac:dyDescent="0.2">
      <c r="A676" s="4" t="s">
        <v>792</v>
      </c>
      <c r="B676" s="1" t="str">
        <f t="shared" si="13"/>
        <v>HYPGLA</v>
      </c>
      <c r="C676" s="1" t="s">
        <v>42</v>
      </c>
      <c r="D676" s="1" t="s">
        <v>319</v>
      </c>
      <c r="E676" s="1" t="s">
        <v>319</v>
      </c>
      <c r="F676" s="1" t="s">
        <v>319</v>
      </c>
      <c r="G676" s="1" t="s">
        <v>319</v>
      </c>
      <c r="H676" s="1" t="s">
        <v>319</v>
      </c>
      <c r="I676" s="1" t="s">
        <v>319</v>
      </c>
      <c r="J676" s="1" t="s">
        <v>319</v>
      </c>
      <c r="K676" s="1" t="s">
        <v>319</v>
      </c>
      <c r="L676" s="1" t="s">
        <v>319</v>
      </c>
      <c r="M676" s="1" t="s">
        <v>319</v>
      </c>
      <c r="N676" s="1" t="s">
        <v>319</v>
      </c>
      <c r="O676" s="1" t="s">
        <v>319</v>
      </c>
      <c r="P676" s="1" t="s">
        <v>319</v>
      </c>
      <c r="Q676" s="1" t="s">
        <v>793</v>
      </c>
    </row>
    <row r="677" spans="1:17" ht="15.75" customHeight="1" x14ac:dyDescent="0.2">
      <c r="A677" s="10" t="s">
        <v>794</v>
      </c>
      <c r="B677" s="1" t="str">
        <f t="shared" si="13"/>
        <v>HYPGLA</v>
      </c>
      <c r="C677" s="1" t="s">
        <v>42</v>
      </c>
      <c r="D677" s="1" t="s">
        <v>319</v>
      </c>
      <c r="E677" s="1" t="s">
        <v>319</v>
      </c>
      <c r="F677" s="1" t="s">
        <v>319</v>
      </c>
      <c r="G677" s="1" t="s">
        <v>319</v>
      </c>
      <c r="H677" s="1" t="s">
        <v>319</v>
      </c>
      <c r="I677" s="1" t="s">
        <v>319</v>
      </c>
      <c r="J677" s="1" t="s">
        <v>319</v>
      </c>
      <c r="K677" s="1" t="s">
        <v>319</v>
      </c>
      <c r="L677" s="1" t="s">
        <v>319</v>
      </c>
      <c r="M677" s="1" t="s">
        <v>319</v>
      </c>
      <c r="N677" s="1" t="s">
        <v>319</v>
      </c>
      <c r="O677" s="1" t="s">
        <v>319</v>
      </c>
      <c r="P677" s="1" t="s">
        <v>319</v>
      </c>
      <c r="Q677" s="1" t="s">
        <v>793</v>
      </c>
    </row>
    <row r="678" spans="1:17" ht="15.75" customHeight="1" x14ac:dyDescent="0.2">
      <c r="A678" s="10" t="s">
        <v>795</v>
      </c>
      <c r="B678" s="1" t="str">
        <f t="shared" si="13"/>
        <v>HYPGLA</v>
      </c>
      <c r="C678" s="1" t="s">
        <v>18</v>
      </c>
      <c r="D678" s="3">
        <v>45098</v>
      </c>
      <c r="E678" s="1">
        <v>3</v>
      </c>
      <c r="F678" s="1">
        <v>4.99E-2</v>
      </c>
      <c r="G678" s="1">
        <v>2.7E-2</v>
      </c>
      <c r="P678" s="1">
        <v>6.9000000000000006E-2</v>
      </c>
      <c r="Q678" s="1" t="s">
        <v>796</v>
      </c>
    </row>
    <row r="679" spans="1:17" ht="15.75" customHeight="1" x14ac:dyDescent="0.2">
      <c r="A679" s="10" t="s">
        <v>797</v>
      </c>
      <c r="B679" s="1" t="str">
        <f t="shared" si="13"/>
        <v>HYPGLA</v>
      </c>
    </row>
    <row r="680" spans="1:17" ht="15.75" customHeight="1" x14ac:dyDescent="0.2">
      <c r="A680" s="4" t="s">
        <v>798</v>
      </c>
      <c r="B680" s="1" t="str">
        <f t="shared" si="13"/>
        <v>LUPBIC</v>
      </c>
    </row>
    <row r="681" spans="1:17" ht="15.75" customHeight="1" x14ac:dyDescent="0.2">
      <c r="A681" s="4" t="s">
        <v>799</v>
      </c>
      <c r="B681" s="1" t="str">
        <f t="shared" si="13"/>
        <v>LUPBIC</v>
      </c>
      <c r="C681" s="1" t="s">
        <v>42</v>
      </c>
      <c r="D681" s="1" t="s">
        <v>319</v>
      </c>
      <c r="E681" s="1" t="s">
        <v>319</v>
      </c>
      <c r="F681" s="1" t="s">
        <v>319</v>
      </c>
      <c r="G681" s="1" t="s">
        <v>319</v>
      </c>
      <c r="H681" s="1" t="s">
        <v>319</v>
      </c>
      <c r="I681" s="1" t="s">
        <v>319</v>
      </c>
      <c r="J681" s="1" t="s">
        <v>319</v>
      </c>
      <c r="K681" s="1" t="s">
        <v>319</v>
      </c>
      <c r="L681" s="1" t="s">
        <v>319</v>
      </c>
      <c r="M681" s="1" t="s">
        <v>319</v>
      </c>
      <c r="N681" s="1" t="s">
        <v>319</v>
      </c>
      <c r="O681" s="1" t="s">
        <v>319</v>
      </c>
      <c r="P681" s="1" t="s">
        <v>319</v>
      </c>
      <c r="Q681" s="1" t="s">
        <v>800</v>
      </c>
    </row>
    <row r="682" spans="1:17" ht="15.75" customHeight="1" x14ac:dyDescent="0.2">
      <c r="A682" s="10" t="s">
        <v>801</v>
      </c>
      <c r="B682" s="1" t="str">
        <f t="shared" si="13"/>
        <v>LUPBIC</v>
      </c>
    </row>
    <row r="683" spans="1:17" ht="15.75" customHeight="1" x14ac:dyDescent="0.2">
      <c r="A683" s="4" t="s">
        <v>802</v>
      </c>
      <c r="B683" s="1" t="str">
        <f t="shared" si="13"/>
        <v>LUPBIC</v>
      </c>
    </row>
    <row r="684" spans="1:17" ht="15.75" customHeight="1" x14ac:dyDescent="0.2">
      <c r="A684" s="10" t="s">
        <v>803</v>
      </c>
      <c r="B684" s="1" t="str">
        <f t="shared" si="13"/>
        <v>LUPBIC</v>
      </c>
    </row>
    <row r="685" spans="1:17" ht="15.75" customHeight="1" x14ac:dyDescent="0.2">
      <c r="A685" s="4" t="s">
        <v>804</v>
      </c>
      <c r="B685" s="1" t="str">
        <f t="shared" si="13"/>
        <v>LUPBIC</v>
      </c>
    </row>
    <row r="686" spans="1:17" ht="15.75" customHeight="1" x14ac:dyDescent="0.2">
      <c r="A686" s="4" t="s">
        <v>805</v>
      </c>
      <c r="B686" s="1" t="str">
        <f t="shared" si="13"/>
        <v>LUPBIC</v>
      </c>
    </row>
    <row r="687" spans="1:17" ht="15.75" customHeight="1" x14ac:dyDescent="0.2">
      <c r="A687" s="4" t="s">
        <v>806</v>
      </c>
      <c r="B687" s="1" t="str">
        <f t="shared" si="13"/>
        <v>LUPBIC</v>
      </c>
    </row>
    <row r="688" spans="1:17" ht="15.75" customHeight="1" x14ac:dyDescent="0.2">
      <c r="A688" s="10" t="s">
        <v>807</v>
      </c>
      <c r="B688" s="1" t="str">
        <f t="shared" si="13"/>
        <v>LUPBIC</v>
      </c>
    </row>
    <row r="689" spans="1:2" ht="15.75" customHeight="1" x14ac:dyDescent="0.2">
      <c r="A689" s="4" t="s">
        <v>808</v>
      </c>
      <c r="B689" s="1" t="str">
        <f t="shared" si="13"/>
        <v>LUPBIC</v>
      </c>
    </row>
    <row r="690" spans="1:2" ht="15.75" customHeight="1" x14ac:dyDescent="0.2">
      <c r="A690" s="10" t="s">
        <v>809</v>
      </c>
      <c r="B690" s="1" t="str">
        <f t="shared" si="13"/>
        <v>LUPBIC</v>
      </c>
    </row>
    <row r="691" spans="1:2" ht="15.75" customHeight="1" x14ac:dyDescent="0.2">
      <c r="A691" s="10" t="s">
        <v>810</v>
      </c>
      <c r="B691" s="1" t="str">
        <f t="shared" si="13"/>
        <v>LUPBIC</v>
      </c>
    </row>
    <row r="692" spans="1:2" ht="15.75" customHeight="1" x14ac:dyDescent="0.2">
      <c r="A692" s="10" t="s">
        <v>811</v>
      </c>
      <c r="B692" s="1" t="str">
        <f t="shared" si="13"/>
        <v>LUPBIC</v>
      </c>
    </row>
    <row r="693" spans="1:2" ht="15.75" customHeight="1" x14ac:dyDescent="0.2">
      <c r="A693" s="4" t="s">
        <v>812</v>
      </c>
      <c r="B693" s="1" t="str">
        <f t="shared" si="13"/>
        <v>LUPBIC</v>
      </c>
    </row>
    <row r="694" spans="1:2" ht="15.75" customHeight="1" x14ac:dyDescent="0.2">
      <c r="A694" s="10" t="s">
        <v>813</v>
      </c>
      <c r="B694" s="1" t="str">
        <f t="shared" si="13"/>
        <v>LUPBIC</v>
      </c>
    </row>
    <row r="695" spans="1:2" ht="15.75" customHeight="1" x14ac:dyDescent="0.2">
      <c r="A695" s="4" t="s">
        <v>814</v>
      </c>
      <c r="B695" s="1" t="str">
        <f t="shared" si="13"/>
        <v>LUPBIC</v>
      </c>
    </row>
    <row r="696" spans="1:2" ht="15.75" customHeight="1" x14ac:dyDescent="0.2">
      <c r="A696" s="10" t="s">
        <v>815</v>
      </c>
      <c r="B696" s="1" t="str">
        <f t="shared" si="13"/>
        <v>LUPBIC</v>
      </c>
    </row>
    <row r="697" spans="1:2" ht="15.75" customHeight="1" x14ac:dyDescent="0.2">
      <c r="A697" s="4" t="s">
        <v>816</v>
      </c>
      <c r="B697" s="1" t="str">
        <f t="shared" si="13"/>
        <v>LUPBIC</v>
      </c>
    </row>
    <row r="698" spans="1:2" ht="15.75" customHeight="1" x14ac:dyDescent="0.2">
      <c r="A698" s="10" t="s">
        <v>817</v>
      </c>
      <c r="B698" s="1" t="str">
        <f t="shared" si="13"/>
        <v>LUPBIC</v>
      </c>
    </row>
    <row r="699" spans="1:2" ht="15.75" customHeight="1" x14ac:dyDescent="0.2">
      <c r="A699" s="4" t="s">
        <v>818</v>
      </c>
      <c r="B699" s="1" t="str">
        <f t="shared" si="13"/>
        <v>LUPBIC</v>
      </c>
    </row>
    <row r="700" spans="1:2" ht="15.75" customHeight="1" x14ac:dyDescent="0.2">
      <c r="A700" s="10" t="s">
        <v>819</v>
      </c>
      <c r="B700" s="1" t="str">
        <f t="shared" si="13"/>
        <v>LUPBIC</v>
      </c>
    </row>
    <row r="701" spans="1:2" ht="15.75" customHeight="1" x14ac:dyDescent="0.2">
      <c r="A701" s="10" t="s">
        <v>820</v>
      </c>
      <c r="B701" s="1" t="str">
        <f t="shared" si="13"/>
        <v>LUPBIC</v>
      </c>
    </row>
    <row r="702" spans="1:2" ht="15.75" customHeight="1" x14ac:dyDescent="0.2">
      <c r="A702" s="10" t="s">
        <v>821</v>
      </c>
      <c r="B702" s="1" t="str">
        <f t="shared" si="13"/>
        <v>LUPBIC</v>
      </c>
    </row>
    <row r="703" spans="1:2" ht="15.75" customHeight="1" x14ac:dyDescent="0.2">
      <c r="A703" s="4" t="s">
        <v>822</v>
      </c>
      <c r="B703" s="1" t="str">
        <f t="shared" si="13"/>
        <v>LUPBIC</v>
      </c>
    </row>
    <row r="704" spans="1:2" ht="15.75" customHeight="1" x14ac:dyDescent="0.2">
      <c r="A704" s="4" t="s">
        <v>823</v>
      </c>
      <c r="B704" s="1" t="str">
        <f t="shared" si="13"/>
        <v>LUPBIC</v>
      </c>
    </row>
    <row r="705" spans="1:17" ht="15.75" customHeight="1" x14ac:dyDescent="0.2">
      <c r="A705" s="4" t="s">
        <v>824</v>
      </c>
      <c r="B705" s="1" t="str">
        <f t="shared" si="13"/>
        <v>LUPBIC</v>
      </c>
    </row>
    <row r="706" spans="1:17" ht="15.75" customHeight="1" x14ac:dyDescent="0.2">
      <c r="A706" s="10" t="s">
        <v>825</v>
      </c>
      <c r="B706" s="1" t="str">
        <f t="shared" si="13"/>
        <v>LUPBIC</v>
      </c>
    </row>
    <row r="707" spans="1:17" ht="15.75" customHeight="1" x14ac:dyDescent="0.2">
      <c r="A707" s="4" t="s">
        <v>826</v>
      </c>
      <c r="B707" s="1" t="str">
        <f t="shared" si="13"/>
        <v>LUPBIC</v>
      </c>
    </row>
    <row r="708" spans="1:17" ht="15.75" customHeight="1" x14ac:dyDescent="0.2">
      <c r="A708" s="4" t="s">
        <v>827</v>
      </c>
      <c r="B708" s="1" t="str">
        <f t="shared" si="13"/>
        <v>LUPBIC</v>
      </c>
    </row>
    <row r="709" spans="1:17" ht="15.75" customHeight="1" x14ac:dyDescent="0.2">
      <c r="A709" s="4" t="s">
        <v>828</v>
      </c>
      <c r="B709" s="1" t="str">
        <f t="shared" si="13"/>
        <v>LUPBIC</v>
      </c>
    </row>
    <row r="710" spans="1:17" ht="15.75" customHeight="1" x14ac:dyDescent="0.2">
      <c r="A710" s="10" t="s">
        <v>829</v>
      </c>
      <c r="B710" s="1" t="str">
        <f t="shared" si="13"/>
        <v>LUPBIC</v>
      </c>
      <c r="C710" s="1" t="s">
        <v>18</v>
      </c>
      <c r="D710" s="3">
        <v>45029</v>
      </c>
      <c r="E710" s="1" t="s">
        <v>319</v>
      </c>
      <c r="F710" s="1" t="s">
        <v>319</v>
      </c>
      <c r="G710" s="1" t="s">
        <v>319</v>
      </c>
      <c r="H710" s="1" t="s">
        <v>319</v>
      </c>
      <c r="I710" s="1" t="s">
        <v>319</v>
      </c>
      <c r="J710" s="1" t="s">
        <v>319</v>
      </c>
      <c r="K710" s="1" t="s">
        <v>319</v>
      </c>
      <c r="L710" s="1" t="s">
        <v>319</v>
      </c>
      <c r="M710" s="1" t="s">
        <v>319</v>
      </c>
      <c r="N710" s="1" t="s">
        <v>319</v>
      </c>
      <c r="O710" s="1" t="s">
        <v>319</v>
      </c>
      <c r="P710" s="1">
        <v>4.7999999999999996E-3</v>
      </c>
      <c r="Q710" s="1" t="s">
        <v>830</v>
      </c>
    </row>
    <row r="711" spans="1:17" ht="15.75" customHeight="1" x14ac:dyDescent="0.2">
      <c r="A711" s="10" t="s">
        <v>831</v>
      </c>
      <c r="B711" s="1" t="str">
        <f t="shared" si="13"/>
        <v>LUPMIC</v>
      </c>
    </row>
    <row r="712" spans="1:17" ht="15.75" customHeight="1" x14ac:dyDescent="0.2">
      <c r="A712" s="10" t="s">
        <v>832</v>
      </c>
      <c r="B712" s="1" t="str">
        <f t="shared" si="13"/>
        <v>LUPMIC</v>
      </c>
    </row>
    <row r="713" spans="1:17" ht="15.75" customHeight="1" x14ac:dyDescent="0.2">
      <c r="A713" s="10" t="s">
        <v>833</v>
      </c>
      <c r="B713" s="1" t="str">
        <f t="shared" si="13"/>
        <v>LUPMIC</v>
      </c>
    </row>
    <row r="714" spans="1:17" ht="15.75" customHeight="1" x14ac:dyDescent="0.2">
      <c r="A714" s="10" t="s">
        <v>834</v>
      </c>
      <c r="B714" s="1" t="str">
        <f t="shared" si="13"/>
        <v>LUPMIC</v>
      </c>
    </row>
    <row r="715" spans="1:17" ht="15.75" customHeight="1" x14ac:dyDescent="0.2">
      <c r="A715" s="4" t="s">
        <v>835</v>
      </c>
      <c r="B715" s="1" t="str">
        <f t="shared" si="13"/>
        <v>LUPMIC</v>
      </c>
    </row>
    <row r="716" spans="1:17" ht="15.75" customHeight="1" x14ac:dyDescent="0.2">
      <c r="A716" s="4" t="s">
        <v>836</v>
      </c>
      <c r="B716" s="1" t="str">
        <f t="shared" si="13"/>
        <v>LUPMIC</v>
      </c>
    </row>
    <row r="717" spans="1:17" ht="15.75" customHeight="1" x14ac:dyDescent="0.2">
      <c r="A717" s="4" t="s">
        <v>837</v>
      </c>
      <c r="B717" s="1" t="str">
        <f t="shared" si="13"/>
        <v>LUPMIC</v>
      </c>
    </row>
    <row r="718" spans="1:17" ht="15.75" customHeight="1" x14ac:dyDescent="0.2">
      <c r="A718" s="10" t="s">
        <v>838</v>
      </c>
      <c r="B718" s="1" t="str">
        <f t="shared" si="13"/>
        <v>LUPMIC</v>
      </c>
    </row>
    <row r="719" spans="1:17" ht="15.75" customHeight="1" x14ac:dyDescent="0.2">
      <c r="A719" s="10" t="s">
        <v>839</v>
      </c>
      <c r="B719" s="1" t="str">
        <f t="shared" si="13"/>
        <v>LUPMIC</v>
      </c>
    </row>
    <row r="720" spans="1:17" ht="15.75" customHeight="1" x14ac:dyDescent="0.2">
      <c r="A720" s="10" t="s">
        <v>840</v>
      </c>
      <c r="B720" s="1" t="str">
        <f t="shared" si="13"/>
        <v>LUPMIC</v>
      </c>
    </row>
    <row r="721" spans="1:17" ht="15.75" customHeight="1" x14ac:dyDescent="0.2">
      <c r="A721" s="4" t="s">
        <v>841</v>
      </c>
      <c r="B721" s="1" t="str">
        <f t="shared" si="13"/>
        <v>LUPMIC</v>
      </c>
    </row>
    <row r="722" spans="1:17" ht="15.75" customHeight="1" x14ac:dyDescent="0.2">
      <c r="A722" s="10" t="s">
        <v>842</v>
      </c>
      <c r="B722" s="1" t="str">
        <f t="shared" si="13"/>
        <v>LUPMIC</v>
      </c>
    </row>
    <row r="723" spans="1:17" ht="15.75" customHeight="1" x14ac:dyDescent="0.2">
      <c r="A723" s="4" t="s">
        <v>843</v>
      </c>
      <c r="B723" s="1" t="str">
        <f t="shared" si="13"/>
        <v>LUPMIC</v>
      </c>
    </row>
    <row r="724" spans="1:17" ht="15.75" customHeight="1" x14ac:dyDescent="0.2">
      <c r="A724" s="4" t="s">
        <v>844</v>
      </c>
      <c r="B724" s="1" t="str">
        <f t="shared" si="13"/>
        <v>LUPMIC</v>
      </c>
    </row>
    <row r="725" spans="1:17" ht="15.75" customHeight="1" x14ac:dyDescent="0.2">
      <c r="A725" s="4" t="s">
        <v>845</v>
      </c>
      <c r="B725" s="1" t="str">
        <f t="shared" si="13"/>
        <v>LUPMIC</v>
      </c>
      <c r="C725" s="1" t="s">
        <v>42</v>
      </c>
      <c r="D725" s="1" t="s">
        <v>319</v>
      </c>
      <c r="E725" s="1" t="s">
        <v>319</v>
      </c>
      <c r="F725" s="1" t="s">
        <v>319</v>
      </c>
      <c r="G725" s="1" t="s">
        <v>319</v>
      </c>
      <c r="H725" s="1" t="s">
        <v>319</v>
      </c>
      <c r="I725" s="1" t="s">
        <v>319</v>
      </c>
      <c r="J725" s="1" t="s">
        <v>319</v>
      </c>
      <c r="K725" s="1" t="s">
        <v>319</v>
      </c>
      <c r="L725" s="1" t="s">
        <v>319</v>
      </c>
      <c r="M725" s="1" t="s">
        <v>319</v>
      </c>
      <c r="N725" s="1" t="s">
        <v>319</v>
      </c>
      <c r="O725" s="1" t="s">
        <v>319</v>
      </c>
      <c r="P725" s="1" t="s">
        <v>319</v>
      </c>
      <c r="Q725" s="1" t="s">
        <v>565</v>
      </c>
    </row>
    <row r="726" spans="1:17" ht="15.75" customHeight="1" x14ac:dyDescent="0.2">
      <c r="A726" s="10" t="s">
        <v>846</v>
      </c>
      <c r="B726" s="1" t="str">
        <f t="shared" si="13"/>
        <v>LUPMIC</v>
      </c>
    </row>
    <row r="727" spans="1:17" ht="15.75" customHeight="1" x14ac:dyDescent="0.2">
      <c r="A727" s="4" t="s">
        <v>847</v>
      </c>
      <c r="B727" s="1" t="str">
        <f t="shared" si="13"/>
        <v>LUPMIC</v>
      </c>
    </row>
    <row r="728" spans="1:17" ht="15.75" customHeight="1" x14ac:dyDescent="0.2">
      <c r="A728" s="10" t="s">
        <v>848</v>
      </c>
      <c r="B728" s="1" t="str">
        <f t="shared" si="13"/>
        <v>LUPSUC</v>
      </c>
    </row>
    <row r="729" spans="1:17" ht="15.75" customHeight="1" x14ac:dyDescent="0.2">
      <c r="A729" s="10" t="s">
        <v>849</v>
      </c>
      <c r="B729" s="1" t="str">
        <f t="shared" si="13"/>
        <v>LUPSUC</v>
      </c>
    </row>
    <row r="730" spans="1:17" ht="15.75" customHeight="1" x14ac:dyDescent="0.2">
      <c r="A730" s="10" t="s">
        <v>850</v>
      </c>
      <c r="B730" s="1" t="str">
        <f t="shared" si="13"/>
        <v>LUPSUC</v>
      </c>
    </row>
    <row r="731" spans="1:17" ht="15.75" customHeight="1" x14ac:dyDescent="0.2">
      <c r="A731" s="10" t="s">
        <v>851</v>
      </c>
      <c r="B731" s="1" t="str">
        <f t="shared" si="13"/>
        <v>LUPSUC</v>
      </c>
    </row>
    <row r="732" spans="1:17" ht="15.75" customHeight="1" x14ac:dyDescent="0.2">
      <c r="A732" s="4" t="s">
        <v>852</v>
      </c>
      <c r="B732" s="1" t="str">
        <f t="shared" si="13"/>
        <v>LUPSUC</v>
      </c>
    </row>
    <row r="733" spans="1:17" ht="15.75" customHeight="1" x14ac:dyDescent="0.2">
      <c r="A733" s="4" t="s">
        <v>853</v>
      </c>
      <c r="B733" s="1" t="str">
        <f t="shared" si="13"/>
        <v>LUPSUC</v>
      </c>
    </row>
    <row r="734" spans="1:17" ht="15.75" customHeight="1" x14ac:dyDescent="0.2">
      <c r="A734" s="4" t="s">
        <v>854</v>
      </c>
      <c r="B734" s="1" t="str">
        <f t="shared" si="13"/>
        <v>LUPSUC</v>
      </c>
    </row>
    <row r="735" spans="1:17" ht="15.75" customHeight="1" x14ac:dyDescent="0.2">
      <c r="A735" s="10" t="s">
        <v>855</v>
      </c>
      <c r="B735" s="1" t="str">
        <f t="shared" si="13"/>
        <v>LUPSUC</v>
      </c>
    </row>
    <row r="736" spans="1:17" ht="15.75" customHeight="1" x14ac:dyDescent="0.2">
      <c r="A736" s="10" t="s">
        <v>856</v>
      </c>
      <c r="B736" s="1" t="str">
        <f t="shared" si="13"/>
        <v>LUPSUC</v>
      </c>
    </row>
    <row r="737" spans="1:17" ht="15.75" customHeight="1" x14ac:dyDescent="0.2">
      <c r="A737" s="10" t="s">
        <v>857</v>
      </c>
      <c r="B737" s="1" t="str">
        <f t="shared" si="13"/>
        <v>LUPSUC</v>
      </c>
    </row>
    <row r="738" spans="1:17" ht="15.75" customHeight="1" x14ac:dyDescent="0.2">
      <c r="A738" s="4" t="s">
        <v>858</v>
      </c>
      <c r="B738" s="1" t="str">
        <f t="shared" si="13"/>
        <v>LUPSUC</v>
      </c>
    </row>
    <row r="739" spans="1:17" ht="15.75" customHeight="1" x14ac:dyDescent="0.2">
      <c r="A739" s="10" t="s">
        <v>859</v>
      </c>
      <c r="B739" s="1" t="str">
        <f t="shared" si="13"/>
        <v>LUPSUC</v>
      </c>
    </row>
    <row r="740" spans="1:17" ht="15.75" customHeight="1" x14ac:dyDescent="0.2">
      <c r="A740" s="4" t="s">
        <v>860</v>
      </c>
      <c r="B740" s="1" t="str">
        <f t="shared" si="13"/>
        <v>LUPSUC</v>
      </c>
    </row>
    <row r="741" spans="1:17" ht="15.75" customHeight="1" x14ac:dyDescent="0.2">
      <c r="A741" s="4" t="s">
        <v>861</v>
      </c>
      <c r="B741" s="1" t="str">
        <f t="shared" si="13"/>
        <v>LUPSUC</v>
      </c>
    </row>
    <row r="742" spans="1:17" ht="15.75" customHeight="1" x14ac:dyDescent="0.2">
      <c r="A742" s="10" t="s">
        <v>862</v>
      </c>
      <c r="B742" s="1" t="str">
        <f t="shared" si="13"/>
        <v>LUPSUC</v>
      </c>
    </row>
    <row r="743" spans="1:17" ht="15.75" customHeight="1" x14ac:dyDescent="0.2">
      <c r="A743" s="4" t="s">
        <v>863</v>
      </c>
      <c r="B743" s="1" t="str">
        <f t="shared" si="13"/>
        <v>LUPSUC</v>
      </c>
    </row>
    <row r="744" spans="1:17" ht="15.75" customHeight="1" x14ac:dyDescent="0.2">
      <c r="A744" s="4" t="s">
        <v>864</v>
      </c>
      <c r="B744" s="1" t="str">
        <f t="shared" si="13"/>
        <v>MADGRA</v>
      </c>
    </row>
    <row r="745" spans="1:17" ht="15.75" customHeight="1" x14ac:dyDescent="0.2">
      <c r="A745" s="4" t="s">
        <v>865</v>
      </c>
      <c r="B745" s="1" t="str">
        <f t="shared" si="13"/>
        <v>MADGRA</v>
      </c>
    </row>
    <row r="746" spans="1:17" ht="15.75" customHeight="1" x14ac:dyDescent="0.2">
      <c r="A746" s="4" t="s">
        <v>866</v>
      </c>
      <c r="B746" s="1" t="str">
        <f t="shared" si="13"/>
        <v>MADGRA</v>
      </c>
    </row>
    <row r="747" spans="1:17" ht="15.75" customHeight="1" x14ac:dyDescent="0.2">
      <c r="A747" s="10" t="s">
        <v>867</v>
      </c>
      <c r="B747" s="1" t="str">
        <f t="shared" si="13"/>
        <v>MADGRA</v>
      </c>
      <c r="C747" s="1" t="s">
        <v>42</v>
      </c>
      <c r="D747" s="1" t="s">
        <v>319</v>
      </c>
      <c r="E747" s="1" t="s">
        <v>319</v>
      </c>
      <c r="F747" s="1" t="s">
        <v>319</v>
      </c>
      <c r="G747" s="1" t="s">
        <v>319</v>
      </c>
      <c r="H747" s="1" t="s">
        <v>319</v>
      </c>
      <c r="I747" s="1" t="s">
        <v>319</v>
      </c>
      <c r="J747" s="1" t="s">
        <v>319</v>
      </c>
      <c r="K747" s="1" t="s">
        <v>319</v>
      </c>
      <c r="L747" s="1" t="s">
        <v>319</v>
      </c>
      <c r="M747" s="1" t="s">
        <v>319</v>
      </c>
      <c r="N747" s="1" t="s">
        <v>319</v>
      </c>
      <c r="O747" s="1" t="s">
        <v>319</v>
      </c>
      <c r="P747" s="1" t="s">
        <v>319</v>
      </c>
      <c r="Q747" s="1" t="s">
        <v>565</v>
      </c>
    </row>
    <row r="748" spans="1:17" ht="15.75" customHeight="1" x14ac:dyDescent="0.2">
      <c r="A748" s="4" t="s">
        <v>868</v>
      </c>
      <c r="B748" s="1" t="str">
        <f t="shared" si="13"/>
        <v>MADGRA</v>
      </c>
    </row>
    <row r="749" spans="1:17" ht="15.75" customHeight="1" x14ac:dyDescent="0.2">
      <c r="A749" s="4" t="s">
        <v>869</v>
      </c>
      <c r="B749" s="1" t="str">
        <f t="shared" si="13"/>
        <v>MADGRA</v>
      </c>
    </row>
    <row r="750" spans="1:17" ht="15.75" customHeight="1" x14ac:dyDescent="0.2">
      <c r="A750" s="10" t="s">
        <v>870</v>
      </c>
      <c r="B750" s="1" t="str">
        <f t="shared" si="13"/>
        <v>MADGRA</v>
      </c>
    </row>
    <row r="751" spans="1:17" ht="15.75" customHeight="1" x14ac:dyDescent="0.2">
      <c r="A751" s="4" t="s">
        <v>871</v>
      </c>
      <c r="B751" s="1" t="str">
        <f t="shared" si="13"/>
        <v>MADGRA</v>
      </c>
    </row>
    <row r="752" spans="1:17" ht="15.75" customHeight="1" x14ac:dyDescent="0.2">
      <c r="A752" s="10" t="s">
        <v>872</v>
      </c>
      <c r="B752" s="1" t="str">
        <f t="shared" si="13"/>
        <v>MADGRA</v>
      </c>
      <c r="C752" s="1" t="s">
        <v>42</v>
      </c>
      <c r="D752" s="1" t="s">
        <v>319</v>
      </c>
      <c r="E752" s="1" t="s">
        <v>319</v>
      </c>
      <c r="F752" s="1" t="s">
        <v>319</v>
      </c>
      <c r="G752" s="1" t="s">
        <v>319</v>
      </c>
      <c r="H752" s="1" t="s">
        <v>319</v>
      </c>
      <c r="I752" s="1" t="s">
        <v>319</v>
      </c>
      <c r="J752" s="1" t="s">
        <v>319</v>
      </c>
      <c r="K752" s="1" t="s">
        <v>319</v>
      </c>
      <c r="L752" s="1" t="s">
        <v>319</v>
      </c>
      <c r="M752" s="1" t="s">
        <v>319</v>
      </c>
      <c r="N752" s="1" t="s">
        <v>319</v>
      </c>
      <c r="O752" s="1" t="s">
        <v>319</v>
      </c>
      <c r="P752" s="1" t="s">
        <v>319</v>
      </c>
      <c r="Q752" s="1" t="s">
        <v>873</v>
      </c>
    </row>
    <row r="753" spans="1:17" ht="15.75" customHeight="1" x14ac:dyDescent="0.2">
      <c r="A753" s="4" t="s">
        <v>874</v>
      </c>
      <c r="B753" s="1" t="str">
        <f t="shared" si="13"/>
        <v>MADGRA</v>
      </c>
    </row>
    <row r="754" spans="1:17" ht="15.75" customHeight="1" x14ac:dyDescent="0.2">
      <c r="A754" s="10" t="s">
        <v>875</v>
      </c>
      <c r="B754" s="1" t="str">
        <f t="shared" si="13"/>
        <v>MADGRA</v>
      </c>
    </row>
    <row r="755" spans="1:17" ht="15.75" customHeight="1" x14ac:dyDescent="0.2">
      <c r="A755" s="10" t="s">
        <v>876</v>
      </c>
      <c r="B755" s="1" t="str">
        <f t="shared" si="13"/>
        <v>MADGRA</v>
      </c>
    </row>
    <row r="756" spans="1:17" ht="15.75" customHeight="1" x14ac:dyDescent="0.2">
      <c r="A756" s="4" t="s">
        <v>877</v>
      </c>
      <c r="B756" s="1" t="str">
        <f t="shared" si="13"/>
        <v>MADGRA</v>
      </c>
    </row>
    <row r="757" spans="1:17" ht="15.75" customHeight="1" x14ac:dyDescent="0.2">
      <c r="A757" s="4" t="s">
        <v>878</v>
      </c>
      <c r="B757" s="1" t="str">
        <f t="shared" si="13"/>
        <v>MADGRA</v>
      </c>
    </row>
    <row r="758" spans="1:17" ht="15.75" customHeight="1" x14ac:dyDescent="0.2">
      <c r="A758" s="10" t="s">
        <v>879</v>
      </c>
      <c r="B758" s="1" t="str">
        <f t="shared" si="13"/>
        <v>MADGRA</v>
      </c>
    </row>
    <row r="759" spans="1:17" ht="15.75" customHeight="1" x14ac:dyDescent="0.2">
      <c r="A759" s="4" t="s">
        <v>880</v>
      </c>
      <c r="B759" s="1" t="str">
        <f t="shared" si="13"/>
        <v>MADGRA</v>
      </c>
    </row>
    <row r="760" spans="1:17" ht="15.75" customHeight="1" x14ac:dyDescent="0.2">
      <c r="A760" s="4" t="s">
        <v>881</v>
      </c>
      <c r="B760" s="1" t="str">
        <f t="shared" si="13"/>
        <v>MADGRA</v>
      </c>
    </row>
    <row r="761" spans="1:17" ht="15.75" customHeight="1" x14ac:dyDescent="0.2">
      <c r="A761" s="10" t="s">
        <v>882</v>
      </c>
      <c r="B761" s="1" t="str">
        <f t="shared" si="13"/>
        <v>MADGRA</v>
      </c>
    </row>
    <row r="762" spans="1:17" ht="15.75" customHeight="1" x14ac:dyDescent="0.2">
      <c r="A762" s="4" t="s">
        <v>883</v>
      </c>
      <c r="B762" s="1" t="str">
        <f t="shared" si="13"/>
        <v>MADGRA</v>
      </c>
    </row>
    <row r="763" spans="1:17" ht="15.75" customHeight="1" x14ac:dyDescent="0.2">
      <c r="A763" s="10" t="s">
        <v>884</v>
      </c>
      <c r="B763" s="1" t="str">
        <f t="shared" si="13"/>
        <v>MADGRA</v>
      </c>
      <c r="C763" s="1" t="s">
        <v>42</v>
      </c>
      <c r="D763" s="1" t="s">
        <v>319</v>
      </c>
      <c r="E763" s="1" t="s">
        <v>319</v>
      </c>
      <c r="F763" s="1" t="s">
        <v>319</v>
      </c>
      <c r="G763" s="1" t="s">
        <v>319</v>
      </c>
      <c r="H763" s="1" t="s">
        <v>319</v>
      </c>
      <c r="I763" s="1" t="s">
        <v>319</v>
      </c>
      <c r="J763" s="1" t="s">
        <v>319</v>
      </c>
      <c r="K763" s="1" t="s">
        <v>319</v>
      </c>
      <c r="L763" s="1" t="s">
        <v>319</v>
      </c>
      <c r="M763" s="1" t="s">
        <v>319</v>
      </c>
      <c r="N763" s="1" t="s">
        <v>319</v>
      </c>
      <c r="O763" s="1" t="s">
        <v>319</v>
      </c>
      <c r="P763" s="1" t="s">
        <v>319</v>
      </c>
      <c r="Q763" s="1" t="s">
        <v>885</v>
      </c>
    </row>
    <row r="764" spans="1:17" ht="15.75" customHeight="1" x14ac:dyDescent="0.2">
      <c r="A764" s="4" t="s">
        <v>886</v>
      </c>
      <c r="B764" s="1" t="str">
        <f t="shared" si="13"/>
        <v>MADGRA</v>
      </c>
    </row>
    <row r="765" spans="1:17" ht="15.75" customHeight="1" x14ac:dyDescent="0.2">
      <c r="A765" s="10" t="s">
        <v>887</v>
      </c>
      <c r="B765" s="1" t="str">
        <f t="shared" si="13"/>
        <v>MADGRA</v>
      </c>
    </row>
    <row r="766" spans="1:17" ht="15.75" customHeight="1" x14ac:dyDescent="0.2">
      <c r="A766" s="10" t="s">
        <v>888</v>
      </c>
      <c r="B766" s="1" t="str">
        <f t="shared" si="13"/>
        <v>MADGRA</v>
      </c>
    </row>
    <row r="767" spans="1:17" ht="15.75" customHeight="1" x14ac:dyDescent="0.2">
      <c r="A767" s="4" t="s">
        <v>889</v>
      </c>
      <c r="B767" s="1" t="str">
        <f t="shared" si="13"/>
        <v>MADGRA</v>
      </c>
    </row>
    <row r="768" spans="1:17" ht="15.75" customHeight="1" x14ac:dyDescent="0.2">
      <c r="A768" s="10" t="s">
        <v>890</v>
      </c>
      <c r="B768" s="1" t="str">
        <f t="shared" si="13"/>
        <v>MADGRA</v>
      </c>
    </row>
    <row r="769" spans="1:17" ht="15.75" customHeight="1" x14ac:dyDescent="0.2">
      <c r="A769" s="4" t="s">
        <v>891</v>
      </c>
      <c r="B769" s="1" t="str">
        <f t="shared" si="13"/>
        <v>MADGRA</v>
      </c>
      <c r="C769" s="1" t="s">
        <v>18</v>
      </c>
      <c r="D769" s="3">
        <v>45065</v>
      </c>
      <c r="E769" s="1" t="s">
        <v>319</v>
      </c>
      <c r="F769" s="1" t="s">
        <v>319</v>
      </c>
      <c r="G769" s="1" t="s">
        <v>319</v>
      </c>
      <c r="H769" s="1" t="s">
        <v>319</v>
      </c>
      <c r="I769" s="1" t="s">
        <v>319</v>
      </c>
      <c r="J769" s="1" t="s">
        <v>319</v>
      </c>
      <c r="K769" s="1" t="s">
        <v>319</v>
      </c>
      <c r="L769" s="1" t="s">
        <v>319</v>
      </c>
      <c r="M769" s="1" t="s">
        <v>319</v>
      </c>
      <c r="N769" s="1" t="s">
        <v>319</v>
      </c>
      <c r="O769" s="1" t="s">
        <v>319</v>
      </c>
      <c r="P769" s="1">
        <v>6.71</v>
      </c>
      <c r="Q769" s="1" t="s">
        <v>892</v>
      </c>
    </row>
    <row r="770" spans="1:17" ht="15.75" customHeight="1" x14ac:dyDescent="0.2">
      <c r="A770" s="10" t="s">
        <v>893</v>
      </c>
      <c r="B770" s="1" t="str">
        <f t="shared" si="13"/>
        <v>MADGRA</v>
      </c>
    </row>
    <row r="771" spans="1:17" ht="15.75" customHeight="1" x14ac:dyDescent="0.2">
      <c r="A771" s="4" t="s">
        <v>894</v>
      </c>
      <c r="B771" s="1" t="str">
        <f t="shared" si="13"/>
        <v>MADGRA</v>
      </c>
    </row>
    <row r="772" spans="1:17" ht="15.75" customHeight="1" x14ac:dyDescent="0.2">
      <c r="A772" s="10" t="s">
        <v>895</v>
      </c>
      <c r="B772" s="1" t="str">
        <f t="shared" si="13"/>
        <v>MADGRA</v>
      </c>
    </row>
    <row r="773" spans="1:17" ht="15.75" customHeight="1" x14ac:dyDescent="0.2">
      <c r="A773" s="10" t="s">
        <v>896</v>
      </c>
      <c r="B773" s="1" t="str">
        <f t="shared" si="13"/>
        <v>MADGRA</v>
      </c>
    </row>
    <row r="774" spans="1:17" ht="15.75" customHeight="1" x14ac:dyDescent="0.2">
      <c r="A774" s="4" t="s">
        <v>897</v>
      </c>
      <c r="B774" s="1" t="str">
        <f t="shared" si="13"/>
        <v>MADGRA</v>
      </c>
    </row>
    <row r="775" spans="1:17" ht="15.75" customHeight="1" x14ac:dyDescent="0.2">
      <c r="A775" s="10" t="s">
        <v>898</v>
      </c>
      <c r="B775" s="1" t="str">
        <f t="shared" si="13"/>
        <v>MADGRA</v>
      </c>
    </row>
    <row r="776" spans="1:17" ht="15.75" customHeight="1" x14ac:dyDescent="0.2">
      <c r="A776" s="4" t="s">
        <v>899</v>
      </c>
      <c r="B776" s="1" t="str">
        <f t="shared" si="13"/>
        <v>MICCAL</v>
      </c>
    </row>
    <row r="777" spans="1:17" ht="15.75" customHeight="1" x14ac:dyDescent="0.2">
      <c r="A777" s="10" t="s">
        <v>900</v>
      </c>
      <c r="B777" s="1" t="str">
        <f t="shared" si="13"/>
        <v>MICCAL</v>
      </c>
    </row>
    <row r="778" spans="1:17" ht="15.75" customHeight="1" x14ac:dyDescent="0.2">
      <c r="A778" s="4" t="s">
        <v>901</v>
      </c>
      <c r="B778" s="1" t="str">
        <f t="shared" si="13"/>
        <v>MICCAL</v>
      </c>
    </row>
    <row r="779" spans="1:17" ht="15.75" customHeight="1" x14ac:dyDescent="0.2">
      <c r="A779" s="10" t="s">
        <v>902</v>
      </c>
      <c r="B779" s="1" t="str">
        <f t="shared" si="13"/>
        <v>MICCAL</v>
      </c>
    </row>
    <row r="780" spans="1:17" ht="15.75" customHeight="1" x14ac:dyDescent="0.2">
      <c r="A780" s="10" t="s">
        <v>903</v>
      </c>
      <c r="B780" s="1" t="str">
        <f t="shared" si="13"/>
        <v>MICCAL</v>
      </c>
    </row>
    <row r="781" spans="1:17" ht="15.75" customHeight="1" x14ac:dyDescent="0.2">
      <c r="A781" s="4" t="s">
        <v>904</v>
      </c>
      <c r="B781" s="1" t="str">
        <f t="shared" si="13"/>
        <v>MICCAL</v>
      </c>
    </row>
    <row r="782" spans="1:17" ht="15.75" customHeight="1" x14ac:dyDescent="0.2">
      <c r="A782" s="4" t="s">
        <v>905</v>
      </c>
      <c r="B782" s="1" t="str">
        <f t="shared" si="13"/>
        <v>MICCAL</v>
      </c>
    </row>
    <row r="783" spans="1:17" ht="15.75" customHeight="1" x14ac:dyDescent="0.2">
      <c r="A783" s="10" t="s">
        <v>906</v>
      </c>
      <c r="B783" s="1" t="str">
        <f t="shared" si="13"/>
        <v>MICCAL</v>
      </c>
    </row>
    <row r="784" spans="1:17" ht="15.75" customHeight="1" x14ac:dyDescent="0.2">
      <c r="A784" s="4" t="s">
        <v>907</v>
      </c>
      <c r="B784" s="1" t="str">
        <f t="shared" si="13"/>
        <v>MICCAL</v>
      </c>
    </row>
    <row r="785" spans="1:17" ht="15.75" customHeight="1" x14ac:dyDescent="0.2">
      <c r="A785" s="10" t="s">
        <v>908</v>
      </c>
      <c r="B785" s="1" t="str">
        <f t="shared" si="13"/>
        <v>MICCAL</v>
      </c>
    </row>
    <row r="786" spans="1:17" ht="15.75" customHeight="1" x14ac:dyDescent="0.2">
      <c r="A786" s="10" t="s">
        <v>909</v>
      </c>
      <c r="B786" s="1" t="str">
        <f t="shared" si="13"/>
        <v>MICCAL</v>
      </c>
    </row>
    <row r="787" spans="1:17" ht="15.75" customHeight="1" x14ac:dyDescent="0.2">
      <c r="A787" s="4" t="s">
        <v>910</v>
      </c>
      <c r="B787" s="1" t="str">
        <f t="shared" si="13"/>
        <v>MICCAL</v>
      </c>
    </row>
    <row r="788" spans="1:17" ht="15.75" customHeight="1" x14ac:dyDescent="0.2">
      <c r="A788" s="10" t="s">
        <v>911</v>
      </c>
      <c r="B788" s="1" t="str">
        <f t="shared" si="13"/>
        <v>MICCAL</v>
      </c>
      <c r="C788" s="1" t="s">
        <v>18</v>
      </c>
      <c r="D788" s="3">
        <v>45024</v>
      </c>
      <c r="E788" s="1" t="s">
        <v>319</v>
      </c>
      <c r="F788" s="1" t="s">
        <v>319</v>
      </c>
      <c r="G788" s="1" t="s">
        <v>319</v>
      </c>
      <c r="H788" s="1" t="s">
        <v>319</v>
      </c>
      <c r="I788" s="1" t="s">
        <v>319</v>
      </c>
      <c r="J788" s="1" t="s">
        <v>319</v>
      </c>
      <c r="K788" s="1" t="s">
        <v>319</v>
      </c>
      <c r="L788" s="1" t="s">
        <v>319</v>
      </c>
      <c r="M788" s="1" t="s">
        <v>319</v>
      </c>
      <c r="N788" s="1" t="s">
        <v>319</v>
      </c>
      <c r="O788" s="1" t="s">
        <v>319</v>
      </c>
      <c r="P788" s="1">
        <v>0.1943</v>
      </c>
      <c r="Q788" s="1" t="s">
        <v>66</v>
      </c>
    </row>
    <row r="789" spans="1:17" ht="15.75" customHeight="1" x14ac:dyDescent="0.2">
      <c r="A789" s="4" t="s">
        <v>912</v>
      </c>
      <c r="B789" s="1" t="str">
        <f t="shared" si="13"/>
        <v>MICCAL</v>
      </c>
    </row>
    <row r="790" spans="1:17" ht="15.75" customHeight="1" x14ac:dyDescent="0.2">
      <c r="A790" s="10" t="s">
        <v>913</v>
      </c>
      <c r="B790" s="1" t="str">
        <f t="shared" si="13"/>
        <v>MICCAL</v>
      </c>
    </row>
    <row r="791" spans="1:17" ht="15.75" customHeight="1" x14ac:dyDescent="0.2">
      <c r="A791" s="4" t="s">
        <v>914</v>
      </c>
      <c r="B791" s="1" t="str">
        <f t="shared" si="13"/>
        <v>MICCAL</v>
      </c>
    </row>
    <row r="792" spans="1:17" ht="15.75" customHeight="1" x14ac:dyDescent="0.2">
      <c r="A792" s="10" t="s">
        <v>915</v>
      </c>
      <c r="B792" s="1" t="str">
        <f t="shared" si="13"/>
        <v>MICCAL</v>
      </c>
      <c r="C792" s="1" t="s">
        <v>18</v>
      </c>
      <c r="D792" s="3">
        <v>45029</v>
      </c>
      <c r="E792" s="1" t="s">
        <v>319</v>
      </c>
      <c r="F792" s="1" t="s">
        <v>319</v>
      </c>
      <c r="G792" s="1" t="s">
        <v>319</v>
      </c>
      <c r="H792" s="1" t="s">
        <v>319</v>
      </c>
      <c r="I792" s="1" t="s">
        <v>319</v>
      </c>
      <c r="J792" s="1" t="s">
        <v>319</v>
      </c>
      <c r="K792" s="1" t="s">
        <v>319</v>
      </c>
      <c r="L792" s="1" t="s">
        <v>319</v>
      </c>
      <c r="M792" s="1" t="s">
        <v>319</v>
      </c>
      <c r="N792" s="1" t="s">
        <v>319</v>
      </c>
      <c r="O792" s="1" t="s">
        <v>319</v>
      </c>
      <c r="P792" s="1">
        <v>0.28289999999999998</v>
      </c>
      <c r="Q792" s="1" t="s">
        <v>830</v>
      </c>
    </row>
    <row r="793" spans="1:17" ht="15.75" customHeight="1" x14ac:dyDescent="0.2">
      <c r="A793" s="4" t="s">
        <v>916</v>
      </c>
      <c r="B793" s="1" t="str">
        <f t="shared" si="13"/>
        <v>MICCAL</v>
      </c>
    </row>
    <row r="794" spans="1:17" ht="15.75" customHeight="1" x14ac:dyDescent="0.2">
      <c r="A794" s="10" t="s">
        <v>917</v>
      </c>
      <c r="B794" s="1" t="str">
        <f t="shared" si="13"/>
        <v>MICCAL</v>
      </c>
    </row>
    <row r="795" spans="1:17" ht="15.75" customHeight="1" x14ac:dyDescent="0.2">
      <c r="A795" s="10" t="s">
        <v>918</v>
      </c>
      <c r="B795" s="1" t="str">
        <f t="shared" si="13"/>
        <v>MICCAL</v>
      </c>
    </row>
    <row r="796" spans="1:17" ht="15.75" customHeight="1" x14ac:dyDescent="0.2">
      <c r="A796" s="4" t="s">
        <v>919</v>
      </c>
      <c r="B796" s="1" t="str">
        <f t="shared" si="13"/>
        <v>MICCAL</v>
      </c>
    </row>
    <row r="797" spans="1:17" ht="15.75" customHeight="1" x14ac:dyDescent="0.2">
      <c r="A797" s="4" t="s">
        <v>920</v>
      </c>
      <c r="B797" s="1" t="str">
        <f t="shared" si="13"/>
        <v>MICCAL</v>
      </c>
    </row>
    <row r="798" spans="1:17" ht="15.75" customHeight="1" x14ac:dyDescent="0.2">
      <c r="A798" s="4" t="s">
        <v>921</v>
      </c>
      <c r="B798" s="1" t="str">
        <f t="shared" si="13"/>
        <v>MICCAL</v>
      </c>
    </row>
    <row r="799" spans="1:17" ht="15.75" customHeight="1" x14ac:dyDescent="0.2">
      <c r="A799" s="10" t="s">
        <v>922</v>
      </c>
      <c r="B799" s="1" t="str">
        <f t="shared" si="13"/>
        <v>MICCAL</v>
      </c>
    </row>
    <row r="800" spans="1:17" ht="15.75" customHeight="1" x14ac:dyDescent="0.2">
      <c r="A800" s="4" t="s">
        <v>923</v>
      </c>
      <c r="B800" s="1" t="str">
        <f t="shared" si="13"/>
        <v>MICCAL</v>
      </c>
    </row>
    <row r="801" spans="1:16" ht="15.75" customHeight="1" x14ac:dyDescent="0.2">
      <c r="A801" s="10" t="s">
        <v>924</v>
      </c>
      <c r="B801" s="1" t="str">
        <f t="shared" si="13"/>
        <v>MICCAL</v>
      </c>
    </row>
    <row r="802" spans="1:16" ht="15.75" customHeight="1" x14ac:dyDescent="0.2">
      <c r="A802" s="10" t="s">
        <v>925</v>
      </c>
      <c r="B802" s="1" t="str">
        <f t="shared" si="13"/>
        <v>MICCAL</v>
      </c>
    </row>
    <row r="803" spans="1:16" ht="15.75" customHeight="1" x14ac:dyDescent="0.2">
      <c r="A803" s="4" t="s">
        <v>926</v>
      </c>
      <c r="B803" s="1" t="str">
        <f t="shared" si="13"/>
        <v>MICCAL</v>
      </c>
    </row>
    <row r="804" spans="1:16" ht="15.75" customHeight="1" x14ac:dyDescent="0.2">
      <c r="A804" s="4" t="s">
        <v>927</v>
      </c>
      <c r="B804" s="1" t="str">
        <f t="shared" si="13"/>
        <v>MICCAL</v>
      </c>
    </row>
    <row r="805" spans="1:16" ht="15.75" customHeight="1" x14ac:dyDescent="0.2">
      <c r="A805" s="4" t="s">
        <v>928</v>
      </c>
      <c r="B805" s="1" t="str">
        <f t="shared" si="13"/>
        <v>MICCAL</v>
      </c>
    </row>
    <row r="806" spans="1:16" ht="15.75" customHeight="1" x14ac:dyDescent="0.2">
      <c r="A806" s="10" t="s">
        <v>929</v>
      </c>
      <c r="B806" s="1" t="str">
        <f t="shared" si="13"/>
        <v>MICCAL</v>
      </c>
    </row>
    <row r="807" spans="1:16" ht="15.75" customHeight="1" x14ac:dyDescent="0.2">
      <c r="A807" s="10" t="s">
        <v>930</v>
      </c>
      <c r="B807" s="1" t="str">
        <f t="shared" si="13"/>
        <v>MICCAL</v>
      </c>
    </row>
    <row r="808" spans="1:16" ht="15.75" customHeight="1" x14ac:dyDescent="0.2">
      <c r="A808" s="10" t="s">
        <v>931</v>
      </c>
      <c r="B808" s="1" t="str">
        <f t="shared" si="13"/>
        <v>MIRMUL</v>
      </c>
      <c r="C808" t="s">
        <v>319</v>
      </c>
      <c r="D808" t="s">
        <v>319</v>
      </c>
      <c r="E808" t="s">
        <v>319</v>
      </c>
      <c r="F808" t="s">
        <v>319</v>
      </c>
      <c r="G808" t="s">
        <v>319</v>
      </c>
      <c r="H808" t="s">
        <v>319</v>
      </c>
      <c r="I808" t="s">
        <v>319</v>
      </c>
      <c r="J808" t="s">
        <v>319</v>
      </c>
      <c r="K808" t="s">
        <v>319</v>
      </c>
      <c r="L808" t="s">
        <v>319</v>
      </c>
      <c r="M808" t="s">
        <v>319</v>
      </c>
      <c r="N808" t="s">
        <v>319</v>
      </c>
      <c r="O808" t="s">
        <v>319</v>
      </c>
      <c r="P808" t="s">
        <v>319</v>
      </c>
    </row>
    <row r="809" spans="1:16" ht="15.75" customHeight="1" x14ac:dyDescent="0.2">
      <c r="A809" s="10" t="s">
        <v>932</v>
      </c>
      <c r="B809" s="1" t="str">
        <f t="shared" si="13"/>
        <v>MIRMUL</v>
      </c>
      <c r="C809" t="s">
        <v>319</v>
      </c>
      <c r="D809" t="s">
        <v>319</v>
      </c>
      <c r="E809" t="s">
        <v>319</v>
      </c>
      <c r="F809" t="s">
        <v>319</v>
      </c>
      <c r="G809" t="s">
        <v>319</v>
      </c>
      <c r="H809" t="s">
        <v>319</v>
      </c>
      <c r="I809" t="s">
        <v>319</v>
      </c>
      <c r="J809" t="s">
        <v>319</v>
      </c>
      <c r="K809" t="s">
        <v>319</v>
      </c>
      <c r="L809" t="s">
        <v>319</v>
      </c>
      <c r="M809" t="s">
        <v>319</v>
      </c>
      <c r="N809" t="s">
        <v>319</v>
      </c>
      <c r="O809" t="s">
        <v>319</v>
      </c>
      <c r="P809" t="s">
        <v>319</v>
      </c>
    </row>
    <row r="810" spans="1:16" ht="15.75" customHeight="1" x14ac:dyDescent="0.2">
      <c r="A810" s="10" t="s">
        <v>933</v>
      </c>
      <c r="B810" s="1" t="str">
        <f t="shared" ref="B810:B952" si="14">MID(A810,4,6)</f>
        <v>MIRMUL</v>
      </c>
      <c r="C810" t="s">
        <v>319</v>
      </c>
      <c r="D810" t="s">
        <v>319</v>
      </c>
      <c r="E810" t="s">
        <v>319</v>
      </c>
      <c r="F810" t="s">
        <v>319</v>
      </c>
      <c r="G810" t="s">
        <v>319</v>
      </c>
      <c r="H810" t="s">
        <v>319</v>
      </c>
      <c r="I810" t="s">
        <v>319</v>
      </c>
      <c r="J810" t="s">
        <v>319</v>
      </c>
      <c r="K810" t="s">
        <v>319</v>
      </c>
      <c r="L810" t="s">
        <v>319</v>
      </c>
      <c r="M810" t="s">
        <v>319</v>
      </c>
      <c r="N810" t="s">
        <v>319</v>
      </c>
      <c r="O810" t="s">
        <v>319</v>
      </c>
      <c r="P810" t="s">
        <v>319</v>
      </c>
    </row>
    <row r="811" spans="1:16" ht="15.75" customHeight="1" x14ac:dyDescent="0.2">
      <c r="A811" s="10" t="s">
        <v>934</v>
      </c>
      <c r="B811" s="1" t="str">
        <f t="shared" si="14"/>
        <v>MIRMUL</v>
      </c>
      <c r="C811" t="s">
        <v>319</v>
      </c>
      <c r="D811" t="s">
        <v>319</v>
      </c>
      <c r="E811" t="s">
        <v>319</v>
      </c>
      <c r="F811" t="s">
        <v>319</v>
      </c>
      <c r="G811" t="s">
        <v>319</v>
      </c>
      <c r="H811" t="s">
        <v>319</v>
      </c>
      <c r="I811" t="s">
        <v>319</v>
      </c>
      <c r="J811" t="s">
        <v>319</v>
      </c>
      <c r="K811" t="s">
        <v>319</v>
      </c>
      <c r="L811" t="s">
        <v>319</v>
      </c>
      <c r="M811" t="s">
        <v>319</v>
      </c>
      <c r="N811" t="s">
        <v>319</v>
      </c>
      <c r="O811" t="s">
        <v>319</v>
      </c>
      <c r="P811" t="s">
        <v>319</v>
      </c>
    </row>
    <row r="812" spans="1:16" ht="15.75" customHeight="1" x14ac:dyDescent="0.2">
      <c r="A812" s="4" t="s">
        <v>935</v>
      </c>
      <c r="B812" s="1" t="str">
        <f t="shared" si="14"/>
        <v>MIRMUL</v>
      </c>
      <c r="C812" t="s">
        <v>319</v>
      </c>
      <c r="D812" t="s">
        <v>319</v>
      </c>
      <c r="E812" t="s">
        <v>319</v>
      </c>
      <c r="F812" t="s">
        <v>319</v>
      </c>
      <c r="G812" t="s">
        <v>319</v>
      </c>
      <c r="H812" t="s">
        <v>319</v>
      </c>
      <c r="I812" t="s">
        <v>319</v>
      </c>
      <c r="J812" t="s">
        <v>319</v>
      </c>
      <c r="K812" t="s">
        <v>319</v>
      </c>
      <c r="L812" t="s">
        <v>319</v>
      </c>
      <c r="M812" t="s">
        <v>319</v>
      </c>
      <c r="N812" t="s">
        <v>319</v>
      </c>
      <c r="O812" t="s">
        <v>319</v>
      </c>
      <c r="P812" t="s">
        <v>319</v>
      </c>
    </row>
    <row r="813" spans="1:16" ht="15.75" customHeight="1" x14ac:dyDescent="0.2">
      <c r="A813" s="4" t="s">
        <v>936</v>
      </c>
      <c r="B813" s="1" t="str">
        <f t="shared" si="14"/>
        <v>MIRMUL</v>
      </c>
      <c r="C813" t="s">
        <v>319</v>
      </c>
      <c r="D813" t="s">
        <v>319</v>
      </c>
      <c r="E813" t="s">
        <v>319</v>
      </c>
      <c r="F813" t="s">
        <v>319</v>
      </c>
      <c r="G813" t="s">
        <v>319</v>
      </c>
      <c r="H813" t="s">
        <v>319</v>
      </c>
      <c r="I813" t="s">
        <v>319</v>
      </c>
      <c r="J813" t="s">
        <v>319</v>
      </c>
      <c r="K813" t="s">
        <v>319</v>
      </c>
      <c r="L813" t="s">
        <v>319</v>
      </c>
      <c r="M813" t="s">
        <v>319</v>
      </c>
      <c r="N813" t="s">
        <v>319</v>
      </c>
      <c r="O813" t="s">
        <v>319</v>
      </c>
      <c r="P813" t="s">
        <v>319</v>
      </c>
    </row>
    <row r="814" spans="1:16" ht="15.75" customHeight="1" x14ac:dyDescent="0.2">
      <c r="A814" s="4" t="s">
        <v>937</v>
      </c>
      <c r="B814" s="1" t="str">
        <f t="shared" si="14"/>
        <v>MIRMUL</v>
      </c>
      <c r="C814" t="s">
        <v>319</v>
      </c>
      <c r="D814" t="s">
        <v>319</v>
      </c>
      <c r="E814" t="s">
        <v>319</v>
      </c>
      <c r="F814" t="s">
        <v>319</v>
      </c>
      <c r="G814" t="s">
        <v>319</v>
      </c>
      <c r="H814" t="s">
        <v>319</v>
      </c>
      <c r="I814" t="s">
        <v>319</v>
      </c>
      <c r="J814" t="s">
        <v>319</v>
      </c>
      <c r="K814" t="s">
        <v>319</v>
      </c>
      <c r="L814" t="s">
        <v>319</v>
      </c>
      <c r="M814" t="s">
        <v>319</v>
      </c>
      <c r="N814" t="s">
        <v>319</v>
      </c>
      <c r="O814" t="s">
        <v>319</v>
      </c>
      <c r="P814" t="s">
        <v>319</v>
      </c>
    </row>
    <row r="815" spans="1:16" ht="15.75" customHeight="1" x14ac:dyDescent="0.2">
      <c r="A815" s="10" t="s">
        <v>938</v>
      </c>
      <c r="B815" s="1" t="str">
        <f t="shared" si="14"/>
        <v>MIRMUL</v>
      </c>
      <c r="C815" t="s">
        <v>319</v>
      </c>
      <c r="D815" t="s">
        <v>319</v>
      </c>
      <c r="E815" t="s">
        <v>319</v>
      </c>
      <c r="F815" t="s">
        <v>319</v>
      </c>
      <c r="G815" t="s">
        <v>319</v>
      </c>
      <c r="H815" t="s">
        <v>319</v>
      </c>
      <c r="I815" t="s">
        <v>319</v>
      </c>
      <c r="J815" t="s">
        <v>319</v>
      </c>
      <c r="K815" t="s">
        <v>319</v>
      </c>
      <c r="L815" t="s">
        <v>319</v>
      </c>
      <c r="M815" t="s">
        <v>319</v>
      </c>
      <c r="N815" t="s">
        <v>319</v>
      </c>
      <c r="O815" t="s">
        <v>319</v>
      </c>
      <c r="P815" t="s">
        <v>319</v>
      </c>
    </row>
    <row r="816" spans="1:16" ht="15.75" customHeight="1" x14ac:dyDescent="0.2">
      <c r="A816" s="10" t="s">
        <v>939</v>
      </c>
      <c r="B816" s="1" t="str">
        <f t="shared" si="14"/>
        <v>MIRMUL</v>
      </c>
      <c r="C816" t="s">
        <v>319</v>
      </c>
      <c r="D816" t="s">
        <v>319</v>
      </c>
      <c r="E816" t="s">
        <v>319</v>
      </c>
      <c r="F816" t="s">
        <v>319</v>
      </c>
      <c r="G816" t="s">
        <v>319</v>
      </c>
      <c r="H816" t="s">
        <v>319</v>
      </c>
      <c r="I816" t="s">
        <v>319</v>
      </c>
      <c r="J816" t="s">
        <v>319</v>
      </c>
      <c r="K816" t="s">
        <v>319</v>
      </c>
      <c r="L816" t="s">
        <v>319</v>
      </c>
      <c r="M816" t="s">
        <v>319</v>
      </c>
      <c r="N816" t="s">
        <v>319</v>
      </c>
      <c r="O816" t="s">
        <v>319</v>
      </c>
      <c r="P816" t="s">
        <v>319</v>
      </c>
    </row>
    <row r="817" spans="1:17" ht="15.75" customHeight="1" x14ac:dyDescent="0.2">
      <c r="A817" s="10" t="s">
        <v>940</v>
      </c>
      <c r="B817" s="1" t="str">
        <f t="shared" si="14"/>
        <v>MIRMUL</v>
      </c>
      <c r="C817" t="s">
        <v>319</v>
      </c>
      <c r="D817" t="s">
        <v>319</v>
      </c>
      <c r="E817" t="s">
        <v>319</v>
      </c>
      <c r="F817" t="s">
        <v>319</v>
      </c>
      <c r="G817" t="s">
        <v>319</v>
      </c>
      <c r="H817" t="s">
        <v>319</v>
      </c>
      <c r="I817" t="s">
        <v>319</v>
      </c>
      <c r="J817" t="s">
        <v>319</v>
      </c>
      <c r="K817" t="s">
        <v>319</v>
      </c>
      <c r="L817" t="s">
        <v>319</v>
      </c>
      <c r="M817" t="s">
        <v>319</v>
      </c>
      <c r="N817" t="s">
        <v>319</v>
      </c>
      <c r="O817" t="s">
        <v>319</v>
      </c>
      <c r="P817" t="s">
        <v>319</v>
      </c>
    </row>
    <row r="818" spans="1:17" ht="15.75" customHeight="1" x14ac:dyDescent="0.2">
      <c r="A818" s="4" t="s">
        <v>941</v>
      </c>
      <c r="B818" s="1" t="str">
        <f t="shared" si="14"/>
        <v>MIRMUL</v>
      </c>
      <c r="C818" t="s">
        <v>319</v>
      </c>
      <c r="D818" t="s">
        <v>319</v>
      </c>
      <c r="E818" t="s">
        <v>319</v>
      </c>
      <c r="F818" t="s">
        <v>319</v>
      </c>
      <c r="G818" t="s">
        <v>319</v>
      </c>
      <c r="H818" t="s">
        <v>319</v>
      </c>
      <c r="I818" t="s">
        <v>319</v>
      </c>
      <c r="J818" t="s">
        <v>319</v>
      </c>
      <c r="K818" t="s">
        <v>319</v>
      </c>
      <c r="L818" t="s">
        <v>319</v>
      </c>
      <c r="M818" t="s">
        <v>319</v>
      </c>
      <c r="N818" t="s">
        <v>319</v>
      </c>
      <c r="O818" t="s">
        <v>319</v>
      </c>
      <c r="P818" t="s">
        <v>319</v>
      </c>
    </row>
    <row r="819" spans="1:17" ht="15.75" customHeight="1" x14ac:dyDescent="0.2">
      <c r="A819" s="10" t="s">
        <v>942</v>
      </c>
      <c r="B819" s="1" t="str">
        <f t="shared" si="14"/>
        <v>MIRMUL</v>
      </c>
      <c r="C819" t="s">
        <v>319</v>
      </c>
      <c r="D819" t="s">
        <v>319</v>
      </c>
      <c r="E819" t="s">
        <v>319</v>
      </c>
      <c r="F819" t="s">
        <v>319</v>
      </c>
      <c r="G819" t="s">
        <v>319</v>
      </c>
      <c r="H819" t="s">
        <v>319</v>
      </c>
      <c r="I819" t="s">
        <v>319</v>
      </c>
      <c r="J819" t="s">
        <v>319</v>
      </c>
      <c r="K819" t="s">
        <v>319</v>
      </c>
      <c r="L819" t="s">
        <v>319</v>
      </c>
      <c r="M819" t="s">
        <v>319</v>
      </c>
      <c r="N819" t="s">
        <v>319</v>
      </c>
      <c r="O819" t="s">
        <v>319</v>
      </c>
      <c r="P819" t="s">
        <v>319</v>
      </c>
    </row>
    <row r="820" spans="1:17" ht="15.75" customHeight="1" x14ac:dyDescent="0.2">
      <c r="A820" s="4" t="s">
        <v>943</v>
      </c>
      <c r="B820" s="1" t="str">
        <f t="shared" si="14"/>
        <v>MIRMUL</v>
      </c>
      <c r="C820" t="s">
        <v>319</v>
      </c>
      <c r="D820" t="s">
        <v>319</v>
      </c>
      <c r="E820" t="s">
        <v>319</v>
      </c>
      <c r="F820" t="s">
        <v>319</v>
      </c>
      <c r="G820" t="s">
        <v>319</v>
      </c>
      <c r="H820" t="s">
        <v>319</v>
      </c>
      <c r="I820" t="s">
        <v>319</v>
      </c>
      <c r="J820" t="s">
        <v>319</v>
      </c>
      <c r="K820" t="s">
        <v>319</v>
      </c>
      <c r="L820" t="s">
        <v>319</v>
      </c>
      <c r="M820" t="s">
        <v>319</v>
      </c>
      <c r="N820" t="s">
        <v>319</v>
      </c>
      <c r="O820" t="s">
        <v>319</v>
      </c>
      <c r="P820" t="s">
        <v>319</v>
      </c>
    </row>
    <row r="821" spans="1:17" ht="15.75" customHeight="1" x14ac:dyDescent="0.2">
      <c r="A821" s="4" t="s">
        <v>944</v>
      </c>
      <c r="B821" s="1" t="str">
        <f t="shared" si="14"/>
        <v>MIRMUL</v>
      </c>
      <c r="C821" t="s">
        <v>319</v>
      </c>
      <c r="D821" t="s">
        <v>319</v>
      </c>
      <c r="E821" t="s">
        <v>319</v>
      </c>
      <c r="F821" t="s">
        <v>319</v>
      </c>
      <c r="G821" t="s">
        <v>319</v>
      </c>
      <c r="H821" t="s">
        <v>319</v>
      </c>
      <c r="I821" t="s">
        <v>319</v>
      </c>
      <c r="J821" t="s">
        <v>319</v>
      </c>
      <c r="K821" t="s">
        <v>319</v>
      </c>
      <c r="L821" t="s">
        <v>319</v>
      </c>
      <c r="M821" t="s">
        <v>319</v>
      </c>
      <c r="N821" t="s">
        <v>319</v>
      </c>
      <c r="O821" t="s">
        <v>319</v>
      </c>
      <c r="P821" t="s">
        <v>319</v>
      </c>
    </row>
    <row r="822" spans="1:17" ht="15.75" customHeight="1" x14ac:dyDescent="0.2">
      <c r="A822" s="10" t="s">
        <v>945</v>
      </c>
      <c r="B822" s="1" t="str">
        <f t="shared" si="14"/>
        <v>MIRMUL</v>
      </c>
      <c r="C822" t="s">
        <v>319</v>
      </c>
      <c r="D822" t="s">
        <v>319</v>
      </c>
      <c r="E822" t="s">
        <v>319</v>
      </c>
      <c r="F822" t="s">
        <v>319</v>
      </c>
      <c r="G822" t="s">
        <v>319</v>
      </c>
      <c r="H822" t="s">
        <v>319</v>
      </c>
      <c r="I822" t="s">
        <v>319</v>
      </c>
      <c r="J822" t="s">
        <v>319</v>
      </c>
      <c r="K822" t="s">
        <v>319</v>
      </c>
      <c r="L822" t="s">
        <v>319</v>
      </c>
      <c r="M822" t="s">
        <v>319</v>
      </c>
      <c r="N822" t="s">
        <v>319</v>
      </c>
      <c r="O822" t="s">
        <v>319</v>
      </c>
      <c r="P822" t="s">
        <v>319</v>
      </c>
    </row>
    <row r="823" spans="1:17" ht="15.75" customHeight="1" x14ac:dyDescent="0.2">
      <c r="A823" s="4" t="s">
        <v>946</v>
      </c>
      <c r="B823" s="1" t="str">
        <f t="shared" si="14"/>
        <v>MIRMUL</v>
      </c>
      <c r="C823" t="s">
        <v>319</v>
      </c>
      <c r="D823" t="s">
        <v>319</v>
      </c>
      <c r="E823" t="s">
        <v>319</v>
      </c>
      <c r="F823" t="s">
        <v>319</v>
      </c>
      <c r="G823" t="s">
        <v>319</v>
      </c>
      <c r="H823" t="s">
        <v>319</v>
      </c>
      <c r="I823" t="s">
        <v>319</v>
      </c>
      <c r="J823" t="s">
        <v>319</v>
      </c>
      <c r="K823" t="s">
        <v>319</v>
      </c>
      <c r="L823" t="s">
        <v>319</v>
      </c>
      <c r="M823" t="s">
        <v>319</v>
      </c>
      <c r="N823" t="s">
        <v>319</v>
      </c>
      <c r="O823" t="s">
        <v>319</v>
      </c>
      <c r="P823" t="s">
        <v>319</v>
      </c>
    </row>
    <row r="824" spans="1:17" ht="15.75" customHeight="1" x14ac:dyDescent="0.2">
      <c r="A824" s="10" t="s">
        <v>947</v>
      </c>
      <c r="B824" s="1" t="str">
        <f t="shared" si="14"/>
        <v>PHATAN</v>
      </c>
    </row>
    <row r="825" spans="1:17" ht="15.75" customHeight="1" x14ac:dyDescent="0.2">
      <c r="A825" s="10" t="s">
        <v>948</v>
      </c>
      <c r="B825" s="1" t="str">
        <f t="shared" si="14"/>
        <v>PHATAN</v>
      </c>
    </row>
    <row r="826" spans="1:17" ht="15.75" customHeight="1" x14ac:dyDescent="0.2">
      <c r="A826" s="10" t="s">
        <v>949</v>
      </c>
      <c r="B826" s="1" t="str">
        <f t="shared" si="14"/>
        <v>PHATAN</v>
      </c>
    </row>
    <row r="827" spans="1:17" ht="15.75" customHeight="1" x14ac:dyDescent="0.2">
      <c r="A827" s="10" t="s">
        <v>950</v>
      </c>
      <c r="B827" s="1" t="str">
        <f t="shared" si="14"/>
        <v>PHATAN</v>
      </c>
    </row>
    <row r="828" spans="1:17" ht="15.75" customHeight="1" x14ac:dyDescent="0.2">
      <c r="A828" s="4" t="s">
        <v>951</v>
      </c>
      <c r="B828" s="1" t="str">
        <f t="shared" si="14"/>
        <v>PHATAN</v>
      </c>
    </row>
    <row r="829" spans="1:17" ht="15.75" customHeight="1" x14ac:dyDescent="0.2">
      <c r="A829" s="4" t="s">
        <v>952</v>
      </c>
      <c r="B829" s="1" t="str">
        <f t="shared" si="14"/>
        <v>PHATAN</v>
      </c>
    </row>
    <row r="830" spans="1:17" ht="15.75" customHeight="1" x14ac:dyDescent="0.2">
      <c r="A830" s="4" t="s">
        <v>953</v>
      </c>
      <c r="B830" s="1" t="str">
        <f t="shared" si="14"/>
        <v>PHATAN</v>
      </c>
      <c r="C830" s="1" t="s">
        <v>42</v>
      </c>
      <c r="D830" s="1" t="s">
        <v>319</v>
      </c>
      <c r="E830" s="1" t="s">
        <v>319</v>
      </c>
      <c r="F830" s="1" t="s">
        <v>319</v>
      </c>
      <c r="G830" s="1" t="s">
        <v>319</v>
      </c>
      <c r="H830" s="1" t="s">
        <v>319</v>
      </c>
      <c r="I830" s="1" t="s">
        <v>319</v>
      </c>
      <c r="J830" s="1" t="s">
        <v>319</v>
      </c>
      <c r="K830" s="1" t="s">
        <v>319</v>
      </c>
      <c r="L830" s="1" t="s">
        <v>319</v>
      </c>
      <c r="M830" s="1" t="s">
        <v>319</v>
      </c>
      <c r="N830" s="1" t="s">
        <v>319</v>
      </c>
      <c r="O830" s="1" t="s">
        <v>319</v>
      </c>
      <c r="P830" s="1" t="s">
        <v>319</v>
      </c>
      <c r="Q830" s="1" t="s">
        <v>954</v>
      </c>
    </row>
    <row r="831" spans="1:17" ht="15.75" customHeight="1" x14ac:dyDescent="0.2">
      <c r="A831" s="10" t="s">
        <v>955</v>
      </c>
      <c r="B831" s="1" t="str">
        <f t="shared" si="14"/>
        <v>PHATAN</v>
      </c>
    </row>
    <row r="832" spans="1:17" ht="15.75" customHeight="1" x14ac:dyDescent="0.2">
      <c r="A832" s="10" t="s">
        <v>956</v>
      </c>
      <c r="B832" s="1" t="str">
        <f t="shared" si="14"/>
        <v>PHATAN</v>
      </c>
    </row>
    <row r="833" spans="1:17" ht="15.75" customHeight="1" x14ac:dyDescent="0.2">
      <c r="A833" s="10" t="s">
        <v>957</v>
      </c>
      <c r="B833" s="1" t="str">
        <f t="shared" si="14"/>
        <v>PHATAN</v>
      </c>
    </row>
    <row r="834" spans="1:17" ht="15.75" customHeight="1" x14ac:dyDescent="0.2">
      <c r="A834" s="10" t="s">
        <v>958</v>
      </c>
      <c r="B834" s="1" t="str">
        <f t="shared" si="14"/>
        <v>PHATAN</v>
      </c>
    </row>
    <row r="835" spans="1:17" ht="15.75" customHeight="1" x14ac:dyDescent="0.2">
      <c r="A835" s="4" t="s">
        <v>959</v>
      </c>
      <c r="B835" s="1" t="str">
        <f t="shared" si="14"/>
        <v>PHATAN</v>
      </c>
    </row>
    <row r="836" spans="1:17" ht="15.75" customHeight="1" x14ac:dyDescent="0.2">
      <c r="A836" s="10" t="s">
        <v>960</v>
      </c>
      <c r="B836" s="1" t="str">
        <f t="shared" si="14"/>
        <v>PHATAN</v>
      </c>
    </row>
    <row r="837" spans="1:17" ht="15.75" customHeight="1" x14ac:dyDescent="0.2">
      <c r="A837" s="4" t="s">
        <v>961</v>
      </c>
      <c r="B837" s="1" t="str">
        <f t="shared" si="14"/>
        <v>PHATAN</v>
      </c>
    </row>
    <row r="838" spans="1:17" ht="15.75" customHeight="1" x14ac:dyDescent="0.2">
      <c r="A838" s="4" t="s">
        <v>962</v>
      </c>
      <c r="B838" s="1" t="str">
        <f t="shared" si="14"/>
        <v>PHATAN</v>
      </c>
    </row>
    <row r="839" spans="1:17" ht="15.75" customHeight="1" x14ac:dyDescent="0.2">
      <c r="A839" s="10" t="s">
        <v>963</v>
      </c>
      <c r="B839" s="1" t="str">
        <f t="shared" si="14"/>
        <v>PHATAN</v>
      </c>
      <c r="C839" s="1" t="s">
        <v>42</v>
      </c>
      <c r="D839" s="1" t="s">
        <v>319</v>
      </c>
      <c r="E839" s="1" t="s">
        <v>319</v>
      </c>
      <c r="F839" s="1" t="s">
        <v>319</v>
      </c>
      <c r="G839" s="1" t="s">
        <v>319</v>
      </c>
      <c r="H839" s="1" t="s">
        <v>319</v>
      </c>
      <c r="I839" s="1" t="s">
        <v>319</v>
      </c>
      <c r="J839" s="1" t="s">
        <v>319</v>
      </c>
      <c r="K839" s="1" t="s">
        <v>319</v>
      </c>
      <c r="L839" s="1" t="s">
        <v>319</v>
      </c>
      <c r="M839" s="1" t="s">
        <v>319</v>
      </c>
      <c r="N839" s="1" t="s">
        <v>319</v>
      </c>
      <c r="O839" s="1" t="s">
        <v>319</v>
      </c>
      <c r="P839" s="1" t="s">
        <v>319</v>
      </c>
      <c r="Q839" s="1" t="s">
        <v>954</v>
      </c>
    </row>
    <row r="840" spans="1:17" ht="15.75" customHeight="1" x14ac:dyDescent="0.2">
      <c r="A840" s="4" t="s">
        <v>964</v>
      </c>
      <c r="B840" s="1" t="str">
        <f t="shared" si="14"/>
        <v>PHATAN</v>
      </c>
    </row>
    <row r="841" spans="1:17" ht="15.75" customHeight="1" x14ac:dyDescent="0.2">
      <c r="A841" s="4" t="s">
        <v>965</v>
      </c>
      <c r="B841" s="1" t="str">
        <f t="shared" si="14"/>
        <v>PLAERE</v>
      </c>
    </row>
    <row r="842" spans="1:17" ht="15.75" customHeight="1" x14ac:dyDescent="0.2">
      <c r="A842" s="10" t="s">
        <v>966</v>
      </c>
      <c r="B842" s="1" t="str">
        <f t="shared" si="14"/>
        <v>PLAERE</v>
      </c>
    </row>
    <row r="843" spans="1:17" ht="15.75" customHeight="1" x14ac:dyDescent="0.2">
      <c r="A843" s="10" t="s">
        <v>967</v>
      </c>
      <c r="B843" s="1" t="str">
        <f t="shared" si="14"/>
        <v>PLAERE</v>
      </c>
    </row>
    <row r="844" spans="1:17" ht="15.75" customHeight="1" x14ac:dyDescent="0.2">
      <c r="A844" s="4" t="s">
        <v>968</v>
      </c>
      <c r="B844" s="1" t="str">
        <f t="shared" si="14"/>
        <v>PLAERE</v>
      </c>
    </row>
    <row r="845" spans="1:17" ht="15.75" customHeight="1" x14ac:dyDescent="0.2">
      <c r="A845" s="4" t="s">
        <v>969</v>
      </c>
      <c r="B845" s="1" t="str">
        <f t="shared" si="14"/>
        <v>PLAERE</v>
      </c>
    </row>
    <row r="846" spans="1:17" ht="15.75" customHeight="1" x14ac:dyDescent="0.2">
      <c r="A846" s="10" t="s">
        <v>970</v>
      </c>
      <c r="B846" s="1" t="str">
        <f t="shared" si="14"/>
        <v>PLAERE</v>
      </c>
    </row>
    <row r="847" spans="1:17" ht="15.75" customHeight="1" x14ac:dyDescent="0.2">
      <c r="A847" s="4" t="s">
        <v>971</v>
      </c>
      <c r="B847" s="1" t="str">
        <f t="shared" si="14"/>
        <v>PLAERE</v>
      </c>
    </row>
    <row r="848" spans="1:17" ht="15.75" customHeight="1" x14ac:dyDescent="0.2">
      <c r="A848" s="10" t="s">
        <v>972</v>
      </c>
      <c r="B848" s="1" t="str">
        <f t="shared" si="14"/>
        <v>PLAERE</v>
      </c>
    </row>
    <row r="849" spans="1:16" ht="15.75" customHeight="1" x14ac:dyDescent="0.2">
      <c r="A849" s="4" t="s">
        <v>973</v>
      </c>
      <c r="B849" s="1" t="str">
        <f t="shared" si="14"/>
        <v>PLAERE</v>
      </c>
    </row>
    <row r="850" spans="1:16" ht="15.75" customHeight="1" x14ac:dyDescent="0.2">
      <c r="A850" s="10" t="s">
        <v>974</v>
      </c>
      <c r="B850" s="1" t="str">
        <f t="shared" si="14"/>
        <v>PLAERE</v>
      </c>
    </row>
    <row r="851" spans="1:16" ht="15.75" customHeight="1" x14ac:dyDescent="0.2">
      <c r="A851" s="4" t="s">
        <v>975</v>
      </c>
      <c r="B851" s="1" t="str">
        <f t="shared" si="14"/>
        <v>PLAERE</v>
      </c>
    </row>
    <row r="852" spans="1:16" ht="15.75" customHeight="1" x14ac:dyDescent="0.2">
      <c r="A852" s="10" t="s">
        <v>976</v>
      </c>
      <c r="B852" s="1" t="str">
        <f t="shared" si="14"/>
        <v>PLAERE</v>
      </c>
    </row>
    <row r="853" spans="1:16" ht="15.75" customHeight="1" x14ac:dyDescent="0.2">
      <c r="A853" s="4" t="s">
        <v>977</v>
      </c>
      <c r="B853" s="1" t="str">
        <f t="shared" si="14"/>
        <v>PLAERE</v>
      </c>
    </row>
    <row r="854" spans="1:16" ht="15.75" customHeight="1" x14ac:dyDescent="0.2">
      <c r="A854" s="4" t="s">
        <v>978</v>
      </c>
      <c r="B854" s="1" t="str">
        <f t="shared" si="14"/>
        <v>PLAERE</v>
      </c>
    </row>
    <row r="855" spans="1:16" ht="15.75" customHeight="1" x14ac:dyDescent="0.2">
      <c r="A855" s="4" t="s">
        <v>979</v>
      </c>
      <c r="B855" s="1" t="str">
        <f t="shared" si="14"/>
        <v>PLAERE</v>
      </c>
    </row>
    <row r="856" spans="1:16" ht="15.75" customHeight="1" x14ac:dyDescent="0.2">
      <c r="A856" s="10" t="s">
        <v>980</v>
      </c>
      <c r="B856" s="1" t="str">
        <f t="shared" si="14"/>
        <v>PLAERE</v>
      </c>
    </row>
    <row r="857" spans="1:16" ht="15.75" customHeight="1" x14ac:dyDescent="0.2">
      <c r="A857" s="4" t="s">
        <v>981</v>
      </c>
      <c r="B857" s="1" t="str">
        <f t="shared" si="14"/>
        <v>SANBIP</v>
      </c>
      <c r="C857" t="s">
        <v>319</v>
      </c>
      <c r="D857" t="s">
        <v>319</v>
      </c>
      <c r="E857" t="s">
        <v>319</v>
      </c>
      <c r="F857" t="s">
        <v>319</v>
      </c>
      <c r="G857" t="s">
        <v>319</v>
      </c>
      <c r="H857" t="s">
        <v>319</v>
      </c>
      <c r="I857" t="s">
        <v>319</v>
      </c>
      <c r="J857" t="s">
        <v>319</v>
      </c>
      <c r="K857" t="s">
        <v>319</v>
      </c>
      <c r="L857" t="s">
        <v>319</v>
      </c>
      <c r="M857" t="s">
        <v>319</v>
      </c>
      <c r="N857" t="s">
        <v>319</v>
      </c>
      <c r="O857" t="s">
        <v>319</v>
      </c>
      <c r="P857" t="s">
        <v>319</v>
      </c>
    </row>
    <row r="858" spans="1:16" ht="15.75" customHeight="1" x14ac:dyDescent="0.2">
      <c r="A858" s="10" t="s">
        <v>982</v>
      </c>
      <c r="B858" s="1" t="str">
        <f t="shared" si="14"/>
        <v>SANBIP</v>
      </c>
      <c r="C858" t="s">
        <v>319</v>
      </c>
      <c r="D858" t="s">
        <v>319</v>
      </c>
      <c r="E858" t="s">
        <v>319</v>
      </c>
      <c r="F858" t="s">
        <v>319</v>
      </c>
      <c r="G858" t="s">
        <v>319</v>
      </c>
      <c r="H858" t="s">
        <v>319</v>
      </c>
      <c r="I858" t="s">
        <v>319</v>
      </c>
      <c r="J858" t="s">
        <v>319</v>
      </c>
      <c r="K858" t="s">
        <v>319</v>
      </c>
      <c r="L858" t="s">
        <v>319</v>
      </c>
      <c r="M858" t="s">
        <v>319</v>
      </c>
      <c r="N858" t="s">
        <v>319</v>
      </c>
      <c r="O858" t="s">
        <v>319</v>
      </c>
      <c r="P858" t="s">
        <v>319</v>
      </c>
    </row>
    <row r="859" spans="1:16" ht="15.75" customHeight="1" x14ac:dyDescent="0.2">
      <c r="A859" s="4" t="s">
        <v>983</v>
      </c>
      <c r="B859" s="1" t="str">
        <f t="shared" si="14"/>
        <v>SANBIP</v>
      </c>
      <c r="C859" t="s">
        <v>319</v>
      </c>
      <c r="D859" t="s">
        <v>319</v>
      </c>
      <c r="E859" t="s">
        <v>319</v>
      </c>
      <c r="F859" t="s">
        <v>319</v>
      </c>
      <c r="G859" t="s">
        <v>319</v>
      </c>
      <c r="H859" t="s">
        <v>319</v>
      </c>
      <c r="I859" t="s">
        <v>319</v>
      </c>
      <c r="J859" t="s">
        <v>319</v>
      </c>
      <c r="K859" t="s">
        <v>319</v>
      </c>
      <c r="L859" t="s">
        <v>319</v>
      </c>
      <c r="M859" t="s">
        <v>319</v>
      </c>
      <c r="N859" t="s">
        <v>319</v>
      </c>
      <c r="O859" t="s">
        <v>319</v>
      </c>
      <c r="P859" t="s">
        <v>319</v>
      </c>
    </row>
    <row r="860" spans="1:16" ht="15.75" customHeight="1" x14ac:dyDescent="0.2">
      <c r="A860" s="10" t="s">
        <v>984</v>
      </c>
      <c r="B860" s="1" t="str">
        <f t="shared" si="14"/>
        <v>SANBIP</v>
      </c>
      <c r="C860" t="s">
        <v>319</v>
      </c>
      <c r="D860" t="s">
        <v>319</v>
      </c>
      <c r="E860" t="s">
        <v>319</v>
      </c>
      <c r="F860" t="s">
        <v>319</v>
      </c>
      <c r="G860" t="s">
        <v>319</v>
      </c>
      <c r="H860" t="s">
        <v>319</v>
      </c>
      <c r="I860" t="s">
        <v>319</v>
      </c>
      <c r="J860" t="s">
        <v>319</v>
      </c>
      <c r="K860" t="s">
        <v>319</v>
      </c>
      <c r="L860" t="s">
        <v>319</v>
      </c>
      <c r="M860" t="s">
        <v>319</v>
      </c>
      <c r="N860" t="s">
        <v>319</v>
      </c>
      <c r="O860" t="s">
        <v>319</v>
      </c>
      <c r="P860" t="s">
        <v>319</v>
      </c>
    </row>
    <row r="861" spans="1:16" ht="15.75" customHeight="1" x14ac:dyDescent="0.2">
      <c r="A861" s="4" t="s">
        <v>985</v>
      </c>
      <c r="B861" s="1" t="str">
        <f t="shared" si="14"/>
        <v>SANBIP</v>
      </c>
      <c r="C861" t="s">
        <v>319</v>
      </c>
      <c r="D861" t="s">
        <v>319</v>
      </c>
      <c r="E861" t="s">
        <v>319</v>
      </c>
      <c r="F861" t="s">
        <v>319</v>
      </c>
      <c r="G861" t="s">
        <v>319</v>
      </c>
      <c r="H861" t="s">
        <v>319</v>
      </c>
      <c r="I861" t="s">
        <v>319</v>
      </c>
      <c r="J861" t="s">
        <v>319</v>
      </c>
      <c r="K861" t="s">
        <v>319</v>
      </c>
      <c r="L861" t="s">
        <v>319</v>
      </c>
      <c r="M861" t="s">
        <v>319</v>
      </c>
      <c r="N861" t="s">
        <v>319</v>
      </c>
      <c r="O861" t="s">
        <v>319</v>
      </c>
      <c r="P861" t="s">
        <v>319</v>
      </c>
    </row>
    <row r="862" spans="1:16" ht="15.75" customHeight="1" x14ac:dyDescent="0.2">
      <c r="A862" s="4" t="s">
        <v>986</v>
      </c>
      <c r="B862" s="1" t="str">
        <f t="shared" si="14"/>
        <v>SANBIP</v>
      </c>
      <c r="C862" t="s">
        <v>319</v>
      </c>
      <c r="D862" t="s">
        <v>319</v>
      </c>
      <c r="E862" t="s">
        <v>319</v>
      </c>
      <c r="F862" t="s">
        <v>319</v>
      </c>
      <c r="G862" t="s">
        <v>319</v>
      </c>
      <c r="H862" t="s">
        <v>319</v>
      </c>
      <c r="I862" t="s">
        <v>319</v>
      </c>
      <c r="J862" t="s">
        <v>319</v>
      </c>
      <c r="K862" t="s">
        <v>319</v>
      </c>
      <c r="L862" t="s">
        <v>319</v>
      </c>
      <c r="M862" t="s">
        <v>319</v>
      </c>
      <c r="N862" t="s">
        <v>319</v>
      </c>
      <c r="O862" t="s">
        <v>319</v>
      </c>
      <c r="P862" t="s">
        <v>319</v>
      </c>
    </row>
    <row r="863" spans="1:16" ht="15.75" customHeight="1" x14ac:dyDescent="0.2">
      <c r="A863" s="4" t="s">
        <v>987</v>
      </c>
      <c r="B863" s="1" t="str">
        <f t="shared" si="14"/>
        <v>SANBIP</v>
      </c>
      <c r="C863" t="s">
        <v>319</v>
      </c>
      <c r="D863" t="s">
        <v>319</v>
      </c>
      <c r="E863" t="s">
        <v>319</v>
      </c>
      <c r="F863" t="s">
        <v>319</v>
      </c>
      <c r="G863" t="s">
        <v>319</v>
      </c>
      <c r="H863" t="s">
        <v>319</v>
      </c>
      <c r="I863" t="s">
        <v>319</v>
      </c>
      <c r="J863" t="s">
        <v>319</v>
      </c>
      <c r="K863" t="s">
        <v>319</v>
      </c>
      <c r="L863" t="s">
        <v>319</v>
      </c>
      <c r="M863" t="s">
        <v>319</v>
      </c>
      <c r="N863" t="s">
        <v>319</v>
      </c>
      <c r="O863" t="s">
        <v>319</v>
      </c>
      <c r="P863" t="s">
        <v>319</v>
      </c>
    </row>
    <row r="864" spans="1:16" ht="15.75" customHeight="1" x14ac:dyDescent="0.2">
      <c r="A864" s="4" t="s">
        <v>988</v>
      </c>
      <c r="B864" s="1" t="str">
        <f t="shared" si="14"/>
        <v>SANBIP</v>
      </c>
      <c r="C864" t="s">
        <v>319</v>
      </c>
      <c r="D864" t="s">
        <v>319</v>
      </c>
      <c r="E864" t="s">
        <v>319</v>
      </c>
      <c r="F864" t="s">
        <v>319</v>
      </c>
      <c r="G864" t="s">
        <v>319</v>
      </c>
      <c r="H864" t="s">
        <v>319</v>
      </c>
      <c r="I864" t="s">
        <v>319</v>
      </c>
      <c r="J864" t="s">
        <v>319</v>
      </c>
      <c r="K864" t="s">
        <v>319</v>
      </c>
      <c r="L864" t="s">
        <v>319</v>
      </c>
      <c r="M864" t="s">
        <v>319</v>
      </c>
      <c r="N864" t="s">
        <v>319</v>
      </c>
      <c r="O864" t="s">
        <v>319</v>
      </c>
      <c r="P864" t="s">
        <v>319</v>
      </c>
    </row>
    <row r="865" spans="1:16" ht="15.75" customHeight="1" x14ac:dyDescent="0.2">
      <c r="A865" s="10" t="s">
        <v>989</v>
      </c>
      <c r="B865" s="1" t="str">
        <f t="shared" si="14"/>
        <v>SANBIP</v>
      </c>
      <c r="C865" t="s">
        <v>319</v>
      </c>
      <c r="D865" t="s">
        <v>319</v>
      </c>
      <c r="E865" t="s">
        <v>319</v>
      </c>
      <c r="F865" t="s">
        <v>319</v>
      </c>
      <c r="G865" t="s">
        <v>319</v>
      </c>
      <c r="H865" t="s">
        <v>319</v>
      </c>
      <c r="I865" t="s">
        <v>319</v>
      </c>
      <c r="J865" t="s">
        <v>319</v>
      </c>
      <c r="K865" t="s">
        <v>319</v>
      </c>
      <c r="L865" t="s">
        <v>319</v>
      </c>
      <c r="M865" t="s">
        <v>319</v>
      </c>
      <c r="N865" t="s">
        <v>319</v>
      </c>
      <c r="O865" t="s">
        <v>319</v>
      </c>
      <c r="P865" t="s">
        <v>319</v>
      </c>
    </row>
    <row r="866" spans="1:16" ht="15.75" customHeight="1" x14ac:dyDescent="0.2">
      <c r="A866" s="4" t="s">
        <v>990</v>
      </c>
      <c r="B866" s="1" t="str">
        <f t="shared" si="14"/>
        <v>SANBIP</v>
      </c>
      <c r="C866" t="s">
        <v>319</v>
      </c>
      <c r="D866" t="s">
        <v>319</v>
      </c>
      <c r="E866" t="s">
        <v>319</v>
      </c>
      <c r="F866" t="s">
        <v>319</v>
      </c>
      <c r="G866" t="s">
        <v>319</v>
      </c>
      <c r="H866" t="s">
        <v>319</v>
      </c>
      <c r="I866" t="s">
        <v>319</v>
      </c>
      <c r="J866" t="s">
        <v>319</v>
      </c>
      <c r="K866" t="s">
        <v>319</v>
      </c>
      <c r="L866" t="s">
        <v>319</v>
      </c>
      <c r="M866" t="s">
        <v>319</v>
      </c>
      <c r="N866" t="s">
        <v>319</v>
      </c>
      <c r="O866" t="s">
        <v>319</v>
      </c>
      <c r="P866" t="s">
        <v>319</v>
      </c>
    </row>
    <row r="867" spans="1:16" ht="15.75" customHeight="1" x14ac:dyDescent="0.2">
      <c r="A867" s="10" t="s">
        <v>991</v>
      </c>
      <c r="B867" s="1" t="str">
        <f t="shared" si="14"/>
        <v>SANBIP</v>
      </c>
      <c r="C867" t="s">
        <v>319</v>
      </c>
      <c r="D867" t="s">
        <v>319</v>
      </c>
      <c r="E867" t="s">
        <v>319</v>
      </c>
      <c r="F867" t="s">
        <v>319</v>
      </c>
      <c r="G867" t="s">
        <v>319</v>
      </c>
      <c r="H867" t="s">
        <v>319</v>
      </c>
      <c r="I867" t="s">
        <v>319</v>
      </c>
      <c r="J867" t="s">
        <v>319</v>
      </c>
      <c r="K867" t="s">
        <v>319</v>
      </c>
      <c r="L867" t="s">
        <v>319</v>
      </c>
      <c r="M867" t="s">
        <v>319</v>
      </c>
      <c r="N867" t="s">
        <v>319</v>
      </c>
      <c r="O867" t="s">
        <v>319</v>
      </c>
      <c r="P867" t="s">
        <v>319</v>
      </c>
    </row>
    <row r="868" spans="1:16" ht="15.75" customHeight="1" x14ac:dyDescent="0.2">
      <c r="A868" s="10" t="s">
        <v>992</v>
      </c>
      <c r="B868" s="1" t="str">
        <f t="shared" si="14"/>
        <v>SANBIP</v>
      </c>
      <c r="C868" t="s">
        <v>319</v>
      </c>
      <c r="D868" t="s">
        <v>319</v>
      </c>
      <c r="E868" t="s">
        <v>319</v>
      </c>
      <c r="F868" t="s">
        <v>319</v>
      </c>
      <c r="G868" t="s">
        <v>319</v>
      </c>
      <c r="H868" t="s">
        <v>319</v>
      </c>
      <c r="I868" t="s">
        <v>319</v>
      </c>
      <c r="J868" t="s">
        <v>319</v>
      </c>
      <c r="K868" t="s">
        <v>319</v>
      </c>
      <c r="L868" t="s">
        <v>319</v>
      </c>
      <c r="M868" t="s">
        <v>319</v>
      </c>
      <c r="N868" t="s">
        <v>319</v>
      </c>
      <c r="O868" t="s">
        <v>319</v>
      </c>
      <c r="P868" t="s">
        <v>319</v>
      </c>
    </row>
    <row r="869" spans="1:16" ht="15.75" customHeight="1" x14ac:dyDescent="0.2">
      <c r="A869" s="4" t="s">
        <v>993</v>
      </c>
      <c r="B869" s="1" t="str">
        <f t="shared" si="14"/>
        <v>SANBIP</v>
      </c>
      <c r="C869" t="s">
        <v>319</v>
      </c>
      <c r="D869" t="s">
        <v>319</v>
      </c>
      <c r="E869" t="s">
        <v>319</v>
      </c>
      <c r="F869" t="s">
        <v>319</v>
      </c>
      <c r="G869" t="s">
        <v>319</v>
      </c>
      <c r="H869" t="s">
        <v>319</v>
      </c>
      <c r="I869" t="s">
        <v>319</v>
      </c>
      <c r="J869" t="s">
        <v>319</v>
      </c>
      <c r="K869" t="s">
        <v>319</v>
      </c>
      <c r="L869" t="s">
        <v>319</v>
      </c>
      <c r="M869" t="s">
        <v>319</v>
      </c>
      <c r="N869" t="s">
        <v>319</v>
      </c>
      <c r="O869" t="s">
        <v>319</v>
      </c>
      <c r="P869" t="s">
        <v>319</v>
      </c>
    </row>
    <row r="870" spans="1:16" ht="15.75" customHeight="1" x14ac:dyDescent="0.2">
      <c r="A870" s="10" t="s">
        <v>994</v>
      </c>
      <c r="B870" s="1" t="str">
        <f t="shared" si="14"/>
        <v>SANBIP</v>
      </c>
      <c r="C870" t="s">
        <v>319</v>
      </c>
      <c r="D870" t="s">
        <v>319</v>
      </c>
      <c r="E870" t="s">
        <v>319</v>
      </c>
      <c r="F870" t="s">
        <v>319</v>
      </c>
      <c r="G870" t="s">
        <v>319</v>
      </c>
      <c r="H870" t="s">
        <v>319</v>
      </c>
      <c r="I870" t="s">
        <v>319</v>
      </c>
      <c r="J870" t="s">
        <v>319</v>
      </c>
      <c r="K870" t="s">
        <v>319</v>
      </c>
      <c r="L870" t="s">
        <v>319</v>
      </c>
      <c r="M870" t="s">
        <v>319</v>
      </c>
      <c r="N870" t="s">
        <v>319</v>
      </c>
      <c r="O870" t="s">
        <v>319</v>
      </c>
      <c r="P870" t="s">
        <v>319</v>
      </c>
    </row>
    <row r="871" spans="1:16" ht="15.75" customHeight="1" x14ac:dyDescent="0.2">
      <c r="A871" s="10" t="s">
        <v>995</v>
      </c>
      <c r="B871" s="1" t="str">
        <f t="shared" si="14"/>
        <v>SANBIP</v>
      </c>
      <c r="C871" t="s">
        <v>319</v>
      </c>
      <c r="D871" t="s">
        <v>319</v>
      </c>
      <c r="E871" t="s">
        <v>319</v>
      </c>
      <c r="F871" t="s">
        <v>319</v>
      </c>
      <c r="G871" t="s">
        <v>319</v>
      </c>
      <c r="H871" t="s">
        <v>319</v>
      </c>
      <c r="I871" t="s">
        <v>319</v>
      </c>
      <c r="J871" t="s">
        <v>319</v>
      </c>
      <c r="K871" t="s">
        <v>319</v>
      </c>
      <c r="L871" t="s">
        <v>319</v>
      </c>
      <c r="M871" t="s">
        <v>319</v>
      </c>
      <c r="N871" t="s">
        <v>319</v>
      </c>
      <c r="O871" t="s">
        <v>319</v>
      </c>
      <c r="P871" t="s">
        <v>319</v>
      </c>
    </row>
    <row r="872" spans="1:16" ht="15.75" customHeight="1" x14ac:dyDescent="0.2">
      <c r="A872" s="10" t="s">
        <v>996</v>
      </c>
      <c r="B872" s="1" t="str">
        <f t="shared" si="14"/>
        <v>SANBIP</v>
      </c>
      <c r="C872" t="s">
        <v>319</v>
      </c>
      <c r="D872" t="s">
        <v>319</v>
      </c>
      <c r="E872" t="s">
        <v>319</v>
      </c>
      <c r="F872" t="s">
        <v>319</v>
      </c>
      <c r="G872" t="s">
        <v>319</v>
      </c>
      <c r="H872" t="s">
        <v>319</v>
      </c>
      <c r="I872" t="s">
        <v>319</v>
      </c>
      <c r="J872" t="s">
        <v>319</v>
      </c>
      <c r="K872" t="s">
        <v>319</v>
      </c>
      <c r="L872" t="s">
        <v>319</v>
      </c>
      <c r="M872" t="s">
        <v>319</v>
      </c>
      <c r="N872" t="s">
        <v>319</v>
      </c>
      <c r="O872" t="s">
        <v>319</v>
      </c>
      <c r="P872" t="s">
        <v>319</v>
      </c>
    </row>
    <row r="873" spans="1:16" ht="15.75" customHeight="1" x14ac:dyDescent="0.2">
      <c r="A873" s="10" t="s">
        <v>997</v>
      </c>
      <c r="B873" s="1" t="str">
        <f t="shared" si="14"/>
        <v>STIPUL</v>
      </c>
    </row>
    <row r="874" spans="1:16" ht="15.75" customHeight="1" x14ac:dyDescent="0.2">
      <c r="A874" s="4" t="s">
        <v>998</v>
      </c>
      <c r="B874" s="1" t="str">
        <f t="shared" si="14"/>
        <v>STIPUL</v>
      </c>
    </row>
    <row r="875" spans="1:16" ht="15.75" customHeight="1" x14ac:dyDescent="0.2">
      <c r="A875" s="4" t="s">
        <v>999</v>
      </c>
      <c r="B875" s="1" t="str">
        <f t="shared" si="14"/>
        <v>STIPUL</v>
      </c>
    </row>
    <row r="876" spans="1:16" ht="15.75" customHeight="1" x14ac:dyDescent="0.2">
      <c r="A876" s="10" t="s">
        <v>1000</v>
      </c>
      <c r="B876" s="1" t="str">
        <f t="shared" si="14"/>
        <v>STIPUL</v>
      </c>
    </row>
    <row r="877" spans="1:16" ht="15.75" customHeight="1" x14ac:dyDescent="0.2">
      <c r="A877" s="10" t="s">
        <v>1001</v>
      </c>
      <c r="B877" s="1" t="str">
        <f t="shared" si="14"/>
        <v>STIPUL</v>
      </c>
    </row>
    <row r="878" spans="1:16" ht="15.75" customHeight="1" x14ac:dyDescent="0.2">
      <c r="A878" s="4" t="s">
        <v>1002</v>
      </c>
      <c r="B878" s="1" t="str">
        <f t="shared" si="14"/>
        <v>STIPUL</v>
      </c>
    </row>
    <row r="879" spans="1:16" ht="15.75" customHeight="1" x14ac:dyDescent="0.2">
      <c r="A879" s="10" t="s">
        <v>1003</v>
      </c>
      <c r="B879" s="1" t="str">
        <f t="shared" si="14"/>
        <v>STIPUL</v>
      </c>
    </row>
    <row r="880" spans="1:16" ht="15.75" customHeight="1" x14ac:dyDescent="0.2">
      <c r="A880" s="4" t="s">
        <v>1004</v>
      </c>
      <c r="B880" s="1" t="str">
        <f t="shared" si="14"/>
        <v>STIPUL</v>
      </c>
    </row>
    <row r="881" spans="1:17" ht="15.75" customHeight="1" x14ac:dyDescent="0.2">
      <c r="A881" s="10" t="s">
        <v>1005</v>
      </c>
      <c r="B881" s="1" t="str">
        <f t="shared" si="14"/>
        <v>STIPUL</v>
      </c>
    </row>
    <row r="882" spans="1:17" ht="15.75" customHeight="1" x14ac:dyDescent="0.2">
      <c r="A882" s="10" t="s">
        <v>1006</v>
      </c>
      <c r="B882" s="1" t="str">
        <f t="shared" si="14"/>
        <v>STIPUL</v>
      </c>
    </row>
    <row r="883" spans="1:17" ht="15.75" customHeight="1" x14ac:dyDescent="0.2">
      <c r="A883" s="4" t="s">
        <v>1007</v>
      </c>
      <c r="B883" s="1" t="str">
        <f t="shared" si="14"/>
        <v>STIPUL</v>
      </c>
    </row>
    <row r="884" spans="1:17" ht="15.75" customHeight="1" x14ac:dyDescent="0.2">
      <c r="A884" s="4" t="s">
        <v>1008</v>
      </c>
      <c r="B884" s="1" t="str">
        <f t="shared" si="14"/>
        <v>STIPUL</v>
      </c>
    </row>
    <row r="885" spans="1:17" ht="15.75" customHeight="1" x14ac:dyDescent="0.2">
      <c r="A885" s="10" t="s">
        <v>1009</v>
      </c>
      <c r="B885" s="1" t="str">
        <f t="shared" si="14"/>
        <v>STIPUL</v>
      </c>
    </row>
    <row r="886" spans="1:17" ht="15.75" customHeight="1" x14ac:dyDescent="0.2">
      <c r="A886" s="10" t="s">
        <v>1010</v>
      </c>
      <c r="B886" s="1" t="str">
        <f t="shared" si="14"/>
        <v>STIPUL</v>
      </c>
    </row>
    <row r="887" spans="1:17" ht="15.75" customHeight="1" x14ac:dyDescent="0.2">
      <c r="A887" s="4" t="s">
        <v>1011</v>
      </c>
      <c r="B887" s="1" t="str">
        <f t="shared" si="14"/>
        <v>STIPUL</v>
      </c>
    </row>
    <row r="888" spans="1:17" ht="15.75" customHeight="1" x14ac:dyDescent="0.2">
      <c r="A888" s="10" t="s">
        <v>1012</v>
      </c>
      <c r="B888" s="1" t="str">
        <f t="shared" si="14"/>
        <v>STIPUL</v>
      </c>
    </row>
    <row r="889" spans="1:17" ht="15.75" customHeight="1" x14ac:dyDescent="0.2">
      <c r="A889" s="4" t="s">
        <v>1013</v>
      </c>
      <c r="B889" s="1" t="str">
        <f t="shared" si="14"/>
        <v>TORARV</v>
      </c>
    </row>
    <row r="890" spans="1:17" ht="15.75" customHeight="1" x14ac:dyDescent="0.2">
      <c r="A890" s="4" t="s">
        <v>1014</v>
      </c>
      <c r="B890" s="1" t="str">
        <f t="shared" si="14"/>
        <v>TORARV</v>
      </c>
    </row>
    <row r="891" spans="1:17" ht="15.75" customHeight="1" x14ac:dyDescent="0.2">
      <c r="A891" s="4" t="s">
        <v>1015</v>
      </c>
      <c r="B891" s="1" t="str">
        <f t="shared" si="14"/>
        <v>TORARV</v>
      </c>
    </row>
    <row r="892" spans="1:17" ht="15.75" customHeight="1" x14ac:dyDescent="0.2">
      <c r="A892" s="10" t="s">
        <v>1016</v>
      </c>
      <c r="B892" s="1" t="str">
        <f t="shared" si="14"/>
        <v>TORARV</v>
      </c>
    </row>
    <row r="893" spans="1:17" ht="15.75" customHeight="1" x14ac:dyDescent="0.2">
      <c r="A893" s="4" t="s">
        <v>1017</v>
      </c>
      <c r="B893" s="1" t="str">
        <f t="shared" si="14"/>
        <v>TORARV</v>
      </c>
      <c r="C893" s="1" t="s">
        <v>42</v>
      </c>
      <c r="D893" s="1" t="s">
        <v>319</v>
      </c>
      <c r="E893" s="1" t="s">
        <v>319</v>
      </c>
      <c r="F893" s="1" t="s">
        <v>319</v>
      </c>
      <c r="G893" s="1" t="s">
        <v>319</v>
      </c>
      <c r="H893" s="1" t="s">
        <v>319</v>
      </c>
      <c r="I893" s="1" t="s">
        <v>319</v>
      </c>
      <c r="J893" s="1" t="s">
        <v>319</v>
      </c>
      <c r="K893" s="1" t="s">
        <v>319</v>
      </c>
      <c r="L893" s="1" t="s">
        <v>319</v>
      </c>
      <c r="M893" s="1" t="s">
        <v>319</v>
      </c>
      <c r="N893" s="1" t="s">
        <v>319</v>
      </c>
      <c r="O893" s="1" t="s">
        <v>319</v>
      </c>
      <c r="P893" s="1" t="s">
        <v>319</v>
      </c>
      <c r="Q893" s="1" t="s">
        <v>1018</v>
      </c>
    </row>
    <row r="894" spans="1:17" ht="15.75" customHeight="1" x14ac:dyDescent="0.2">
      <c r="A894" s="10" t="s">
        <v>1019</v>
      </c>
      <c r="B894" s="1" t="str">
        <f t="shared" si="14"/>
        <v>TORARV</v>
      </c>
    </row>
    <row r="895" spans="1:17" ht="15.75" customHeight="1" x14ac:dyDescent="0.2">
      <c r="A895" s="10" t="s">
        <v>1020</v>
      </c>
      <c r="B895" s="1" t="str">
        <f t="shared" si="14"/>
        <v>TORARV</v>
      </c>
    </row>
    <row r="896" spans="1:17" ht="15.75" customHeight="1" x14ac:dyDescent="0.2">
      <c r="A896" s="10" t="s">
        <v>1021</v>
      </c>
      <c r="B896" s="1" t="str">
        <f t="shared" si="14"/>
        <v>TORARV</v>
      </c>
    </row>
    <row r="897" spans="1:17" ht="15.75" customHeight="1" x14ac:dyDescent="0.2">
      <c r="A897" s="4" t="s">
        <v>1022</v>
      </c>
      <c r="B897" s="1" t="str">
        <f t="shared" si="14"/>
        <v>TORARV</v>
      </c>
    </row>
    <row r="898" spans="1:17" ht="15.75" customHeight="1" x14ac:dyDescent="0.2">
      <c r="A898" s="10" t="s">
        <v>1023</v>
      </c>
      <c r="B898" s="1" t="str">
        <f t="shared" si="14"/>
        <v>TORARV</v>
      </c>
    </row>
    <row r="899" spans="1:17" ht="15.75" customHeight="1" x14ac:dyDescent="0.2">
      <c r="A899" s="4" t="s">
        <v>1024</v>
      </c>
      <c r="B899" s="1" t="str">
        <f t="shared" si="14"/>
        <v>TORARV</v>
      </c>
    </row>
    <row r="900" spans="1:17" ht="15.75" customHeight="1" x14ac:dyDescent="0.2">
      <c r="A900" s="10" t="s">
        <v>1025</v>
      </c>
      <c r="B900" s="1" t="str">
        <f t="shared" si="14"/>
        <v>TORARV</v>
      </c>
    </row>
    <row r="901" spans="1:17" ht="15.75" customHeight="1" x14ac:dyDescent="0.2">
      <c r="A901" s="4" t="s">
        <v>1026</v>
      </c>
      <c r="B901" s="1" t="str">
        <f t="shared" si="14"/>
        <v>TORARV</v>
      </c>
    </row>
    <row r="902" spans="1:17" ht="15.75" customHeight="1" x14ac:dyDescent="0.2">
      <c r="A902" s="4" t="s">
        <v>1027</v>
      </c>
      <c r="B902" s="1" t="str">
        <f t="shared" si="14"/>
        <v>TORARV</v>
      </c>
    </row>
    <row r="903" spans="1:17" ht="15.75" customHeight="1" x14ac:dyDescent="0.2">
      <c r="A903" s="10" t="s">
        <v>1028</v>
      </c>
      <c r="B903" s="1" t="str">
        <f t="shared" si="14"/>
        <v>TORARV</v>
      </c>
      <c r="C903" s="1" t="s">
        <v>42</v>
      </c>
      <c r="D903" s="1" t="s">
        <v>319</v>
      </c>
      <c r="E903" s="1" t="s">
        <v>319</v>
      </c>
      <c r="F903" s="1" t="s">
        <v>319</v>
      </c>
      <c r="G903" s="1" t="s">
        <v>319</v>
      </c>
      <c r="H903" s="1" t="s">
        <v>319</v>
      </c>
      <c r="I903" s="1" t="s">
        <v>319</v>
      </c>
      <c r="J903" s="1" t="s">
        <v>319</v>
      </c>
      <c r="K903" s="1" t="s">
        <v>319</v>
      </c>
      <c r="L903" s="1" t="s">
        <v>319</v>
      </c>
      <c r="M903" s="1" t="s">
        <v>319</v>
      </c>
      <c r="N903" s="1" t="s">
        <v>319</v>
      </c>
      <c r="O903" s="1" t="s">
        <v>319</v>
      </c>
      <c r="P903" s="1" t="s">
        <v>319</v>
      </c>
      <c r="Q903" s="1" t="s">
        <v>1029</v>
      </c>
    </row>
    <row r="904" spans="1:17" ht="15.75" customHeight="1" x14ac:dyDescent="0.2">
      <c r="A904" s="4" t="s">
        <v>1030</v>
      </c>
      <c r="B904" s="1" t="str">
        <f t="shared" si="14"/>
        <v>TORARV</v>
      </c>
    </row>
    <row r="905" spans="1:17" ht="15.75" customHeight="1" x14ac:dyDescent="0.2">
      <c r="A905" s="4" t="s">
        <v>1031</v>
      </c>
      <c r="B905" s="1" t="str">
        <f t="shared" si="14"/>
        <v>TRIHIR</v>
      </c>
    </row>
    <row r="906" spans="1:17" ht="15.75" customHeight="1" x14ac:dyDescent="0.2">
      <c r="A906" s="4" t="s">
        <v>1032</v>
      </c>
      <c r="B906" s="1" t="str">
        <f t="shared" si="14"/>
        <v>TRIHIR</v>
      </c>
    </row>
    <row r="907" spans="1:17" ht="15.75" customHeight="1" x14ac:dyDescent="0.2">
      <c r="A907" s="10" t="s">
        <v>1033</v>
      </c>
      <c r="B907" s="1" t="str">
        <f t="shared" si="14"/>
        <v>TRIHIR</v>
      </c>
    </row>
    <row r="908" spans="1:17" ht="15.75" customHeight="1" x14ac:dyDescent="0.2">
      <c r="A908" s="4" t="s">
        <v>1034</v>
      </c>
      <c r="B908" s="1" t="str">
        <f t="shared" si="14"/>
        <v>TRIHIR</v>
      </c>
    </row>
    <row r="909" spans="1:17" ht="15.75" customHeight="1" x14ac:dyDescent="0.2">
      <c r="A909" s="10" t="s">
        <v>1035</v>
      </c>
      <c r="B909" s="1" t="str">
        <f t="shared" si="14"/>
        <v>TRIHIR</v>
      </c>
    </row>
    <row r="910" spans="1:17" ht="15.75" customHeight="1" x14ac:dyDescent="0.2">
      <c r="A910" s="4" t="s">
        <v>1036</v>
      </c>
      <c r="B910" s="1" t="str">
        <f t="shared" si="14"/>
        <v>TRIHIR</v>
      </c>
    </row>
    <row r="911" spans="1:17" ht="15.75" customHeight="1" x14ac:dyDescent="0.2">
      <c r="A911" s="4" t="s">
        <v>1037</v>
      </c>
      <c r="B911" s="1" t="str">
        <f t="shared" si="14"/>
        <v>TRIHIR</v>
      </c>
      <c r="C911" s="1" t="s">
        <v>42</v>
      </c>
      <c r="D911" s="1" t="s">
        <v>319</v>
      </c>
      <c r="E911" s="1" t="s">
        <v>319</v>
      </c>
      <c r="F911" s="1" t="s">
        <v>319</v>
      </c>
      <c r="G911" s="1" t="s">
        <v>319</v>
      </c>
      <c r="H911" s="1" t="s">
        <v>319</v>
      </c>
      <c r="I911" s="1" t="s">
        <v>319</v>
      </c>
      <c r="J911" s="1" t="s">
        <v>319</v>
      </c>
      <c r="K911" s="1" t="s">
        <v>319</v>
      </c>
      <c r="L911" s="1" t="s">
        <v>319</v>
      </c>
      <c r="M911" s="1" t="s">
        <v>319</v>
      </c>
      <c r="N911" s="1" t="s">
        <v>319</v>
      </c>
      <c r="O911" s="1" t="s">
        <v>319</v>
      </c>
      <c r="P911" s="1" t="s">
        <v>319</v>
      </c>
      <c r="Q911" s="1" t="s">
        <v>1038</v>
      </c>
    </row>
    <row r="912" spans="1:17" ht="15.75" customHeight="1" x14ac:dyDescent="0.2">
      <c r="A912" s="4" t="s">
        <v>1039</v>
      </c>
      <c r="B912" s="1" t="str">
        <f t="shared" si="14"/>
        <v>TRIHIR</v>
      </c>
    </row>
    <row r="913" spans="1:17" ht="15.75" customHeight="1" x14ac:dyDescent="0.2">
      <c r="A913" s="10" t="s">
        <v>1040</v>
      </c>
      <c r="B913" s="1" t="str">
        <f t="shared" si="14"/>
        <v>TRIHIR</v>
      </c>
    </row>
    <row r="914" spans="1:17" ht="15.75" customHeight="1" x14ac:dyDescent="0.2">
      <c r="A914" s="4" t="s">
        <v>1041</v>
      </c>
      <c r="B914" s="1" t="str">
        <f t="shared" si="14"/>
        <v>TRIHIR</v>
      </c>
    </row>
    <row r="915" spans="1:17" ht="15.75" customHeight="1" x14ac:dyDescent="0.2">
      <c r="A915" s="10" t="s">
        <v>1042</v>
      </c>
      <c r="B915" s="1" t="str">
        <f t="shared" si="14"/>
        <v>TRIHIR</v>
      </c>
    </row>
    <row r="916" spans="1:17" ht="15.75" customHeight="1" x14ac:dyDescent="0.2">
      <c r="A916" s="10" t="s">
        <v>1043</v>
      </c>
      <c r="B916" s="1" t="str">
        <f t="shared" si="14"/>
        <v>TRIHIR</v>
      </c>
    </row>
    <row r="917" spans="1:17" ht="15.75" customHeight="1" x14ac:dyDescent="0.2">
      <c r="A917" s="10" t="s">
        <v>1044</v>
      </c>
      <c r="B917" s="1" t="str">
        <f t="shared" si="14"/>
        <v>TRIHIR</v>
      </c>
    </row>
    <row r="918" spans="1:17" ht="15.75" customHeight="1" x14ac:dyDescent="0.2">
      <c r="A918" s="4" t="s">
        <v>1045</v>
      </c>
      <c r="B918" s="1" t="str">
        <f t="shared" si="14"/>
        <v>TRIHIR</v>
      </c>
    </row>
    <row r="919" spans="1:17" ht="15.75" customHeight="1" x14ac:dyDescent="0.2">
      <c r="A919" s="10" t="s">
        <v>1046</v>
      </c>
      <c r="B919" s="1" t="str">
        <f t="shared" si="14"/>
        <v>TRIHIR</v>
      </c>
      <c r="C919" s="1" t="s">
        <v>42</v>
      </c>
      <c r="D919" s="1" t="s">
        <v>319</v>
      </c>
      <c r="E919" s="1" t="s">
        <v>319</v>
      </c>
      <c r="F919" s="1" t="s">
        <v>319</v>
      </c>
      <c r="G919" s="1" t="s">
        <v>319</v>
      </c>
      <c r="H919" s="1" t="s">
        <v>319</v>
      </c>
      <c r="I919" s="1" t="s">
        <v>319</v>
      </c>
      <c r="J919" s="1" t="s">
        <v>319</v>
      </c>
      <c r="K919" s="1" t="s">
        <v>319</v>
      </c>
      <c r="L919" s="1" t="s">
        <v>319</v>
      </c>
      <c r="M919" s="1" t="s">
        <v>319</v>
      </c>
      <c r="N919" s="1" t="s">
        <v>319</v>
      </c>
      <c r="O919" s="1" t="s">
        <v>319</v>
      </c>
      <c r="P919" s="1" t="s">
        <v>319</v>
      </c>
      <c r="Q919" s="1" t="s">
        <v>1047</v>
      </c>
    </row>
    <row r="920" spans="1:17" ht="15.75" customHeight="1" x14ac:dyDescent="0.2">
      <c r="A920" s="4" t="s">
        <v>1048</v>
      </c>
      <c r="B920" s="1" t="str">
        <f t="shared" si="14"/>
        <v>TRIHIR</v>
      </c>
    </row>
    <row r="921" spans="1:17" ht="15.75" customHeight="1" x14ac:dyDescent="0.2">
      <c r="A921" s="10" t="s">
        <v>1049</v>
      </c>
      <c r="B921" s="1" t="str">
        <f t="shared" si="14"/>
        <v>TRIHIR</v>
      </c>
    </row>
    <row r="922" spans="1:17" ht="15.75" customHeight="1" x14ac:dyDescent="0.2">
      <c r="A922" s="4" t="s">
        <v>1050</v>
      </c>
      <c r="B922" s="1" t="str">
        <f t="shared" si="14"/>
        <v>TRIHIR</v>
      </c>
    </row>
    <row r="923" spans="1:17" ht="15.75" customHeight="1" x14ac:dyDescent="0.2">
      <c r="A923" s="10" t="s">
        <v>1051</v>
      </c>
      <c r="B923" s="1" t="str">
        <f t="shared" si="14"/>
        <v>TRIHIR</v>
      </c>
    </row>
    <row r="924" spans="1:17" ht="15.75" customHeight="1" x14ac:dyDescent="0.2">
      <c r="A924" s="4" t="s">
        <v>1052</v>
      </c>
      <c r="B924" s="1" t="str">
        <f t="shared" si="14"/>
        <v>TRIHIR</v>
      </c>
      <c r="C924" s="1" t="s">
        <v>42</v>
      </c>
      <c r="D924" s="1" t="s">
        <v>319</v>
      </c>
      <c r="E924" s="1" t="s">
        <v>319</v>
      </c>
      <c r="F924" s="1" t="s">
        <v>319</v>
      </c>
      <c r="G924" s="1" t="s">
        <v>319</v>
      </c>
      <c r="H924" s="1" t="s">
        <v>319</v>
      </c>
      <c r="I924" s="1" t="s">
        <v>319</v>
      </c>
      <c r="J924" s="1" t="s">
        <v>319</v>
      </c>
      <c r="K924" s="1" t="s">
        <v>319</v>
      </c>
      <c r="L924" s="1" t="s">
        <v>319</v>
      </c>
      <c r="M924" s="1" t="s">
        <v>319</v>
      </c>
      <c r="N924" s="1" t="s">
        <v>319</v>
      </c>
      <c r="O924" s="1" t="s">
        <v>319</v>
      </c>
      <c r="P924" s="1" t="s">
        <v>319</v>
      </c>
      <c r="Q924" s="1" t="s">
        <v>565</v>
      </c>
    </row>
    <row r="925" spans="1:17" ht="15.75" customHeight="1" x14ac:dyDescent="0.2">
      <c r="A925" s="10" t="s">
        <v>1053</v>
      </c>
      <c r="B925" s="1" t="str">
        <f t="shared" si="14"/>
        <v>TRIHIR</v>
      </c>
    </row>
    <row r="926" spans="1:17" ht="15.75" customHeight="1" x14ac:dyDescent="0.2">
      <c r="A926" s="4" t="s">
        <v>1054</v>
      </c>
      <c r="B926" s="1" t="str">
        <f t="shared" si="14"/>
        <v>TRIHIR</v>
      </c>
    </row>
    <row r="927" spans="1:17" ht="15.75" customHeight="1" x14ac:dyDescent="0.2">
      <c r="A927" s="10" t="s">
        <v>1055</v>
      </c>
      <c r="B927" s="1" t="str">
        <f t="shared" si="14"/>
        <v>TRIHIR</v>
      </c>
    </row>
    <row r="928" spans="1:17" ht="15.75" customHeight="1" x14ac:dyDescent="0.2">
      <c r="A928" s="10" t="s">
        <v>1056</v>
      </c>
      <c r="B928" s="1" t="str">
        <f t="shared" si="14"/>
        <v>TRIHIR</v>
      </c>
    </row>
    <row r="929" spans="1:17" ht="15.75" customHeight="1" x14ac:dyDescent="0.2">
      <c r="A929" s="4" t="s">
        <v>1057</v>
      </c>
      <c r="B929" s="1" t="str">
        <f t="shared" si="14"/>
        <v>TRIHIR</v>
      </c>
    </row>
    <row r="930" spans="1:17" ht="15.75" customHeight="1" x14ac:dyDescent="0.2">
      <c r="A930" s="4" t="s">
        <v>1058</v>
      </c>
      <c r="B930" s="1" t="str">
        <f t="shared" si="14"/>
        <v>TRIHIR</v>
      </c>
    </row>
    <row r="931" spans="1:17" ht="15.75" customHeight="1" x14ac:dyDescent="0.2">
      <c r="A931" s="4" t="s">
        <v>1059</v>
      </c>
      <c r="B931" s="1" t="str">
        <f t="shared" si="14"/>
        <v>TRIHIR</v>
      </c>
      <c r="C931" s="1" t="s">
        <v>42</v>
      </c>
      <c r="D931" s="1" t="s">
        <v>319</v>
      </c>
      <c r="E931" s="1" t="s">
        <v>319</v>
      </c>
      <c r="F931" s="1" t="s">
        <v>319</v>
      </c>
      <c r="G931" s="1" t="s">
        <v>319</v>
      </c>
      <c r="H931" s="1" t="s">
        <v>319</v>
      </c>
      <c r="I931" s="1" t="s">
        <v>319</v>
      </c>
      <c r="J931" s="1" t="s">
        <v>319</v>
      </c>
      <c r="K931" s="1" t="s">
        <v>319</v>
      </c>
      <c r="L931" s="1" t="s">
        <v>319</v>
      </c>
      <c r="M931" s="1" t="s">
        <v>319</v>
      </c>
      <c r="N931" s="1" t="s">
        <v>319</v>
      </c>
      <c r="O931" s="1" t="s">
        <v>319</v>
      </c>
      <c r="P931" s="1" t="s">
        <v>319</v>
      </c>
      <c r="Q931" s="1" t="s">
        <v>1060</v>
      </c>
    </row>
    <row r="932" spans="1:17" ht="15.75" customHeight="1" x14ac:dyDescent="0.2">
      <c r="A932" s="10" t="s">
        <v>1061</v>
      </c>
      <c r="B932" s="1" t="str">
        <f t="shared" si="14"/>
        <v>TRIHIR</v>
      </c>
    </row>
    <row r="933" spans="1:17" ht="15.75" customHeight="1" x14ac:dyDescent="0.2">
      <c r="A933" s="4" t="s">
        <v>1062</v>
      </c>
      <c r="B933" s="1" t="str">
        <f t="shared" si="14"/>
        <v>TRIHIR</v>
      </c>
    </row>
    <row r="934" spans="1:17" ht="15.75" customHeight="1" x14ac:dyDescent="0.2">
      <c r="A934" s="4" t="s">
        <v>1063</v>
      </c>
      <c r="B934" s="1" t="str">
        <f t="shared" si="14"/>
        <v>TRIHIR</v>
      </c>
    </row>
    <row r="935" spans="1:17" ht="15.75" customHeight="1" x14ac:dyDescent="0.2">
      <c r="A935" s="4" t="s">
        <v>1064</v>
      </c>
      <c r="B935" s="1" t="str">
        <f t="shared" si="14"/>
        <v>TRIHIR</v>
      </c>
    </row>
    <row r="936" spans="1:17" ht="15.75" customHeight="1" x14ac:dyDescent="0.2">
      <c r="A936" s="10" t="s">
        <v>1065</v>
      </c>
      <c r="B936" s="1" t="str">
        <f t="shared" si="14"/>
        <v>TRIHIR</v>
      </c>
    </row>
    <row r="937" spans="1:17" ht="15.75" customHeight="1" x14ac:dyDescent="0.2">
      <c r="A937" s="4" t="s">
        <v>1066</v>
      </c>
      <c r="B937" s="1" t="str">
        <f t="shared" si="14"/>
        <v>VICSAT</v>
      </c>
      <c r="C937" s="1" t="s">
        <v>1067</v>
      </c>
      <c r="D937" s="3">
        <v>45067</v>
      </c>
      <c r="E937" s="1">
        <v>213</v>
      </c>
      <c r="F937" s="1">
        <v>1.15E-2</v>
      </c>
      <c r="G937" s="1">
        <v>8.8000000000000005E-3</v>
      </c>
      <c r="H937" s="1">
        <v>9.1999999999999998E-3</v>
      </c>
      <c r="I937" s="1">
        <v>7.4999999999999997E-3</v>
      </c>
      <c r="J937" s="1">
        <v>7.7000000000000002E-3</v>
      </c>
      <c r="K937" s="1">
        <v>7.1000000000000004E-3</v>
      </c>
      <c r="L937" s="1">
        <v>1.1299999999999999E-2</v>
      </c>
      <c r="M937" s="1">
        <v>1.17E-2</v>
      </c>
      <c r="N937" s="1">
        <v>1.03E-2</v>
      </c>
      <c r="O937" s="1">
        <v>1.03E-2</v>
      </c>
      <c r="P937" s="1">
        <v>34.04</v>
      </c>
    </row>
    <row r="938" spans="1:17" ht="15.75" customHeight="1" x14ac:dyDescent="0.2">
      <c r="A938" s="4" t="s">
        <v>1068</v>
      </c>
      <c r="B938" s="1" t="str">
        <f t="shared" si="14"/>
        <v>VICSAT</v>
      </c>
      <c r="C938" s="1" t="s">
        <v>1069</v>
      </c>
      <c r="D938" s="3">
        <v>45067</v>
      </c>
      <c r="E938" s="1">
        <v>89</v>
      </c>
      <c r="F938" s="1">
        <v>8.3000000000000001E-3</v>
      </c>
      <c r="G938" s="1">
        <v>7.0000000000000001E-3</v>
      </c>
      <c r="H938" s="1">
        <v>7.7000000000000002E-3</v>
      </c>
      <c r="I938" s="1">
        <v>1.3599999999999999E-2</v>
      </c>
      <c r="J938" s="1">
        <v>8.8000000000000005E-3</v>
      </c>
      <c r="K938" s="1">
        <v>5.3E-3</v>
      </c>
      <c r="L938" s="1">
        <v>7.0000000000000001E-3</v>
      </c>
      <c r="M938" s="1">
        <v>7.7999999999999996E-3</v>
      </c>
      <c r="P938" s="1">
        <v>14.61</v>
      </c>
    </row>
    <row r="939" spans="1:17" ht="15.75" customHeight="1" x14ac:dyDescent="0.2">
      <c r="A939" s="4" t="s">
        <v>1070</v>
      </c>
      <c r="B939" s="1" t="str">
        <f t="shared" si="14"/>
        <v>VICSAT</v>
      </c>
    </row>
    <row r="940" spans="1:17" ht="15.75" customHeight="1" x14ac:dyDescent="0.2">
      <c r="A940" s="10" t="s">
        <v>1071</v>
      </c>
      <c r="B940" s="1" t="str">
        <f t="shared" si="14"/>
        <v>VICSAT</v>
      </c>
      <c r="C940" s="1" t="s">
        <v>272</v>
      </c>
      <c r="D940" s="3">
        <v>45067</v>
      </c>
      <c r="E940" s="1">
        <v>108</v>
      </c>
      <c r="P940" s="1">
        <v>24.8</v>
      </c>
      <c r="Q940" s="1" t="s">
        <v>676</v>
      </c>
    </row>
    <row r="941" spans="1:17" ht="15.75" customHeight="1" x14ac:dyDescent="0.2">
      <c r="A941" s="4" t="s">
        <v>1072</v>
      </c>
      <c r="B941" s="1" t="str">
        <f t="shared" si="14"/>
        <v>VICSAT</v>
      </c>
      <c r="C941" s="1" t="s">
        <v>1069</v>
      </c>
      <c r="D941" s="3">
        <v>45067</v>
      </c>
      <c r="E941" s="1">
        <v>168</v>
      </c>
      <c r="F941" s="1">
        <v>1.26E-2</v>
      </c>
      <c r="G941" s="1">
        <v>9.7999999999999997E-3</v>
      </c>
      <c r="H941" s="1">
        <v>1.47E-2</v>
      </c>
      <c r="P941" s="1">
        <v>27.89</v>
      </c>
    </row>
    <row r="942" spans="1:17" ht="15.75" customHeight="1" x14ac:dyDescent="0.2">
      <c r="A942" s="10" t="s">
        <v>1073</v>
      </c>
      <c r="B942" s="1" t="str">
        <f t="shared" si="14"/>
        <v>VICSAT</v>
      </c>
    </row>
    <row r="943" spans="1:17" ht="15.75" customHeight="1" x14ac:dyDescent="0.2">
      <c r="A943" s="10" t="s">
        <v>1074</v>
      </c>
      <c r="B943" s="1" t="str">
        <f t="shared" si="14"/>
        <v>VICSAT</v>
      </c>
      <c r="C943" s="1" t="s">
        <v>1069</v>
      </c>
      <c r="D943" s="3">
        <v>45068</v>
      </c>
      <c r="E943" s="1">
        <v>82</v>
      </c>
      <c r="F943" s="1">
        <v>8.0000000000000002E-3</v>
      </c>
      <c r="G943" s="1">
        <v>7.4999999999999997E-3</v>
      </c>
      <c r="H943" s="1">
        <v>7.9000000000000008E-3</v>
      </c>
      <c r="I943" s="1">
        <v>7.3000000000000001E-3</v>
      </c>
      <c r="J943" s="1">
        <v>7.9000000000000008E-3</v>
      </c>
      <c r="K943" s="1">
        <v>8.9999999999999993E-3</v>
      </c>
      <c r="L943" s="1">
        <v>7.0000000000000001E-3</v>
      </c>
      <c r="M943" s="1">
        <v>5.4000000000000003E-3</v>
      </c>
      <c r="P943" s="1">
        <v>16.399999999999999</v>
      </c>
    </row>
    <row r="944" spans="1:17" ht="15.75" customHeight="1" x14ac:dyDescent="0.2">
      <c r="A944" s="10" t="s">
        <v>1075</v>
      </c>
      <c r="B944" s="1" t="str">
        <f t="shared" si="14"/>
        <v>VICSAT</v>
      </c>
      <c r="C944" s="1" t="s">
        <v>272</v>
      </c>
      <c r="D944" s="3">
        <v>45068</v>
      </c>
      <c r="E944" s="1">
        <v>130</v>
      </c>
      <c r="F944" s="1">
        <v>3.5999999999999999E-3</v>
      </c>
      <c r="G944" s="1">
        <v>4.4000000000000003E-3</v>
      </c>
      <c r="H944" s="1">
        <v>4.4000000000000003E-3</v>
      </c>
      <c r="I944" s="1">
        <v>4.4999999999999997E-3</v>
      </c>
      <c r="J944" s="1">
        <v>3.3E-3</v>
      </c>
      <c r="K944" s="1">
        <v>4.5999999999999999E-3</v>
      </c>
      <c r="L944" s="1">
        <v>3.5999999999999999E-3</v>
      </c>
      <c r="M944" s="1">
        <v>6.3E-3</v>
      </c>
      <c r="N944" s="1">
        <v>3.8E-3</v>
      </c>
      <c r="O944" s="1">
        <v>3.8999999999999998E-3</v>
      </c>
      <c r="P944" s="1">
        <v>16.82</v>
      </c>
    </row>
    <row r="945" spans="1:16" ht="15.75" customHeight="1" x14ac:dyDescent="0.2">
      <c r="A945" s="4" t="s">
        <v>1076</v>
      </c>
      <c r="B945" s="1" t="str">
        <f t="shared" si="14"/>
        <v>VICSAT</v>
      </c>
    </row>
    <row r="946" spans="1:16" ht="15.75" customHeight="1" x14ac:dyDescent="0.2">
      <c r="A946" s="10" t="s">
        <v>1077</v>
      </c>
      <c r="B946" s="1" t="str">
        <f t="shared" si="14"/>
        <v>VICSAT</v>
      </c>
      <c r="C946" s="1" t="s">
        <v>272</v>
      </c>
      <c r="D946" s="3">
        <v>45068</v>
      </c>
      <c r="E946" s="1">
        <v>22</v>
      </c>
      <c r="F946" s="1">
        <v>7.3000000000000001E-3</v>
      </c>
      <c r="G946" s="1">
        <v>9.2999999999999992E-3</v>
      </c>
      <c r="P946" s="1">
        <v>3.48</v>
      </c>
    </row>
    <row r="947" spans="1:16" ht="15.75" customHeight="1" x14ac:dyDescent="0.2">
      <c r="A947" s="4" t="s">
        <v>1078</v>
      </c>
      <c r="B947" s="1" t="str">
        <f t="shared" si="14"/>
        <v>VICSAT</v>
      </c>
      <c r="C947" s="1" t="s">
        <v>1069</v>
      </c>
      <c r="D947" s="3">
        <v>45068</v>
      </c>
      <c r="E947" s="1">
        <v>133</v>
      </c>
      <c r="F947" s="1">
        <v>9.1000000000000004E-3</v>
      </c>
      <c r="G947" s="1">
        <v>1.12E-2</v>
      </c>
      <c r="H947" s="1">
        <v>6.1999999999999998E-3</v>
      </c>
      <c r="I947" s="1">
        <v>7.3000000000000001E-3</v>
      </c>
      <c r="J947" s="1">
        <v>9.1000000000000004E-3</v>
      </c>
      <c r="K947" s="1">
        <v>5.5999999999999999E-3</v>
      </c>
      <c r="L947" s="1">
        <v>5.7000000000000002E-3</v>
      </c>
      <c r="M947" s="1">
        <v>6.4999999999999997E-3</v>
      </c>
      <c r="N947" s="1">
        <v>6.4000000000000003E-3</v>
      </c>
      <c r="O947" s="1">
        <v>5.8999999999999999E-3</v>
      </c>
      <c r="P947" s="1">
        <v>29.62</v>
      </c>
    </row>
    <row r="948" spans="1:16" ht="15.75" customHeight="1" x14ac:dyDescent="0.2">
      <c r="A948" s="10" t="s">
        <v>1079</v>
      </c>
      <c r="B948" s="1" t="str">
        <f t="shared" si="14"/>
        <v>VICSAT</v>
      </c>
    </row>
    <row r="949" spans="1:16" ht="15.75" customHeight="1" x14ac:dyDescent="0.2">
      <c r="A949" s="4" t="s">
        <v>1080</v>
      </c>
      <c r="B949" s="1" t="str">
        <f t="shared" si="14"/>
        <v>VICSAT</v>
      </c>
      <c r="C949" s="1" t="s">
        <v>1067</v>
      </c>
      <c r="D949" s="1" t="s">
        <v>1081</v>
      </c>
      <c r="E949" s="1">
        <v>91</v>
      </c>
      <c r="F949" s="1">
        <v>9.5999999999999992E-3</v>
      </c>
      <c r="G949" s="1">
        <v>8.3000000000000001E-3</v>
      </c>
      <c r="H949" s="1">
        <v>6.4999999999999997E-3</v>
      </c>
      <c r="I949" s="1">
        <v>8.0000000000000002E-3</v>
      </c>
      <c r="J949" s="1">
        <v>8.0000000000000002E-3</v>
      </c>
      <c r="K949" s="1">
        <v>8.5000000000000006E-3</v>
      </c>
      <c r="L949" s="1">
        <v>8.8999999999999999E-3</v>
      </c>
      <c r="M949" s="1">
        <v>8.3999999999999995E-3</v>
      </c>
      <c r="N949" s="1">
        <v>8.3000000000000001E-3</v>
      </c>
      <c r="O949" s="1">
        <v>7.1000000000000004E-3</v>
      </c>
      <c r="P949" s="1">
        <v>13.18</v>
      </c>
    </row>
    <row r="950" spans="1:16" ht="15.75" customHeight="1" x14ac:dyDescent="0.2">
      <c r="A950" s="4" t="s">
        <v>1082</v>
      </c>
      <c r="B950" s="1" t="str">
        <f t="shared" si="14"/>
        <v>VICSAT</v>
      </c>
    </row>
    <row r="951" spans="1:16" ht="15.75" customHeight="1" x14ac:dyDescent="0.2">
      <c r="A951" s="10" t="s">
        <v>1083</v>
      </c>
      <c r="B951" s="1" t="str">
        <f t="shared" si="14"/>
        <v>VICSAT</v>
      </c>
      <c r="C951" s="1" t="s">
        <v>272</v>
      </c>
      <c r="D951" s="3">
        <v>45068</v>
      </c>
      <c r="E951" s="1">
        <v>120</v>
      </c>
      <c r="F951" s="1">
        <v>7.4000000000000003E-3</v>
      </c>
      <c r="G951" s="1">
        <v>7.1999999999999998E-3</v>
      </c>
      <c r="H951" s="1">
        <v>8.3999999999999995E-3</v>
      </c>
      <c r="I951" s="1">
        <v>1.14E-2</v>
      </c>
      <c r="J951" s="1">
        <v>8.9999999999999993E-3</v>
      </c>
      <c r="K951" s="1">
        <v>9.5999999999999992E-3</v>
      </c>
      <c r="L951" s="1">
        <v>8.6999999999999994E-3</v>
      </c>
      <c r="M951" s="1">
        <v>6.3E-3</v>
      </c>
      <c r="N951" s="1">
        <v>6.7999999999999996E-3</v>
      </c>
      <c r="P951" s="1">
        <v>20.62</v>
      </c>
    </row>
    <row r="952" spans="1:16" ht="15.75" customHeight="1" x14ac:dyDescent="0.2">
      <c r="A952" s="4" t="s">
        <v>1084</v>
      </c>
      <c r="B952" s="1" t="str">
        <f t="shared" si="14"/>
        <v>VICSAT</v>
      </c>
    </row>
    <row r="953" spans="1:16" ht="15.75" customHeight="1" x14ac:dyDescent="0.2"/>
    <row r="954" spans="1:16" ht="15.75" customHeight="1" x14ac:dyDescent="0.2"/>
    <row r="955" spans="1:16" ht="15.75" customHeight="1" x14ac:dyDescent="0.2"/>
    <row r="956" spans="1:16" ht="15.75" customHeight="1" x14ac:dyDescent="0.2"/>
    <row r="957" spans="1:16" ht="15.75" customHeight="1" x14ac:dyDescent="0.2"/>
    <row r="958" spans="1:16" ht="15.75" customHeight="1" x14ac:dyDescent="0.2"/>
    <row r="959" spans="1:16" ht="15.75" customHeight="1" x14ac:dyDescent="0.2"/>
    <row r="960" spans="1:16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pane ySplit="1" topLeftCell="A8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11" customWidth="1"/>
    <col min="2" max="2" width="16.1640625" customWidth="1"/>
    <col min="3" max="3" width="11" customWidth="1"/>
    <col min="4" max="4" width="16.6640625" customWidth="1"/>
    <col min="5" max="5" width="14.1640625" customWidth="1"/>
    <col min="6" max="6" width="12.5" customWidth="1"/>
    <col min="7" max="15" width="11" customWidth="1"/>
    <col min="16" max="16" width="15.33203125" customWidth="1"/>
    <col min="17" max="17" width="17.6640625" customWidth="1"/>
    <col min="18" max="26" width="11" customWidth="1"/>
  </cols>
  <sheetData>
    <row r="1" spans="1:19" ht="15.75" customHeight="1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1085</v>
      </c>
      <c r="Q1" s="1" t="s">
        <v>1086</v>
      </c>
      <c r="R1" s="1" t="s">
        <v>15</v>
      </c>
      <c r="S1" s="1" t="s">
        <v>16</v>
      </c>
    </row>
    <row r="2" spans="1:19" ht="15.75" customHeight="1" x14ac:dyDescent="0.2">
      <c r="A2" s="1" t="s">
        <v>641</v>
      </c>
      <c r="B2" s="1" t="s">
        <v>640</v>
      </c>
      <c r="C2" s="1" t="s">
        <v>1087</v>
      </c>
      <c r="D2" s="3">
        <v>45091</v>
      </c>
      <c r="E2" s="1">
        <v>22</v>
      </c>
      <c r="F2" s="1">
        <v>1.5E-3</v>
      </c>
      <c r="G2" s="1">
        <v>2.3999999999999998E-3</v>
      </c>
      <c r="H2" s="1">
        <v>2.8E-3</v>
      </c>
      <c r="I2" s="1">
        <v>3.8E-3</v>
      </c>
      <c r="J2" s="1">
        <v>1.9E-3</v>
      </c>
      <c r="R2" s="1">
        <v>0.34</v>
      </c>
    </row>
    <row r="3" spans="1:19" ht="15.75" customHeight="1" x14ac:dyDescent="0.2">
      <c r="A3" s="1" t="s">
        <v>44</v>
      </c>
      <c r="B3" s="1" t="s">
        <v>643</v>
      </c>
      <c r="C3" s="1" t="s">
        <v>1087</v>
      </c>
      <c r="D3" s="3">
        <v>45126</v>
      </c>
      <c r="E3" s="1">
        <v>92</v>
      </c>
      <c r="F3" s="1">
        <v>1.9E-3</v>
      </c>
      <c r="G3" s="1">
        <v>2.2000000000000001E-3</v>
      </c>
      <c r="H3" s="1">
        <v>1.1999999999999999E-3</v>
      </c>
      <c r="I3" s="1">
        <v>1.8E-3</v>
      </c>
      <c r="J3" s="1">
        <v>1.6000000000000001E-3</v>
      </c>
      <c r="K3" s="1">
        <v>3.0000000000000001E-3</v>
      </c>
      <c r="L3" s="1">
        <v>1.2999999999999999E-3</v>
      </c>
      <c r="M3" s="1">
        <v>8.9999999999999998E-4</v>
      </c>
      <c r="N3" s="1">
        <v>1.2999999999999999E-3</v>
      </c>
      <c r="O3" s="1">
        <v>1.2999999999999999E-3</v>
      </c>
    </row>
    <row r="4" spans="1:19" ht="15.75" customHeight="1" x14ac:dyDescent="0.2">
      <c r="A4" s="1" t="s">
        <v>201</v>
      </c>
      <c r="B4" s="1" t="s">
        <v>645</v>
      </c>
      <c r="C4" s="1" t="s">
        <v>1087</v>
      </c>
      <c r="D4" s="3">
        <v>45126</v>
      </c>
      <c r="E4" s="1">
        <v>831</v>
      </c>
      <c r="F4" s="1">
        <v>1.6999999999999999E-3</v>
      </c>
      <c r="G4" s="1">
        <v>3.7000000000000002E-3</v>
      </c>
      <c r="H4" s="1">
        <v>4.4000000000000003E-3</v>
      </c>
      <c r="I4" s="1">
        <v>4.1000000000000003E-3</v>
      </c>
      <c r="J4" s="1">
        <v>0.03</v>
      </c>
      <c r="K4" s="1">
        <v>3.0999999999999999E-3</v>
      </c>
      <c r="L4" s="1">
        <v>2.8E-3</v>
      </c>
      <c r="M4" s="1">
        <v>1.9E-3</v>
      </c>
      <c r="N4" s="1">
        <v>1.1000000000000001E-3</v>
      </c>
      <c r="O4" s="1">
        <v>2.7000000000000001E-3</v>
      </c>
      <c r="R4" s="1">
        <v>5.99</v>
      </c>
    </row>
    <row r="5" spans="1:19" ht="15.75" customHeight="1" x14ac:dyDescent="0.2">
      <c r="A5" s="1" t="s">
        <v>272</v>
      </c>
      <c r="B5" s="1" t="s">
        <v>649</v>
      </c>
      <c r="C5" s="1" t="s">
        <v>1087</v>
      </c>
      <c r="D5" s="3">
        <v>45077</v>
      </c>
      <c r="E5" s="1">
        <v>25</v>
      </c>
      <c r="F5" s="1">
        <v>3.3E-3</v>
      </c>
      <c r="G5" s="1">
        <v>1.2999999999999999E-3</v>
      </c>
      <c r="H5" s="1">
        <v>1.2999999999999999E-3</v>
      </c>
      <c r="I5" s="1">
        <v>1.4E-3</v>
      </c>
    </row>
    <row r="6" spans="1:19" ht="15.75" customHeight="1" x14ac:dyDescent="0.2">
      <c r="A6" s="1" t="s">
        <v>655</v>
      </c>
      <c r="B6" s="1" t="s">
        <v>654</v>
      </c>
      <c r="C6" s="1" t="s">
        <v>1087</v>
      </c>
      <c r="D6" s="3">
        <v>45126</v>
      </c>
      <c r="E6" s="1">
        <v>137</v>
      </c>
      <c r="F6" s="1">
        <v>2.7000000000000001E-3</v>
      </c>
      <c r="G6" s="1">
        <v>3.3999999999999998E-3</v>
      </c>
      <c r="H6" s="1">
        <v>1.5E-3</v>
      </c>
      <c r="I6" s="1">
        <v>1.6000000000000001E-3</v>
      </c>
      <c r="J6" s="1">
        <v>1.6000000000000001E-3</v>
      </c>
      <c r="K6" s="1">
        <v>1.8E-3</v>
      </c>
      <c r="L6" s="1">
        <v>1.6999999999999999E-3</v>
      </c>
      <c r="M6" s="1">
        <v>3.0000000000000001E-3</v>
      </c>
      <c r="N6" s="1">
        <v>1.5E-3</v>
      </c>
      <c r="O6" s="1">
        <v>1.5E-3</v>
      </c>
    </row>
    <row r="7" spans="1:19" ht="15.75" customHeight="1" x14ac:dyDescent="0.2">
      <c r="A7" s="1" t="s">
        <v>201</v>
      </c>
      <c r="B7" s="1" t="s">
        <v>657</v>
      </c>
      <c r="C7" s="1" t="s">
        <v>1087</v>
      </c>
      <c r="D7" s="3">
        <v>45126</v>
      </c>
      <c r="E7" s="1">
        <v>432</v>
      </c>
      <c r="F7" s="1">
        <v>1.9E-3</v>
      </c>
      <c r="G7" s="1">
        <v>1.2999999999999999E-3</v>
      </c>
      <c r="H7" s="1">
        <v>1.8E-3</v>
      </c>
      <c r="I7" s="1">
        <v>2.3999999999999998E-3</v>
      </c>
      <c r="J7" s="1">
        <v>2.2000000000000001E-3</v>
      </c>
      <c r="K7" s="1">
        <v>1.6000000000000001E-3</v>
      </c>
      <c r="L7" s="1">
        <v>2.7000000000000001E-3</v>
      </c>
      <c r="M7" s="1">
        <v>2.9999999999999997E-4</v>
      </c>
      <c r="N7" s="1">
        <v>1.6000000000000001E-3</v>
      </c>
      <c r="O7" s="1">
        <v>1.9E-3</v>
      </c>
      <c r="R7" s="1">
        <v>2.2799999999999998</v>
      </c>
    </row>
    <row r="8" spans="1:19" ht="15.75" customHeight="1" x14ac:dyDescent="0.2">
      <c r="A8" s="1" t="s">
        <v>655</v>
      </c>
      <c r="B8" s="1" t="s">
        <v>658</v>
      </c>
      <c r="C8" s="1" t="s">
        <v>1087</v>
      </c>
      <c r="D8" s="3">
        <v>45049</v>
      </c>
      <c r="E8" s="1">
        <v>13</v>
      </c>
      <c r="F8" s="1">
        <v>3.3E-3</v>
      </c>
      <c r="G8" s="1">
        <v>2.0999999999999999E-3</v>
      </c>
      <c r="H8" s="1">
        <v>1.2999999999999999E-3</v>
      </c>
      <c r="I8" s="1">
        <v>1.1000000000000001E-3</v>
      </c>
      <c r="J8" s="1">
        <v>1E-3</v>
      </c>
    </row>
    <row r="9" spans="1:19" ht="15.75" customHeight="1" x14ac:dyDescent="0.2">
      <c r="A9" s="1" t="s">
        <v>201</v>
      </c>
      <c r="B9" s="1" t="s">
        <v>659</v>
      </c>
      <c r="C9" s="1" t="s">
        <v>1087</v>
      </c>
      <c r="D9" s="3">
        <v>45077</v>
      </c>
      <c r="E9" s="1">
        <v>231</v>
      </c>
      <c r="F9" s="1">
        <v>1.8E-3</v>
      </c>
      <c r="G9" s="1">
        <v>2.7000000000000001E-3</v>
      </c>
      <c r="H9" s="1">
        <v>1.5E-3</v>
      </c>
      <c r="I9" s="1">
        <v>3.3E-3</v>
      </c>
      <c r="J9" s="1">
        <v>2.8E-3</v>
      </c>
      <c r="K9" s="1">
        <v>2.5000000000000001E-3</v>
      </c>
      <c r="L9" s="1">
        <v>2.5999999999999999E-3</v>
      </c>
      <c r="M9" s="1">
        <v>2.3999999999999998E-3</v>
      </c>
      <c r="N9" s="1">
        <v>2.2000000000000001E-3</v>
      </c>
      <c r="O9" s="1">
        <v>1.9E-3</v>
      </c>
      <c r="R9" s="1">
        <v>2.2000000000000002</v>
      </c>
    </row>
    <row r="10" spans="1:19" ht="15.75" customHeight="1" x14ac:dyDescent="0.2">
      <c r="A10" s="1" t="s">
        <v>44</v>
      </c>
      <c r="B10" s="1" t="s">
        <v>660</v>
      </c>
      <c r="C10" s="1" t="s">
        <v>1087</v>
      </c>
      <c r="D10" s="3">
        <v>45126</v>
      </c>
      <c r="E10" s="1">
        <v>740</v>
      </c>
      <c r="F10" s="1">
        <v>3.0999999999999999E-3</v>
      </c>
      <c r="G10" s="1">
        <v>1.9E-3</v>
      </c>
      <c r="H10" s="1">
        <v>1.6999999999999999E-3</v>
      </c>
      <c r="I10" s="1">
        <v>1.9E-3</v>
      </c>
      <c r="J10" s="1">
        <v>1.9E-3</v>
      </c>
      <c r="K10" s="1">
        <v>1.9E-3</v>
      </c>
      <c r="L10" s="1">
        <v>2E-3</v>
      </c>
      <c r="M10" s="1">
        <v>2.5999999999999999E-3</v>
      </c>
      <c r="N10" s="1">
        <v>2E-3</v>
      </c>
      <c r="O10" s="1">
        <v>2.2000000000000001E-3</v>
      </c>
    </row>
    <row r="11" spans="1:19" ht="15.75" customHeight="1" x14ac:dyDescent="0.2">
      <c r="A11" s="1" t="s">
        <v>641</v>
      </c>
      <c r="B11" s="1" t="s">
        <v>664</v>
      </c>
      <c r="C11" s="1" t="s">
        <v>1087</v>
      </c>
      <c r="D11" s="3">
        <v>45126</v>
      </c>
      <c r="E11" s="1">
        <v>375</v>
      </c>
      <c r="F11" s="1">
        <v>2.8999999999999998E-3</v>
      </c>
      <c r="G11" s="1">
        <v>4.1999999999999997E-3</v>
      </c>
      <c r="H11" s="1">
        <v>4.3E-3</v>
      </c>
      <c r="I11" s="1">
        <v>2.7000000000000001E-3</v>
      </c>
      <c r="J11" s="1">
        <v>2.8999999999999998E-3</v>
      </c>
      <c r="K11" s="1">
        <v>3.3999999999999998E-3</v>
      </c>
      <c r="L11" s="1">
        <v>2.8E-3</v>
      </c>
      <c r="M11" s="1">
        <v>3.0999999999999999E-3</v>
      </c>
      <c r="N11" s="1">
        <v>5.4999999999999997E-3</v>
      </c>
      <c r="O11" s="1">
        <v>2.3E-3</v>
      </c>
      <c r="R11" s="1">
        <v>3.62</v>
      </c>
    </row>
    <row r="12" spans="1:19" ht="15.75" customHeight="1" x14ac:dyDescent="0.2">
      <c r="A12" s="1" t="s">
        <v>44</v>
      </c>
      <c r="B12" s="1" t="s">
        <v>1088</v>
      </c>
      <c r="C12" s="1" t="s">
        <v>1087</v>
      </c>
      <c r="D12" s="3">
        <v>45126</v>
      </c>
      <c r="E12" s="1">
        <v>409</v>
      </c>
      <c r="F12" s="1">
        <v>1.9E-3</v>
      </c>
      <c r="G12" s="1">
        <v>3.3E-3</v>
      </c>
      <c r="H12" s="1">
        <v>3.7000000000000002E-3</v>
      </c>
      <c r="I12" s="1">
        <v>2.2000000000000001E-3</v>
      </c>
      <c r="J12" s="1">
        <v>2.3E-3</v>
      </c>
      <c r="K12" s="1">
        <v>1.6999999999999999E-3</v>
      </c>
      <c r="L12" s="1">
        <v>1.5E-3</v>
      </c>
      <c r="M12" s="1">
        <v>1.6999999999999999E-3</v>
      </c>
      <c r="N12" s="1">
        <v>1.4E-3</v>
      </c>
      <c r="O12" s="1">
        <v>1.9E-3</v>
      </c>
      <c r="R12" s="1">
        <v>4.58</v>
      </c>
    </row>
    <row r="13" spans="1:19" ht="15.75" customHeight="1" x14ac:dyDescent="0.2">
      <c r="A13" s="1" t="s">
        <v>44</v>
      </c>
      <c r="B13" s="1" t="s">
        <v>672</v>
      </c>
      <c r="C13" s="1" t="s">
        <v>1087</v>
      </c>
      <c r="D13" s="3">
        <v>45077</v>
      </c>
      <c r="E13" s="1">
        <v>8</v>
      </c>
      <c r="F13" s="1">
        <v>2.5999999999999999E-3</v>
      </c>
      <c r="G13" s="1">
        <v>2.0999999999999999E-3</v>
      </c>
      <c r="H13" s="1">
        <v>1.5E-3</v>
      </c>
      <c r="I13" s="1">
        <v>1.8E-3</v>
      </c>
      <c r="R13" s="1">
        <v>0.1017</v>
      </c>
    </row>
    <row r="14" spans="1:19" ht="15.75" customHeight="1" x14ac:dyDescent="0.2">
      <c r="A14" s="1" t="s">
        <v>44</v>
      </c>
      <c r="B14" s="1" t="s">
        <v>673</v>
      </c>
      <c r="C14" s="1" t="s">
        <v>1087</v>
      </c>
      <c r="D14" s="3">
        <v>45126</v>
      </c>
      <c r="E14" s="1">
        <v>152</v>
      </c>
      <c r="F14" s="1">
        <v>3.2000000000000002E-3</v>
      </c>
      <c r="G14" s="1">
        <v>2.2000000000000001E-3</v>
      </c>
      <c r="H14" s="1">
        <v>1.9E-3</v>
      </c>
      <c r="I14" s="1">
        <v>2.5999999999999999E-3</v>
      </c>
      <c r="J14" s="1">
        <v>1.5E-3</v>
      </c>
      <c r="K14" s="1">
        <v>2.8E-3</v>
      </c>
      <c r="L14" s="1">
        <v>2.3999999999999998E-3</v>
      </c>
      <c r="M14" s="1">
        <v>2.7000000000000001E-3</v>
      </c>
      <c r="N14" s="1">
        <v>2.5000000000000001E-3</v>
      </c>
      <c r="O14" s="1">
        <v>1.6999999999999999E-3</v>
      </c>
      <c r="R14" s="1">
        <v>1.55</v>
      </c>
    </row>
    <row r="15" spans="1:19" ht="15.75" customHeight="1" x14ac:dyDescent="0.2">
      <c r="A15" s="1" t="s">
        <v>44</v>
      </c>
      <c r="B15" s="1" t="s">
        <v>674</v>
      </c>
      <c r="C15" s="1" t="s">
        <v>1087</v>
      </c>
      <c r="D15" s="3">
        <v>45091</v>
      </c>
      <c r="E15" s="1">
        <v>36</v>
      </c>
      <c r="F15" s="1">
        <v>1.9E-3</v>
      </c>
      <c r="G15" s="1">
        <v>1.6999999999999999E-3</v>
      </c>
      <c r="H15" s="1">
        <v>1.8E-3</v>
      </c>
      <c r="I15" s="1">
        <v>3.5000000000000001E-3</v>
      </c>
      <c r="J15" s="1">
        <v>2.3999999999999998E-3</v>
      </c>
      <c r="K15" s="1">
        <v>2.5000000000000001E-3</v>
      </c>
      <c r="L15" s="1">
        <v>2.8E-3</v>
      </c>
      <c r="M15" s="1">
        <v>2.0999999999999999E-3</v>
      </c>
      <c r="N15" s="1">
        <v>1.2999999999999999E-3</v>
      </c>
      <c r="O15" s="1">
        <v>1.8E-3</v>
      </c>
      <c r="R15" s="1">
        <v>0.2064</v>
      </c>
    </row>
    <row r="16" spans="1:19" ht="15.75" customHeight="1" x14ac:dyDescent="0.2">
      <c r="A16" s="1" t="s">
        <v>44</v>
      </c>
      <c r="B16" s="1" t="s">
        <v>675</v>
      </c>
      <c r="C16" s="1" t="s">
        <v>1087</v>
      </c>
      <c r="D16" s="3">
        <v>45077</v>
      </c>
      <c r="E16" s="1">
        <v>7</v>
      </c>
      <c r="R16" s="1">
        <v>4.9399999999999999E-2</v>
      </c>
      <c r="S16" s="1" t="s">
        <v>676</v>
      </c>
    </row>
    <row r="17" spans="1:19" ht="15.75" customHeight="1" x14ac:dyDescent="0.2">
      <c r="A17" s="1" t="s">
        <v>1089</v>
      </c>
      <c r="B17" s="1" t="s">
        <v>1066</v>
      </c>
      <c r="C17" s="1" t="s">
        <v>1090</v>
      </c>
      <c r="D17" s="3">
        <v>45067</v>
      </c>
      <c r="E17" s="1">
        <v>213</v>
      </c>
      <c r="F17" s="1">
        <v>1.15E-2</v>
      </c>
      <c r="G17" s="1">
        <v>8.8000000000000005E-3</v>
      </c>
      <c r="H17" s="1">
        <v>9.1999999999999998E-3</v>
      </c>
      <c r="I17" s="1">
        <v>7.4999999999999997E-3</v>
      </c>
      <c r="J17" s="1">
        <v>7.7000000000000002E-3</v>
      </c>
      <c r="K17" s="1">
        <v>7.1000000000000004E-3</v>
      </c>
      <c r="L17" s="1">
        <v>1.1299999999999999E-2</v>
      </c>
      <c r="M17" s="1">
        <v>1.17E-2</v>
      </c>
      <c r="N17" s="1">
        <v>1.03E-2</v>
      </c>
      <c r="O17" s="1">
        <v>1.03E-2</v>
      </c>
      <c r="R17" s="1">
        <v>34.04</v>
      </c>
    </row>
    <row r="18" spans="1:19" ht="15.75" customHeight="1" x14ac:dyDescent="0.2">
      <c r="A18" s="1" t="s">
        <v>1091</v>
      </c>
      <c r="B18" s="1" t="s">
        <v>1068</v>
      </c>
      <c r="C18" s="1" t="s">
        <v>1090</v>
      </c>
      <c r="D18" s="3">
        <v>45067</v>
      </c>
      <c r="E18" s="1">
        <v>89</v>
      </c>
      <c r="F18" s="1">
        <v>8.3000000000000001E-3</v>
      </c>
      <c r="G18" s="1">
        <v>7.0000000000000001E-3</v>
      </c>
      <c r="H18" s="1">
        <v>7.7000000000000002E-3</v>
      </c>
      <c r="I18" s="1">
        <v>1.3599999999999999E-2</v>
      </c>
      <c r="J18" s="1">
        <v>8.8000000000000005E-3</v>
      </c>
      <c r="K18" s="1">
        <v>5.3E-3</v>
      </c>
      <c r="L18" s="1">
        <v>7.0000000000000001E-3</v>
      </c>
      <c r="M18" s="1">
        <v>7.7999999999999996E-3</v>
      </c>
      <c r="R18" s="1">
        <v>14.61</v>
      </c>
    </row>
    <row r="19" spans="1:19" ht="15.75" customHeight="1" x14ac:dyDescent="0.2">
      <c r="A19" s="1" t="s">
        <v>1092</v>
      </c>
      <c r="B19" s="1" t="s">
        <v>1071</v>
      </c>
      <c r="C19" s="1" t="s">
        <v>1090</v>
      </c>
      <c r="D19" s="3">
        <v>45067</v>
      </c>
      <c r="E19" s="1">
        <v>108</v>
      </c>
      <c r="R19" s="1">
        <v>24.8</v>
      </c>
      <c r="S19" s="1" t="s">
        <v>676</v>
      </c>
    </row>
    <row r="20" spans="1:19" ht="15.75" customHeight="1" x14ac:dyDescent="0.2">
      <c r="A20" s="1" t="s">
        <v>1091</v>
      </c>
      <c r="B20" s="1" t="s">
        <v>1072</v>
      </c>
      <c r="C20" s="1" t="s">
        <v>1090</v>
      </c>
      <c r="D20" s="3">
        <v>45067</v>
      </c>
      <c r="E20" s="1">
        <v>168</v>
      </c>
      <c r="F20" s="1">
        <v>1.26E-2</v>
      </c>
      <c r="G20" s="1">
        <v>9.7999999999999997E-3</v>
      </c>
      <c r="H20" s="1">
        <v>1.47E-2</v>
      </c>
      <c r="R20" s="1">
        <v>27.89</v>
      </c>
    </row>
    <row r="21" spans="1:19" ht="15.75" customHeight="1" x14ac:dyDescent="0.2">
      <c r="A21" s="1" t="s">
        <v>1091</v>
      </c>
      <c r="B21" s="1" t="s">
        <v>1074</v>
      </c>
      <c r="C21" s="1" t="s">
        <v>1090</v>
      </c>
      <c r="D21" s="3">
        <v>45068</v>
      </c>
      <c r="E21" s="1">
        <v>82</v>
      </c>
      <c r="F21" s="1">
        <v>8.0000000000000002E-3</v>
      </c>
      <c r="G21" s="1">
        <v>7.4999999999999997E-3</v>
      </c>
      <c r="H21" s="1">
        <v>7.9000000000000008E-3</v>
      </c>
      <c r="I21" s="1">
        <v>7.3000000000000001E-3</v>
      </c>
      <c r="J21" s="1">
        <v>7.9000000000000008E-3</v>
      </c>
      <c r="K21" s="1">
        <v>8.9999999999999993E-3</v>
      </c>
      <c r="L21" s="1">
        <v>7.0000000000000001E-3</v>
      </c>
      <c r="M21" s="1">
        <v>5.4000000000000003E-3</v>
      </c>
      <c r="R21" s="1">
        <v>16.399999999999999</v>
      </c>
    </row>
    <row r="22" spans="1:19" ht="15.75" customHeight="1" x14ac:dyDescent="0.2">
      <c r="A22" s="1" t="s">
        <v>1092</v>
      </c>
      <c r="B22" s="1" t="s">
        <v>1075</v>
      </c>
      <c r="C22" s="1" t="s">
        <v>1090</v>
      </c>
      <c r="D22" s="3">
        <v>45068</v>
      </c>
      <c r="E22" s="1">
        <v>130</v>
      </c>
      <c r="F22" s="1">
        <v>3.5999999999999999E-3</v>
      </c>
      <c r="G22" s="1">
        <v>4.4000000000000003E-3</v>
      </c>
      <c r="H22" s="1">
        <v>4.4000000000000003E-3</v>
      </c>
      <c r="I22" s="1">
        <v>4.4999999999999997E-3</v>
      </c>
      <c r="J22" s="1">
        <v>3.3E-3</v>
      </c>
      <c r="K22" s="1">
        <v>4.5999999999999999E-3</v>
      </c>
      <c r="L22" s="1">
        <v>3.5999999999999999E-3</v>
      </c>
      <c r="M22" s="1">
        <v>6.3E-3</v>
      </c>
      <c r="N22" s="1">
        <v>3.8E-3</v>
      </c>
      <c r="O22" s="1">
        <v>3.8999999999999998E-3</v>
      </c>
      <c r="R22" s="1">
        <v>16.82</v>
      </c>
    </row>
    <row r="23" spans="1:19" ht="15.75" customHeight="1" x14ac:dyDescent="0.2">
      <c r="A23" s="1" t="s">
        <v>1091</v>
      </c>
      <c r="B23" s="1" t="s">
        <v>1077</v>
      </c>
      <c r="C23" s="1" t="s">
        <v>1090</v>
      </c>
      <c r="D23" s="3">
        <v>45068</v>
      </c>
      <c r="E23" s="1">
        <v>22</v>
      </c>
      <c r="F23" s="1">
        <v>7.3000000000000001E-3</v>
      </c>
      <c r="G23" s="1">
        <v>9.2999999999999992E-3</v>
      </c>
      <c r="R23" s="1">
        <v>3.48</v>
      </c>
    </row>
    <row r="24" spans="1:19" ht="15.75" customHeight="1" x14ac:dyDescent="0.2">
      <c r="A24" s="1" t="s">
        <v>1091</v>
      </c>
      <c r="B24" s="1" t="s">
        <v>1078</v>
      </c>
      <c r="C24" s="1" t="s">
        <v>1090</v>
      </c>
      <c r="D24" s="3">
        <v>45068</v>
      </c>
      <c r="E24" s="1">
        <v>133</v>
      </c>
      <c r="F24" s="1">
        <v>9.1000000000000004E-3</v>
      </c>
      <c r="G24" s="1">
        <v>1.12E-2</v>
      </c>
      <c r="H24" s="1">
        <v>6.1999999999999998E-3</v>
      </c>
      <c r="I24" s="1">
        <v>7.3000000000000001E-3</v>
      </c>
      <c r="J24" s="1">
        <v>9.1000000000000004E-3</v>
      </c>
      <c r="K24" s="1">
        <v>5.5999999999999999E-3</v>
      </c>
      <c r="L24" s="1">
        <v>5.7000000000000002E-3</v>
      </c>
      <c r="M24" s="1">
        <v>6.4999999999999997E-3</v>
      </c>
      <c r="N24" s="1">
        <v>6.4000000000000003E-3</v>
      </c>
      <c r="O24" s="1">
        <v>5.8999999999999999E-3</v>
      </c>
      <c r="R24" s="1">
        <v>29.62</v>
      </c>
    </row>
    <row r="25" spans="1:19" ht="15.75" customHeight="1" x14ac:dyDescent="0.2">
      <c r="A25" s="1" t="s">
        <v>1089</v>
      </c>
      <c r="B25" s="1" t="s">
        <v>1080</v>
      </c>
      <c r="C25" s="1" t="s">
        <v>1090</v>
      </c>
      <c r="D25" s="1" t="s">
        <v>1081</v>
      </c>
      <c r="E25" s="1">
        <v>91</v>
      </c>
      <c r="F25" s="1">
        <v>9.5999999999999992E-3</v>
      </c>
      <c r="G25" s="1">
        <v>8.3000000000000001E-3</v>
      </c>
      <c r="H25" s="1">
        <v>6.4999999999999997E-3</v>
      </c>
      <c r="I25" s="1">
        <v>8.0000000000000002E-3</v>
      </c>
      <c r="J25" s="1">
        <v>8.0000000000000002E-3</v>
      </c>
      <c r="K25" s="1">
        <v>8.5000000000000006E-3</v>
      </c>
      <c r="L25" s="1">
        <v>8.8999999999999999E-3</v>
      </c>
      <c r="M25" s="1">
        <v>8.3999999999999995E-3</v>
      </c>
      <c r="N25" s="1">
        <v>8.3000000000000001E-3</v>
      </c>
      <c r="O25" s="1">
        <v>7.1000000000000004E-3</v>
      </c>
      <c r="R25" s="1">
        <v>13.18</v>
      </c>
    </row>
    <row r="26" spans="1:19" ht="15.75" customHeight="1" x14ac:dyDescent="0.2">
      <c r="A26" s="1" t="s">
        <v>1092</v>
      </c>
      <c r="B26" s="1" t="s">
        <v>1083</v>
      </c>
      <c r="C26" s="1" t="s">
        <v>1090</v>
      </c>
      <c r="D26" s="3">
        <v>45068</v>
      </c>
      <c r="E26" s="1">
        <v>120</v>
      </c>
      <c r="F26" s="1">
        <v>7.4000000000000003E-3</v>
      </c>
      <c r="G26" s="1">
        <v>7.1999999999999998E-3</v>
      </c>
      <c r="H26" s="1">
        <v>8.3999999999999995E-3</v>
      </c>
      <c r="I26" s="1">
        <v>1.14E-2</v>
      </c>
      <c r="J26" s="1">
        <v>8.9999999999999993E-3</v>
      </c>
      <c r="K26" s="1">
        <v>9.5999999999999992E-3</v>
      </c>
      <c r="L26" s="1">
        <v>8.6999999999999994E-3</v>
      </c>
      <c r="M26" s="1">
        <v>6.3E-3</v>
      </c>
      <c r="N26" s="1">
        <v>6.7999999999999996E-3</v>
      </c>
      <c r="R26" s="1">
        <v>20.62</v>
      </c>
    </row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Sheet</vt:lpstr>
      <vt:lpstr>Old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Brooke Wainwright</dc:creator>
  <cp:keywords/>
  <dc:description/>
  <cp:lastModifiedBy>Brooke Wainwright</cp:lastModifiedBy>
  <cp:revision/>
  <dcterms:created xsi:type="dcterms:W3CDTF">2024-04-16T18:32:52Z</dcterms:created>
  <dcterms:modified xsi:type="dcterms:W3CDTF">2025-01-08T21:41:13Z</dcterms:modified>
  <cp:category/>
  <cp:contentStatus/>
</cp:coreProperties>
</file>