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thanol/data/Data_summary/"/>
    </mc:Choice>
  </mc:AlternateContent>
  <xr:revisionPtr revIDLastSave="0" documentId="13_ncr:1_{EED894C5-F58A-CF43-8E37-49D1F9FD38AD}" xr6:coauthVersionLast="47" xr6:coauthVersionMax="47" xr10:uidLastSave="{00000000-0000-0000-0000-000000000000}"/>
  <bookViews>
    <workbookView xWindow="880" yWindow="2860" windowWidth="35800" windowHeight="18860" xr2:uid="{4DA9D897-09E6-914E-AF33-10D92EE076CB}"/>
  </bookViews>
  <sheets>
    <sheet name="Cost" sheetId="1" r:id="rId1"/>
    <sheet name="Prod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49" i="1"/>
  <c r="B99" i="1" l="1"/>
  <c r="B95" i="1"/>
  <c r="B97" i="1"/>
  <c r="B92" i="1"/>
  <c r="B93" i="1"/>
  <c r="C46" i="1"/>
  <c r="C44" i="1"/>
  <c r="C160" i="1" l="1"/>
  <c r="B160" i="1"/>
  <c r="B155" i="1"/>
  <c r="B156" i="1" s="1"/>
  <c r="B157" i="1" s="1"/>
  <c r="B158" i="1" s="1"/>
  <c r="B162" i="1" s="1"/>
  <c r="C134" i="1"/>
  <c r="B134" i="1"/>
  <c r="B129" i="1"/>
  <c r="B130" i="1" s="1"/>
  <c r="B131" i="1" s="1"/>
  <c r="B132" i="1" s="1"/>
  <c r="B136" i="1" s="1"/>
  <c r="C107" i="1"/>
  <c r="C102" i="1"/>
  <c r="C103" i="1" s="1"/>
  <c r="B107" i="1"/>
  <c r="B102" i="1"/>
  <c r="B106" i="1" s="1"/>
  <c r="C79" i="1"/>
  <c r="C74" i="1"/>
  <c r="B74" i="1"/>
  <c r="B78" i="1" s="1"/>
  <c r="C155" i="1"/>
  <c r="C156" i="1" s="1"/>
  <c r="C157" i="1" s="1"/>
  <c r="C158" i="1" s="1"/>
  <c r="C129" i="1"/>
  <c r="C130" i="1" s="1"/>
  <c r="C131" i="1" s="1"/>
  <c r="C132" i="1" s="1"/>
  <c r="C78" i="1"/>
  <c r="C136" i="1" l="1"/>
  <c r="B75" i="1"/>
  <c r="B76" i="1" s="1"/>
  <c r="B77" i="1" s="1"/>
  <c r="B81" i="1" s="1"/>
  <c r="C162" i="1"/>
  <c r="B159" i="1"/>
  <c r="C133" i="1"/>
  <c r="B133" i="1"/>
  <c r="B135" i="1" s="1"/>
  <c r="B103" i="1"/>
  <c r="B104" i="1" s="1"/>
  <c r="B105" i="1" s="1"/>
  <c r="B109" i="1" s="1"/>
  <c r="C106" i="1"/>
  <c r="C104" i="1"/>
  <c r="C105" i="1" s="1"/>
  <c r="C109" i="1" s="1"/>
  <c r="C75" i="1"/>
  <c r="C159" i="1"/>
  <c r="C76" i="1"/>
  <c r="C77" i="1" s="1"/>
  <c r="C81" i="1" s="1"/>
  <c r="C80" i="1" l="1"/>
  <c r="C82" i="1" s="1"/>
  <c r="C83" i="1" s="1"/>
  <c r="C108" i="1"/>
  <c r="C110" i="1" s="1"/>
  <c r="C111" i="1" s="1"/>
  <c r="B108" i="1"/>
  <c r="B110" i="1" s="1"/>
  <c r="B111" i="1" s="1"/>
  <c r="C161" i="1"/>
  <c r="C163" i="1" s="1"/>
  <c r="C164" i="1" s="1"/>
  <c r="B137" i="1"/>
  <c r="B138" i="1" s="1"/>
  <c r="C135" i="1"/>
  <c r="C137" i="1" s="1"/>
  <c r="C138" i="1" s="1"/>
  <c r="B161" i="1"/>
  <c r="B163" i="1" s="1"/>
  <c r="B164" i="1" s="1"/>
  <c r="B153" i="1"/>
  <c r="B127" i="1"/>
  <c r="B71" i="1"/>
  <c r="B79" i="1" s="1"/>
  <c r="B80" i="1" s="1"/>
  <c r="B82" i="1" s="1"/>
  <c r="B83" i="1" s="1"/>
  <c r="C153" i="1"/>
  <c r="C127" i="1"/>
  <c r="C100" i="1"/>
  <c r="B100" i="1"/>
  <c r="C72" i="1"/>
  <c r="B72" i="1" l="1"/>
  <c r="C13" i="1"/>
  <c r="B14" i="1" l="1"/>
</calcChain>
</file>

<file path=xl/sharedStrings.xml><?xml version="1.0" encoding="utf-8"?>
<sst xmlns="http://schemas.openxmlformats.org/spreadsheetml/2006/main" count="196" uniqueCount="111">
  <si>
    <t xml:space="preserve">Components </t>
  </si>
  <si>
    <t>Compressor 1</t>
  </si>
  <si>
    <t>Compressor 2</t>
  </si>
  <si>
    <t>Cooler</t>
  </si>
  <si>
    <t>Flash</t>
  </si>
  <si>
    <t>Pre-heater</t>
  </si>
  <si>
    <t>Heater</t>
  </si>
  <si>
    <t>Scale</t>
  </si>
  <si>
    <t>98t/h of inlet</t>
  </si>
  <si>
    <t>CAPEX ($)</t>
  </si>
  <si>
    <t>OPEX  ($/hr)</t>
  </si>
  <si>
    <t>Ref</t>
  </si>
  <si>
    <t>Aspen Plus</t>
  </si>
  <si>
    <t>Ref : Methane Conversion to Syngas for Gas-to-Liquids (GTL): Is Sustainable CO2 Reuse via Dry Methane Reforming (DMR) Cost Competitive with SMR and ATR Processes?</t>
  </si>
  <si>
    <t>Total</t>
  </si>
  <si>
    <t>RWGS</t>
  </si>
  <si>
    <t>PEM</t>
  </si>
  <si>
    <t>O2 price</t>
  </si>
  <si>
    <t>40$/t</t>
  </si>
  <si>
    <t>Ref :High-Purity Oxygen Production Using Mixed Ionic-Electronic Conducting Sorbents</t>
  </si>
  <si>
    <t>PEM efficiency</t>
  </si>
  <si>
    <t>Ref :Hydrogen production by PEM water electrolysis – A review</t>
  </si>
  <si>
    <t>39.4 khw/kg of hydrogen</t>
  </si>
  <si>
    <t>PEM lifespan</t>
  </si>
  <si>
    <t>PEM investment cost</t>
  </si>
  <si>
    <t>50000hr</t>
  </si>
  <si>
    <t>ref: Future cost and performance of water electrolysis: An expert elicitation study</t>
  </si>
  <si>
    <t>BOP:258$/kw</t>
  </si>
  <si>
    <t>stack: 90$/kw</t>
  </si>
  <si>
    <t xml:space="preserve">PEM theoritical energy usage (100% efficiency) </t>
  </si>
  <si>
    <t>Ref: Syngas production via high-temperature steam/CO2 co-electrolysis: an economic assessment</t>
  </si>
  <si>
    <t>Note</t>
  </si>
  <si>
    <t>1.35$/t</t>
  </si>
  <si>
    <t>CO2 price</t>
  </si>
  <si>
    <t>Water price</t>
  </si>
  <si>
    <t>Natural gas</t>
  </si>
  <si>
    <t>Reference</t>
  </si>
  <si>
    <t>Opex and Capex are from Aspen economic analyzer</t>
  </si>
  <si>
    <t xml:space="preserve"> Adiabatic reactor. </t>
  </si>
  <si>
    <t>Ref: https://www.engineeringtoolbox.com/heating-values-fuel-gases-d_823.html.    Gasprice: https://www.eia.gov/dnav/ng/hist/rngwhhdm.htm</t>
  </si>
  <si>
    <t>22500 btu/lb---&gt;49.6MMBTU/tonne , 5.16$/MMBTU</t>
  </si>
  <si>
    <t>256$/t</t>
  </si>
  <si>
    <t>Opex depends on the amoung of heat required, by using natural gasas heat source</t>
  </si>
  <si>
    <t xml:space="preserve"> </t>
  </si>
  <si>
    <t xml:space="preserve">PEM stack energy usage </t>
  </si>
  <si>
    <t>49.2khw/kg of H2 produced</t>
  </si>
  <si>
    <t xml:space="preserve">BOP energy usage </t>
  </si>
  <si>
    <t>5.4khw/kg of H2 produced</t>
  </si>
  <si>
    <t>Ref: PEM Electrolysis H2A Production Case Study Documentation</t>
  </si>
  <si>
    <t>Ref :An Engineering-Economic Analysis of Syngas Storage</t>
  </si>
  <si>
    <t xml:space="preserve">11677+84x, x is kg of hydrogen. </t>
  </si>
  <si>
    <t>above ground pressure gas vessel, after considering the inflation. The cost is based on the volume of tank in cubic meter. The pressure of tank is 12~16bar. 1kg H2---&gt;0.76 m3 under 16 bar and 80C. The cost is 11677+110x, x is in m3 --&gt; cost= 116552+84 x, x is kg of h2</t>
  </si>
  <si>
    <t>The cost reduction of steam reforming</t>
  </si>
  <si>
    <t xml:space="preserve">Natural gas </t>
  </si>
  <si>
    <t>50/50 mode</t>
  </si>
  <si>
    <t xml:space="preserve">The cost reduction of steam reforming sector </t>
  </si>
  <si>
    <t>37t/h, 256$/t</t>
  </si>
  <si>
    <t>Cost</t>
  </si>
  <si>
    <t>Electricity</t>
  </si>
  <si>
    <t>Water</t>
  </si>
  <si>
    <t>Water price: 1.35$/t, 39t/h</t>
  </si>
  <si>
    <t>Oxygen</t>
  </si>
  <si>
    <t>price: 40$/t, 39t/hr</t>
  </si>
  <si>
    <t>TAC</t>
  </si>
  <si>
    <t>Hydrogen System</t>
  </si>
  <si>
    <t>PAN_DAM</t>
  </si>
  <si>
    <t xml:space="preserve">Items </t>
  </si>
  <si>
    <t>Price_flexible ($/yr)</t>
  </si>
  <si>
    <t>PAN_RTM</t>
  </si>
  <si>
    <t>HOU_DAM</t>
  </si>
  <si>
    <t>HOU_RTM</t>
  </si>
  <si>
    <t>H2 production (ton/15mins)</t>
  </si>
  <si>
    <t>Frenquency</t>
  </si>
  <si>
    <t>0~4.62</t>
  </si>
  <si>
    <t>Pan_RTM</t>
  </si>
  <si>
    <t>Hou_RTM</t>
  </si>
  <si>
    <t>Pan_DAM</t>
  </si>
  <si>
    <t>Hou_DAM</t>
  </si>
  <si>
    <t>H2 production (ton/hr)</t>
  </si>
  <si>
    <t>0~18.48</t>
  </si>
  <si>
    <t>0~17.217</t>
  </si>
  <si>
    <t>Ref: Plant-to-planet analysis of CO2-based methanol processes</t>
  </si>
  <si>
    <t>47$/t</t>
  </si>
  <si>
    <t>Annual Cost Reduction ($/yr)</t>
  </si>
  <si>
    <t>Ave price: 12$/MWh, 23.73MW</t>
  </si>
  <si>
    <t xml:space="preserve">Ref: Manufacturing Cost Analysis for Proton Exchange Membrane Water Electrolyzers </t>
  </si>
  <si>
    <t>Land cost</t>
  </si>
  <si>
    <t>Others</t>
  </si>
  <si>
    <t>12$--&gt;1t/yr of H2</t>
  </si>
  <si>
    <t>Variable operating cost</t>
  </si>
  <si>
    <t>Total equipment cost</t>
  </si>
  <si>
    <t>Initial Investment</t>
  </si>
  <si>
    <t>cash flow</t>
  </si>
  <si>
    <t>Payback</t>
  </si>
  <si>
    <t>contigency,site preparation, permitting, engineering design etc</t>
  </si>
  <si>
    <t>Installed equipment cost</t>
  </si>
  <si>
    <t>Total capital cost</t>
  </si>
  <si>
    <t>Fixed O&amp;M &amp;salary</t>
  </si>
  <si>
    <t>investment cost: 812$/kw, mechaincal efficiency: 85%, isentropic, from tutron's textbook</t>
  </si>
  <si>
    <t>Tank capital cost</t>
  </si>
  <si>
    <t>Capital_Tank (annualized)</t>
  </si>
  <si>
    <t>Capital_BOP (annualized)</t>
  </si>
  <si>
    <t>Stack_cost</t>
  </si>
  <si>
    <t>Electricity_cost</t>
  </si>
  <si>
    <t>O2_revenue</t>
  </si>
  <si>
    <t>Capital_rWGS  (annualized)</t>
  </si>
  <si>
    <t>Operation cost_rWGS</t>
  </si>
  <si>
    <t>CO2_cost</t>
  </si>
  <si>
    <t>Reactor+Catalyst</t>
  </si>
  <si>
    <t>Catalyst</t>
  </si>
  <si>
    <t>Price_non_flexible($/yr)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</si>
</sst>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CB-0FCA-7B40-9BD1-4F83B7072424}">
  <dimension ref="A2:G164"/>
  <sheetViews>
    <sheetView tabSelected="1" topLeftCell="A47" zoomScale="150" zoomScaleNormal="115" workbookViewId="0">
      <selection activeCell="C54" sqref="C54"/>
    </sheetView>
  </sheetViews>
  <sheetFormatPr baseColWidth="10" defaultRowHeight="16" x14ac:dyDescent="0.2"/>
  <cols>
    <col min="1" max="1" width="38.83203125" customWidth="1"/>
    <col min="2" max="2" width="30.1640625" customWidth="1"/>
    <col min="3" max="3" width="41" customWidth="1"/>
    <col min="4" max="4" width="51.1640625" customWidth="1"/>
    <col min="5" max="5" width="59.33203125" customWidth="1"/>
  </cols>
  <sheetData>
    <row r="2" spans="1:5" x14ac:dyDescent="0.2">
      <c r="A2" s="14" t="s">
        <v>15</v>
      </c>
      <c r="B2" s="14"/>
      <c r="C2" s="14"/>
      <c r="D2" s="14"/>
      <c r="E2" s="14"/>
    </row>
    <row r="3" spans="1:5" x14ac:dyDescent="0.2">
      <c r="A3" t="s">
        <v>7</v>
      </c>
      <c r="B3" t="s">
        <v>8</v>
      </c>
    </row>
    <row r="5" spans="1:5" x14ac:dyDescent="0.2">
      <c r="A5" t="s">
        <v>0</v>
      </c>
      <c r="B5" t="s">
        <v>9</v>
      </c>
      <c r="C5" t="s">
        <v>10</v>
      </c>
      <c r="D5" t="s">
        <v>31</v>
      </c>
      <c r="E5" t="s">
        <v>11</v>
      </c>
    </row>
    <row r="6" spans="1:5" x14ac:dyDescent="0.2">
      <c r="A6" t="s">
        <v>1</v>
      </c>
      <c r="B6">
        <v>6739600</v>
      </c>
      <c r="C6" s="17">
        <v>257</v>
      </c>
      <c r="D6" s="15" t="s">
        <v>98</v>
      </c>
      <c r="E6" s="16" t="s">
        <v>30</v>
      </c>
    </row>
    <row r="7" spans="1:5" x14ac:dyDescent="0.2">
      <c r="A7" t="s">
        <v>2</v>
      </c>
      <c r="B7">
        <v>8120000</v>
      </c>
      <c r="C7" s="17"/>
      <c r="D7" s="15"/>
      <c r="E7" s="16"/>
    </row>
    <row r="8" spans="1:5" x14ac:dyDescent="0.2">
      <c r="A8" t="s">
        <v>3</v>
      </c>
      <c r="B8">
        <v>490900</v>
      </c>
      <c r="C8">
        <v>55.6</v>
      </c>
      <c r="D8" s="16" t="s">
        <v>37</v>
      </c>
      <c r="E8" t="s">
        <v>12</v>
      </c>
    </row>
    <row r="9" spans="1:5" x14ac:dyDescent="0.2">
      <c r="A9" t="s">
        <v>4</v>
      </c>
      <c r="B9">
        <v>140800</v>
      </c>
      <c r="C9">
        <v>0</v>
      </c>
      <c r="D9" s="16"/>
      <c r="E9" t="s">
        <v>12</v>
      </c>
    </row>
    <row r="10" spans="1:5" x14ac:dyDescent="0.2">
      <c r="A10" t="s">
        <v>5</v>
      </c>
      <c r="B10">
        <v>674328</v>
      </c>
      <c r="C10">
        <v>0</v>
      </c>
      <c r="E10" s="16" t="s">
        <v>13</v>
      </c>
    </row>
    <row r="11" spans="1:5" x14ac:dyDescent="0.2">
      <c r="A11" t="s">
        <v>6</v>
      </c>
      <c r="B11">
        <v>1279446</v>
      </c>
      <c r="C11">
        <v>347</v>
      </c>
      <c r="D11" t="s">
        <v>42</v>
      </c>
      <c r="E11" s="16"/>
    </row>
    <row r="12" spans="1:5" x14ac:dyDescent="0.2">
      <c r="A12" t="s">
        <v>108</v>
      </c>
      <c r="B12">
        <v>108000</v>
      </c>
      <c r="C12">
        <v>0</v>
      </c>
      <c r="D12" t="s">
        <v>38</v>
      </c>
      <c r="E12" s="16"/>
    </row>
    <row r="13" spans="1:5" x14ac:dyDescent="0.2">
      <c r="A13" t="s">
        <v>14</v>
      </c>
      <c r="B13">
        <f>SUM(B6:B12)</f>
        <v>17553074</v>
      </c>
      <c r="C13">
        <f>SUM(C6:C12)</f>
        <v>659.6</v>
      </c>
    </row>
    <row r="14" spans="1:5" x14ac:dyDescent="0.2">
      <c r="A14" t="s">
        <v>63</v>
      </c>
      <c r="B14">
        <f>B13*0.117+C13*24*365</f>
        <v>7831805.6580000008</v>
      </c>
    </row>
    <row r="16" spans="1:5" x14ac:dyDescent="0.2">
      <c r="A16" s="13" t="s">
        <v>16</v>
      </c>
      <c r="B16" s="13"/>
      <c r="C16" s="13"/>
      <c r="D16" s="13"/>
      <c r="E16" s="13"/>
    </row>
    <row r="18" spans="1:4" x14ac:dyDescent="0.2">
      <c r="C18" t="s">
        <v>31</v>
      </c>
      <c r="D18" t="s">
        <v>36</v>
      </c>
    </row>
    <row r="19" spans="1:4" x14ac:dyDescent="0.2">
      <c r="A19" t="s">
        <v>20</v>
      </c>
      <c r="B19" s="1">
        <v>0.8</v>
      </c>
      <c r="D19" t="s">
        <v>21</v>
      </c>
    </row>
    <row r="20" spans="1:4" x14ac:dyDescent="0.2">
      <c r="A20" t="s">
        <v>29</v>
      </c>
      <c r="B20" t="s">
        <v>22</v>
      </c>
      <c r="D20" t="s">
        <v>43</v>
      </c>
    </row>
    <row r="21" spans="1:4" x14ac:dyDescent="0.2">
      <c r="A21" t="s">
        <v>44</v>
      </c>
      <c r="B21" t="s">
        <v>45</v>
      </c>
    </row>
    <row r="22" spans="1:4" x14ac:dyDescent="0.2">
      <c r="A22" t="s">
        <v>46</v>
      </c>
      <c r="B22" t="s">
        <v>47</v>
      </c>
      <c r="D22" t="s">
        <v>48</v>
      </c>
    </row>
    <row r="23" spans="1:4" x14ac:dyDescent="0.2">
      <c r="A23" s="16" t="s">
        <v>24</v>
      </c>
      <c r="B23" t="s">
        <v>28</v>
      </c>
      <c r="D23" s="16" t="s">
        <v>85</v>
      </c>
    </row>
    <row r="24" spans="1:4" x14ac:dyDescent="0.2">
      <c r="A24" s="16"/>
      <c r="B24" t="s">
        <v>27</v>
      </c>
      <c r="D24" s="16"/>
    </row>
    <row r="25" spans="1:4" x14ac:dyDescent="0.2">
      <c r="A25" t="s">
        <v>23</v>
      </c>
      <c r="B25" t="s">
        <v>25</v>
      </c>
      <c r="D25" t="s">
        <v>26</v>
      </c>
    </row>
    <row r="27" spans="1:4" x14ac:dyDescent="0.2">
      <c r="A27" s="4" t="s">
        <v>99</v>
      </c>
      <c r="B27" s="4" t="s">
        <v>50</v>
      </c>
      <c r="C27" s="4" t="s">
        <v>51</v>
      </c>
      <c r="D27" s="4" t="s">
        <v>49</v>
      </c>
    </row>
    <row r="28" spans="1:4" x14ac:dyDescent="0.2">
      <c r="A28" s="3"/>
      <c r="B28" s="3"/>
      <c r="C28" s="4"/>
      <c r="D28" s="3"/>
    </row>
    <row r="29" spans="1:4" x14ac:dyDescent="0.2">
      <c r="A29" t="s">
        <v>33</v>
      </c>
      <c r="B29" t="s">
        <v>82</v>
      </c>
      <c r="D29" t="s">
        <v>81</v>
      </c>
    </row>
    <row r="30" spans="1:4" x14ac:dyDescent="0.2">
      <c r="A30" t="s">
        <v>17</v>
      </c>
      <c r="B30" t="s">
        <v>18</v>
      </c>
      <c r="D30" t="s">
        <v>19</v>
      </c>
    </row>
    <row r="31" spans="1:4" x14ac:dyDescent="0.2">
      <c r="A31" t="s">
        <v>34</v>
      </c>
      <c r="B31" t="s">
        <v>32</v>
      </c>
      <c r="D31" s="2" t="s">
        <v>30</v>
      </c>
    </row>
    <row r="32" spans="1:4" x14ac:dyDescent="0.2">
      <c r="A32" t="s">
        <v>35</v>
      </c>
      <c r="B32" t="s">
        <v>41</v>
      </c>
      <c r="C32" s="2" t="s">
        <v>40</v>
      </c>
      <c r="D32" t="s">
        <v>39</v>
      </c>
    </row>
    <row r="34" spans="1:4" x14ac:dyDescent="0.2">
      <c r="A34" s="12" t="s">
        <v>87</v>
      </c>
      <c r="B34" s="12"/>
      <c r="C34" s="12"/>
      <c r="D34" s="12"/>
    </row>
    <row r="35" spans="1:4" x14ac:dyDescent="0.2">
      <c r="A35" t="s">
        <v>66</v>
      </c>
      <c r="B35" t="s">
        <v>31</v>
      </c>
      <c r="C35" t="s">
        <v>57</v>
      </c>
    </row>
    <row r="36" spans="1:4" x14ac:dyDescent="0.2">
      <c r="A36" t="s">
        <v>86</v>
      </c>
      <c r="B36" t="s">
        <v>88</v>
      </c>
      <c r="C36">
        <v>1159488</v>
      </c>
    </row>
    <row r="41" spans="1:4" x14ac:dyDescent="0.2">
      <c r="A41" s="13" t="s">
        <v>52</v>
      </c>
      <c r="B41" s="13"/>
      <c r="C41" s="13"/>
      <c r="D41" s="13"/>
    </row>
    <row r="42" spans="1:4" x14ac:dyDescent="0.2">
      <c r="A42" s="5" t="s">
        <v>54</v>
      </c>
    </row>
    <row r="43" spans="1:4" x14ac:dyDescent="0.2">
      <c r="A43" t="s">
        <v>55</v>
      </c>
      <c r="B43" t="s">
        <v>31</v>
      </c>
      <c r="C43" t="s">
        <v>57</v>
      </c>
    </row>
    <row r="44" spans="1:4" x14ac:dyDescent="0.2">
      <c r="A44" t="s">
        <v>53</v>
      </c>
      <c r="B44" t="s">
        <v>56</v>
      </c>
      <c r="C44">
        <f>82974720</f>
        <v>82974720</v>
      </c>
    </row>
    <row r="45" spans="1:4" x14ac:dyDescent="0.2">
      <c r="A45" t="s">
        <v>109</v>
      </c>
      <c r="C45">
        <v>45000</v>
      </c>
    </row>
    <row r="46" spans="1:4" x14ac:dyDescent="0.2">
      <c r="A46" t="s">
        <v>58</v>
      </c>
      <c r="B46" t="s">
        <v>84</v>
      </c>
      <c r="C46">
        <f>2668087</f>
        <v>2668087</v>
      </c>
      <c r="D46" s="6"/>
    </row>
    <row r="47" spans="1:4" x14ac:dyDescent="0.2">
      <c r="A47" t="s">
        <v>59</v>
      </c>
      <c r="B47" t="s">
        <v>60</v>
      </c>
      <c r="C47">
        <v>461214</v>
      </c>
    </row>
    <row r="48" spans="1:4" x14ac:dyDescent="0.2">
      <c r="A48" t="s">
        <v>61</v>
      </c>
      <c r="B48" t="s">
        <v>62</v>
      </c>
      <c r="C48">
        <v>13665600</v>
      </c>
    </row>
    <row r="49" spans="1:4" x14ac:dyDescent="0.2">
      <c r="A49" t="s">
        <v>14</v>
      </c>
      <c r="C49">
        <f>SUM(C44:C48)</f>
        <v>99814621</v>
      </c>
    </row>
    <row r="60" spans="1:4" x14ac:dyDescent="0.2">
      <c r="A60" s="8" t="s">
        <v>64</v>
      </c>
      <c r="B60" s="8"/>
      <c r="C60" s="8"/>
      <c r="D60" s="8"/>
    </row>
    <row r="61" spans="1:4" x14ac:dyDescent="0.2">
      <c r="A61" s="11" t="s">
        <v>65</v>
      </c>
      <c r="B61" s="11"/>
      <c r="C61" s="11"/>
    </row>
    <row r="62" spans="1:4" x14ac:dyDescent="0.2">
      <c r="A62" t="s">
        <v>66</v>
      </c>
      <c r="B62" s="10" t="s">
        <v>67</v>
      </c>
      <c r="C62" s="10" t="s">
        <v>110</v>
      </c>
    </row>
    <row r="63" spans="1:4" x14ac:dyDescent="0.2">
      <c r="A63" t="s">
        <v>100</v>
      </c>
      <c r="B63" s="6">
        <v>3665005.9056000002</v>
      </c>
      <c r="C63">
        <v>0</v>
      </c>
    </row>
    <row r="64" spans="1:4" x14ac:dyDescent="0.2">
      <c r="A64" t="s">
        <v>101</v>
      </c>
      <c r="B64" s="6">
        <v>30123213.120000001</v>
      </c>
      <c r="C64" s="6">
        <v>17930484</v>
      </c>
    </row>
    <row r="65" spans="1:4" x14ac:dyDescent="0.2">
      <c r="A65" t="s">
        <v>102</v>
      </c>
      <c r="B65" s="6">
        <v>7826542</v>
      </c>
      <c r="C65" s="6">
        <v>7826542</v>
      </c>
    </row>
    <row r="66" spans="1:4" x14ac:dyDescent="0.2">
      <c r="A66" t="s">
        <v>103</v>
      </c>
      <c r="B66" s="6">
        <v>15324368.5615681</v>
      </c>
      <c r="C66" s="6">
        <v>71155295.640000001</v>
      </c>
    </row>
    <row r="67" spans="1:4" x14ac:dyDescent="0.2">
      <c r="A67" t="s">
        <v>104</v>
      </c>
      <c r="B67" s="6">
        <v>-30919680.0000026</v>
      </c>
      <c r="C67" s="6">
        <v>-30919680.0000026</v>
      </c>
      <c r="D67" s="6"/>
    </row>
    <row r="68" spans="1:4" x14ac:dyDescent="0.2">
      <c r="A68" t="s">
        <v>59</v>
      </c>
      <c r="B68" s="6">
        <v>1173981.59999996</v>
      </c>
      <c r="C68" s="6">
        <v>1173981.59999996</v>
      </c>
      <c r="D68" s="6"/>
    </row>
    <row r="69" spans="1:4" x14ac:dyDescent="0.2">
      <c r="A69" t="s">
        <v>105</v>
      </c>
      <c r="B69" s="6">
        <v>2049093</v>
      </c>
      <c r="C69" s="6">
        <v>2049093</v>
      </c>
      <c r="D69" s="6"/>
    </row>
    <row r="70" spans="1:4" x14ac:dyDescent="0.2">
      <c r="A70" t="s">
        <v>106</v>
      </c>
      <c r="B70" s="6">
        <v>5778096</v>
      </c>
      <c r="C70" s="6">
        <v>5778096</v>
      </c>
    </row>
    <row r="71" spans="1:4" x14ac:dyDescent="0.2">
      <c r="A71" t="s">
        <v>107</v>
      </c>
      <c r="B71" s="6">
        <f>35917776</f>
        <v>35917776</v>
      </c>
      <c r="C71" s="6">
        <v>35917776</v>
      </c>
    </row>
    <row r="72" spans="1:4" x14ac:dyDescent="0.2">
      <c r="A72" s="5" t="s">
        <v>63</v>
      </c>
      <c r="B72" s="6">
        <f>SUM(B63:B71)</f>
        <v>70938396.187165454</v>
      </c>
      <c r="C72" s="6">
        <f>SUM(C63:C71)</f>
        <v>110911588.23999736</v>
      </c>
    </row>
    <row r="74" spans="1:4" x14ac:dyDescent="0.2">
      <c r="A74" t="s">
        <v>90</v>
      </c>
      <c r="B74" s="6">
        <f>(B63+B64+B69)/0.117</f>
        <v>306301812.18461537</v>
      </c>
      <c r="C74" s="6">
        <f>(C63+C64+C69)/0.117</f>
        <v>170765615.38461536</v>
      </c>
    </row>
    <row r="75" spans="1:4" x14ac:dyDescent="0.2">
      <c r="A75" t="s">
        <v>95</v>
      </c>
      <c r="B75" s="6">
        <f>B74*1.12</f>
        <v>343058029.64676923</v>
      </c>
      <c r="C75" s="6">
        <f>C74*1.12</f>
        <v>191257489.23076922</v>
      </c>
    </row>
    <row r="76" spans="1:4" x14ac:dyDescent="0.2">
      <c r="A76" t="s">
        <v>94</v>
      </c>
      <c r="B76" s="6">
        <f>0.4*B75</f>
        <v>137223211.8587077</v>
      </c>
      <c r="C76" s="6">
        <f>0.4*C75</f>
        <v>76502995.692307696</v>
      </c>
    </row>
    <row r="77" spans="1:4" x14ac:dyDescent="0.2">
      <c r="A77" t="s">
        <v>96</v>
      </c>
      <c r="B77" s="6">
        <f>B76+B75</f>
        <v>480281241.50547695</v>
      </c>
      <c r="C77" s="6">
        <f>C76+C75</f>
        <v>267760484.92307693</v>
      </c>
    </row>
    <row r="78" spans="1:4" x14ac:dyDescent="0.2">
      <c r="A78" t="s">
        <v>97</v>
      </c>
      <c r="B78" s="6">
        <f>0.05*B74+2000000</f>
        <v>17315090.609230772</v>
      </c>
      <c r="C78" s="6">
        <f>0.05*C74+2000000</f>
        <v>10538280.769230768</v>
      </c>
    </row>
    <row r="79" spans="1:4" x14ac:dyDescent="0.2">
      <c r="A79" t="s">
        <v>89</v>
      </c>
      <c r="B79" s="6">
        <f>B66+B67+B68+B70+B71+B65</f>
        <v>35101084.16156546</v>
      </c>
      <c r="C79" s="6">
        <f>C66+C67+C68+C70+C71+C65</f>
        <v>90932011.239997357</v>
      </c>
    </row>
    <row r="80" spans="1:4" x14ac:dyDescent="0.2">
      <c r="A80" s="5" t="s">
        <v>83</v>
      </c>
      <c r="B80" s="6">
        <f>C49-B78-B79</f>
        <v>47398446.229203768</v>
      </c>
      <c r="C80" s="6">
        <f>C49-C78-C79</f>
        <v>-1655671.0092281252</v>
      </c>
    </row>
    <row r="81" spans="1:7" x14ac:dyDescent="0.2">
      <c r="A81" t="s">
        <v>91</v>
      </c>
      <c r="B81" s="6">
        <f>B77</f>
        <v>480281241.50547695</v>
      </c>
      <c r="C81" s="6">
        <f>C77</f>
        <v>267760484.92307693</v>
      </c>
    </row>
    <row r="82" spans="1:7" x14ac:dyDescent="0.2">
      <c r="A82" t="s">
        <v>92</v>
      </c>
      <c r="B82" s="6">
        <f>B80</f>
        <v>47398446.229203768</v>
      </c>
      <c r="C82" s="6">
        <f>C80</f>
        <v>-1655671.0092281252</v>
      </c>
    </row>
    <row r="83" spans="1:7" x14ac:dyDescent="0.2">
      <c r="A83" t="s">
        <v>93</v>
      </c>
      <c r="B83" s="6">
        <f>B81/B82</f>
        <v>10.132847798068951</v>
      </c>
      <c r="C83" s="6">
        <f>C81/C82</f>
        <v>-161.72324298165191</v>
      </c>
    </row>
    <row r="89" spans="1:7" x14ac:dyDescent="0.2">
      <c r="A89" s="11" t="s">
        <v>68</v>
      </c>
      <c r="B89" s="11"/>
      <c r="C89" s="11"/>
      <c r="E89" s="11"/>
      <c r="F89" s="11"/>
      <c r="G89" s="11"/>
    </row>
    <row r="90" spans="1:7" x14ac:dyDescent="0.2">
      <c r="A90" t="s">
        <v>66</v>
      </c>
      <c r="B90" t="s">
        <v>67</v>
      </c>
      <c r="C90" t="s">
        <v>110</v>
      </c>
    </row>
    <row r="91" spans="1:7" x14ac:dyDescent="0.2">
      <c r="A91" t="s">
        <v>100</v>
      </c>
      <c r="B91" s="6">
        <v>4212486.4391999999</v>
      </c>
      <c r="C91">
        <v>0</v>
      </c>
      <c r="F91" s="6"/>
    </row>
    <row r="92" spans="1:7" x14ac:dyDescent="0.2">
      <c r="A92" t="s">
        <v>101</v>
      </c>
      <c r="B92" s="6">
        <f>30123213.12</f>
        <v>30123213.120000001</v>
      </c>
      <c r="C92" s="6">
        <v>17930484</v>
      </c>
      <c r="F92" s="6"/>
      <c r="G92" s="6"/>
    </row>
    <row r="93" spans="1:7" x14ac:dyDescent="0.2">
      <c r="A93" t="s">
        <v>102</v>
      </c>
      <c r="B93" s="6">
        <f>7826542</f>
        <v>7826542</v>
      </c>
      <c r="C93" s="6">
        <v>7826542</v>
      </c>
      <c r="F93" s="6"/>
      <c r="G93" s="6"/>
    </row>
    <row r="94" spans="1:7" x14ac:dyDescent="0.2">
      <c r="A94" t="s">
        <v>103</v>
      </c>
      <c r="B94" s="6">
        <v>2410744.72082404</v>
      </c>
      <c r="C94" s="6">
        <v>66623905.754999898</v>
      </c>
      <c r="F94" s="6"/>
      <c r="G94" s="6"/>
    </row>
    <row r="95" spans="1:7" x14ac:dyDescent="0.2">
      <c r="A95" t="s">
        <v>104</v>
      </c>
      <c r="B95" s="6">
        <f>-30919680.0000026</f>
        <v>-30919680.0000026</v>
      </c>
      <c r="C95" s="6">
        <v>-30919680.0000026</v>
      </c>
      <c r="F95" s="6"/>
      <c r="G95" s="6"/>
    </row>
    <row r="96" spans="1:7" x14ac:dyDescent="0.2">
      <c r="A96" t="s">
        <v>59</v>
      </c>
      <c r="B96" s="6">
        <v>1173981.59999996</v>
      </c>
      <c r="C96" s="6">
        <v>1173981.59999996</v>
      </c>
      <c r="F96" s="6"/>
      <c r="G96" s="6"/>
    </row>
    <row r="97" spans="1:7" x14ac:dyDescent="0.2">
      <c r="A97" t="s">
        <v>105</v>
      </c>
      <c r="B97" s="6">
        <f>2049093</f>
        <v>2049093</v>
      </c>
      <c r="C97" s="6">
        <v>2049093</v>
      </c>
      <c r="F97" s="6"/>
      <c r="G97" s="6"/>
    </row>
    <row r="98" spans="1:7" x14ac:dyDescent="0.2">
      <c r="A98" t="s">
        <v>106</v>
      </c>
      <c r="B98" s="6">
        <v>5778096</v>
      </c>
      <c r="C98" s="6">
        <v>5778096</v>
      </c>
      <c r="F98" s="6"/>
      <c r="G98" s="6"/>
    </row>
    <row r="99" spans="1:7" x14ac:dyDescent="0.2">
      <c r="A99" t="s">
        <v>107</v>
      </c>
      <c r="B99" s="6">
        <f>35917776</f>
        <v>35917776</v>
      </c>
      <c r="C99" s="6">
        <v>35917776</v>
      </c>
      <c r="F99" s="6"/>
      <c r="G99" s="6"/>
    </row>
    <row r="100" spans="1:7" x14ac:dyDescent="0.2">
      <c r="A100" s="5" t="s">
        <v>63</v>
      </c>
      <c r="B100" s="6">
        <f>SUM(B91:B99)</f>
        <v>58572252.880021408</v>
      </c>
      <c r="C100" s="6">
        <f>SUM(C91:C99)</f>
        <v>106380198.35499726</v>
      </c>
      <c r="E100" s="5"/>
      <c r="F100" s="6"/>
      <c r="G100" s="6"/>
    </row>
    <row r="101" spans="1:7" x14ac:dyDescent="0.2">
      <c r="B101" s="6"/>
      <c r="C101" s="6"/>
      <c r="F101" s="6"/>
      <c r="G101" s="6"/>
    </row>
    <row r="102" spans="1:7" x14ac:dyDescent="0.2">
      <c r="A102" t="s">
        <v>90</v>
      </c>
      <c r="B102" s="6">
        <f>(B91+B92+B97)/0.117</f>
        <v>310981132.98461539</v>
      </c>
      <c r="C102" s="6">
        <f>(C91+C92+C97)/0.117</f>
        <v>170765615.38461536</v>
      </c>
      <c r="F102" s="6"/>
      <c r="G102" s="6"/>
    </row>
    <row r="103" spans="1:7" x14ac:dyDescent="0.2">
      <c r="A103" t="s">
        <v>95</v>
      </c>
      <c r="B103" s="6">
        <f>B102*1.12</f>
        <v>348298868.94276929</v>
      </c>
      <c r="C103" s="6">
        <f>C102*1.12</f>
        <v>191257489.23076922</v>
      </c>
      <c r="F103" s="6"/>
      <c r="G103" s="6"/>
    </row>
    <row r="104" spans="1:7" x14ac:dyDescent="0.2">
      <c r="A104" t="s">
        <v>94</v>
      </c>
      <c r="B104" s="6">
        <f>0.4*B103</f>
        <v>139319547.57710773</v>
      </c>
      <c r="C104" s="6">
        <f>0.4*C103</f>
        <v>76502995.692307696</v>
      </c>
      <c r="F104" s="6"/>
      <c r="G104" s="6"/>
    </row>
    <row r="105" spans="1:7" x14ac:dyDescent="0.2">
      <c r="A105" t="s">
        <v>96</v>
      </c>
      <c r="B105" s="6">
        <f>B104+B103</f>
        <v>487618416.51987702</v>
      </c>
      <c r="C105" s="6">
        <f>C104+C103</f>
        <v>267760484.92307693</v>
      </c>
      <c r="F105" s="6"/>
      <c r="G105" s="6"/>
    </row>
    <row r="106" spans="1:7" x14ac:dyDescent="0.2">
      <c r="A106" t="s">
        <v>97</v>
      </c>
      <c r="B106" s="6">
        <f>0.05*B102+2000000</f>
        <v>17549056.649230771</v>
      </c>
      <c r="C106" s="6">
        <f>0.05*C102+2000000</f>
        <v>10538280.769230768</v>
      </c>
      <c r="F106" s="6"/>
      <c r="G106" s="6"/>
    </row>
    <row r="107" spans="1:7" x14ac:dyDescent="0.2">
      <c r="A107" t="s">
        <v>89</v>
      </c>
      <c r="B107" s="6">
        <f>B94+B95+B96+B98+B99+B93</f>
        <v>22187460.320821401</v>
      </c>
      <c r="C107" s="6">
        <f>C94+C95+C96+C98+C99+C93</f>
        <v>86400621.354997247</v>
      </c>
      <c r="F107" s="6"/>
      <c r="G107" s="6"/>
    </row>
    <row r="108" spans="1:7" x14ac:dyDescent="0.2">
      <c r="A108" s="5" t="s">
        <v>83</v>
      </c>
      <c r="B108" s="6">
        <f>C49-B106-B107</f>
        <v>60078104.029947817</v>
      </c>
      <c r="C108" s="6">
        <f>C49-C106-C107</f>
        <v>2875718.8757719845</v>
      </c>
      <c r="E108" s="5"/>
      <c r="F108" s="6"/>
      <c r="G108" s="6"/>
    </row>
    <row r="109" spans="1:7" x14ac:dyDescent="0.2">
      <c r="A109" t="s">
        <v>91</v>
      </c>
      <c r="B109" s="6">
        <f>B105</f>
        <v>487618416.51987702</v>
      </c>
      <c r="C109" s="6">
        <f>C105</f>
        <v>267760484.92307693</v>
      </c>
      <c r="F109" s="6"/>
      <c r="G109" s="6"/>
    </row>
    <row r="110" spans="1:7" x14ac:dyDescent="0.2">
      <c r="A110" t="s">
        <v>92</v>
      </c>
      <c r="B110" s="6">
        <f>B108</f>
        <v>60078104.029947817</v>
      </c>
      <c r="C110" s="6">
        <f>C108</f>
        <v>2875718.8757719845</v>
      </c>
      <c r="F110" s="6"/>
      <c r="G110" s="6"/>
    </row>
    <row r="111" spans="1:7" x14ac:dyDescent="0.2">
      <c r="A111" t="s">
        <v>93</v>
      </c>
      <c r="B111" s="6">
        <f>B109/B110</f>
        <v>8.1164082055054259</v>
      </c>
      <c r="C111" s="6">
        <f>C109/C110</f>
        <v>93.110799939092388</v>
      </c>
      <c r="F111" s="6"/>
      <c r="G111" s="6"/>
    </row>
    <row r="116" spans="1:3" x14ac:dyDescent="0.2">
      <c r="A116" s="11" t="s">
        <v>69</v>
      </c>
      <c r="B116" s="11"/>
      <c r="C116" s="11"/>
    </row>
    <row r="117" spans="1:3" x14ac:dyDescent="0.2">
      <c r="A117" t="s">
        <v>66</v>
      </c>
      <c r="B117" t="s">
        <v>67</v>
      </c>
      <c r="C117" t="s">
        <v>110</v>
      </c>
    </row>
    <row r="118" spans="1:3" x14ac:dyDescent="0.2">
      <c r="A118" t="s">
        <v>100</v>
      </c>
      <c r="B118" s="6">
        <v>1131045</v>
      </c>
      <c r="C118">
        <v>0</v>
      </c>
    </row>
    <row r="119" spans="1:3" x14ac:dyDescent="0.2">
      <c r="A119" t="s">
        <v>101</v>
      </c>
      <c r="B119" s="6">
        <v>25558223</v>
      </c>
      <c r="C119" s="6">
        <v>17930484</v>
      </c>
    </row>
    <row r="120" spans="1:3" x14ac:dyDescent="0.2">
      <c r="A120" t="s">
        <v>102</v>
      </c>
      <c r="B120" s="6">
        <v>7826542</v>
      </c>
      <c r="C120" s="6">
        <v>7826542</v>
      </c>
    </row>
    <row r="121" spans="1:3" x14ac:dyDescent="0.2">
      <c r="A121" t="s">
        <v>103</v>
      </c>
      <c r="B121" s="6">
        <v>88791610</v>
      </c>
      <c r="C121" s="6">
        <v>119823831.789344</v>
      </c>
    </row>
    <row r="122" spans="1:3" x14ac:dyDescent="0.2">
      <c r="A122" t="s">
        <v>104</v>
      </c>
      <c r="B122" s="6">
        <v>-30919680.0000026</v>
      </c>
      <c r="C122" s="6">
        <v>-30919680.0000026</v>
      </c>
    </row>
    <row r="123" spans="1:3" x14ac:dyDescent="0.2">
      <c r="A123" t="s">
        <v>59</v>
      </c>
      <c r="B123" s="6">
        <v>1173981.59999996</v>
      </c>
      <c r="C123" s="6">
        <v>1173981.59999996</v>
      </c>
    </row>
    <row r="124" spans="1:3" x14ac:dyDescent="0.2">
      <c r="A124" t="s">
        <v>105</v>
      </c>
      <c r="B124" s="6">
        <v>2049093</v>
      </c>
      <c r="C124" s="6">
        <v>2049093</v>
      </c>
    </row>
    <row r="125" spans="1:3" x14ac:dyDescent="0.2">
      <c r="A125" t="s">
        <v>106</v>
      </c>
      <c r="B125" s="6">
        <v>5778096</v>
      </c>
      <c r="C125" s="6">
        <v>5778096</v>
      </c>
    </row>
    <row r="126" spans="1:3" x14ac:dyDescent="0.2">
      <c r="A126" t="s">
        <v>107</v>
      </c>
      <c r="B126" s="6">
        <v>35917776</v>
      </c>
      <c r="C126" s="6">
        <v>35917776</v>
      </c>
    </row>
    <row r="127" spans="1:3" x14ac:dyDescent="0.2">
      <c r="A127" s="5" t="s">
        <v>63</v>
      </c>
      <c r="B127" s="6">
        <f>SUM(B118:B126)</f>
        <v>137306686.59999737</v>
      </c>
      <c r="C127" s="6">
        <f>SUM(C118:C126)</f>
        <v>159580124.38934138</v>
      </c>
    </row>
    <row r="128" spans="1:3" x14ac:dyDescent="0.2">
      <c r="B128" s="6"/>
      <c r="C128" s="6"/>
    </row>
    <row r="129" spans="1:3" x14ac:dyDescent="0.2">
      <c r="A129" t="s">
        <v>90</v>
      </c>
      <c r="B129" s="6">
        <f>(B118+B119+B124)/0.117</f>
        <v>245627017.09401709</v>
      </c>
      <c r="C129" s="6">
        <f>(C118+C119+C120+C124)/0.117</f>
        <v>237659136.75213674</v>
      </c>
    </row>
    <row r="130" spans="1:3" x14ac:dyDescent="0.2">
      <c r="A130" t="s">
        <v>95</v>
      </c>
      <c r="B130" s="6">
        <f>B129*1.12</f>
        <v>275102259.14529914</v>
      </c>
      <c r="C130" s="6">
        <f>C129*1.12</f>
        <v>266178233.16239318</v>
      </c>
    </row>
    <row r="131" spans="1:3" x14ac:dyDescent="0.2">
      <c r="A131" t="s">
        <v>94</v>
      </c>
      <c r="B131" s="6">
        <f>0.4*B130</f>
        <v>110040903.65811966</v>
      </c>
      <c r="C131" s="6">
        <f>0.4*C130</f>
        <v>106471293.26495728</v>
      </c>
    </row>
    <row r="132" spans="1:3" x14ac:dyDescent="0.2">
      <c r="A132" t="s">
        <v>96</v>
      </c>
      <c r="B132" s="6">
        <f>B131+B130</f>
        <v>385143162.80341882</v>
      </c>
      <c r="C132" s="6">
        <f>C131+C130</f>
        <v>372649526.42735046</v>
      </c>
    </row>
    <row r="133" spans="1:3" x14ac:dyDescent="0.2">
      <c r="A133" t="s">
        <v>97</v>
      </c>
      <c r="B133" s="6">
        <f>0.05*B129+2000000</f>
        <v>14281350.854700856</v>
      </c>
      <c r="C133" s="6">
        <f>0.05*C129+2000000</f>
        <v>13882956.837606838</v>
      </c>
    </row>
    <row r="134" spans="1:3" x14ac:dyDescent="0.2">
      <c r="A134" t="s">
        <v>89</v>
      </c>
      <c r="B134" s="6">
        <f>B121+B122+B123+B125+B126+B120</f>
        <v>108568325.59999736</v>
      </c>
      <c r="C134" s="6">
        <f>C121+C122+C123+C125+C126+C120</f>
        <v>139600547.38934135</v>
      </c>
    </row>
    <row r="135" spans="1:3" x14ac:dyDescent="0.2">
      <c r="A135" s="5" t="s">
        <v>83</v>
      </c>
      <c r="B135" s="6">
        <f>C49-B133-B134</f>
        <v>-23035055.45469822</v>
      </c>
      <c r="C135" s="6">
        <f>C49-C133-C134</f>
        <v>-53668883.226948187</v>
      </c>
    </row>
    <row r="136" spans="1:3" x14ac:dyDescent="0.2">
      <c r="A136" t="s">
        <v>91</v>
      </c>
      <c r="B136" s="6">
        <f>B132</f>
        <v>385143162.80341882</v>
      </c>
      <c r="C136" s="6">
        <f>C132</f>
        <v>372649526.42735046</v>
      </c>
    </row>
    <row r="137" spans="1:3" x14ac:dyDescent="0.2">
      <c r="A137" t="s">
        <v>92</v>
      </c>
      <c r="B137" s="6">
        <f>B135</f>
        <v>-23035055.45469822</v>
      </c>
      <c r="C137" s="6">
        <f>C135</f>
        <v>-53668883.226948187</v>
      </c>
    </row>
    <row r="138" spans="1:3" x14ac:dyDescent="0.2">
      <c r="A138" t="s">
        <v>93</v>
      </c>
      <c r="B138" s="6">
        <f>B136/B137</f>
        <v>-16.719871309225141</v>
      </c>
      <c r="C138" s="6">
        <f>C136/C137</f>
        <v>-6.9434932128462084</v>
      </c>
    </row>
    <row r="142" spans="1:3" x14ac:dyDescent="0.2">
      <c r="A142" s="9" t="s">
        <v>70</v>
      </c>
      <c r="B142" s="9"/>
      <c r="C142" s="9"/>
    </row>
    <row r="143" spans="1:3" x14ac:dyDescent="0.2">
      <c r="A143" t="s">
        <v>66</v>
      </c>
      <c r="B143" t="s">
        <v>67</v>
      </c>
      <c r="C143" t="s">
        <v>110</v>
      </c>
    </row>
    <row r="144" spans="1:3" x14ac:dyDescent="0.2">
      <c r="A144" t="s">
        <v>100</v>
      </c>
      <c r="B144" s="6">
        <v>1161419.37625813</v>
      </c>
      <c r="C144">
        <v>0</v>
      </c>
    </row>
    <row r="145" spans="1:3" x14ac:dyDescent="0.2">
      <c r="A145" t="s">
        <v>101</v>
      </c>
      <c r="B145" s="6">
        <v>24667005.5376863</v>
      </c>
      <c r="C145" s="6">
        <v>17930484</v>
      </c>
    </row>
    <row r="146" spans="1:3" x14ac:dyDescent="0.2">
      <c r="A146" t="s">
        <v>102</v>
      </c>
      <c r="B146" s="6">
        <v>7826543.9999983897</v>
      </c>
      <c r="C146" s="6">
        <v>7826542</v>
      </c>
    </row>
    <row r="147" spans="1:3" x14ac:dyDescent="0.2">
      <c r="A147" t="s">
        <v>103</v>
      </c>
      <c r="B147" s="6">
        <v>80602178.845384002</v>
      </c>
      <c r="C147" s="6">
        <v>116800443.044999</v>
      </c>
    </row>
    <row r="148" spans="1:3" x14ac:dyDescent="0.2">
      <c r="A148" t="s">
        <v>104</v>
      </c>
      <c r="B148" s="6">
        <v>-30919680.0000026</v>
      </c>
      <c r="C148" s="6">
        <v>-30919680.0000026</v>
      </c>
    </row>
    <row r="149" spans="1:3" x14ac:dyDescent="0.2">
      <c r="A149" t="s">
        <v>59</v>
      </c>
      <c r="B149" s="6">
        <v>1173981.59999996</v>
      </c>
      <c r="C149" s="6">
        <v>1173981.59999996</v>
      </c>
    </row>
    <row r="150" spans="1:3" x14ac:dyDescent="0.2">
      <c r="A150" t="s">
        <v>105</v>
      </c>
      <c r="B150" s="6">
        <v>2049093</v>
      </c>
      <c r="C150" s="6">
        <v>2049093</v>
      </c>
    </row>
    <row r="151" spans="1:3" x14ac:dyDescent="0.2">
      <c r="A151" t="s">
        <v>106</v>
      </c>
      <c r="B151" s="6">
        <v>5778096</v>
      </c>
      <c r="C151" s="6">
        <v>5778096</v>
      </c>
    </row>
    <row r="152" spans="1:3" x14ac:dyDescent="0.2">
      <c r="A152" t="s">
        <v>107</v>
      </c>
      <c r="B152" s="6">
        <v>35917776</v>
      </c>
      <c r="C152" s="6">
        <v>35917776</v>
      </c>
    </row>
    <row r="153" spans="1:3" x14ac:dyDescent="0.2">
      <c r="A153" s="5" t="s">
        <v>63</v>
      </c>
      <c r="B153" s="6">
        <f>SUM(B144:B152)</f>
        <v>128256414.35932419</v>
      </c>
      <c r="C153" s="6">
        <f>SUM(C144:C152)</f>
        <v>156556735.64499637</v>
      </c>
    </row>
    <row r="154" spans="1:3" x14ac:dyDescent="0.2">
      <c r="B154" s="6"/>
      <c r="C154" s="6"/>
    </row>
    <row r="155" spans="1:3" x14ac:dyDescent="0.2">
      <c r="A155" t="s">
        <v>90</v>
      </c>
      <c r="B155" s="6">
        <f>(B144+B145+B150)/0.117</f>
        <v>238269383.87986693</v>
      </c>
      <c r="C155" s="6">
        <f>(C144+C145+C146+C150)/0.117</f>
        <v>237659136.75213674</v>
      </c>
    </row>
    <row r="156" spans="1:3" x14ac:dyDescent="0.2">
      <c r="A156" t="s">
        <v>95</v>
      </c>
      <c r="B156" s="6">
        <f>B155*1.12</f>
        <v>266861709.94545099</v>
      </c>
      <c r="C156" s="6">
        <f>C155*1.12</f>
        <v>266178233.16239318</v>
      </c>
    </row>
    <row r="157" spans="1:3" x14ac:dyDescent="0.2">
      <c r="A157" t="s">
        <v>94</v>
      </c>
      <c r="B157" s="6">
        <f>0.4*B156</f>
        <v>106744683.97818041</v>
      </c>
      <c r="C157" s="6">
        <f>0.4*C156</f>
        <v>106471293.26495728</v>
      </c>
    </row>
    <row r="158" spans="1:3" x14ac:dyDescent="0.2">
      <c r="A158" t="s">
        <v>96</v>
      </c>
      <c r="B158" s="6">
        <f>B157+B156</f>
        <v>373606393.92363143</v>
      </c>
      <c r="C158" s="6">
        <f>C157+C156</f>
        <v>372649526.42735046</v>
      </c>
    </row>
    <row r="159" spans="1:3" x14ac:dyDescent="0.2">
      <c r="A159" t="s">
        <v>97</v>
      </c>
      <c r="B159" s="6">
        <f>0.05*B155+2000000</f>
        <v>13913469.193993347</v>
      </c>
      <c r="C159" s="6">
        <f>0.05*C155+2000000</f>
        <v>13882956.837606838</v>
      </c>
    </row>
    <row r="160" spans="1:3" x14ac:dyDescent="0.2">
      <c r="A160" t="s">
        <v>89</v>
      </c>
      <c r="B160" s="6">
        <f>B147+B148+B149+B151+B152+B146</f>
        <v>100378896.44537975</v>
      </c>
      <c r="C160" s="6">
        <f>C147+C148+C149+C151+C152+C146</f>
        <v>136577158.64499637</v>
      </c>
    </row>
    <row r="161" spans="1:3" x14ac:dyDescent="0.2">
      <c r="A161" s="5" t="s">
        <v>83</v>
      </c>
      <c r="B161" s="6">
        <f>C49-B159-B160</f>
        <v>-14477744.639373094</v>
      </c>
      <c r="C161" s="6">
        <f>C49-C159-C160</f>
        <v>-50645494.482603207</v>
      </c>
    </row>
    <row r="162" spans="1:3" x14ac:dyDescent="0.2">
      <c r="A162" t="s">
        <v>91</v>
      </c>
      <c r="B162" s="6">
        <f>B158</f>
        <v>373606393.92363143</v>
      </c>
      <c r="C162" s="6">
        <f>C158</f>
        <v>372649526.42735046</v>
      </c>
    </row>
    <row r="163" spans="1:3" x14ac:dyDescent="0.2">
      <c r="A163" t="s">
        <v>92</v>
      </c>
      <c r="B163" s="6">
        <f>B161</f>
        <v>-14477744.639373094</v>
      </c>
      <c r="C163" s="6">
        <f>C161</f>
        <v>-50645494.482603207</v>
      </c>
    </row>
    <row r="164" spans="1:3" x14ac:dyDescent="0.2">
      <c r="A164" t="s">
        <v>93</v>
      </c>
      <c r="B164" s="6">
        <f>B162/B163</f>
        <v>-25.805565937914562</v>
      </c>
      <c r="C164" s="6">
        <f>C162/C163</f>
        <v>-7.357999566088866</v>
      </c>
    </row>
  </sheetData>
  <mergeCells count="15">
    <mergeCell ref="A116:C116"/>
    <mergeCell ref="A34:D34"/>
    <mergeCell ref="A41:D41"/>
    <mergeCell ref="E89:G89"/>
    <mergeCell ref="A2:E2"/>
    <mergeCell ref="A16:E16"/>
    <mergeCell ref="D6:D7"/>
    <mergeCell ref="A23:A24"/>
    <mergeCell ref="D23:D24"/>
    <mergeCell ref="C6:C7"/>
    <mergeCell ref="E10:E12"/>
    <mergeCell ref="E6:E7"/>
    <mergeCell ref="D8:D9"/>
    <mergeCell ref="A89:C89"/>
    <mergeCell ref="A61:C6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F17E-EBA7-8E49-9CC0-2F9EDE9AA790}">
  <dimension ref="A1:B22"/>
  <sheetViews>
    <sheetView zoomScale="140" zoomScaleNormal="140" workbookViewId="0">
      <selection activeCell="H23" sqref="H23"/>
    </sheetView>
  </sheetViews>
  <sheetFormatPr baseColWidth="10" defaultRowHeight="16" x14ac:dyDescent="0.2"/>
  <cols>
    <col min="1" max="1" width="25.33203125" customWidth="1"/>
    <col min="2" max="2" width="24.83203125" customWidth="1"/>
  </cols>
  <sheetData>
    <row r="1" spans="1:2" x14ac:dyDescent="0.2">
      <c r="A1" s="18" t="s">
        <v>74</v>
      </c>
      <c r="B1" s="18"/>
    </row>
    <row r="2" spans="1:2" x14ac:dyDescent="0.2">
      <c r="A2" s="7" t="s">
        <v>71</v>
      </c>
      <c r="B2" s="7" t="s">
        <v>72</v>
      </c>
    </row>
    <row r="3" spans="1:2" x14ac:dyDescent="0.2">
      <c r="A3" s="7">
        <v>4.62</v>
      </c>
      <c r="B3" s="7">
        <v>20773</v>
      </c>
    </row>
    <row r="4" spans="1:2" x14ac:dyDescent="0.2">
      <c r="A4" s="7">
        <v>0</v>
      </c>
      <c r="B4" s="7">
        <v>14101</v>
      </c>
    </row>
    <row r="5" spans="1:2" x14ac:dyDescent="0.2">
      <c r="A5" s="7" t="s">
        <v>73</v>
      </c>
      <c r="B5" s="7">
        <v>262</v>
      </c>
    </row>
    <row r="6" spans="1:2" x14ac:dyDescent="0.2">
      <c r="A6" s="18" t="s">
        <v>75</v>
      </c>
      <c r="B6" s="18"/>
    </row>
    <row r="7" spans="1:2" x14ac:dyDescent="0.2">
      <c r="A7" s="7" t="s">
        <v>71</v>
      </c>
      <c r="B7" s="7" t="s">
        <v>72</v>
      </c>
    </row>
    <row r="8" spans="1:2" x14ac:dyDescent="0.2">
      <c r="A8" s="7">
        <v>3.8380000000000001</v>
      </c>
      <c r="B8" s="7">
        <v>24831</v>
      </c>
    </row>
    <row r="9" spans="1:2" x14ac:dyDescent="0.2">
      <c r="A9" s="7">
        <v>0</v>
      </c>
      <c r="B9" s="7">
        <v>9712</v>
      </c>
    </row>
    <row r="10" spans="1:2" x14ac:dyDescent="0.2">
      <c r="A10" s="7" t="s">
        <v>73</v>
      </c>
      <c r="B10" s="7">
        <v>593</v>
      </c>
    </row>
    <row r="13" spans="1:2" x14ac:dyDescent="0.2">
      <c r="A13" s="18" t="s">
        <v>76</v>
      </c>
      <c r="B13" s="18"/>
    </row>
    <row r="14" spans="1:2" x14ac:dyDescent="0.2">
      <c r="A14" s="7" t="s">
        <v>78</v>
      </c>
      <c r="B14" s="7" t="s">
        <v>72</v>
      </c>
    </row>
    <row r="15" spans="1:2" x14ac:dyDescent="0.2">
      <c r="A15" s="7">
        <v>18.48</v>
      </c>
      <c r="B15" s="7">
        <v>5142</v>
      </c>
    </row>
    <row r="16" spans="1:2" x14ac:dyDescent="0.2">
      <c r="A16" s="7">
        <v>0</v>
      </c>
      <c r="B16" s="7">
        <v>3484</v>
      </c>
    </row>
    <row r="17" spans="1:2" x14ac:dyDescent="0.2">
      <c r="A17" s="7" t="s">
        <v>79</v>
      </c>
      <c r="B17" s="7">
        <v>158</v>
      </c>
    </row>
    <row r="18" spans="1:2" x14ac:dyDescent="0.2">
      <c r="A18" s="18" t="s">
        <v>77</v>
      </c>
      <c r="B18" s="18"/>
    </row>
    <row r="19" spans="1:2" x14ac:dyDescent="0.2">
      <c r="A19" s="7" t="s">
        <v>78</v>
      </c>
      <c r="B19" s="7" t="s">
        <v>72</v>
      </c>
    </row>
    <row r="20" spans="1:2" x14ac:dyDescent="0.2">
      <c r="A20" s="7">
        <v>17.216999999999999</v>
      </c>
      <c r="B20" s="7">
        <v>5440</v>
      </c>
    </row>
    <row r="21" spans="1:2" x14ac:dyDescent="0.2">
      <c r="A21" s="7">
        <v>0</v>
      </c>
      <c r="B21" s="7">
        <v>3016</v>
      </c>
    </row>
    <row r="22" spans="1:2" x14ac:dyDescent="0.2">
      <c r="A22" s="7" t="s">
        <v>80</v>
      </c>
      <c r="B22" s="7">
        <v>328</v>
      </c>
    </row>
  </sheetData>
  <mergeCells count="4">
    <mergeCell ref="A1:B1"/>
    <mergeCell ref="A6:B6"/>
    <mergeCell ref="A13:B13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2021-10-26T03:08:47Z</dcterms:created>
  <dcterms:modified xsi:type="dcterms:W3CDTF">2023-04-01T15:31:47Z</dcterms:modified>
</cp:coreProperties>
</file>